
<file path=[Content_Types].xml><?xml version="1.0" encoding="utf-8"?>
<Types xmlns="http://schemas.openxmlformats.org/package/2006/content-type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Sv0028fs\shares\2017 IRM Application\Application Documents Filed with OEB\"/>
    </mc:Choice>
  </mc:AlternateContent>
  <bookViews>
    <workbookView xWindow="0" yWindow="-465" windowWidth="25605" windowHeight="16005" tabRatio="840"/>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3a. Rates-weighted averages" sheetId="67" r:id="rId7"/>
    <sheet name="4.  2011-14 LRAM" sheetId="46" r:id="rId8"/>
    <sheet name="5.  2015 LRAM" sheetId="54" r:id="rId9"/>
    <sheet name="5-b. 2016 LRAM" sheetId="57" state="hidden" r:id="rId10"/>
    <sheet name="5-c.  2017 LRAM" sheetId="58" state="hidden" r:id="rId11"/>
    <sheet name="5-d.  2018 LRAM" sheetId="59" state="hidden" r:id="rId12"/>
    <sheet name="5-e.  2019 LRAM" sheetId="60" state="hidden" r:id="rId13"/>
    <sheet name="5-f.  2020 LRAM" sheetId="61" state="hidden" r:id="rId14"/>
    <sheet name="6.  Persistence Rates" sheetId="3" r:id="rId15"/>
    <sheet name="7.  Carrying Charges" sheetId="47" r:id="rId16"/>
    <sheet name="8. Street lighting" sheetId="68" r:id="rId17"/>
  </sheets>
  <externalReferences>
    <externalReference r:id="rId18"/>
    <externalReference r:id="rId19"/>
    <externalReference r:id="rId20"/>
    <externalReference r:id="rId21"/>
    <externalReference r:id="rId22"/>
    <externalReference r:id="rId23"/>
  </externalReferences>
  <definedNames>
    <definedName name="CarryingChargeyear" localSheetId="4">[1]CarryingCharges!$Q$127:$Q$133</definedName>
    <definedName name="CarryingChargeyear" localSheetId="6">[2]CarryingCharges!$Q$153:$Q$160</definedName>
    <definedName name="CarryingChargeyear" localSheetId="16">[3]CarryingCharges!$Q$112:$Q$117</definedName>
    <definedName name="CarryingChargeyear">[2]CarryingCharges!$Q$145:$Q$149</definedName>
    <definedName name="CurrentAvail" localSheetId="16">'[3]2012LostRev'!$Q$110</definedName>
    <definedName name="CurrentSheetRef" localSheetId="16">'[3]2012LostRev'!$R$110</definedName>
    <definedName name="DistRates" localSheetId="4">[1]Rates!$A$40:$L$51</definedName>
    <definedName name="DistRates" localSheetId="16">[3]Rates!$A$4:$H$13</definedName>
    <definedName name="DistRates">[2]Rates!$A$40:$L$51</definedName>
    <definedName name="DistRatesTable" localSheetId="4">[1]Rates!$B$7:$C$18</definedName>
    <definedName name="DistRatesTable" localSheetId="16">[3]Rates!$B$4:$G$15</definedName>
    <definedName name="DistRatesTable">[2]Rates!$B$7:$C$18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IncluDR3?" localSheetId="16">'[3]LRAMVA Register'!$O$95:$O$96</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7">'4.  2011-14 LRAM'!$A$1:$S$324</definedName>
    <definedName name="_xlnm.Print_Area" localSheetId="8">'5.  2015 LRAM'!$A$1:$S$131</definedName>
    <definedName name="_xlnm.Print_Area" localSheetId="14">'6.  Persistence Rates'!$A$1:$W$51</definedName>
    <definedName name="_xlnm.Print_Area" localSheetId="15">'7.  Carrying Charges'!$A$1:$V$165</definedName>
    <definedName name="_xlnm.Print_Area" localSheetId="0">'Contents Navigator'!$A$1:$H$37</definedName>
    <definedName name="_xlnm.Print_Area" localSheetId="1">'Input Output Flow Chart'!$A$1:$M$28</definedName>
    <definedName name="_xlnm.Print_Titles" localSheetId="7">'4.  2011-14 LRAM'!$C:$D</definedName>
    <definedName name="RateNames" localSheetId="16">[3]Rates!$A$4:$C$15</definedName>
    <definedName name="resultsyear" localSheetId="4">'[1]2011 OPA final results'!$B$4</definedName>
    <definedName name="resultsyear" localSheetId="16">'[3]2011 OPA final results'!$B$4</definedName>
    <definedName name="resultsyear">'[2]2011 OPA final results'!$B$4</definedName>
    <definedName name="Resultsyears" localSheetId="4">'[1]LRAMVA Register'!$O$97:$O$99</definedName>
    <definedName name="Resultsyears" localSheetId="6">'[2]LRAMVA Register'!$O$112:$O$114</definedName>
    <definedName name="Resultsyears" localSheetId="16">'[3]LRAMVA Register'!$O$88:$O$92</definedName>
    <definedName name="Resultsyears">'[4]LRAMVA Register'!$O$112:$O$114</definedName>
    <definedName name="resultyear" localSheetId="4">'[1]2015 IESO final results'!$B$4</definedName>
    <definedName name="resultyear" localSheetId="6">'[2]2015 IESO final results'!$B$4</definedName>
    <definedName name="resultyear" localSheetId="16">'[2]2015 IESO final results'!$B$2</definedName>
    <definedName name="resultyear">'[5]2015 IESO final results'!$B$4</definedName>
    <definedName name="zzz">[6]CarryingCharges!$Q$134:$Q$140</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J29" i="44" l="1"/>
  <c r="J30" i="44" s="1"/>
  <c r="H29" i="44"/>
  <c r="H30" i="44" s="1"/>
  <c r="H31" i="44" s="1"/>
  <c r="F29" i="44"/>
  <c r="F30" i="44" s="1"/>
  <c r="F31" i="44" s="1"/>
  <c r="E29" i="44"/>
  <c r="E30" i="44" s="1"/>
  <c r="E31" i="44" s="1"/>
  <c r="D29" i="44"/>
  <c r="D30" i="44" s="1"/>
  <c r="D31" i="44" s="1"/>
  <c r="B8" i="66"/>
  <c r="C29" i="44" s="1"/>
  <c r="C30" i="44" s="1"/>
  <c r="C31" i="44" s="1"/>
  <c r="J19" i="45"/>
  <c r="J43" i="45"/>
  <c r="I19" i="45"/>
  <c r="I42" i="45" s="1"/>
  <c r="H19" i="45"/>
  <c r="H43" i="45"/>
  <c r="H42" i="45"/>
  <c r="I136" i="44" s="1"/>
  <c r="K41" i="45"/>
  <c r="K136" i="44" s="1"/>
  <c r="K137" i="44"/>
  <c r="J42" i="45"/>
  <c r="I138" i="44"/>
  <c r="K138" i="44"/>
  <c r="K42" i="45"/>
  <c r="L136" i="44" s="1"/>
  <c r="L137" i="44"/>
  <c r="L138" i="44"/>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H207" i="46"/>
  <c r="I207" i="46"/>
  <c r="J207" i="46"/>
  <c r="K207" i="46"/>
  <c r="L207" i="46"/>
  <c r="M207" i="46"/>
  <c r="N207" i="46"/>
  <c r="O207" i="46"/>
  <c r="P207" i="46"/>
  <c r="Q207" i="46"/>
  <c r="R207" i="46"/>
  <c r="S207" i="46"/>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N9" i="66"/>
  <c r="G19" i="45"/>
  <c r="G43" i="45" s="1"/>
  <c r="O230" i="46" s="1"/>
  <c r="K312" i="3"/>
  <c r="K315" i="3" s="1"/>
  <c r="E66" i="3"/>
  <c r="Q66" i="3"/>
  <c r="Q77" i="3"/>
  <c r="Q86" i="3"/>
  <c r="Q91" i="3"/>
  <c r="E125" i="3"/>
  <c r="E137" i="3"/>
  <c r="K320" i="3" s="1"/>
  <c r="E146" i="3"/>
  <c r="E152" i="3"/>
  <c r="Q125" i="3"/>
  <c r="Q137" i="3"/>
  <c r="Q146" i="3"/>
  <c r="Q152" i="3"/>
  <c r="O21" i="46"/>
  <c r="O168" i="46"/>
  <c r="O233" i="46" s="1"/>
  <c r="O227" i="46"/>
  <c r="G44" i="45"/>
  <c r="P230" i="46" s="1"/>
  <c r="L312" i="3"/>
  <c r="J66" i="3"/>
  <c r="V66" i="3"/>
  <c r="E315" i="3" s="1"/>
  <c r="V77" i="3"/>
  <c r="V86" i="3"/>
  <c r="V91" i="3"/>
  <c r="L315" i="3"/>
  <c r="J125" i="3"/>
  <c r="J137" i="3"/>
  <c r="L320" i="3" s="1"/>
  <c r="J146" i="3"/>
  <c r="J152" i="3"/>
  <c r="V125" i="3"/>
  <c r="V137" i="3"/>
  <c r="V146" i="3"/>
  <c r="V152" i="3"/>
  <c r="P21" i="46"/>
  <c r="P168" i="46" s="1"/>
  <c r="D312" i="3"/>
  <c r="D320" i="3" s="1"/>
  <c r="H21" i="46"/>
  <c r="H168" i="46"/>
  <c r="H225" i="46" s="1"/>
  <c r="E312" i="3"/>
  <c r="E320" i="3"/>
  <c r="I21" i="46"/>
  <c r="I168" i="46" s="1"/>
  <c r="F312" i="3"/>
  <c r="F315" i="3" s="1"/>
  <c r="J21" i="46"/>
  <c r="J168" i="46"/>
  <c r="J227" i="46" s="1"/>
  <c r="G312" i="3"/>
  <c r="G315" i="3"/>
  <c r="G320" i="3"/>
  <c r="K21" i="46"/>
  <c r="K168" i="46" s="1"/>
  <c r="H312" i="3"/>
  <c r="H315" i="3" s="1"/>
  <c r="G40" i="45"/>
  <c r="L230" i="46" s="1"/>
  <c r="L21" i="46"/>
  <c r="L168" i="46"/>
  <c r="L227" i="46" s="1"/>
  <c r="I312" i="3"/>
  <c r="I315" i="3"/>
  <c r="G41" i="45"/>
  <c r="M230" i="46"/>
  <c r="M232" i="46" s="1"/>
  <c r="I320" i="3"/>
  <c r="M21" i="46"/>
  <c r="M168" i="46" s="1"/>
  <c r="J312" i="3"/>
  <c r="J315" i="3" s="1"/>
  <c r="G42" i="45"/>
  <c r="N230" i="46" s="1"/>
  <c r="N21" i="46"/>
  <c r="N168" i="46"/>
  <c r="N227" i="46" s="1"/>
  <c r="M312" i="3"/>
  <c r="M315" i="3"/>
  <c r="G45" i="45"/>
  <c r="Q230" i="46"/>
  <c r="Q231" i="46" s="1"/>
  <c r="M320" i="3"/>
  <c r="Q21" i="46"/>
  <c r="Q168" i="46" s="1"/>
  <c r="N312" i="3"/>
  <c r="N315" i="3" s="1"/>
  <c r="G46" i="45"/>
  <c r="R230" i="46" s="1"/>
  <c r="R21" i="46"/>
  <c r="R168" i="46"/>
  <c r="R227" i="46" s="1"/>
  <c r="O311" i="46"/>
  <c r="F66" i="3"/>
  <c r="R66" i="3"/>
  <c r="R77" i="3"/>
  <c r="R86" i="3"/>
  <c r="K316" i="3" s="1"/>
  <c r="R91" i="3"/>
  <c r="F125" i="3"/>
  <c r="F137" i="3"/>
  <c r="H321" i="3" s="1"/>
  <c r="F146" i="3"/>
  <c r="F152" i="3"/>
  <c r="R125" i="3"/>
  <c r="R137" i="3"/>
  <c r="R146" i="3"/>
  <c r="R152" i="3"/>
  <c r="F188" i="3"/>
  <c r="F201" i="3"/>
  <c r="F211" i="3"/>
  <c r="F217" i="3"/>
  <c r="F226" i="3"/>
  <c r="R188" i="3"/>
  <c r="R201" i="3"/>
  <c r="R211" i="3"/>
  <c r="R217" i="3"/>
  <c r="R226" i="3"/>
  <c r="O248" i="46"/>
  <c r="O308" i="46" s="1"/>
  <c r="H44" i="45"/>
  <c r="P311" i="46"/>
  <c r="K66" i="3"/>
  <c r="W66" i="3"/>
  <c r="W77" i="3"/>
  <c r="W86" i="3"/>
  <c r="W91" i="3"/>
  <c r="K125" i="3"/>
  <c r="K137" i="3"/>
  <c r="L321" i="3" s="1"/>
  <c r="K146" i="3"/>
  <c r="K152" i="3"/>
  <c r="W125" i="3"/>
  <c r="W137" i="3"/>
  <c r="W146" i="3"/>
  <c r="W152" i="3"/>
  <c r="K188" i="3"/>
  <c r="K201" i="3"/>
  <c r="K211" i="3"/>
  <c r="K217" i="3"/>
  <c r="K226" i="3"/>
  <c r="W188" i="3"/>
  <c r="W201" i="3"/>
  <c r="W211" i="3"/>
  <c r="W217" i="3"/>
  <c r="W226" i="3"/>
  <c r="P248" i="46"/>
  <c r="H248" i="46"/>
  <c r="I248" i="46"/>
  <c r="F316" i="3"/>
  <c r="F321" i="3"/>
  <c r="J248" i="46"/>
  <c r="J308" i="46"/>
  <c r="G316" i="3"/>
  <c r="G321" i="3"/>
  <c r="K248" i="46"/>
  <c r="H316" i="3"/>
  <c r="H40" i="45"/>
  <c r="L311" i="46"/>
  <c r="L248" i="46"/>
  <c r="L308" i="46"/>
  <c r="I316" i="3"/>
  <c r="I321" i="3"/>
  <c r="H41" i="45"/>
  <c r="M311" i="46"/>
  <c r="I325" i="3"/>
  <c r="M314" i="46" s="1"/>
  <c r="M248" i="46"/>
  <c r="M308" i="46"/>
  <c r="M315" i="46"/>
  <c r="J316" i="3"/>
  <c r="J321" i="3"/>
  <c r="N311" i="46"/>
  <c r="N248" i="46"/>
  <c r="M316" i="3"/>
  <c r="H45" i="45"/>
  <c r="Q311" i="46"/>
  <c r="Q248" i="46"/>
  <c r="Q308" i="46"/>
  <c r="N316" i="3"/>
  <c r="N321" i="3"/>
  <c r="H46" i="45"/>
  <c r="R311" i="46"/>
  <c r="N325" i="3"/>
  <c r="R314" i="46" s="1"/>
  <c r="R248" i="46"/>
  <c r="G66" i="3"/>
  <c r="K317" i="3" s="1"/>
  <c r="S66" i="3"/>
  <c r="S77" i="3"/>
  <c r="S86" i="3"/>
  <c r="S91" i="3"/>
  <c r="G125" i="3"/>
  <c r="G137" i="3"/>
  <c r="G322" i="3" s="1"/>
  <c r="G146" i="3"/>
  <c r="G152" i="3"/>
  <c r="G161" i="3"/>
  <c r="S125" i="3"/>
  <c r="S137" i="3"/>
  <c r="S146" i="3"/>
  <c r="S152" i="3"/>
  <c r="S161" i="3"/>
  <c r="K322" i="3"/>
  <c r="G188" i="3"/>
  <c r="G201" i="3"/>
  <c r="G211" i="3"/>
  <c r="G217" i="3"/>
  <c r="G226" i="3"/>
  <c r="S188" i="3"/>
  <c r="S201" i="3"/>
  <c r="S211" i="3"/>
  <c r="S217" i="3"/>
  <c r="S226" i="3"/>
  <c r="G254" i="3"/>
  <c r="G267" i="3"/>
  <c r="G277" i="3"/>
  <c r="G283" i="3"/>
  <c r="G292" i="3"/>
  <c r="S254" i="3"/>
  <c r="S277" i="3"/>
  <c r="O17" i="54"/>
  <c r="O113" i="54"/>
  <c r="I44" i="45"/>
  <c r="P117" i="54"/>
  <c r="L66" i="3"/>
  <c r="X66" i="3"/>
  <c r="X77" i="3"/>
  <c r="X86" i="3"/>
  <c r="X91" i="3"/>
  <c r="L125" i="3"/>
  <c r="E322" i="3" s="1"/>
  <c r="L137" i="3"/>
  <c r="L146" i="3"/>
  <c r="L152" i="3"/>
  <c r="L161" i="3"/>
  <c r="X125" i="3"/>
  <c r="X137" i="3"/>
  <c r="X146" i="3"/>
  <c r="X152" i="3"/>
  <c r="X161" i="3"/>
  <c r="L322" i="3"/>
  <c r="L188" i="3"/>
  <c r="L201" i="3"/>
  <c r="L211" i="3"/>
  <c r="L217" i="3"/>
  <c r="L226" i="3"/>
  <c r="X188" i="3"/>
  <c r="X201" i="3"/>
  <c r="X211" i="3"/>
  <c r="X217" i="3"/>
  <c r="X226" i="3"/>
  <c r="L254" i="3"/>
  <c r="L277" i="3"/>
  <c r="L283" i="3"/>
  <c r="L292" i="3"/>
  <c r="X254" i="3"/>
  <c r="X277" i="3"/>
  <c r="P17" i="54"/>
  <c r="D317" i="3"/>
  <c r="H17" i="54"/>
  <c r="H112" i="54"/>
  <c r="I37" i="45"/>
  <c r="I117" i="54" s="1"/>
  <c r="E326" i="3"/>
  <c r="I17" i="54"/>
  <c r="I112" i="54"/>
  <c r="F317" i="3"/>
  <c r="F322" i="3"/>
  <c r="I38" i="45"/>
  <c r="J117" i="54"/>
  <c r="F326" i="3"/>
  <c r="J120" i="54"/>
  <c r="J17" i="54"/>
  <c r="J113" i="54"/>
  <c r="G317" i="3"/>
  <c r="I39" i="45"/>
  <c r="K117" i="54"/>
  <c r="K120" i="54" s="1"/>
  <c r="G326" i="3"/>
  <c r="K17" i="54"/>
  <c r="H322" i="3"/>
  <c r="I40" i="45"/>
  <c r="L117" i="54" s="1"/>
  <c r="L17" i="54"/>
  <c r="L113" i="54"/>
  <c r="I317" i="3"/>
  <c r="I322" i="3"/>
  <c r="I41" i="45"/>
  <c r="I326" i="3"/>
  <c r="M17" i="54"/>
  <c r="J317" i="3"/>
  <c r="J322" i="3"/>
  <c r="J326" i="3"/>
  <c r="N17" i="54"/>
  <c r="N113" i="54" s="1"/>
  <c r="M317" i="3"/>
  <c r="M322" i="3"/>
  <c r="I45" i="45"/>
  <c r="Q117" i="54"/>
  <c r="M326" i="3"/>
  <c r="Q17" i="54"/>
  <c r="N317" i="3"/>
  <c r="I46" i="45"/>
  <c r="R117" i="54" s="1"/>
  <c r="N326" i="3"/>
  <c r="R17" i="54"/>
  <c r="O69" i="46"/>
  <c r="D66" i="3"/>
  <c r="P66" i="3"/>
  <c r="P77" i="3"/>
  <c r="K314" i="3" s="1"/>
  <c r="P86" i="3"/>
  <c r="P91" i="3"/>
  <c r="O89" i="46"/>
  <c r="O147" i="46" s="1"/>
  <c r="P67" i="46"/>
  <c r="K133" i="44"/>
  <c r="K22" i="43" s="1"/>
  <c r="I66" i="3"/>
  <c r="U66" i="3"/>
  <c r="U77" i="3"/>
  <c r="U86" i="3"/>
  <c r="U91" i="3"/>
  <c r="P89" i="46"/>
  <c r="P145" i="46"/>
  <c r="J41" i="45"/>
  <c r="K135" i="44" s="1"/>
  <c r="K28" i="43" s="1"/>
  <c r="K31" i="43"/>
  <c r="K34" i="43"/>
  <c r="H67" i="46"/>
  <c r="C133" i="44"/>
  <c r="C22" i="43"/>
  <c r="H89" i="46"/>
  <c r="C134" i="44"/>
  <c r="C25" i="43" s="1"/>
  <c r="I67" i="46"/>
  <c r="D133" i="44"/>
  <c r="D22" i="43"/>
  <c r="I89" i="46"/>
  <c r="I145" i="46"/>
  <c r="D134" i="44"/>
  <c r="D25" i="43" s="1"/>
  <c r="D137" i="44"/>
  <c r="D34" i="43"/>
  <c r="J69" i="46"/>
  <c r="E133" i="44"/>
  <c r="E22" i="43" s="1"/>
  <c r="F314" i="3"/>
  <c r="J89" i="46"/>
  <c r="J147" i="46" s="1"/>
  <c r="E134" i="44"/>
  <c r="E25" i="43"/>
  <c r="E137" i="44"/>
  <c r="E34" i="43"/>
  <c r="K69" i="46"/>
  <c r="F133" i="44"/>
  <c r="F22" i="43" s="1"/>
  <c r="G314" i="3"/>
  <c r="K89" i="46"/>
  <c r="F134" i="44"/>
  <c r="F25" i="43"/>
  <c r="F137" i="44"/>
  <c r="F34" i="43"/>
  <c r="L69" i="46"/>
  <c r="G133" i="44"/>
  <c r="G22" i="43" s="1"/>
  <c r="L89" i="46"/>
  <c r="L147" i="46"/>
  <c r="G134" i="44"/>
  <c r="G25" i="43" s="1"/>
  <c r="G135" i="44"/>
  <c r="G28" i="43"/>
  <c r="G136" i="44"/>
  <c r="G31" i="43"/>
  <c r="G137" i="44"/>
  <c r="G34" i="43"/>
  <c r="M69" i="46"/>
  <c r="H133" i="44"/>
  <c r="H22" i="43" s="1"/>
  <c r="I314" i="3"/>
  <c r="M89" i="46"/>
  <c r="M147" i="46"/>
  <c r="H134" i="44"/>
  <c r="H25" i="43"/>
  <c r="H135" i="44"/>
  <c r="H28" i="43" s="1"/>
  <c r="H136" i="44"/>
  <c r="H31" i="43" s="1"/>
  <c r="H137" i="44"/>
  <c r="H34" i="43" s="1"/>
  <c r="N69" i="46"/>
  <c r="I133" i="44"/>
  <c r="I22" i="43"/>
  <c r="J314" i="3"/>
  <c r="N89" i="46"/>
  <c r="N147" i="46" s="1"/>
  <c r="I134" i="44"/>
  <c r="I25" i="43"/>
  <c r="I135" i="44"/>
  <c r="I28" i="43" s="1"/>
  <c r="I31" i="43"/>
  <c r="Q69" i="46"/>
  <c r="L133" i="44"/>
  <c r="L22" i="43"/>
  <c r="M314" i="3"/>
  <c r="Q89" i="46"/>
  <c r="Q147" i="46" s="1"/>
  <c r="L134" i="44"/>
  <c r="L25" i="43"/>
  <c r="L135" i="44"/>
  <c r="L28" i="43" s="1"/>
  <c r="L31" i="43"/>
  <c r="L34" i="43"/>
  <c r="R69" i="46"/>
  <c r="N314" i="3"/>
  <c r="R89" i="46"/>
  <c r="M31" i="43"/>
  <c r="M34" i="43"/>
  <c r="M258" i="3"/>
  <c r="M267" i="3" s="1"/>
  <c r="C62" i="68"/>
  <c r="E62" i="68" s="1"/>
  <c r="C63" i="68"/>
  <c r="E63" i="68" s="1"/>
  <c r="C64" i="68"/>
  <c r="E64" i="68" s="1"/>
  <c r="C65" i="68"/>
  <c r="E65" i="68" s="1"/>
  <c r="C66" i="68"/>
  <c r="E66" i="68" s="1"/>
  <c r="C67" i="68"/>
  <c r="E67" i="68" s="1"/>
  <c r="C68" i="68"/>
  <c r="E68" i="68" s="1"/>
  <c r="C69" i="68"/>
  <c r="E69" i="68" s="1"/>
  <c r="C70" i="68"/>
  <c r="E70" i="68" s="1"/>
  <c r="C71" i="68"/>
  <c r="E71" i="68" s="1"/>
  <c r="C72" i="68"/>
  <c r="E72" i="68" s="1"/>
  <c r="C73" i="68"/>
  <c r="E73" i="68" s="1"/>
  <c r="C53" i="68"/>
  <c r="E53" i="68"/>
  <c r="C54" i="68"/>
  <c r="E54" i="68"/>
  <c r="C55" i="68"/>
  <c r="E55" i="68"/>
  <c r="C56" i="68"/>
  <c r="E56" i="68"/>
  <c r="C57" i="68"/>
  <c r="E57" i="68"/>
  <c r="C58" i="68"/>
  <c r="E58" i="68"/>
  <c r="C59" i="68"/>
  <c r="E59" i="68"/>
  <c r="C60" i="68"/>
  <c r="E60" i="68"/>
  <c r="D6" i="68"/>
  <c r="J22" i="43"/>
  <c r="M22" i="43"/>
  <c r="J25" i="43"/>
  <c r="M25" i="43"/>
  <c r="J28" i="43"/>
  <c r="M28" i="43"/>
  <c r="H106" i="47"/>
  <c r="H111" i="47"/>
  <c r="H110" i="47"/>
  <c r="H109" i="47"/>
  <c r="H108" i="47"/>
  <c r="H107" i="47"/>
  <c r="S15" i="47"/>
  <c r="P15" i="47"/>
  <c r="R15" i="47"/>
  <c r="Q15" i="47"/>
  <c r="H254" i="3"/>
  <c r="H267" i="3"/>
  <c r="H277" i="3"/>
  <c r="H283" i="3"/>
  <c r="H292" i="3"/>
  <c r="T254" i="3"/>
  <c r="T277" i="3"/>
  <c r="M254" i="3"/>
  <c r="M277" i="3"/>
  <c r="M283" i="3"/>
  <c r="M292" i="3"/>
  <c r="Y254" i="3"/>
  <c r="Y277" i="3"/>
  <c r="H188" i="3"/>
  <c r="H201" i="3"/>
  <c r="H211" i="3"/>
  <c r="H217" i="3"/>
  <c r="H226" i="3"/>
  <c r="T188" i="3"/>
  <c r="T201" i="3"/>
  <c r="T211" i="3"/>
  <c r="T217" i="3"/>
  <c r="T226" i="3"/>
  <c r="M327" i="3"/>
  <c r="Q237" i="46" s="1"/>
  <c r="M188" i="3"/>
  <c r="M201" i="3"/>
  <c r="M211" i="3"/>
  <c r="M217" i="3"/>
  <c r="M226" i="3"/>
  <c r="Y188" i="3"/>
  <c r="Y201" i="3"/>
  <c r="Y211" i="3"/>
  <c r="Y217" i="3"/>
  <c r="Y226" i="3"/>
  <c r="H125" i="3"/>
  <c r="H137" i="3"/>
  <c r="H146" i="3"/>
  <c r="H152" i="3"/>
  <c r="H161" i="3"/>
  <c r="T125" i="3"/>
  <c r="T137" i="3"/>
  <c r="T146" i="3"/>
  <c r="T152" i="3"/>
  <c r="T161" i="3"/>
  <c r="M125" i="3"/>
  <c r="M137" i="3"/>
  <c r="M146" i="3"/>
  <c r="M152" i="3"/>
  <c r="M161" i="3"/>
  <c r="Y125" i="3"/>
  <c r="Y137" i="3"/>
  <c r="Y146" i="3"/>
  <c r="Y152" i="3"/>
  <c r="Y161" i="3"/>
  <c r="H66" i="3"/>
  <c r="T66" i="3"/>
  <c r="I318" i="3" s="1"/>
  <c r="T77" i="3"/>
  <c r="T86" i="3"/>
  <c r="T91" i="3"/>
  <c r="N318" i="3"/>
  <c r="M66" i="3"/>
  <c r="Y66" i="3"/>
  <c r="Y77" i="3"/>
  <c r="L318" i="3" s="1"/>
  <c r="Y86" i="3"/>
  <c r="Y91" i="3"/>
  <c r="M24" i="44"/>
  <c r="N311" i="3" s="1"/>
  <c r="L24" i="44"/>
  <c r="M311" i="3"/>
  <c r="K24" i="44"/>
  <c r="L311" i="3" s="1"/>
  <c r="S313" i="46"/>
  <c r="S312" i="46"/>
  <c r="J307" i="46"/>
  <c r="K307" i="46"/>
  <c r="L307" i="46"/>
  <c r="M307" i="46"/>
  <c r="N307" i="46"/>
  <c r="O307" i="46"/>
  <c r="Q307" i="46"/>
  <c r="R307" i="46"/>
  <c r="H308" i="46"/>
  <c r="I308" i="46"/>
  <c r="P308" i="46"/>
  <c r="H309" i="46"/>
  <c r="I309" i="46"/>
  <c r="J309" i="46"/>
  <c r="L309" i="46"/>
  <c r="M309" i="46"/>
  <c r="O309" i="46"/>
  <c r="P309" i="46"/>
  <c r="Q309" i="46"/>
  <c r="J306" i="46"/>
  <c r="K306" i="46"/>
  <c r="L306" i="46"/>
  <c r="M306" i="46"/>
  <c r="N306" i="46"/>
  <c r="O306" i="46"/>
  <c r="Q306" i="46"/>
  <c r="R306" i="46"/>
  <c r="H226" i="46"/>
  <c r="J226" i="46"/>
  <c r="K226" i="46"/>
  <c r="L226" i="46"/>
  <c r="M226" i="46"/>
  <c r="N226" i="46"/>
  <c r="O226" i="46"/>
  <c r="Q226" i="46"/>
  <c r="R226" i="46"/>
  <c r="H227" i="46"/>
  <c r="I227" i="46"/>
  <c r="P227" i="46"/>
  <c r="H228" i="46"/>
  <c r="I228" i="46"/>
  <c r="J228" i="46"/>
  <c r="L228" i="46"/>
  <c r="N228" i="46"/>
  <c r="O228" i="46"/>
  <c r="P228" i="46"/>
  <c r="R228" i="46"/>
  <c r="J225" i="46"/>
  <c r="K225" i="46"/>
  <c r="L225" i="46"/>
  <c r="M225" i="46"/>
  <c r="N225" i="46"/>
  <c r="Q241" i="46" s="1"/>
  <c r="O225" i="46"/>
  <c r="Q225" i="46"/>
  <c r="R225" i="46"/>
  <c r="I146" i="46"/>
  <c r="J146" i="46"/>
  <c r="K146" i="46"/>
  <c r="L146" i="46"/>
  <c r="M146" i="46"/>
  <c r="N146" i="46"/>
  <c r="O146" i="46"/>
  <c r="P146" i="46"/>
  <c r="Q146" i="46"/>
  <c r="H147" i="46"/>
  <c r="I147" i="46"/>
  <c r="P147" i="46"/>
  <c r="H148" i="46"/>
  <c r="I148" i="46"/>
  <c r="J148" i="46"/>
  <c r="L148" i="46"/>
  <c r="M148" i="46"/>
  <c r="N148" i="46"/>
  <c r="O148" i="46"/>
  <c r="P148" i="46"/>
  <c r="Q148" i="46"/>
  <c r="J145" i="46"/>
  <c r="K145" i="46"/>
  <c r="L145" i="46"/>
  <c r="M145" i="46"/>
  <c r="N145" i="46"/>
  <c r="O145" i="46"/>
  <c r="Q145" i="46"/>
  <c r="H68" i="46"/>
  <c r="I68" i="46"/>
  <c r="S68" i="46" s="1"/>
  <c r="J68" i="46"/>
  <c r="K68" i="46"/>
  <c r="L68" i="46"/>
  <c r="M68" i="46"/>
  <c r="N68" i="46"/>
  <c r="O68" i="46"/>
  <c r="P68" i="46"/>
  <c r="Q68" i="46"/>
  <c r="R68" i="46"/>
  <c r="H69" i="46"/>
  <c r="I69" i="46"/>
  <c r="S69" i="46" s="1"/>
  <c r="P69" i="46"/>
  <c r="H70" i="46"/>
  <c r="I70" i="46"/>
  <c r="S70" i="46" s="1"/>
  <c r="J70" i="46"/>
  <c r="K70" i="46"/>
  <c r="L70" i="46"/>
  <c r="M70" i="46"/>
  <c r="N70" i="46"/>
  <c r="O70" i="46"/>
  <c r="P70" i="46"/>
  <c r="Q70" i="46"/>
  <c r="R70" i="46"/>
  <c r="J67" i="46"/>
  <c r="K67" i="46"/>
  <c r="S67" i="46" s="1"/>
  <c r="L67" i="46"/>
  <c r="M67" i="46"/>
  <c r="N67" i="46"/>
  <c r="O67" i="46"/>
  <c r="Q67" i="46"/>
  <c r="R67" i="46"/>
  <c r="S118" i="54"/>
  <c r="S119" i="54"/>
  <c r="P113" i="54"/>
  <c r="L114" i="54"/>
  <c r="N114" i="54"/>
  <c r="O114" i="54"/>
  <c r="P114" i="54"/>
  <c r="J112" i="54"/>
  <c r="K112" i="54"/>
  <c r="L112" i="54"/>
  <c r="M112" i="54"/>
  <c r="N112" i="54"/>
  <c r="O112" i="54"/>
  <c r="Q112" i="54"/>
  <c r="R112" i="54"/>
  <c r="J114" i="54"/>
  <c r="R20" i="46"/>
  <c r="R88" i="46"/>
  <c r="R167" i="46" s="1"/>
  <c r="R247" i="46" s="1"/>
  <c r="R16" i="54" s="1"/>
  <c r="Q20" i="46"/>
  <c r="Q88" i="46" s="1"/>
  <c r="Q167" i="46" s="1"/>
  <c r="Q247" i="46" s="1"/>
  <c r="Q16" i="54" s="1"/>
  <c r="P20" i="46"/>
  <c r="P88" i="46"/>
  <c r="P167" i="46" s="1"/>
  <c r="P247" i="46" s="1"/>
  <c r="P16" i="54" s="1"/>
  <c r="R150" i="46"/>
  <c r="R151" i="46" s="1"/>
  <c r="Q150" i="46"/>
  <c r="P150" i="46"/>
  <c r="O150" i="46"/>
  <c r="O151" i="46" s="1"/>
  <c r="M77" i="46"/>
  <c r="N77" i="46"/>
  <c r="O77" i="46"/>
  <c r="Q77" i="46"/>
  <c r="R77" i="46"/>
  <c r="R72" i="46"/>
  <c r="R73" i="46" s="1"/>
  <c r="M23" i="43" s="1"/>
  <c r="Q72" i="46"/>
  <c r="Q73" i="46" s="1"/>
  <c r="L23" i="43" s="1"/>
  <c r="P72" i="46"/>
  <c r="P73" i="46" s="1"/>
  <c r="K23" i="43" s="1"/>
  <c r="O72" i="46"/>
  <c r="O73" i="46" s="1"/>
  <c r="J23" i="43" s="1"/>
  <c r="R236" i="46"/>
  <c r="Q236" i="46"/>
  <c r="R235" i="46"/>
  <c r="Q156" i="46"/>
  <c r="P156" i="46"/>
  <c r="R155" i="46"/>
  <c r="P155" i="46"/>
  <c r="Q154" i="46"/>
  <c r="P154" i="46"/>
  <c r="R76" i="46"/>
  <c r="Q76" i="46"/>
  <c r="R75" i="46"/>
  <c r="Q75" i="46"/>
  <c r="P75" i="46"/>
  <c r="R74" i="46"/>
  <c r="Q74" i="46"/>
  <c r="D23" i="67"/>
  <c r="B40" i="67" s="1"/>
  <c r="E40" i="67" s="1"/>
  <c r="D32" i="67"/>
  <c r="B49" i="67"/>
  <c r="E49" i="67" s="1"/>
  <c r="D49" i="67"/>
  <c r="D22" i="67"/>
  <c r="B39" i="67" s="1"/>
  <c r="E39" i="67" s="1"/>
  <c r="I39" i="67" s="1"/>
  <c r="H37" i="45" s="1"/>
  <c r="D31" i="67"/>
  <c r="B48" i="67"/>
  <c r="D48" i="67"/>
  <c r="E48" i="67"/>
  <c r="D21" i="67"/>
  <c r="B38" i="67"/>
  <c r="E38" i="67" s="1"/>
  <c r="D6" i="67"/>
  <c r="B23" i="67" s="1"/>
  <c r="E23" i="67" s="1"/>
  <c r="I23" i="67" s="1"/>
  <c r="G38" i="45" s="1"/>
  <c r="D15" i="67"/>
  <c r="B32" i="67"/>
  <c r="E32" i="67" s="1"/>
  <c r="D5" i="67"/>
  <c r="B22" i="67"/>
  <c r="E22" i="67" s="1"/>
  <c r="D14" i="67"/>
  <c r="B31" i="67" s="1"/>
  <c r="E31" i="67" s="1"/>
  <c r="D4" i="67"/>
  <c r="B21" i="67"/>
  <c r="E21" i="67" s="1"/>
  <c r="K46" i="45"/>
  <c r="J46" i="45"/>
  <c r="C46" i="45"/>
  <c r="B46" i="45"/>
  <c r="K45" i="45"/>
  <c r="J45" i="45"/>
  <c r="C45" i="45"/>
  <c r="B45" i="45"/>
  <c r="K44" i="45"/>
  <c r="J44" i="45"/>
  <c r="C44" i="45"/>
  <c r="B44" i="45"/>
  <c r="B67" i="67"/>
  <c r="E67" i="67" s="1"/>
  <c r="B66" i="67"/>
  <c r="E66" i="67" s="1"/>
  <c r="B65" i="67"/>
  <c r="E65" i="67" s="1"/>
  <c r="B64" i="67"/>
  <c r="E64" i="67" s="1"/>
  <c r="B63" i="67"/>
  <c r="E63" i="67" s="1"/>
  <c r="B62" i="67"/>
  <c r="E62" i="67" s="1"/>
  <c r="B58" i="67"/>
  <c r="E58" i="67" s="1"/>
  <c r="B57" i="67"/>
  <c r="E57" i="67" s="1"/>
  <c r="B56" i="67"/>
  <c r="E56" i="67" s="1"/>
  <c r="B55" i="67"/>
  <c r="E55" i="67" s="1"/>
  <c r="B54" i="67"/>
  <c r="E54" i="67" s="1"/>
  <c r="B53" i="67"/>
  <c r="E53" i="67" s="1"/>
  <c r="D30" i="67"/>
  <c r="B47" i="67" s="1"/>
  <c r="E47" i="67" s="1"/>
  <c r="D29" i="67"/>
  <c r="B46" i="67"/>
  <c r="D46" i="67"/>
  <c r="E46" i="67"/>
  <c r="D28" i="67"/>
  <c r="B45" i="67"/>
  <c r="D45" i="67"/>
  <c r="E45" i="67"/>
  <c r="D25" i="67"/>
  <c r="B42" i="67"/>
  <c r="E42" i="67" s="1"/>
  <c r="D24" i="67"/>
  <c r="B41" i="67" s="1"/>
  <c r="E41" i="67" s="1"/>
  <c r="D13" i="67"/>
  <c r="B30" i="67"/>
  <c r="E30" i="67" s="1"/>
  <c r="D12" i="67"/>
  <c r="E12" i="67" s="1"/>
  <c r="D11" i="67"/>
  <c r="B28" i="67"/>
  <c r="E28" i="67" s="1"/>
  <c r="D8" i="67"/>
  <c r="B25" i="67" s="1"/>
  <c r="E25" i="67" s="1"/>
  <c r="D7" i="67"/>
  <c r="B24" i="67"/>
  <c r="E24" i="67" s="1"/>
  <c r="E15" i="67"/>
  <c r="E14" i="67"/>
  <c r="E13" i="67"/>
  <c r="E11" i="67"/>
  <c r="E7" i="67"/>
  <c r="E6" i="67"/>
  <c r="E5" i="67"/>
  <c r="E4" i="67"/>
  <c r="J37" i="45"/>
  <c r="D138" i="44" s="1"/>
  <c r="J38" i="45"/>
  <c r="E138" i="44" s="1"/>
  <c r="J39" i="45"/>
  <c r="F138" i="44" s="1"/>
  <c r="J40" i="45"/>
  <c r="G138" i="44" s="1"/>
  <c r="H138" i="44"/>
  <c r="N133" i="44"/>
  <c r="H72" i="46"/>
  <c r="H73" i="46" s="1"/>
  <c r="C23" i="43" s="1"/>
  <c r="I72" i="46"/>
  <c r="I73" i="46" s="1"/>
  <c r="D23" i="43" s="1"/>
  <c r="J72" i="46"/>
  <c r="J73" i="46" s="1"/>
  <c r="E23" i="43" s="1"/>
  <c r="K72" i="46"/>
  <c r="K73" i="46" s="1"/>
  <c r="F23" i="43" s="1"/>
  <c r="L72" i="46"/>
  <c r="L73" i="46" s="1"/>
  <c r="G23" i="43" s="1"/>
  <c r="M72" i="46"/>
  <c r="M73" i="46" s="1"/>
  <c r="H23" i="43" s="1"/>
  <c r="N72" i="46"/>
  <c r="N73" i="46" s="1"/>
  <c r="I23" i="43" s="1"/>
  <c r="H150" i="46"/>
  <c r="I150" i="46"/>
  <c r="J150" i="46"/>
  <c r="K150" i="46"/>
  <c r="K151" i="46" s="1"/>
  <c r="L150" i="46"/>
  <c r="M150" i="46"/>
  <c r="N150" i="46"/>
  <c r="L32" i="44"/>
  <c r="L139" i="44"/>
  <c r="K32" i="44"/>
  <c r="K139" i="44"/>
  <c r="M131" i="44"/>
  <c r="L131" i="44"/>
  <c r="K131" i="44"/>
  <c r="K121" i="44"/>
  <c r="M75" i="44"/>
  <c r="M88" i="44"/>
  <c r="M101" i="44" s="1"/>
  <c r="M114" i="44" s="1"/>
  <c r="L36" i="44"/>
  <c r="L49" i="44"/>
  <c r="L62" i="44" s="1"/>
  <c r="L75" i="44" s="1"/>
  <c r="L88" i="44" s="1"/>
  <c r="L101" i="44" s="1"/>
  <c r="L114" i="44" s="1"/>
  <c r="K36" i="44"/>
  <c r="K49" i="44" s="1"/>
  <c r="K62" i="44" s="1"/>
  <c r="K75" i="44" s="1"/>
  <c r="K88" i="44" s="1"/>
  <c r="K101" i="44" s="1"/>
  <c r="K114" i="44" s="1"/>
  <c r="K108" i="44"/>
  <c r="K95" i="44"/>
  <c r="L82" i="44"/>
  <c r="K82" i="44"/>
  <c r="L69" i="44"/>
  <c r="L65" i="44"/>
  <c r="L66" i="44" s="1"/>
  <c r="K69" i="44"/>
  <c r="L56" i="44"/>
  <c r="K56" i="44"/>
  <c r="L43" i="44"/>
  <c r="N38" i="44"/>
  <c r="L39" i="44" s="1"/>
  <c r="L40" i="44" s="1"/>
  <c r="K43" i="44"/>
  <c r="M32" i="44"/>
  <c r="H11" i="43"/>
  <c r="F318" i="3"/>
  <c r="C43" i="45"/>
  <c r="D24" i="44"/>
  <c r="E24" i="44"/>
  <c r="E36" i="44" s="1"/>
  <c r="E49" i="44" s="1"/>
  <c r="E62" i="44" s="1"/>
  <c r="E75" i="44" s="1"/>
  <c r="E88" i="44" s="1"/>
  <c r="E101" i="44" s="1"/>
  <c r="E114" i="44" s="1"/>
  <c r="F24" i="44"/>
  <c r="G311" i="3" s="1"/>
  <c r="G24" i="44"/>
  <c r="H24" i="44"/>
  <c r="I24" i="44"/>
  <c r="I36" i="44" s="1"/>
  <c r="I49" i="44" s="1"/>
  <c r="I62" i="44" s="1"/>
  <c r="I75" i="44" s="1"/>
  <c r="I88" i="44" s="1"/>
  <c r="I101" i="44" s="1"/>
  <c r="I114" i="44" s="1"/>
  <c r="J24" i="44"/>
  <c r="K311" i="3" s="1"/>
  <c r="F19" i="45"/>
  <c r="E19" i="45"/>
  <c r="K323" i="3"/>
  <c r="J323" i="3"/>
  <c r="I323" i="3"/>
  <c r="H323" i="3"/>
  <c r="L157" i="46" s="1"/>
  <c r="G323" i="3"/>
  <c r="F323" i="3"/>
  <c r="E323" i="3"/>
  <c r="D323" i="3"/>
  <c r="H157" i="46" s="1"/>
  <c r="K318" i="3"/>
  <c r="J318" i="3"/>
  <c r="H318" i="3"/>
  <c r="G318" i="3"/>
  <c r="E318" i="3"/>
  <c r="D318" i="3"/>
  <c r="O157" i="46"/>
  <c r="N157" i="46"/>
  <c r="M157" i="46"/>
  <c r="O156" i="46"/>
  <c r="N156" i="46"/>
  <c r="M156" i="46"/>
  <c r="L156" i="46"/>
  <c r="K157" i="46"/>
  <c r="J157" i="46"/>
  <c r="I157" i="46"/>
  <c r="K156" i="46"/>
  <c r="J156" i="46"/>
  <c r="I156" i="46"/>
  <c r="K77" i="46"/>
  <c r="J77" i="46"/>
  <c r="H77" i="46"/>
  <c r="B43" i="45"/>
  <c r="I20" i="46"/>
  <c r="I88" i="46"/>
  <c r="I167" i="46" s="1"/>
  <c r="I247" i="46" s="1"/>
  <c r="I16" i="54" s="1"/>
  <c r="J20" i="46"/>
  <c r="J88" i="46" s="1"/>
  <c r="J167" i="46" s="1"/>
  <c r="J247" i="46" s="1"/>
  <c r="J16" i="54" s="1"/>
  <c r="K20" i="46"/>
  <c r="K88" i="46"/>
  <c r="K167" i="46"/>
  <c r="K247" i="46"/>
  <c r="K16" i="54" s="1"/>
  <c r="L20" i="46"/>
  <c r="L88" i="46"/>
  <c r="L167" i="46"/>
  <c r="L247" i="46" s="1"/>
  <c r="L16" i="54" s="1"/>
  <c r="M20" i="46"/>
  <c r="M88" i="46"/>
  <c r="M167" i="46" s="1"/>
  <c r="M247" i="46" s="1"/>
  <c r="M16" i="54" s="1"/>
  <c r="N20" i="46"/>
  <c r="N88" i="46" s="1"/>
  <c r="N167" i="46" s="1"/>
  <c r="N247" i="46" s="1"/>
  <c r="N16" i="54" s="1"/>
  <c r="O20" i="46"/>
  <c r="O88" i="46"/>
  <c r="O167" i="46"/>
  <c r="O247" i="46"/>
  <c r="O16" i="54" s="1"/>
  <c r="H20" i="46"/>
  <c r="H88" i="46"/>
  <c r="H167" i="46"/>
  <c r="H247" i="46" s="1"/>
  <c r="H16" i="54" s="1"/>
  <c r="E20" i="44"/>
  <c r="E19" i="44"/>
  <c r="E18" i="44"/>
  <c r="E17" i="44"/>
  <c r="E16" i="44"/>
  <c r="E15" i="44"/>
  <c r="E14" i="44"/>
  <c r="K37" i="45"/>
  <c r="K38" i="45"/>
  <c r="K39" i="45"/>
  <c r="K40" i="45"/>
  <c r="K43" i="45"/>
  <c r="K36" i="45"/>
  <c r="C32" i="44"/>
  <c r="D32" i="44"/>
  <c r="E32" i="44"/>
  <c r="F32" i="44"/>
  <c r="G32" i="44"/>
  <c r="H32" i="44"/>
  <c r="I32" i="44"/>
  <c r="J32" i="44"/>
  <c r="C39" i="44"/>
  <c r="C40" i="44" s="1"/>
  <c r="X283" i="3"/>
  <c r="X292" i="3"/>
  <c r="S283" i="3"/>
  <c r="S301" i="3" s="1"/>
  <c r="S292" i="3"/>
  <c r="Y283" i="3"/>
  <c r="Y292" i="3"/>
  <c r="K330" i="3"/>
  <c r="O318" i="46" s="1"/>
  <c r="T283" i="3"/>
  <c r="M330" i="3" s="1"/>
  <c r="Q318" i="46" s="1"/>
  <c r="T292" i="3"/>
  <c r="J330" i="3"/>
  <c r="N318" i="46" s="1"/>
  <c r="I330" i="3"/>
  <c r="M318" i="46" s="1"/>
  <c r="H330" i="3"/>
  <c r="L318" i="46" s="1"/>
  <c r="G330" i="3"/>
  <c r="K318" i="46" s="1"/>
  <c r="F330" i="3"/>
  <c r="J318" i="46" s="1"/>
  <c r="E330" i="3"/>
  <c r="I318" i="46" s="1"/>
  <c r="D330" i="3"/>
  <c r="H318" i="46"/>
  <c r="O76" i="46"/>
  <c r="N76" i="46"/>
  <c r="M76" i="46"/>
  <c r="L76" i="46"/>
  <c r="K76" i="46"/>
  <c r="J76" i="46"/>
  <c r="O75" i="46"/>
  <c r="N75" i="46"/>
  <c r="M75" i="46"/>
  <c r="L75" i="46"/>
  <c r="K75" i="46"/>
  <c r="J75" i="46"/>
  <c r="I75" i="46"/>
  <c r="O74" i="46"/>
  <c r="N74" i="46"/>
  <c r="M74" i="46"/>
  <c r="K74" i="46"/>
  <c r="J74" i="46"/>
  <c r="K327" i="3"/>
  <c r="J327" i="3"/>
  <c r="I327" i="3"/>
  <c r="H327" i="3"/>
  <c r="G327" i="3"/>
  <c r="F327" i="3"/>
  <c r="E327" i="3"/>
  <c r="O237" i="46"/>
  <c r="N237" i="46"/>
  <c r="M237" i="46"/>
  <c r="L237" i="46"/>
  <c r="K237" i="46"/>
  <c r="J237" i="46"/>
  <c r="I237" i="46"/>
  <c r="N236" i="46"/>
  <c r="M236" i="46"/>
  <c r="K236" i="46"/>
  <c r="J236" i="46"/>
  <c r="I236" i="46"/>
  <c r="M235" i="46"/>
  <c r="N155" i="46"/>
  <c r="M155" i="46"/>
  <c r="L155" i="46"/>
  <c r="K155" i="46"/>
  <c r="J155" i="46"/>
  <c r="O154" i="46"/>
  <c r="M154" i="46"/>
  <c r="K154" i="46"/>
  <c r="I154" i="46"/>
  <c r="H154" i="46"/>
  <c r="Y100" i="3"/>
  <c r="Y103" i="3" s="1"/>
  <c r="X100" i="3"/>
  <c r="X103" i="3" s="1"/>
  <c r="W100" i="3"/>
  <c r="W103" i="3" s="1"/>
  <c r="V100" i="3"/>
  <c r="V103" i="3" s="1"/>
  <c r="U100" i="3"/>
  <c r="U103" i="3" s="1"/>
  <c r="T100" i="3"/>
  <c r="S100" i="3"/>
  <c r="S103" i="3" s="1"/>
  <c r="R100" i="3"/>
  <c r="R103" i="3" s="1"/>
  <c r="Q100" i="3"/>
  <c r="Q103" i="3" s="1"/>
  <c r="P100" i="3"/>
  <c r="P103" i="3" s="1"/>
  <c r="M299" i="3"/>
  <c r="M301" i="3" s="1"/>
  <c r="L299" i="3"/>
  <c r="H299" i="3"/>
  <c r="H301" i="3" s="1"/>
  <c r="G299" i="3"/>
  <c r="G301" i="3" s="1"/>
  <c r="H232" i="3"/>
  <c r="G232" i="3"/>
  <c r="G234" i="3" s="1"/>
  <c r="F232" i="3"/>
  <c r="F234" i="3" s="1"/>
  <c r="L234" i="3"/>
  <c r="K234" i="3"/>
  <c r="H234" i="3"/>
  <c r="M168" i="3"/>
  <c r="M170" i="3"/>
  <c r="L168" i="3"/>
  <c r="L170" i="3"/>
  <c r="K168" i="3"/>
  <c r="K161" i="3"/>
  <c r="K170" i="3" s="1"/>
  <c r="J168" i="3"/>
  <c r="J161" i="3"/>
  <c r="J170" i="3"/>
  <c r="H168" i="3"/>
  <c r="H170" i="3"/>
  <c r="G168" i="3"/>
  <c r="G170" i="3"/>
  <c r="F168" i="3"/>
  <c r="F161" i="3"/>
  <c r="F170" i="3" s="1"/>
  <c r="E161" i="3"/>
  <c r="E170" i="3" s="1"/>
  <c r="E168" i="3"/>
  <c r="O74" i="3"/>
  <c r="Y168" i="3"/>
  <c r="Y170" i="3" s="1"/>
  <c r="T168" i="3"/>
  <c r="T170" i="3" s="1"/>
  <c r="X168" i="3"/>
  <c r="X170" i="3" s="1"/>
  <c r="S168" i="3"/>
  <c r="S170" i="3" s="1"/>
  <c r="W161" i="3"/>
  <c r="W170" i="3" s="1"/>
  <c r="W168" i="3"/>
  <c r="R161" i="3"/>
  <c r="R170" i="3" s="1"/>
  <c r="R168" i="3"/>
  <c r="V161" i="3"/>
  <c r="V168" i="3"/>
  <c r="V170" i="3"/>
  <c r="J311" i="3"/>
  <c r="I311" i="3"/>
  <c r="H311" i="3"/>
  <c r="F311" i="3"/>
  <c r="E311" i="3"/>
  <c r="C24" i="44"/>
  <c r="D311" i="3" s="1"/>
  <c r="Y299" i="3"/>
  <c r="Y301" i="3" s="1"/>
  <c r="T299" i="3"/>
  <c r="X299" i="3"/>
  <c r="X301" i="3" s="1"/>
  <c r="S299" i="3"/>
  <c r="Y232" i="3"/>
  <c r="Y234" i="3" s="1"/>
  <c r="T232" i="3"/>
  <c r="T234" i="3" s="1"/>
  <c r="X232" i="3"/>
  <c r="X234" i="3" s="1"/>
  <c r="S232" i="3"/>
  <c r="S234" i="3" s="1"/>
  <c r="W232" i="3"/>
  <c r="W234" i="3" s="1"/>
  <c r="R232" i="3"/>
  <c r="R234" i="3" s="1"/>
  <c r="Q161" i="3"/>
  <c r="Q168" i="3"/>
  <c r="Q170" i="3"/>
  <c r="N64" i="44"/>
  <c r="K65" i="44" s="1"/>
  <c r="K66" i="44" s="1"/>
  <c r="H65" i="44"/>
  <c r="H66" i="44" s="1"/>
  <c r="H70" i="44" s="1"/>
  <c r="G65" i="44"/>
  <c r="G66" i="44"/>
  <c r="G70" i="44" s="1"/>
  <c r="F65" i="44"/>
  <c r="F66" i="44" s="1"/>
  <c r="F70" i="44" s="1"/>
  <c r="E65" i="44"/>
  <c r="E66" i="44"/>
  <c r="E70" i="44" s="1"/>
  <c r="D65" i="44"/>
  <c r="D66" i="44" s="1"/>
  <c r="D67" i="44" s="1"/>
  <c r="C65" i="44"/>
  <c r="C66" i="44" s="1"/>
  <c r="N66" i="44" s="1"/>
  <c r="I65" i="44"/>
  <c r="I66" i="44" s="1"/>
  <c r="I70" i="44" s="1"/>
  <c r="I71" i="44" s="1"/>
  <c r="I69" i="44"/>
  <c r="N116" i="44"/>
  <c r="K117" i="44" s="1"/>
  <c r="K118" i="44" s="1"/>
  <c r="H117" i="44"/>
  <c r="H118" i="44" s="1"/>
  <c r="H122" i="44" s="1"/>
  <c r="G117" i="44"/>
  <c r="G118" i="44"/>
  <c r="G122" i="44" s="1"/>
  <c r="F117" i="44"/>
  <c r="F118" i="44" s="1"/>
  <c r="F122" i="44" s="1"/>
  <c r="F123" i="44" s="1"/>
  <c r="D117" i="44"/>
  <c r="D118" i="44" s="1"/>
  <c r="D119" i="44" s="1"/>
  <c r="N103" i="44"/>
  <c r="H104" i="44" s="1"/>
  <c r="H105" i="44" s="1"/>
  <c r="H109" i="44" s="1"/>
  <c r="H110" i="44" s="1"/>
  <c r="G104" i="44"/>
  <c r="G105" i="44" s="1"/>
  <c r="G109" i="44" s="1"/>
  <c r="N90" i="44"/>
  <c r="K91" i="44" s="1"/>
  <c r="K92" i="44" s="1"/>
  <c r="H91" i="44"/>
  <c r="H92" i="44" s="1"/>
  <c r="H96" i="44" s="1"/>
  <c r="G91" i="44"/>
  <c r="G92" i="44"/>
  <c r="G96" i="44" s="1"/>
  <c r="D91" i="44"/>
  <c r="D92" i="44"/>
  <c r="N77" i="44"/>
  <c r="K78" i="44" s="1"/>
  <c r="K79" i="44" s="1"/>
  <c r="H78" i="44"/>
  <c r="H79" i="44" s="1"/>
  <c r="H83" i="44" s="1"/>
  <c r="D78" i="44"/>
  <c r="D79" i="44" s="1"/>
  <c r="N51" i="44"/>
  <c r="K52" i="44" s="1"/>
  <c r="K53" i="44" s="1"/>
  <c r="H52" i="44"/>
  <c r="H53" i="44" s="1"/>
  <c r="H57" i="44" s="1"/>
  <c r="F52" i="44"/>
  <c r="F53" i="44" s="1"/>
  <c r="F57" i="44" s="1"/>
  <c r="E52" i="44"/>
  <c r="E53" i="44"/>
  <c r="E57" i="44" s="1"/>
  <c r="D52" i="44"/>
  <c r="D53" i="44"/>
  <c r="I39" i="44"/>
  <c r="I40" i="44" s="1"/>
  <c r="I44" i="44" s="1"/>
  <c r="I45" i="44" s="1"/>
  <c r="H39" i="44"/>
  <c r="H40" i="44"/>
  <c r="H44" i="44" s="1"/>
  <c r="G39" i="44"/>
  <c r="G40" i="44"/>
  <c r="G41" i="44" s="1"/>
  <c r="G44" i="44"/>
  <c r="E39" i="44"/>
  <c r="E40" i="44" s="1"/>
  <c r="E44" i="44" s="1"/>
  <c r="N44" i="44" s="1"/>
  <c r="D39" i="44"/>
  <c r="D40" i="44"/>
  <c r="D41" i="44" s="1"/>
  <c r="C104" i="44"/>
  <c r="N104" i="44" s="1"/>
  <c r="C105" i="44"/>
  <c r="N105" i="44" s="1"/>
  <c r="C78" i="44"/>
  <c r="C79" i="44"/>
  <c r="C80" i="44" s="1"/>
  <c r="N80" i="44" s="1"/>
  <c r="I82" i="44"/>
  <c r="I56" i="44"/>
  <c r="I43" i="44"/>
  <c r="J75" i="44"/>
  <c r="J88" i="44"/>
  <c r="J101" i="44"/>
  <c r="J114" i="44"/>
  <c r="H36" i="44"/>
  <c r="H49" i="44" s="1"/>
  <c r="H62" i="44" s="1"/>
  <c r="H75" i="44" s="1"/>
  <c r="H88" i="44" s="1"/>
  <c r="H101" i="44" s="1"/>
  <c r="H114" i="44" s="1"/>
  <c r="G36" i="44"/>
  <c r="G49" i="44"/>
  <c r="G62" i="44" s="1"/>
  <c r="G75" i="44" s="1"/>
  <c r="G88" i="44" s="1"/>
  <c r="G101" i="44" s="1"/>
  <c r="G114" i="44" s="1"/>
  <c r="F36" i="44"/>
  <c r="F49" i="44"/>
  <c r="F62" i="44"/>
  <c r="F75" i="44" s="1"/>
  <c r="F88" i="44" s="1"/>
  <c r="F101" i="44" s="1"/>
  <c r="F114" i="44" s="1"/>
  <c r="D36" i="44"/>
  <c r="D49" i="44" s="1"/>
  <c r="D62" i="44" s="1"/>
  <c r="D75" i="44" s="1"/>
  <c r="D88" i="44" s="1"/>
  <c r="D101" i="44" s="1"/>
  <c r="D114" i="44" s="1"/>
  <c r="C36" i="44"/>
  <c r="C49" i="44"/>
  <c r="C62" i="44" s="1"/>
  <c r="C75" i="44" s="1"/>
  <c r="C88" i="44" s="1"/>
  <c r="C101" i="44" s="1"/>
  <c r="C114" i="44" s="1"/>
  <c r="F110" i="44"/>
  <c r="G108" i="44"/>
  <c r="G110" i="44" s="1"/>
  <c r="H108" i="44"/>
  <c r="C42" i="45"/>
  <c r="B42" i="45"/>
  <c r="C41" i="45"/>
  <c r="B41" i="45"/>
  <c r="C40" i="45"/>
  <c r="B40" i="45"/>
  <c r="C39" i="45"/>
  <c r="B39" i="45"/>
  <c r="C38" i="45"/>
  <c r="B38" i="45"/>
  <c r="C37" i="45"/>
  <c r="B37" i="45"/>
  <c r="C36" i="45"/>
  <c r="B36" i="45"/>
  <c r="E121" i="44"/>
  <c r="E109" i="44"/>
  <c r="E110" i="44" s="1"/>
  <c r="E96" i="44"/>
  <c r="Y28" i="3"/>
  <c r="P322" i="46" s="1"/>
  <c r="M322" i="46"/>
  <c r="X28" i="3"/>
  <c r="L321" i="46" s="1"/>
  <c r="M28" i="3"/>
  <c r="Q322" i="46" s="1"/>
  <c r="N322" i="46"/>
  <c r="L28" i="3"/>
  <c r="N321" i="46" s="1"/>
  <c r="K28" i="3"/>
  <c r="Q320" i="46" s="1"/>
  <c r="N320" i="46"/>
  <c r="J28" i="3"/>
  <c r="N319" i="46" s="1"/>
  <c r="I28" i="3"/>
  <c r="H28" i="3"/>
  <c r="H27" i="3"/>
  <c r="G27" i="3"/>
  <c r="Y27" i="3"/>
  <c r="S27" i="3"/>
  <c r="L241" i="46"/>
  <c r="X27" i="3"/>
  <c r="L240" i="46"/>
  <c r="M27" i="3"/>
  <c r="H241" i="46" s="1"/>
  <c r="J27" i="3"/>
  <c r="Q238" i="46" s="1"/>
  <c r="H238" i="46"/>
  <c r="M26" i="3"/>
  <c r="K26" i="3"/>
  <c r="I26" i="3"/>
  <c r="X26" i="3"/>
  <c r="W26" i="3"/>
  <c r="U26" i="3"/>
  <c r="H26" i="3"/>
  <c r="G26" i="3"/>
  <c r="H25" i="3"/>
  <c r="G25" i="3"/>
  <c r="J25" i="3"/>
  <c r="I25" i="3"/>
  <c r="Y25" i="3"/>
  <c r="X25" i="3"/>
  <c r="W25" i="3"/>
  <c r="V25" i="3"/>
  <c r="T25" i="3"/>
  <c r="U25" i="3"/>
  <c r="M25" i="3"/>
  <c r="T27" i="3"/>
  <c r="U27" i="3"/>
  <c r="V27" i="3"/>
  <c r="L238" i="46"/>
  <c r="W27" i="3"/>
  <c r="L239" i="46"/>
  <c r="I27" i="3"/>
  <c r="K27" i="3"/>
  <c r="L27" i="3"/>
  <c r="Q240" i="46" s="1"/>
  <c r="N240" i="46"/>
  <c r="N241" i="46"/>
  <c r="L322" i="46"/>
  <c r="Y26" i="3"/>
  <c r="U28" i="3"/>
  <c r="V28" i="3"/>
  <c r="L319" i="46" s="1"/>
  <c r="W28" i="3"/>
  <c r="P320" i="46" s="1"/>
  <c r="M320" i="46"/>
  <c r="M321" i="46"/>
  <c r="T26" i="3"/>
  <c r="V26" i="3"/>
  <c r="T28" i="3"/>
  <c r="L26" i="3"/>
  <c r="J26" i="3"/>
  <c r="K25" i="3"/>
  <c r="L25" i="3"/>
  <c r="L320" i="46"/>
  <c r="H239" i="46"/>
  <c r="H240" i="46"/>
  <c r="N238" i="46"/>
  <c r="N239" i="46"/>
  <c r="V48" i="3"/>
  <c r="V44" i="3"/>
  <c r="U44" i="3"/>
  <c r="T44" i="3"/>
  <c r="S44" i="3"/>
  <c r="L127" i="54"/>
  <c r="L129" i="54"/>
  <c r="L126" i="54"/>
  <c r="F25" i="3"/>
  <c r="E25" i="3"/>
  <c r="J321" i="46"/>
  <c r="J319" i="46"/>
  <c r="J322" i="46"/>
  <c r="S25" i="3"/>
  <c r="V47" i="3"/>
  <c r="V46" i="3"/>
  <c r="V45" i="3"/>
  <c r="I44" i="3"/>
  <c r="N129" i="54" s="1"/>
  <c r="N121" i="61" s="1"/>
  <c r="N127" i="61" s="1"/>
  <c r="F44" i="3"/>
  <c r="S26" i="3"/>
  <c r="R26" i="3"/>
  <c r="R25" i="3"/>
  <c r="F26" i="3"/>
  <c r="I129" i="54"/>
  <c r="N126" i="54"/>
  <c r="I126" i="54"/>
  <c r="J241" i="46"/>
  <c r="J239" i="46"/>
  <c r="J240" i="46"/>
  <c r="J238" i="46"/>
  <c r="H126" i="54"/>
  <c r="S112" i="54"/>
  <c r="J129" i="54"/>
  <c r="J127" i="54"/>
  <c r="J126" i="54"/>
  <c r="F104" i="44"/>
  <c r="F105" i="44" s="1"/>
  <c r="F106" i="44" s="1"/>
  <c r="E104" i="44"/>
  <c r="E105" i="44" s="1"/>
  <c r="E106" i="44" s="1"/>
  <c r="I104" i="44"/>
  <c r="I105" i="44"/>
  <c r="I106"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E91" i="44"/>
  <c r="E92" i="44" s="1"/>
  <c r="E93" i="44" s="1"/>
  <c r="F91" i="44"/>
  <c r="F92" i="44" s="1"/>
  <c r="I91" i="44"/>
  <c r="I92" i="44"/>
  <c r="E69"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8" i="57" s="1"/>
  <c r="H122" i="61" s="1"/>
  <c r="P122" i="61" s="1"/>
  <c r="H121" i="44"/>
  <c r="G121" i="44"/>
  <c r="G123" i="44" s="1"/>
  <c r="H95" i="44"/>
  <c r="G95" i="44"/>
  <c r="F43" i="44"/>
  <c r="G43" i="44"/>
  <c r="H43" i="44"/>
  <c r="E43" i="44"/>
  <c r="E56" i="44"/>
  <c r="I117" i="44"/>
  <c r="I118" i="44" s="1"/>
  <c r="I119" i="44" s="1"/>
  <c r="N95" i="44"/>
  <c r="F56" i="44"/>
  <c r="F58" i="44" s="1"/>
  <c r="H116" i="47"/>
  <c r="H117" i="47"/>
  <c r="H115" i="47"/>
  <c r="H113" i="47"/>
  <c r="H114" i="47"/>
  <c r="H112" i="47"/>
  <c r="H98" i="47"/>
  <c r="H99" i="47"/>
  <c r="H97" i="47"/>
  <c r="H95" i="47"/>
  <c r="H96" i="47"/>
  <c r="H94" i="47"/>
  <c r="H92" i="47"/>
  <c r="H93" i="47"/>
  <c r="H91" i="47"/>
  <c r="H32" i="47"/>
  <c r="H33" i="47"/>
  <c r="H31" i="47"/>
  <c r="H17" i="47"/>
  <c r="H18" i="47"/>
  <c r="H16" i="47"/>
  <c r="J116" i="59"/>
  <c r="T45" i="3"/>
  <c r="T46" i="3"/>
  <c r="J127" i="58" s="1"/>
  <c r="J123" i="59" s="1"/>
  <c r="J113" i="58"/>
  <c r="J114" i="58" s="1"/>
  <c r="Q25" i="3"/>
  <c r="E44" i="3"/>
  <c r="N127" i="59" s="1"/>
  <c r="I116" i="57"/>
  <c r="I111" i="57"/>
  <c r="J116" i="57"/>
  <c r="J122" i="57" s="1"/>
  <c r="R44" i="3"/>
  <c r="J112" i="57"/>
  <c r="K116" i="57"/>
  <c r="K112" i="57"/>
  <c r="K113" i="57" s="1"/>
  <c r="L116" i="57"/>
  <c r="L122" i="57"/>
  <c r="M116" i="57"/>
  <c r="N116" i="57"/>
  <c r="N122" i="57" s="1"/>
  <c r="H117" i="58"/>
  <c r="F45" i="3"/>
  <c r="N125" i="57"/>
  <c r="H112" i="58"/>
  <c r="I117" i="58"/>
  <c r="I112" i="58"/>
  <c r="J117" i="58"/>
  <c r="S45" i="3"/>
  <c r="K117" i="58"/>
  <c r="K113" i="58"/>
  <c r="P113" i="58"/>
  <c r="L117" i="58"/>
  <c r="M117" i="58"/>
  <c r="N117" i="58"/>
  <c r="N124" i="58"/>
  <c r="H116" i="59"/>
  <c r="H111" i="59"/>
  <c r="H127" i="59" s="1"/>
  <c r="H124" i="60" s="1"/>
  <c r="P124" i="60" s="1"/>
  <c r="G44" i="3"/>
  <c r="H127" i="54" s="1"/>
  <c r="H121" i="59" s="1"/>
  <c r="G45" i="3"/>
  <c r="G46" i="3"/>
  <c r="N127" i="58" s="1"/>
  <c r="N123" i="59" s="1"/>
  <c r="I116" i="59"/>
  <c r="I124" i="59" s="1"/>
  <c r="I111" i="59"/>
  <c r="J112" i="59"/>
  <c r="J113" i="59" s="1"/>
  <c r="J128" i="59" s="1"/>
  <c r="J124" i="61" s="1"/>
  <c r="K116" i="59"/>
  <c r="K112" i="59"/>
  <c r="L116" i="59"/>
  <c r="L123" i="59" s="1"/>
  <c r="M116" i="59"/>
  <c r="M124" i="59" s="1"/>
  <c r="N116" i="59"/>
  <c r="H116" i="60"/>
  <c r="H44" i="3"/>
  <c r="N128" i="54" s="1"/>
  <c r="N121" i="60" s="1"/>
  <c r="N126" i="60" s="1"/>
  <c r="H45" i="3"/>
  <c r="H46" i="3"/>
  <c r="H47" i="3"/>
  <c r="H111" i="60"/>
  <c r="H125" i="60" s="1"/>
  <c r="I116" i="60"/>
  <c r="I125" i="60" s="1"/>
  <c r="I111" i="60"/>
  <c r="J116" i="60"/>
  <c r="U45" i="3"/>
  <c r="U46" i="3"/>
  <c r="U47" i="3"/>
  <c r="K127" i="59" s="1"/>
  <c r="K124" i="60" s="1"/>
  <c r="J112" i="60"/>
  <c r="J128" i="60" s="1"/>
  <c r="J113" i="60"/>
  <c r="K116" i="60"/>
  <c r="K114" i="58"/>
  <c r="K112" i="60"/>
  <c r="K125" i="60" s="1"/>
  <c r="L116" i="60"/>
  <c r="L122" i="60" s="1"/>
  <c r="M116" i="60"/>
  <c r="N116" i="60"/>
  <c r="N125" i="60"/>
  <c r="H116" i="61"/>
  <c r="I45" i="3"/>
  <c r="I46" i="3"/>
  <c r="N129" i="58" s="1"/>
  <c r="I47" i="3"/>
  <c r="N128" i="59"/>
  <c r="N124" i="61" s="1"/>
  <c r="I48" i="3"/>
  <c r="I128" i="60" s="1"/>
  <c r="H111" i="61"/>
  <c r="I116" i="61"/>
  <c r="I111" i="61"/>
  <c r="P111" i="61" s="1"/>
  <c r="J116" i="61"/>
  <c r="L128" i="60"/>
  <c r="J112" i="61"/>
  <c r="J113" i="61"/>
  <c r="K116" i="61"/>
  <c r="K112" i="61"/>
  <c r="K113" i="61"/>
  <c r="L116" i="61"/>
  <c r="L123" i="61" s="1"/>
  <c r="M116"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H84" i="44" s="1"/>
  <c r="G82" i="44"/>
  <c r="F82" i="44"/>
  <c r="E82" i="44"/>
  <c r="H69" i="44"/>
  <c r="G69" i="44"/>
  <c r="G71" i="44" s="1"/>
  <c r="F69" i="44"/>
  <c r="T15" i="47"/>
  <c r="J15" i="47"/>
  <c r="K15" i="47"/>
  <c r="L15" i="47"/>
  <c r="M15" i="47"/>
  <c r="N15" i="47"/>
  <c r="O15" i="47"/>
  <c r="I15" i="47"/>
  <c r="S20" i="46"/>
  <c r="F131" i="44"/>
  <c r="I131" i="44"/>
  <c r="J131" i="44"/>
  <c r="L125" i="57"/>
  <c r="L123" i="58" s="1"/>
  <c r="L125" i="54"/>
  <c r="J125" i="54"/>
  <c r="J122" i="58" s="1"/>
  <c r="J125" i="58" s="1"/>
  <c r="I127" i="54"/>
  <c r="N127" i="54"/>
  <c r="N125" i="54"/>
  <c r="N122" i="58" s="1"/>
  <c r="N125" i="58" s="1"/>
  <c r="I125" i="54"/>
  <c r="H125" i="54"/>
  <c r="I128" i="54"/>
  <c r="I121" i="60" s="1"/>
  <c r="I126" i="60" s="1"/>
  <c r="H128" i="54"/>
  <c r="H121" i="60" s="1"/>
  <c r="N69" i="44"/>
  <c r="I125" i="61"/>
  <c r="H129" i="58"/>
  <c r="H123" i="61" s="1"/>
  <c r="P123" i="61" s="1"/>
  <c r="I127" i="59"/>
  <c r="P112" i="60"/>
  <c r="P111" i="60"/>
  <c r="P111" i="59"/>
  <c r="P112" i="61"/>
  <c r="K113" i="60"/>
  <c r="K124" i="58"/>
  <c r="I127" i="58"/>
  <c r="I123" i="59" s="1"/>
  <c r="H128" i="58"/>
  <c r="H123" i="60"/>
  <c r="J129" i="58"/>
  <c r="J123" i="61" s="1"/>
  <c r="P112" i="59"/>
  <c r="J127" i="59"/>
  <c r="J124" i="60"/>
  <c r="H127" i="57"/>
  <c r="H122" i="60"/>
  <c r="P122" i="60" s="1"/>
  <c r="I128" i="57"/>
  <c r="I122" i="61" s="1"/>
  <c r="I126" i="57"/>
  <c r="I122" i="59" s="1"/>
  <c r="I122" i="57"/>
  <c r="I41" i="44"/>
  <c r="N82" i="44"/>
  <c r="C41" i="44"/>
  <c r="N123" i="58"/>
  <c r="K127" i="58"/>
  <c r="K123" i="59" s="1"/>
  <c r="I128" i="59"/>
  <c r="I124" i="61"/>
  <c r="H128" i="59"/>
  <c r="H124" i="61" s="1"/>
  <c r="I127" i="57"/>
  <c r="I122" i="60" s="1"/>
  <c r="M127" i="59"/>
  <c r="M124" i="60" s="1"/>
  <c r="N128" i="60"/>
  <c r="N125" i="61"/>
  <c r="K128" i="60"/>
  <c r="K125" i="61" s="1"/>
  <c r="M125" i="57"/>
  <c r="M123" i="58" s="1"/>
  <c r="H125" i="57"/>
  <c r="H123" i="58" s="1"/>
  <c r="P123" i="58" s="1"/>
  <c r="N128" i="58"/>
  <c r="N123" i="60" s="1"/>
  <c r="L121" i="57"/>
  <c r="L123" i="57" s="1"/>
  <c r="L127" i="59"/>
  <c r="L124" i="60"/>
  <c r="I128" i="58"/>
  <c r="I123" i="60" s="1"/>
  <c r="J125" i="57"/>
  <c r="J123" i="58"/>
  <c r="I125" i="57"/>
  <c r="I123" i="58" s="1"/>
  <c r="I126" i="61"/>
  <c r="L124" i="58"/>
  <c r="I124" i="60"/>
  <c r="H126" i="61"/>
  <c r="J125" i="61"/>
  <c r="K113" i="59"/>
  <c r="K128" i="59"/>
  <c r="K124" i="61" s="1"/>
  <c r="N124" i="60"/>
  <c r="H127" i="58"/>
  <c r="H123" i="59" s="1"/>
  <c r="P123" i="59" s="1"/>
  <c r="I121" i="59"/>
  <c r="I125" i="59" s="1"/>
  <c r="J121" i="59"/>
  <c r="J125" i="59" s="1"/>
  <c r="I122" i="58"/>
  <c r="I125" i="58" s="1"/>
  <c r="I121" i="57"/>
  <c r="K125" i="57"/>
  <c r="K123" i="58" s="1"/>
  <c r="J113" i="57"/>
  <c r="J127" i="57" s="1"/>
  <c r="H126" i="57"/>
  <c r="H122" i="59"/>
  <c r="P122" i="59" s="1"/>
  <c r="G131" i="44"/>
  <c r="E131" i="44"/>
  <c r="H131" i="44"/>
  <c r="D131" i="44"/>
  <c r="I124" i="58"/>
  <c r="K126" i="61"/>
  <c r="N122" i="61"/>
  <c r="N123" i="61"/>
  <c r="N126" i="61"/>
  <c r="L124" i="61"/>
  <c r="L122" i="61"/>
  <c r="L121" i="59"/>
  <c r="L125" i="59" s="1"/>
  <c r="L122" i="59"/>
  <c r="L124" i="59"/>
  <c r="M123" i="61"/>
  <c r="M124" i="61"/>
  <c r="M122" i="60"/>
  <c r="M123" i="60"/>
  <c r="M125" i="60"/>
  <c r="N121" i="59"/>
  <c r="N125" i="59" s="1"/>
  <c r="K124" i="59"/>
  <c r="J125" i="60"/>
  <c r="M125" i="61"/>
  <c r="J124" i="58"/>
  <c r="M122" i="57"/>
  <c r="N122" i="60"/>
  <c r="L125" i="61"/>
  <c r="M122" i="59"/>
  <c r="M123" i="59"/>
  <c r="M124" i="58"/>
  <c r="H124" i="58"/>
  <c r="J126" i="61"/>
  <c r="L125" i="60"/>
  <c r="J124" i="59"/>
  <c r="F54" i="44"/>
  <c r="N121" i="57"/>
  <c r="N123" i="57" s="1"/>
  <c r="I123" i="57"/>
  <c r="E139" i="44"/>
  <c r="C139" i="44"/>
  <c r="I139" i="44"/>
  <c r="F119" i="44"/>
  <c r="I93" i="44"/>
  <c r="H106" i="44"/>
  <c r="G106" i="44"/>
  <c r="H119" i="44"/>
  <c r="D80" i="44"/>
  <c r="N78" i="44"/>
  <c r="G119" i="44"/>
  <c r="G67" i="44"/>
  <c r="F93" i="44"/>
  <c r="G93" i="44"/>
  <c r="H93" i="44"/>
  <c r="G45" i="44"/>
  <c r="H41" i="44"/>
  <c r="H45" i="44"/>
  <c r="E41" i="44"/>
  <c r="N39" i="44"/>
  <c r="H80" i="44"/>
  <c r="N40" i="44"/>
  <c r="I67" i="44"/>
  <c r="C67" i="44"/>
  <c r="H54" i="44"/>
  <c r="H67" i="44"/>
  <c r="F67" i="44"/>
  <c r="L122" i="58"/>
  <c r="L125" i="58" s="1"/>
  <c r="P126" i="61"/>
  <c r="P124" i="61"/>
  <c r="J121" i="57"/>
  <c r="J123" i="57" s="1"/>
  <c r="J122" i="60"/>
  <c r="J126" i="57"/>
  <c r="J122" i="59" s="1"/>
  <c r="J128" i="57"/>
  <c r="J122" i="61" s="1"/>
  <c r="P124" i="58"/>
  <c r="P125" i="60"/>
  <c r="P123" i="60"/>
  <c r="N70" i="44"/>
  <c r="D54" i="44"/>
  <c r="N41" i="44"/>
  <c r="N109" i="44"/>
  <c r="N96" i="44"/>
  <c r="F97" i="44"/>
  <c r="G139" i="44"/>
  <c r="G97" i="44"/>
  <c r="H97" i="44"/>
  <c r="F139" i="44"/>
  <c r="H123" i="44"/>
  <c r="H139" i="44"/>
  <c r="D93" i="44"/>
  <c r="D139" i="44"/>
  <c r="E97" i="44"/>
  <c r="N97" i="44" s="1"/>
  <c r="E45" i="44"/>
  <c r="N45" i="44" s="1"/>
  <c r="H58" i="44"/>
  <c r="N67" i="44"/>
  <c r="H71" i="44"/>
  <c r="E71" i="44"/>
  <c r="F71" i="44"/>
  <c r="N139" i="44"/>
  <c r="N110" i="44"/>
  <c r="N71" i="44"/>
  <c r="N57" i="44"/>
  <c r="E58" i="44"/>
  <c r="N58" i="44"/>
  <c r="N56" i="44"/>
  <c r="T110" i="47"/>
  <c r="T111" i="47"/>
  <c r="I38" i="67"/>
  <c r="H36" i="45" s="1"/>
  <c r="I53" i="67"/>
  <c r="I36" i="45"/>
  <c r="C137" i="44" s="1"/>
  <c r="C34" i="43" s="1"/>
  <c r="I62" i="67"/>
  <c r="J36" i="45" s="1"/>
  <c r="K127" i="57" l="1"/>
  <c r="K122" i="60" s="1"/>
  <c r="K126" i="57"/>
  <c r="K122" i="59" s="1"/>
  <c r="K128" i="57"/>
  <c r="K122" i="61" s="1"/>
  <c r="H116" i="57"/>
  <c r="C138" i="44"/>
  <c r="H125" i="59"/>
  <c r="P121" i="59"/>
  <c r="P125" i="59" s="1"/>
  <c r="C136" i="44"/>
  <c r="H311" i="46"/>
  <c r="P121" i="60"/>
  <c r="P126" i="60" s="1"/>
  <c r="H126" i="60"/>
  <c r="H124" i="59"/>
  <c r="P124" i="59" s="1"/>
  <c r="I129" i="58"/>
  <c r="I123" i="61" s="1"/>
  <c r="P112" i="58"/>
  <c r="P111" i="57"/>
  <c r="P19" i="47"/>
  <c r="Q19" i="47"/>
  <c r="I19" i="47"/>
  <c r="J19" i="47"/>
  <c r="K19" i="47"/>
  <c r="L19" i="47"/>
  <c r="M19" i="47"/>
  <c r="S19" i="47"/>
  <c r="O19" i="47"/>
  <c r="R19" i="47"/>
  <c r="N19" i="47"/>
  <c r="Q24" i="47"/>
  <c r="P24" i="47"/>
  <c r="I24" i="47"/>
  <c r="J24" i="47"/>
  <c r="K24" i="47"/>
  <c r="O24" i="47"/>
  <c r="R24" i="47"/>
  <c r="S24" i="47"/>
  <c r="N24" i="47"/>
  <c r="L24" i="47"/>
  <c r="M24" i="47"/>
  <c r="P26" i="47"/>
  <c r="J26" i="47"/>
  <c r="Q26" i="47"/>
  <c r="I26" i="47"/>
  <c r="S26" i="47"/>
  <c r="L26" i="47"/>
  <c r="N26" i="47"/>
  <c r="O26" i="47"/>
  <c r="R26" i="47"/>
  <c r="K26" i="47"/>
  <c r="M26" i="47"/>
  <c r="J121" i="61"/>
  <c r="J127" i="61" s="1"/>
  <c r="L67" i="44"/>
  <c r="L70" i="44"/>
  <c r="L71" i="44" s="1"/>
  <c r="Q129" i="54"/>
  <c r="P21" i="47"/>
  <c r="I21" i="47"/>
  <c r="Q21" i="47"/>
  <c r="N21" i="47"/>
  <c r="K21" i="47"/>
  <c r="L21" i="47"/>
  <c r="J21" i="47"/>
  <c r="M21" i="47"/>
  <c r="S21" i="47"/>
  <c r="O21" i="47"/>
  <c r="R21" i="47"/>
  <c r="Q23" i="47"/>
  <c r="I23" i="47"/>
  <c r="J23" i="47"/>
  <c r="K23" i="47"/>
  <c r="L23" i="47"/>
  <c r="M23" i="47"/>
  <c r="P23" i="47"/>
  <c r="N23" i="47"/>
  <c r="S23" i="47"/>
  <c r="R23" i="47"/>
  <c r="O23" i="47"/>
  <c r="H122" i="58"/>
  <c r="L121" i="61"/>
  <c r="L127" i="61" s="1"/>
  <c r="K80" i="44"/>
  <c r="K83" i="44"/>
  <c r="K84" i="44" s="1"/>
  <c r="D136" i="44"/>
  <c r="D31" i="43" s="1"/>
  <c r="I311" i="46"/>
  <c r="I40" i="67"/>
  <c r="H38" i="45" s="1"/>
  <c r="L126" i="61"/>
  <c r="L123" i="60"/>
  <c r="H128" i="60"/>
  <c r="H125" i="61" s="1"/>
  <c r="P125" i="61" s="1"/>
  <c r="M122" i="61"/>
  <c r="M126" i="61"/>
  <c r="J128" i="58"/>
  <c r="J123" i="60" s="1"/>
  <c r="Q16" i="47"/>
  <c r="P16" i="47"/>
  <c r="J16" i="47"/>
  <c r="I16" i="47"/>
  <c r="K16" i="47"/>
  <c r="O16" i="47"/>
  <c r="R16" i="47"/>
  <c r="S16" i="47"/>
  <c r="N16" i="47"/>
  <c r="M16" i="47"/>
  <c r="L16" i="47"/>
  <c r="N121" i="44"/>
  <c r="Q20" i="47"/>
  <c r="P20" i="47"/>
  <c r="I20" i="47"/>
  <c r="J20" i="47"/>
  <c r="O20" i="47"/>
  <c r="R20" i="47"/>
  <c r="K20" i="47"/>
  <c r="M20" i="47"/>
  <c r="N20" i="47"/>
  <c r="S20" i="47"/>
  <c r="L20" i="47"/>
  <c r="P25" i="47"/>
  <c r="I25" i="47"/>
  <c r="Q25" i="47"/>
  <c r="J25" i="47"/>
  <c r="N25" i="47"/>
  <c r="K25" i="47"/>
  <c r="L25" i="47"/>
  <c r="M25" i="47"/>
  <c r="O25" i="47"/>
  <c r="R25" i="47"/>
  <c r="S25" i="47"/>
  <c r="H129" i="54"/>
  <c r="H121" i="61" s="1"/>
  <c r="L128" i="54"/>
  <c r="L121" i="60" s="1"/>
  <c r="L126" i="60" s="1"/>
  <c r="J128" i="54"/>
  <c r="J121" i="60" s="1"/>
  <c r="J126" i="60" s="1"/>
  <c r="K54" i="44"/>
  <c r="K57" i="44"/>
  <c r="K58" i="44" s="1"/>
  <c r="K67" i="44"/>
  <c r="K70" i="44"/>
  <c r="K71" i="44" s="1"/>
  <c r="I22" i="67"/>
  <c r="G37" i="45" s="1"/>
  <c r="E135" i="44"/>
  <c r="E28" i="43" s="1"/>
  <c r="G39" i="45"/>
  <c r="J230" i="46"/>
  <c r="H117" i="54"/>
  <c r="K129" i="58"/>
  <c r="K123" i="61" s="1"/>
  <c r="K128" i="58"/>
  <c r="K123" i="60" s="1"/>
  <c r="N124" i="59"/>
  <c r="N122" i="59"/>
  <c r="P112" i="57"/>
  <c r="K122" i="57"/>
  <c r="P18" i="47"/>
  <c r="Q18" i="47"/>
  <c r="I18" i="47"/>
  <c r="J18" i="47"/>
  <c r="N18" i="47"/>
  <c r="S18" i="47"/>
  <c r="L18" i="47"/>
  <c r="O18" i="47"/>
  <c r="R18" i="47"/>
  <c r="K18" i="47"/>
  <c r="M18" i="47"/>
  <c r="I121" i="61"/>
  <c r="I127" i="61" s="1"/>
  <c r="K96" i="44"/>
  <c r="K97" i="44" s="1"/>
  <c r="K93" i="44"/>
  <c r="K122" i="44"/>
  <c r="K123" i="44" s="1"/>
  <c r="K119" i="44"/>
  <c r="L41" i="44"/>
  <c r="L44" i="44"/>
  <c r="L45" i="44" s="1"/>
  <c r="S147" i="46"/>
  <c r="F78" i="44"/>
  <c r="F79" i="44" s="1"/>
  <c r="L52" i="44"/>
  <c r="L53" i="44" s="1"/>
  <c r="L78" i="44"/>
  <c r="L79" i="44" s="1"/>
  <c r="N151" i="46"/>
  <c r="N153" i="46" s="1"/>
  <c r="I26" i="43" s="1"/>
  <c r="N152" i="46"/>
  <c r="J151" i="46"/>
  <c r="J153" i="46" s="1"/>
  <c r="E26" i="43" s="1"/>
  <c r="J152" i="46"/>
  <c r="H24" i="43"/>
  <c r="P319" i="46"/>
  <c r="P321" i="46"/>
  <c r="P152" i="46"/>
  <c r="S73" i="46"/>
  <c r="L327" i="3"/>
  <c r="P237" i="46" s="1"/>
  <c r="R147" i="46"/>
  <c r="R148" i="46" s="1"/>
  <c r="R146" i="46"/>
  <c r="L24" i="43"/>
  <c r="N79" i="44"/>
  <c r="E54" i="44"/>
  <c r="E67" i="44"/>
  <c r="C106" i="44"/>
  <c r="N106" i="44" s="1"/>
  <c r="N65" i="44"/>
  <c r="C131" i="44"/>
  <c r="P17" i="47"/>
  <c r="I17" i="47"/>
  <c r="N17" i="47"/>
  <c r="Q17" i="47"/>
  <c r="J17" i="47"/>
  <c r="K17" i="47"/>
  <c r="L17" i="47"/>
  <c r="M17" i="47"/>
  <c r="O17" i="47"/>
  <c r="R17" i="47"/>
  <c r="N108" i="44"/>
  <c r="P22" i="47"/>
  <c r="J22" i="47"/>
  <c r="I22" i="47"/>
  <c r="Q22" i="47"/>
  <c r="L22" i="47"/>
  <c r="M22" i="47"/>
  <c r="S22" i="47"/>
  <c r="O22" i="47"/>
  <c r="R22" i="47"/>
  <c r="K22" i="47"/>
  <c r="P27" i="47"/>
  <c r="J27" i="47"/>
  <c r="Q27" i="47"/>
  <c r="K27" i="47"/>
  <c r="L27" i="47"/>
  <c r="M27" i="47"/>
  <c r="I27" i="47"/>
  <c r="S27" i="47"/>
  <c r="N27" i="47"/>
  <c r="O27" i="47"/>
  <c r="R27" i="47"/>
  <c r="K36" i="47"/>
  <c r="K40" i="47"/>
  <c r="J320" i="46"/>
  <c r="M319" i="46"/>
  <c r="C52" i="44"/>
  <c r="C91" i="44"/>
  <c r="C117" i="44"/>
  <c r="F39" i="44"/>
  <c r="F40" i="44" s="1"/>
  <c r="G52" i="44"/>
  <c r="G53" i="44" s="1"/>
  <c r="E78" i="44"/>
  <c r="E79" i="44" s="1"/>
  <c r="I78" i="44"/>
  <c r="I79" i="44" s="1"/>
  <c r="D104" i="44"/>
  <c r="D105" i="44" s="1"/>
  <c r="D106" i="44" s="1"/>
  <c r="E117" i="44"/>
  <c r="E118" i="44" s="1"/>
  <c r="T301" i="3"/>
  <c r="M234" i="3"/>
  <c r="T103" i="3"/>
  <c r="D327" i="3"/>
  <c r="H237" i="46" s="1"/>
  <c r="L91" i="44"/>
  <c r="L92" i="44" s="1"/>
  <c r="L93" i="44" s="1"/>
  <c r="L117" i="44"/>
  <c r="L118" i="44" s="1"/>
  <c r="L119" i="44" s="1"/>
  <c r="M152" i="46"/>
  <c r="M151" i="46"/>
  <c r="M153" i="46" s="1"/>
  <c r="H26" i="43" s="1"/>
  <c r="I152" i="46"/>
  <c r="G24" i="43"/>
  <c r="N23" i="43"/>
  <c r="E8" i="67"/>
  <c r="B29" i="67"/>
  <c r="E29" i="67" s="1"/>
  <c r="I21" i="67" s="1"/>
  <c r="G36" i="45" s="1"/>
  <c r="Q319" i="46"/>
  <c r="Q321" i="46"/>
  <c r="K24" i="43"/>
  <c r="Q151" i="46"/>
  <c r="Q152" i="46"/>
  <c r="Q126" i="54"/>
  <c r="Q128" i="54"/>
  <c r="M318" i="3"/>
  <c r="N323" i="3"/>
  <c r="R157" i="46" s="1"/>
  <c r="M323" i="3"/>
  <c r="Q157" i="46" s="1"/>
  <c r="E61" i="68"/>
  <c r="R308" i="46" s="1"/>
  <c r="I24" i="43"/>
  <c r="N22" i="47"/>
  <c r="J329" i="3"/>
  <c r="N317" i="46" s="1"/>
  <c r="K329" i="3"/>
  <c r="O317" i="46" s="1"/>
  <c r="H329" i="3"/>
  <c r="L317" i="46" s="1"/>
  <c r="I329" i="3"/>
  <c r="M317" i="46" s="1"/>
  <c r="K39" i="44"/>
  <c r="K40" i="44" s="1"/>
  <c r="L104" i="44"/>
  <c r="L105" i="44" s="1"/>
  <c r="L106" i="44" s="1"/>
  <c r="K104" i="44"/>
  <c r="K105" i="44" s="1"/>
  <c r="Q239" i="46"/>
  <c r="G263" i="46"/>
  <c r="L258" i="3"/>
  <c r="E74" i="68"/>
  <c r="N22" i="43"/>
  <c r="I52" i="44"/>
  <c r="I53" i="44" s="1"/>
  <c r="G78" i="44"/>
  <c r="G79" i="44" s="1"/>
  <c r="Q125" i="54"/>
  <c r="Q127" i="54"/>
  <c r="R145" i="46"/>
  <c r="L323" i="3"/>
  <c r="P157" i="46" s="1"/>
  <c r="N327" i="3"/>
  <c r="R237" i="46" s="1"/>
  <c r="L330" i="3"/>
  <c r="P318" i="46" s="1"/>
  <c r="S17" i="47"/>
  <c r="O36" i="47"/>
  <c r="M24" i="43"/>
  <c r="J24" i="43"/>
  <c r="I27" i="43"/>
  <c r="K147" i="46"/>
  <c r="K148" i="46" s="1"/>
  <c r="S148" i="46" s="1"/>
  <c r="K152" i="46"/>
  <c r="K153" i="46" s="1"/>
  <c r="F26" i="43" s="1"/>
  <c r="L152" i="46"/>
  <c r="L122" i="54"/>
  <c r="Q120" i="54"/>
  <c r="L315" i="46"/>
  <c r="H145" i="46"/>
  <c r="H152" i="46" s="1"/>
  <c r="E314" i="3"/>
  <c r="I74" i="46" s="1"/>
  <c r="D314" i="3"/>
  <c r="H74" i="46" s="1"/>
  <c r="R113" i="54"/>
  <c r="R114" i="54" s="1"/>
  <c r="M117" i="54"/>
  <c r="K134" i="44"/>
  <c r="L317" i="3"/>
  <c r="P77" i="46" s="1"/>
  <c r="E317" i="3"/>
  <c r="I77" i="46" s="1"/>
  <c r="D325" i="3"/>
  <c r="H235" i="46" s="1"/>
  <c r="L325" i="3"/>
  <c r="P235" i="46" s="1"/>
  <c r="E325" i="3"/>
  <c r="I235" i="46" s="1"/>
  <c r="H314" i="3"/>
  <c r="L74" i="46" s="1"/>
  <c r="K308" i="46"/>
  <c r="K309" i="46" s="1"/>
  <c r="Q113" i="54"/>
  <c r="Q114" i="54" s="1"/>
  <c r="M113" i="54"/>
  <c r="I120" i="54"/>
  <c r="D322" i="3"/>
  <c r="H156" i="46" s="1"/>
  <c r="H306" i="46"/>
  <c r="R120" i="54"/>
  <c r="P112" i="54"/>
  <c r="P122" i="54" s="1"/>
  <c r="I225" i="46"/>
  <c r="O232" i="46"/>
  <c r="O231" i="46"/>
  <c r="L314" i="3"/>
  <c r="P74" i="46" s="1"/>
  <c r="K113" i="54"/>
  <c r="K122" i="54"/>
  <c r="I122" i="54"/>
  <c r="L326" i="3"/>
  <c r="G329" i="3"/>
  <c r="E321" i="3"/>
  <c r="I155" i="46" s="1"/>
  <c r="P314" i="46"/>
  <c r="Q227" i="46"/>
  <c r="Q228" i="46" s="1"/>
  <c r="N231" i="46"/>
  <c r="K227" i="46"/>
  <c r="K228" i="46" s="1"/>
  <c r="N117" i="54"/>
  <c r="I137" i="44"/>
  <c r="J31" i="44"/>
  <c r="J138" i="44" s="1"/>
  <c r="O152" i="46"/>
  <c r="O153" i="46" s="1"/>
  <c r="J26" i="43" s="1"/>
  <c r="J122" i="54"/>
  <c r="H326" i="3"/>
  <c r="L236" i="46" s="1"/>
  <c r="K326" i="3"/>
  <c r="O236" i="46" s="1"/>
  <c r="M316" i="46"/>
  <c r="H32" i="43" s="1"/>
  <c r="G325" i="3"/>
  <c r="K235" i="46" s="1"/>
  <c r="P225" i="46"/>
  <c r="P226" i="46" s="1"/>
  <c r="P231" i="46"/>
  <c r="P232" i="46"/>
  <c r="D326" i="3"/>
  <c r="H236" i="46" s="1"/>
  <c r="F329" i="3"/>
  <c r="M329" i="3"/>
  <c r="Q317" i="46" s="1"/>
  <c r="H317" i="3"/>
  <c r="L77" i="46" s="1"/>
  <c r="Q314" i="46"/>
  <c r="Q316" i="46" s="1"/>
  <c r="L32" i="43" s="1"/>
  <c r="Q315" i="46"/>
  <c r="N315" i="46"/>
  <c r="N308" i="46"/>
  <c r="N309" i="46" s="1"/>
  <c r="E316" i="3"/>
  <c r="I76" i="46" s="1"/>
  <c r="L316" i="3"/>
  <c r="P76" i="46" s="1"/>
  <c r="D316" i="3"/>
  <c r="H76" i="46" s="1"/>
  <c r="F325" i="3"/>
  <c r="J235" i="46" s="1"/>
  <c r="H325" i="3"/>
  <c r="L235" i="46" s="1"/>
  <c r="M325" i="3"/>
  <c r="Q235" i="46" s="1"/>
  <c r="R231" i="46"/>
  <c r="R233" i="46"/>
  <c r="M233" i="46"/>
  <c r="M227" i="46"/>
  <c r="L231" i="46"/>
  <c r="L233" i="46"/>
  <c r="N8" i="66"/>
  <c r="J136" i="44"/>
  <c r="J31" i="43" s="1"/>
  <c r="I43" i="45"/>
  <c r="O117" i="54" s="1"/>
  <c r="K321" i="3"/>
  <c r="O155" i="46" s="1"/>
  <c r="N320" i="3"/>
  <c r="R154" i="46" s="1"/>
  <c r="Q232" i="46"/>
  <c r="M231" i="46"/>
  <c r="H320" i="3"/>
  <c r="L154" i="46" s="1"/>
  <c r="F320" i="3"/>
  <c r="J154" i="46" s="1"/>
  <c r="D315" i="3"/>
  <c r="H75" i="46" s="1"/>
  <c r="H315" i="46"/>
  <c r="O315" i="46"/>
  <c r="K325" i="3"/>
  <c r="N233" i="46"/>
  <c r="N322" i="3"/>
  <c r="R156" i="46" s="1"/>
  <c r="M321" i="3"/>
  <c r="Q155" i="46" s="1"/>
  <c r="J325" i="3"/>
  <c r="N235" i="46" s="1"/>
  <c r="D321" i="3"/>
  <c r="H155" i="46" s="1"/>
  <c r="J320" i="3"/>
  <c r="N154" i="46" s="1"/>
  <c r="P38" i="47" l="1"/>
  <c r="J27" i="43"/>
  <c r="Q234" i="46"/>
  <c r="L29" i="43" s="1"/>
  <c r="L31" i="47"/>
  <c r="L42" i="47"/>
  <c r="L33" i="47"/>
  <c r="L39" i="47"/>
  <c r="L32" i="47"/>
  <c r="L37" i="47"/>
  <c r="L41" i="47"/>
  <c r="L38" i="47"/>
  <c r="L35" i="47"/>
  <c r="L34" i="47"/>
  <c r="L36" i="47"/>
  <c r="L40" i="47"/>
  <c r="N72" i="47"/>
  <c r="M234" i="46"/>
  <c r="H29" i="43" s="1"/>
  <c r="O121" i="54"/>
  <c r="O122" i="54"/>
  <c r="O120" i="54"/>
  <c r="L232" i="46"/>
  <c r="J121" i="54"/>
  <c r="J123" i="54" s="1"/>
  <c r="E35" i="43" s="1"/>
  <c r="J317" i="46"/>
  <c r="P233" i="46"/>
  <c r="J137" i="44"/>
  <c r="J34" i="43" s="1"/>
  <c r="Q233" i="46"/>
  <c r="O234" i="46"/>
  <c r="J29" i="43" s="1"/>
  <c r="M114" i="54"/>
  <c r="P129" i="54"/>
  <c r="P127" i="54"/>
  <c r="P125" i="54"/>
  <c r="M125" i="54"/>
  <c r="P128" i="54"/>
  <c r="P126" i="54"/>
  <c r="M127" i="54"/>
  <c r="M121" i="59" s="1"/>
  <c r="M125" i="59" s="1"/>
  <c r="M129" i="54"/>
  <c r="M121" i="61" s="1"/>
  <c r="M127" i="61" s="1"/>
  <c r="M128" i="54"/>
  <c r="M121" i="60" s="1"/>
  <c r="M126" i="60" s="1"/>
  <c r="M126" i="54"/>
  <c r="K319" i="46"/>
  <c r="K320" i="46"/>
  <c r="K321" i="46"/>
  <c r="K322" i="46"/>
  <c r="K25" i="43"/>
  <c r="N134" i="44"/>
  <c r="Q121" i="54"/>
  <c r="Q123" i="54" s="1"/>
  <c r="L35" i="43" s="1"/>
  <c r="L121" i="54"/>
  <c r="P37" i="47"/>
  <c r="P56" i="47"/>
  <c r="P67" i="47"/>
  <c r="P51" i="47"/>
  <c r="P70" i="47"/>
  <c r="P47" i="47"/>
  <c r="P53" i="47"/>
  <c r="P68" i="47"/>
  <c r="P42" i="47"/>
  <c r="P33" i="47"/>
  <c r="P39" i="47"/>
  <c r="P41" i="47"/>
  <c r="P55" i="47"/>
  <c r="P31" i="47"/>
  <c r="P34" i="47"/>
  <c r="P57" i="47"/>
  <c r="M36" i="47"/>
  <c r="I306" i="46"/>
  <c r="I307" i="46" s="1"/>
  <c r="P306" i="46"/>
  <c r="L151" i="46"/>
  <c r="L153" i="46" s="1"/>
  <c r="G26" i="43" s="1"/>
  <c r="O41" i="47"/>
  <c r="O39" i="47"/>
  <c r="O31" i="47"/>
  <c r="O38" i="47"/>
  <c r="O42" i="47"/>
  <c r="O35" i="47"/>
  <c r="O34" i="47"/>
  <c r="C135" i="44"/>
  <c r="H230" i="46"/>
  <c r="E83" i="44"/>
  <c r="E80" i="44"/>
  <c r="N91" i="44"/>
  <c r="C92" i="44"/>
  <c r="T17" i="47"/>
  <c r="O32" i="47"/>
  <c r="F135" i="44"/>
  <c r="F28" i="43" s="1"/>
  <c r="K230" i="46"/>
  <c r="P35" i="47"/>
  <c r="T20" i="47"/>
  <c r="O33" i="47"/>
  <c r="T21" i="47"/>
  <c r="N55" i="47"/>
  <c r="K41" i="47"/>
  <c r="K106" i="44"/>
  <c r="K109" i="44"/>
  <c r="K110" i="44" s="1"/>
  <c r="M37" i="47"/>
  <c r="M42" i="47"/>
  <c r="M35" i="47"/>
  <c r="M31" i="47"/>
  <c r="M38" i="47"/>
  <c r="M33" i="47"/>
  <c r="M41" i="47"/>
  <c r="M39" i="47"/>
  <c r="E122" i="44"/>
  <c r="E119" i="44"/>
  <c r="G57" i="44"/>
  <c r="G58" i="44" s="1"/>
  <c r="G54" i="44"/>
  <c r="C53" i="44"/>
  <c r="N52" i="44"/>
  <c r="N54" i="47"/>
  <c r="M40" i="47"/>
  <c r="T22" i="47"/>
  <c r="M32" i="47"/>
  <c r="N42" i="47"/>
  <c r="K239" i="46"/>
  <c r="K241" i="46"/>
  <c r="K238" i="46"/>
  <c r="K240" i="46"/>
  <c r="N314" i="46"/>
  <c r="N316" i="46" s="1"/>
  <c r="I32" i="43" s="1"/>
  <c r="O314" i="46"/>
  <c r="O316" i="46" s="1"/>
  <c r="J32" i="43" s="1"/>
  <c r="O235" i="46"/>
  <c r="M228" i="46"/>
  <c r="S228" i="46" s="1"/>
  <c r="P240" i="46"/>
  <c r="P238" i="46"/>
  <c r="M239" i="46"/>
  <c r="P241" i="46"/>
  <c r="P239" i="46"/>
  <c r="M240" i="46"/>
  <c r="M241" i="46"/>
  <c r="M238" i="46"/>
  <c r="R232" i="46"/>
  <c r="R234" i="46" s="1"/>
  <c r="M29" i="43" s="1"/>
  <c r="I34" i="43"/>
  <c r="N34" i="43" s="1"/>
  <c r="N137" i="44"/>
  <c r="K121" i="54"/>
  <c r="K123" i="54" s="1"/>
  <c r="F35" i="43" s="1"/>
  <c r="K317" i="46"/>
  <c r="K114" i="54"/>
  <c r="S113" i="54"/>
  <c r="I226" i="46"/>
  <c r="S225" i="46"/>
  <c r="H307" i="46"/>
  <c r="S306" i="46"/>
  <c r="Q122" i="54"/>
  <c r="R122" i="54"/>
  <c r="S308" i="46"/>
  <c r="G83" i="44"/>
  <c r="G84" i="44" s="1"/>
  <c r="G80" i="44"/>
  <c r="N329" i="3"/>
  <c r="R317" i="46"/>
  <c r="Q153" i="46"/>
  <c r="L26" i="43" s="1"/>
  <c r="F44" i="44"/>
  <c r="F45" i="44" s="1"/>
  <c r="F41" i="44"/>
  <c r="P54" i="47"/>
  <c r="N40" i="47"/>
  <c r="N36" i="47"/>
  <c r="P36" i="47"/>
  <c r="R34" i="47"/>
  <c r="R41" i="47"/>
  <c r="R39" i="47"/>
  <c r="R32" i="47"/>
  <c r="R37" i="47"/>
  <c r="R33" i="47"/>
  <c r="R152" i="46"/>
  <c r="R153" i="46" s="1"/>
  <c r="M26" i="43" s="1"/>
  <c r="P151" i="46"/>
  <c r="P153" i="46" s="1"/>
  <c r="K26" i="43" s="1"/>
  <c r="P32" i="47"/>
  <c r="H120" i="54"/>
  <c r="H122" i="54"/>
  <c r="D135" i="44"/>
  <c r="D28" i="43" s="1"/>
  <c r="I230" i="46"/>
  <c r="P62" i="47"/>
  <c r="R35" i="47"/>
  <c r="P46" i="47"/>
  <c r="P65" i="47"/>
  <c r="P50" i="47"/>
  <c r="O37" i="47"/>
  <c r="L234" i="46"/>
  <c r="G29" i="43" s="1"/>
  <c r="M121" i="54"/>
  <c r="M120" i="54"/>
  <c r="M123" i="54" s="1"/>
  <c r="H35" i="43" s="1"/>
  <c r="N100" i="47" s="1"/>
  <c r="L314" i="46"/>
  <c r="L316" i="46" s="1"/>
  <c r="G32" i="43" s="1"/>
  <c r="P234" i="46"/>
  <c r="K29" i="43" s="1"/>
  <c r="N121" i="54"/>
  <c r="N122" i="54"/>
  <c r="N120" i="54"/>
  <c r="N232" i="46"/>
  <c r="N234" i="46" s="1"/>
  <c r="I29" i="43" s="1"/>
  <c r="P120" i="54"/>
  <c r="P236" i="46"/>
  <c r="M122" i="54"/>
  <c r="S145" i="46"/>
  <c r="H146" i="46"/>
  <c r="S146" i="46" s="1"/>
  <c r="L120" i="54"/>
  <c r="L123" i="54" s="1"/>
  <c r="G35" i="43" s="1"/>
  <c r="H27" i="43"/>
  <c r="N85" i="47" s="1"/>
  <c r="S37" i="47"/>
  <c r="S38" i="47"/>
  <c r="S33" i="47"/>
  <c r="S34" i="47"/>
  <c r="S31" i="47"/>
  <c r="S42" i="47"/>
  <c r="S35" i="47"/>
  <c r="S227" i="46"/>
  <c r="I57" i="44"/>
  <c r="I58" i="44" s="1"/>
  <c r="I54" i="44"/>
  <c r="L267" i="3"/>
  <c r="L329" i="3" s="1"/>
  <c r="H151" i="46"/>
  <c r="K41" i="44"/>
  <c r="K44" i="44"/>
  <c r="K45" i="44" s="1"/>
  <c r="R315" i="46"/>
  <c r="R316" i="46" s="1"/>
  <c r="M32" i="43" s="1"/>
  <c r="R309" i="46"/>
  <c r="S309" i="46" s="1"/>
  <c r="Q31" i="47"/>
  <c r="Q38" i="47"/>
  <c r="Q33" i="47"/>
  <c r="Q34" i="47"/>
  <c r="Q37" i="47"/>
  <c r="Q42" i="47"/>
  <c r="Q35" i="47"/>
  <c r="I151" i="46"/>
  <c r="I153" i="46" s="1"/>
  <c r="D26" i="43" s="1"/>
  <c r="I83" i="44"/>
  <c r="I84" i="44" s="1"/>
  <c r="I80" i="44"/>
  <c r="C118" i="44"/>
  <c r="N117" i="44"/>
  <c r="N64" i="47"/>
  <c r="P69" i="47"/>
  <c r="P63" i="47"/>
  <c r="P48" i="47"/>
  <c r="O40" i="47"/>
  <c r="P40" i="47"/>
  <c r="T27" i="47"/>
  <c r="K34" i="47"/>
  <c r="K39" i="47"/>
  <c r="K42" i="47"/>
  <c r="K31" i="47"/>
  <c r="K38" i="47"/>
  <c r="K33" i="47"/>
  <c r="K32" i="47"/>
  <c r="L54" i="44"/>
  <c r="L57" i="44"/>
  <c r="L58" i="44" s="1"/>
  <c r="S32" i="47"/>
  <c r="S39" i="47"/>
  <c r="K35" i="47"/>
  <c r="N33" i="47"/>
  <c r="M28" i="47"/>
  <c r="M30" i="47" s="1"/>
  <c r="O28" i="47"/>
  <c r="O30" i="47" s="1"/>
  <c r="O43" i="47" s="1"/>
  <c r="O45" i="47" s="1"/>
  <c r="P28" i="47"/>
  <c r="P30" i="47" s="1"/>
  <c r="E136" i="44"/>
  <c r="E31" i="43" s="1"/>
  <c r="H39" i="45"/>
  <c r="J311" i="46"/>
  <c r="P66" i="47"/>
  <c r="R38" i="47"/>
  <c r="M34" i="47"/>
  <c r="R31" i="47"/>
  <c r="S41" i="47"/>
  <c r="K37" i="47"/>
  <c r="N147" i="47"/>
  <c r="N126" i="47"/>
  <c r="N141" i="47"/>
  <c r="N162" i="47"/>
  <c r="N123" i="47"/>
  <c r="N139" i="47"/>
  <c r="N156" i="47"/>
  <c r="N151" i="47"/>
  <c r="N146" i="47"/>
  <c r="N140" i="47"/>
  <c r="F83" i="44"/>
  <c r="F84" i="44" s="1"/>
  <c r="F80" i="44"/>
  <c r="N32" i="47"/>
  <c r="T18" i="47"/>
  <c r="P121" i="61"/>
  <c r="P127" i="61" s="1"/>
  <c r="H127" i="61"/>
  <c r="N53" i="47"/>
  <c r="N39" i="47"/>
  <c r="L28" i="47"/>
  <c r="L30" i="47" s="1"/>
  <c r="R28" i="47"/>
  <c r="R30" i="47" s="1"/>
  <c r="J28" i="47"/>
  <c r="J30" i="47" s="1"/>
  <c r="N66" i="47"/>
  <c r="N34" i="47"/>
  <c r="N91" i="47"/>
  <c r="N71" i="47"/>
  <c r="N56" i="47"/>
  <c r="T26" i="47"/>
  <c r="T24" i="47"/>
  <c r="L80" i="44"/>
  <c r="L83" i="44"/>
  <c r="L84" i="44" s="1"/>
  <c r="J231" i="46"/>
  <c r="J232" i="46"/>
  <c r="J233" i="46"/>
  <c r="N61" i="47"/>
  <c r="N68" i="47"/>
  <c r="N49" i="47"/>
  <c r="N47" i="47"/>
  <c r="N93" i="47"/>
  <c r="N28" i="47"/>
  <c r="N30" i="47" s="1"/>
  <c r="K28" i="47"/>
  <c r="K30" i="47" s="1"/>
  <c r="Q28" i="47"/>
  <c r="Q30" i="47" s="1"/>
  <c r="I314" i="46"/>
  <c r="I316" i="46" s="1"/>
  <c r="D32" i="43" s="1"/>
  <c r="I315" i="46"/>
  <c r="N57" i="47"/>
  <c r="N51" i="47"/>
  <c r="T23" i="47"/>
  <c r="N37" i="47"/>
  <c r="H314" i="46"/>
  <c r="N138" i="44"/>
  <c r="N62" i="47"/>
  <c r="N35" i="47"/>
  <c r="T25" i="47"/>
  <c r="S28" i="47"/>
  <c r="S30" i="47" s="1"/>
  <c r="I28" i="47"/>
  <c r="I30" i="47" s="1"/>
  <c r="T16" i="47"/>
  <c r="H125" i="58"/>
  <c r="P122" i="58"/>
  <c r="P125" i="58" s="1"/>
  <c r="N46" i="47"/>
  <c r="N38" i="47"/>
  <c r="N31" i="47"/>
  <c r="N65" i="47"/>
  <c r="N50" i="47"/>
  <c r="N41" i="47"/>
  <c r="T19" i="47"/>
  <c r="C31" i="43"/>
  <c r="H121" i="57"/>
  <c r="H122" i="57"/>
  <c r="P122" i="57" s="1"/>
  <c r="O53" i="47" l="1"/>
  <c r="O69" i="47"/>
  <c r="O67" i="47"/>
  <c r="O63" i="47"/>
  <c r="O56" i="47"/>
  <c r="O47" i="47"/>
  <c r="O62" i="47"/>
  <c r="O50" i="47"/>
  <c r="O54" i="47"/>
  <c r="O48" i="47"/>
  <c r="O61" i="47"/>
  <c r="O46" i="47"/>
  <c r="O66" i="47"/>
  <c r="O52" i="47"/>
  <c r="O55" i="47"/>
  <c r="O72" i="47"/>
  <c r="O71" i="47"/>
  <c r="O70" i="47"/>
  <c r="O49" i="47"/>
  <c r="O57" i="47"/>
  <c r="O64" i="47"/>
  <c r="O68" i="47"/>
  <c r="O65" i="47"/>
  <c r="O51" i="47"/>
  <c r="P317" i="46"/>
  <c r="P121" i="54"/>
  <c r="H123" i="57"/>
  <c r="P121" i="57"/>
  <c r="P123" i="57" s="1"/>
  <c r="O58" i="47"/>
  <c r="O60" i="47" s="1"/>
  <c r="O73" i="47" s="1"/>
  <c r="O75" i="47" s="1"/>
  <c r="N102" i="47"/>
  <c r="N78" i="47"/>
  <c r="N79" i="47"/>
  <c r="N109" i="47"/>
  <c r="N86" i="47"/>
  <c r="N99" i="47"/>
  <c r="N98" i="47"/>
  <c r="N43" i="47"/>
  <c r="N45" i="47" s="1"/>
  <c r="N58" i="47" s="1"/>
  <c r="N60" i="47" s="1"/>
  <c r="N76" i="47"/>
  <c r="N101" i="47"/>
  <c r="N136" i="47"/>
  <c r="N127" i="47"/>
  <c r="N158" i="47"/>
  <c r="N131" i="47"/>
  <c r="N157" i="47"/>
  <c r="N125" i="47"/>
  <c r="N161" i="47"/>
  <c r="N129" i="47"/>
  <c r="P43" i="47"/>
  <c r="P45" i="47" s="1"/>
  <c r="P58" i="47" s="1"/>
  <c r="P60" i="47" s="1"/>
  <c r="J41" i="47"/>
  <c r="J37" i="47"/>
  <c r="J34" i="47"/>
  <c r="J33" i="47"/>
  <c r="J35" i="47"/>
  <c r="J42" i="47"/>
  <c r="J39" i="47"/>
  <c r="J32" i="47"/>
  <c r="J43" i="47" s="1"/>
  <c r="J45" i="47" s="1"/>
  <c r="J36" i="47"/>
  <c r="J31" i="47"/>
  <c r="J38" i="47"/>
  <c r="J40" i="47"/>
  <c r="H153" i="46"/>
  <c r="C26" i="43" s="1"/>
  <c r="S151" i="46"/>
  <c r="E329" i="3"/>
  <c r="N67" i="47"/>
  <c r="I232" i="46"/>
  <c r="I231" i="46"/>
  <c r="I233" i="46"/>
  <c r="S120" i="54"/>
  <c r="S54" i="47"/>
  <c r="N69" i="47"/>
  <c r="N106" i="47"/>
  <c r="I238" i="46"/>
  <c r="I241" i="46"/>
  <c r="I239" i="46"/>
  <c r="I240" i="46"/>
  <c r="S226" i="46"/>
  <c r="N52" i="47"/>
  <c r="P86" i="47"/>
  <c r="P147" i="47"/>
  <c r="N48" i="47"/>
  <c r="Q64" i="47"/>
  <c r="H232" i="46"/>
  <c r="H231" i="46"/>
  <c r="H233" i="46"/>
  <c r="I320" i="46"/>
  <c r="I319" i="46"/>
  <c r="I322" i="46"/>
  <c r="I321" i="46"/>
  <c r="P123" i="47"/>
  <c r="P152" i="47"/>
  <c r="P61" i="47"/>
  <c r="P126" i="47"/>
  <c r="L48" i="47"/>
  <c r="L56" i="47"/>
  <c r="P52" i="47"/>
  <c r="P49" i="47"/>
  <c r="P107" i="47"/>
  <c r="N114" i="47"/>
  <c r="N122" i="44"/>
  <c r="E123" i="44"/>
  <c r="N123" i="44" s="1"/>
  <c r="N95" i="47"/>
  <c r="N113" i="47"/>
  <c r="N115" i="47"/>
  <c r="N138" i="47"/>
  <c r="N152" i="47"/>
  <c r="F136" i="44"/>
  <c r="K311" i="46"/>
  <c r="M43" i="47"/>
  <c r="M45" i="47" s="1"/>
  <c r="N80" i="47"/>
  <c r="D329" i="3"/>
  <c r="N107" i="47"/>
  <c r="N108" i="47"/>
  <c r="N97" i="47"/>
  <c r="Q154" i="47"/>
  <c r="R146" i="47"/>
  <c r="R92" i="47"/>
  <c r="R162" i="47"/>
  <c r="R147" i="47"/>
  <c r="R143" i="47"/>
  <c r="R128" i="47"/>
  <c r="R124" i="47"/>
  <c r="R79" i="47"/>
  <c r="R80" i="47"/>
  <c r="R36" i="47"/>
  <c r="R43" i="47" s="1"/>
  <c r="R45" i="47" s="1"/>
  <c r="R108" i="47"/>
  <c r="R114" i="47"/>
  <c r="R40" i="47"/>
  <c r="R85" i="47"/>
  <c r="R97" i="47"/>
  <c r="L27" i="43"/>
  <c r="R81" i="47" s="1"/>
  <c r="R84" i="47"/>
  <c r="R142" i="47"/>
  <c r="R69" i="47"/>
  <c r="R157" i="47"/>
  <c r="R77" i="47"/>
  <c r="R64" i="47"/>
  <c r="R102" i="47"/>
  <c r="R116" i="47"/>
  <c r="H319" i="46"/>
  <c r="H320" i="46"/>
  <c r="H322" i="46"/>
  <c r="H321" i="46"/>
  <c r="K127" i="54"/>
  <c r="K121" i="59" s="1"/>
  <c r="K125" i="59" s="1"/>
  <c r="K126" i="54"/>
  <c r="K129" i="54"/>
  <c r="K121" i="61" s="1"/>
  <c r="K127" i="61" s="1"/>
  <c r="K125" i="54"/>
  <c r="K128" i="54"/>
  <c r="K121" i="60" s="1"/>
  <c r="K126" i="60" s="1"/>
  <c r="N70" i="47"/>
  <c r="Q72" i="47"/>
  <c r="Q95" i="47"/>
  <c r="Q39" i="47"/>
  <c r="Q114" i="47"/>
  <c r="S36" i="47"/>
  <c r="S43" i="47" s="1"/>
  <c r="S45" i="47" s="1"/>
  <c r="Q69" i="47"/>
  <c r="N83" i="44"/>
  <c r="E84" i="44"/>
  <c r="N84" i="44" s="1"/>
  <c r="Q77" i="47"/>
  <c r="G27" i="43"/>
  <c r="M106" i="47" s="1"/>
  <c r="M108" i="47"/>
  <c r="P157" i="47"/>
  <c r="P71" i="47"/>
  <c r="P72" i="47"/>
  <c r="P137" i="47"/>
  <c r="M78" i="47"/>
  <c r="K27" i="43"/>
  <c r="N25" i="43"/>
  <c r="Q107" i="47"/>
  <c r="Q81" i="47"/>
  <c r="Q41" i="47"/>
  <c r="Q112" i="47"/>
  <c r="Q36" i="47"/>
  <c r="Q80" i="47"/>
  <c r="M121" i="57"/>
  <c r="M123" i="57" s="1"/>
  <c r="M122" i="58"/>
  <c r="M125" i="58" s="1"/>
  <c r="Q91" i="47"/>
  <c r="L49" i="47"/>
  <c r="M67" i="47"/>
  <c r="P97" i="47"/>
  <c r="J314" i="46"/>
  <c r="J316" i="46" s="1"/>
  <c r="E32" i="43" s="1"/>
  <c r="J315" i="46"/>
  <c r="N118" i="44"/>
  <c r="C119" i="44"/>
  <c r="N119" i="44" s="1"/>
  <c r="L301" i="3"/>
  <c r="P123" i="54"/>
  <c r="K35" i="43" s="1"/>
  <c r="Q78" i="47" s="1"/>
  <c r="N87" i="47"/>
  <c r="C54" i="44"/>
  <c r="N54" i="44" s="1"/>
  <c r="N53" i="44"/>
  <c r="K231" i="46"/>
  <c r="K234" i="46" s="1"/>
  <c r="F29" i="43" s="1"/>
  <c r="K232" i="46"/>
  <c r="K233" i="46"/>
  <c r="C28" i="43"/>
  <c r="N28" i="43" s="1"/>
  <c r="N135" i="44"/>
  <c r="N77" i="47"/>
  <c r="N112" i="47"/>
  <c r="N82" i="47"/>
  <c r="N83" i="47"/>
  <c r="N154" i="47"/>
  <c r="N144" i="47"/>
  <c r="N132" i="47"/>
  <c r="N142" i="47"/>
  <c r="N153" i="47"/>
  <c r="N155" i="47"/>
  <c r="N145" i="47"/>
  <c r="N84" i="47"/>
  <c r="T28" i="47"/>
  <c r="T30" i="47" s="1"/>
  <c r="H316" i="46"/>
  <c r="C32" i="43" s="1"/>
  <c r="N96" i="47"/>
  <c r="K43" i="47"/>
  <c r="K45" i="47" s="1"/>
  <c r="N117" i="47"/>
  <c r="J234" i="46"/>
  <c r="E29" i="43" s="1"/>
  <c r="N94" i="47"/>
  <c r="L43" i="47"/>
  <c r="L45" i="47" s="1"/>
  <c r="N130" i="47"/>
  <c r="N143" i="47"/>
  <c r="N159" i="47"/>
  <c r="N121" i="47"/>
  <c r="N124" i="47"/>
  <c r="N137" i="47"/>
  <c r="N122" i="47"/>
  <c r="N160" i="47"/>
  <c r="N128" i="47"/>
  <c r="N81" i="47"/>
  <c r="N123" i="54"/>
  <c r="I35" i="43" s="1"/>
  <c r="O160" i="47" s="1"/>
  <c r="S122" i="54"/>
  <c r="S56" i="47"/>
  <c r="S153" i="47"/>
  <c r="S147" i="47"/>
  <c r="S128" i="47"/>
  <c r="S92" i="47"/>
  <c r="M27" i="43"/>
  <c r="S50" i="47" s="1"/>
  <c r="Q92" i="47"/>
  <c r="N116" i="47"/>
  <c r="Q147" i="47"/>
  <c r="Q40" i="47"/>
  <c r="S116" i="47"/>
  <c r="N330" i="3"/>
  <c r="R318" i="46" s="1"/>
  <c r="R121" i="54"/>
  <c r="R123" i="54" s="1"/>
  <c r="M35" i="43" s="1"/>
  <c r="N92" i="47"/>
  <c r="N63" i="47"/>
  <c r="R42" i="47"/>
  <c r="R70" i="47"/>
  <c r="Q32" i="47"/>
  <c r="Q43" i="47" s="1"/>
  <c r="Q45" i="47" s="1"/>
  <c r="P132" i="47"/>
  <c r="S40" i="47"/>
  <c r="Q52" i="47"/>
  <c r="N92" i="44"/>
  <c r="C93" i="44"/>
  <c r="N93" i="44" s="1"/>
  <c r="P307" i="46"/>
  <c r="S307" i="46" s="1"/>
  <c r="P315" i="46"/>
  <c r="P316" i="46" s="1"/>
  <c r="K32" i="43" s="1"/>
  <c r="Q162" i="47" s="1"/>
  <c r="P95" i="47"/>
  <c r="P112" i="47"/>
  <c r="P98" i="47"/>
  <c r="O123" i="54"/>
  <c r="J35" i="43" s="1"/>
  <c r="P81" i="47" s="1"/>
  <c r="L47" i="47"/>
  <c r="L53" i="47"/>
  <c r="P64" i="47"/>
  <c r="P161" i="47"/>
  <c r="S152" i="46"/>
  <c r="N26" i="43" l="1"/>
  <c r="I65" i="47"/>
  <c r="I34" i="47"/>
  <c r="T34" i="47" s="1"/>
  <c r="I46" i="47"/>
  <c r="I35" i="47"/>
  <c r="T35" i="47" s="1"/>
  <c r="I49" i="47"/>
  <c r="I37" i="47"/>
  <c r="T37" i="47" s="1"/>
  <c r="I41" i="47"/>
  <c r="T41" i="47" s="1"/>
  <c r="I55" i="47"/>
  <c r="I31" i="47"/>
  <c r="I72" i="47"/>
  <c r="I32" i="47"/>
  <c r="T32" i="47" s="1"/>
  <c r="I56" i="47"/>
  <c r="I38" i="47"/>
  <c r="T38" i="47" s="1"/>
  <c r="I57" i="47"/>
  <c r="I53" i="47"/>
  <c r="I51" i="47"/>
  <c r="I54" i="47"/>
  <c r="I42" i="47"/>
  <c r="T42" i="47" s="1"/>
  <c r="I33" i="47"/>
  <c r="T33" i="47" s="1"/>
  <c r="I39" i="47"/>
  <c r="T39" i="47" s="1"/>
  <c r="I40" i="47"/>
  <c r="T40" i="47" s="1"/>
  <c r="I36" i="47"/>
  <c r="T36" i="47" s="1"/>
  <c r="P73" i="47"/>
  <c r="P75" i="47" s="1"/>
  <c r="P100" i="47"/>
  <c r="S108" i="47"/>
  <c r="S132" i="47"/>
  <c r="P121" i="47"/>
  <c r="S102" i="47"/>
  <c r="P80" i="47"/>
  <c r="P82" i="47"/>
  <c r="P113" i="47"/>
  <c r="P91" i="47"/>
  <c r="S233" i="46"/>
  <c r="S52" i="47"/>
  <c r="Q116" i="47"/>
  <c r="S144" i="47"/>
  <c r="Q124" i="47"/>
  <c r="S80" i="47"/>
  <c r="O137" i="47"/>
  <c r="O117" i="47"/>
  <c r="O92" i="47"/>
  <c r="O122" i="47"/>
  <c r="O128" i="47"/>
  <c r="O132" i="47"/>
  <c r="O106" i="47"/>
  <c r="O99" i="47"/>
  <c r="O86" i="47"/>
  <c r="O125" i="47"/>
  <c r="O153" i="47"/>
  <c r="O156" i="47"/>
  <c r="O98" i="47"/>
  <c r="O81" i="47"/>
  <c r="O121" i="47"/>
  <c r="O101" i="47"/>
  <c r="O126" i="47"/>
  <c r="O147" i="47"/>
  <c r="F31" i="43"/>
  <c r="L152" i="47" s="1"/>
  <c r="N136" i="44"/>
  <c r="N73" i="47"/>
  <c r="N75" i="47" s="1"/>
  <c r="N88" i="47" s="1"/>
  <c r="N90" i="47" s="1"/>
  <c r="N103" i="47" s="1"/>
  <c r="N105" i="47" s="1"/>
  <c r="N118" i="47" s="1"/>
  <c r="P127" i="47"/>
  <c r="P154" i="47"/>
  <c r="S63" i="47"/>
  <c r="S154" i="47"/>
  <c r="S83" i="47"/>
  <c r="S81" i="47"/>
  <c r="K114" i="47"/>
  <c r="K63" i="47"/>
  <c r="K102" i="47"/>
  <c r="K81" i="47"/>
  <c r="K106" i="47"/>
  <c r="K48" i="47"/>
  <c r="K77" i="47"/>
  <c r="K107" i="47"/>
  <c r="K108" i="47"/>
  <c r="K65" i="47"/>
  <c r="K91" i="47"/>
  <c r="K46" i="47"/>
  <c r="K76" i="47"/>
  <c r="K109" i="47"/>
  <c r="K97" i="47"/>
  <c r="K116" i="47"/>
  <c r="K52" i="47"/>
  <c r="K69" i="47"/>
  <c r="K64" i="47"/>
  <c r="K79" i="47"/>
  <c r="K85" i="47"/>
  <c r="K80" i="47"/>
  <c r="K54" i="47"/>
  <c r="K78" i="47"/>
  <c r="K71" i="47"/>
  <c r="K47" i="47"/>
  <c r="K100" i="47"/>
  <c r="K145" i="47"/>
  <c r="K127" i="47"/>
  <c r="K151" i="47"/>
  <c r="K152" i="47"/>
  <c r="K153" i="47"/>
  <c r="K129" i="47"/>
  <c r="K136" i="47"/>
  <c r="K142" i="47"/>
  <c r="K122" i="47"/>
  <c r="K67" i="47"/>
  <c r="K49" i="47"/>
  <c r="K56" i="47"/>
  <c r="K51" i="47"/>
  <c r="K112" i="47"/>
  <c r="K98" i="47"/>
  <c r="K95" i="47"/>
  <c r="K83" i="47"/>
  <c r="K92" i="47"/>
  <c r="K141" i="47"/>
  <c r="K157" i="47"/>
  <c r="K137" i="47"/>
  <c r="K131" i="47"/>
  <c r="K140" i="47"/>
  <c r="K143" i="47"/>
  <c r="K66" i="47"/>
  <c r="K70" i="47"/>
  <c r="K82" i="47"/>
  <c r="K61" i="47"/>
  <c r="K138" i="47"/>
  <c r="K156" i="47"/>
  <c r="K128" i="47"/>
  <c r="K147" i="47"/>
  <c r="K144" i="47"/>
  <c r="K132" i="47"/>
  <c r="K146" i="47"/>
  <c r="K155" i="47"/>
  <c r="K160" i="47"/>
  <c r="K101" i="47"/>
  <c r="K57" i="47"/>
  <c r="K68" i="47"/>
  <c r="K55" i="47"/>
  <c r="K72" i="47"/>
  <c r="K94" i="47"/>
  <c r="K117" i="47"/>
  <c r="K130" i="47"/>
  <c r="K113" i="47"/>
  <c r="K53" i="47"/>
  <c r="K158" i="47"/>
  <c r="K121" i="47"/>
  <c r="K125" i="47"/>
  <c r="K162" i="47"/>
  <c r="K161" i="47"/>
  <c r="K139" i="47"/>
  <c r="K123" i="47"/>
  <c r="K124" i="47"/>
  <c r="K126" i="47"/>
  <c r="K99" i="47"/>
  <c r="K115" i="47"/>
  <c r="K50" i="47"/>
  <c r="K84" i="47"/>
  <c r="K93" i="47"/>
  <c r="K62" i="47"/>
  <c r="K86" i="47"/>
  <c r="K159" i="47"/>
  <c r="K154" i="47"/>
  <c r="K96" i="47"/>
  <c r="K87" i="47"/>
  <c r="L54" i="47"/>
  <c r="Q136" i="47"/>
  <c r="Q106" i="47"/>
  <c r="P140" i="47"/>
  <c r="S78" i="47"/>
  <c r="K121" i="57"/>
  <c r="K123" i="57" s="1"/>
  <c r="K122" i="58"/>
  <c r="K125" i="58" s="1"/>
  <c r="P122" i="47"/>
  <c r="P115" i="47"/>
  <c r="S131" i="47"/>
  <c r="S91" i="47"/>
  <c r="Q128" i="47"/>
  <c r="S109" i="47"/>
  <c r="S48" i="47"/>
  <c r="S139" i="47"/>
  <c r="S158" i="47"/>
  <c r="S47" i="47"/>
  <c r="S107" i="47"/>
  <c r="Q109" i="47"/>
  <c r="Q99" i="47"/>
  <c r="Q61" i="47"/>
  <c r="Q152" i="47"/>
  <c r="Q98" i="47"/>
  <c r="Q151" i="47"/>
  <c r="Q66" i="47"/>
  <c r="Q62" i="47"/>
  <c r="Q145" i="47"/>
  <c r="Q126" i="47"/>
  <c r="Q65" i="47"/>
  <c r="Q161" i="47"/>
  <c r="Q53" i="47"/>
  <c r="Q71" i="47"/>
  <c r="Q97" i="47"/>
  <c r="Q129" i="47"/>
  <c r="Q87" i="47"/>
  <c r="Q159" i="47"/>
  <c r="Q122" i="47"/>
  <c r="Q76" i="47"/>
  <c r="Q157" i="47"/>
  <c r="Q68" i="47"/>
  <c r="Q101" i="47"/>
  <c r="Q121" i="47"/>
  <c r="Q55" i="47"/>
  <c r="Q57" i="47"/>
  <c r="Q94" i="47"/>
  <c r="Q50" i="47"/>
  <c r="Q115" i="47"/>
  <c r="Q144" i="47"/>
  <c r="Q86" i="47"/>
  <c r="Q153" i="47"/>
  <c r="Q141" i="47"/>
  <c r="Q113" i="47"/>
  <c r="Q82" i="47"/>
  <c r="Q46" i="47"/>
  <c r="Q58" i="47" s="1"/>
  <c r="Q60" i="47" s="1"/>
  <c r="Q73" i="47" s="1"/>
  <c r="Q75" i="47" s="1"/>
  <c r="Q88" i="47" s="1"/>
  <c r="Q90" i="47" s="1"/>
  <c r="Q103" i="47" s="1"/>
  <c r="Q105" i="47" s="1"/>
  <c r="Q118" i="47" s="1"/>
  <c r="Q49" i="47"/>
  <c r="Q131" i="47"/>
  <c r="Q54" i="47"/>
  <c r="Q158" i="47"/>
  <c r="Q138" i="47"/>
  <c r="Q140" i="47"/>
  <c r="Q56" i="47"/>
  <c r="Q142" i="47"/>
  <c r="Q96" i="47"/>
  <c r="Q146" i="47"/>
  <c r="Q93" i="47"/>
  <c r="Q156" i="47"/>
  <c r="Q67" i="47"/>
  <c r="Q155" i="47"/>
  <c r="Q51" i="47"/>
  <c r="Q47" i="47"/>
  <c r="Q123" i="47"/>
  <c r="Q130" i="47"/>
  <c r="Q125" i="47"/>
  <c r="Q84" i="47"/>
  <c r="Q83" i="47"/>
  <c r="Q48" i="47"/>
  <c r="Q139" i="47"/>
  <c r="Q160" i="47"/>
  <c r="Q117" i="47"/>
  <c r="Q137" i="47"/>
  <c r="Q70" i="47"/>
  <c r="P160" i="47"/>
  <c r="P139" i="47"/>
  <c r="P142" i="47"/>
  <c r="S65" i="47"/>
  <c r="R106" i="47"/>
  <c r="R78" i="47"/>
  <c r="R52" i="47"/>
  <c r="R71" i="47"/>
  <c r="R48" i="47"/>
  <c r="R107" i="47"/>
  <c r="R63" i="47"/>
  <c r="R132" i="47"/>
  <c r="R154" i="47"/>
  <c r="Q63" i="47"/>
  <c r="P116" i="47"/>
  <c r="L51" i="47"/>
  <c r="L46" i="47"/>
  <c r="P129" i="47"/>
  <c r="P96" i="47"/>
  <c r="P151" i="47"/>
  <c r="H234" i="46"/>
  <c r="C29" i="43" s="1"/>
  <c r="S231" i="46"/>
  <c r="S127" i="47"/>
  <c r="Q102" i="47"/>
  <c r="Q143" i="47"/>
  <c r="I317" i="46"/>
  <c r="I121" i="54"/>
  <c r="I123" i="54" s="1"/>
  <c r="D35" i="43" s="1"/>
  <c r="O112" i="47"/>
  <c r="O95" i="47"/>
  <c r="O100" i="47"/>
  <c r="O155" i="47"/>
  <c r="O141" i="47"/>
  <c r="O107" i="47"/>
  <c r="O83" i="47"/>
  <c r="O79" i="47"/>
  <c r="O151" i="47"/>
  <c r="O139" i="47"/>
  <c r="O158" i="47"/>
  <c r="O109" i="47"/>
  <c r="O93" i="47"/>
  <c r="O76" i="47"/>
  <c r="O88" i="47" s="1"/>
  <c r="O90" i="47" s="1"/>
  <c r="O103" i="47" s="1"/>
  <c r="O105" i="47" s="1"/>
  <c r="O118" i="47" s="1"/>
  <c r="O113" i="47"/>
  <c r="O136" i="47"/>
  <c r="O131" i="47"/>
  <c r="O78" i="47"/>
  <c r="H317" i="46"/>
  <c r="H121" i="54"/>
  <c r="P85" i="47"/>
  <c r="P84" i="47"/>
  <c r="P130" i="47"/>
  <c r="P136" i="47"/>
  <c r="P101" i="47"/>
  <c r="P83" i="47"/>
  <c r="P146" i="47"/>
  <c r="P143" i="47"/>
  <c r="P153" i="47"/>
  <c r="P79" i="47"/>
  <c r="P109" i="47"/>
  <c r="P78" i="47"/>
  <c r="P114" i="47"/>
  <c r="P131" i="47"/>
  <c r="P99" i="47"/>
  <c r="P155" i="47"/>
  <c r="P162" i="47"/>
  <c r="P76" i="47"/>
  <c r="P92" i="47"/>
  <c r="P87" i="47"/>
  <c r="P156" i="47"/>
  <c r="P124" i="47"/>
  <c r="P125" i="47"/>
  <c r="P144" i="47"/>
  <c r="S51" i="47"/>
  <c r="S125" i="47"/>
  <c r="S76" i="47"/>
  <c r="S66" i="47"/>
  <c r="S157" i="47"/>
  <c r="S152" i="47"/>
  <c r="S141" i="47"/>
  <c r="S55" i="47"/>
  <c r="S140" i="47"/>
  <c r="S70" i="47"/>
  <c r="S95" i="47"/>
  <c r="S142" i="47"/>
  <c r="S114" i="47"/>
  <c r="S123" i="47"/>
  <c r="S67" i="47"/>
  <c r="S106" i="47"/>
  <c r="S85" i="47"/>
  <c r="S94" i="47"/>
  <c r="S115" i="47"/>
  <c r="S113" i="47"/>
  <c r="S130" i="47"/>
  <c r="S129" i="47"/>
  <c r="S62" i="47"/>
  <c r="S57" i="47"/>
  <c r="S72" i="47"/>
  <c r="S71" i="47"/>
  <c r="S121" i="47"/>
  <c r="S53" i="47"/>
  <c r="S96" i="47"/>
  <c r="S117" i="47"/>
  <c r="S146" i="47"/>
  <c r="S99" i="47"/>
  <c r="S137" i="47"/>
  <c r="S82" i="47"/>
  <c r="S136" i="47"/>
  <c r="S84" i="47"/>
  <c r="S138" i="47"/>
  <c r="S69" i="47"/>
  <c r="S155" i="47"/>
  <c r="S77" i="47"/>
  <c r="S87" i="47"/>
  <c r="S68" i="47"/>
  <c r="S100" i="47"/>
  <c r="S101" i="47"/>
  <c r="S122" i="47"/>
  <c r="S98" i="47"/>
  <c r="S46" i="47"/>
  <c r="S58" i="47" s="1"/>
  <c r="S60" i="47" s="1"/>
  <c r="S73" i="47" s="1"/>
  <c r="S75" i="47" s="1"/>
  <c r="S88" i="47" s="1"/>
  <c r="S90" i="47" s="1"/>
  <c r="S103" i="47" s="1"/>
  <c r="S105" i="47" s="1"/>
  <c r="S118" i="47" s="1"/>
  <c r="S61" i="47"/>
  <c r="S161" i="47"/>
  <c r="S156" i="47"/>
  <c r="S145" i="47"/>
  <c r="S126" i="47"/>
  <c r="S93" i="47"/>
  <c r="S97" i="47"/>
  <c r="S64" i="47"/>
  <c r="S49" i="47"/>
  <c r="S112" i="47"/>
  <c r="S159" i="47"/>
  <c r="S160" i="47"/>
  <c r="S86" i="47"/>
  <c r="S79" i="47"/>
  <c r="S124" i="47"/>
  <c r="S143" i="47"/>
  <c r="S162" i="47"/>
  <c r="S151" i="47"/>
  <c r="K58" i="47"/>
  <c r="K60" i="47" s="1"/>
  <c r="K73" i="47" s="1"/>
  <c r="K75" i="47" s="1"/>
  <c r="K88" i="47" s="1"/>
  <c r="K90" i="47" s="1"/>
  <c r="K103" i="47" s="1"/>
  <c r="K105" i="47" s="1"/>
  <c r="K118" i="47" s="1"/>
  <c r="L55" i="47"/>
  <c r="L52" i="47"/>
  <c r="P108" i="47"/>
  <c r="L57" i="47"/>
  <c r="Q79" i="47"/>
  <c r="Q127" i="47"/>
  <c r="Q108" i="47"/>
  <c r="P94" i="47"/>
  <c r="P159" i="47"/>
  <c r="M77" i="47"/>
  <c r="M69" i="47"/>
  <c r="M117" i="47"/>
  <c r="M158" i="47"/>
  <c r="M156" i="47"/>
  <c r="M127" i="47"/>
  <c r="M125" i="47"/>
  <c r="M136" i="47"/>
  <c r="M130" i="47"/>
  <c r="M145" i="47"/>
  <c r="M72" i="47"/>
  <c r="M47" i="47"/>
  <c r="M58" i="47" s="1"/>
  <c r="M60" i="47" s="1"/>
  <c r="M73" i="47" s="1"/>
  <c r="M75" i="47" s="1"/>
  <c r="M88" i="47" s="1"/>
  <c r="M90" i="47" s="1"/>
  <c r="M103" i="47" s="1"/>
  <c r="M105" i="47" s="1"/>
  <c r="M118" i="47" s="1"/>
  <c r="M76" i="47"/>
  <c r="M101" i="47"/>
  <c r="M100" i="47"/>
  <c r="M94" i="47"/>
  <c r="M65" i="47"/>
  <c r="M115" i="47"/>
  <c r="M54" i="47"/>
  <c r="M157" i="47"/>
  <c r="M102" i="47"/>
  <c r="M52" i="47"/>
  <c r="M141" i="47"/>
  <c r="M123" i="47"/>
  <c r="M147" i="47"/>
  <c r="M132" i="47"/>
  <c r="M84" i="47"/>
  <c r="M55" i="47"/>
  <c r="M68" i="47"/>
  <c r="M144" i="47"/>
  <c r="M107" i="47"/>
  <c r="M154" i="47"/>
  <c r="M121" i="47"/>
  <c r="M124" i="47"/>
  <c r="M142" i="47"/>
  <c r="M137" i="47"/>
  <c r="M159" i="47"/>
  <c r="M160" i="47"/>
  <c r="M91" i="47"/>
  <c r="M70" i="47"/>
  <c r="M53" i="47"/>
  <c r="M122" i="47"/>
  <c r="M93" i="47"/>
  <c r="M131" i="47"/>
  <c r="M126" i="47"/>
  <c r="M71" i="47"/>
  <c r="M129" i="47"/>
  <c r="M153" i="47"/>
  <c r="M85" i="47"/>
  <c r="M63" i="47"/>
  <c r="M109" i="47"/>
  <c r="M79" i="47"/>
  <c r="M83" i="47"/>
  <c r="M155" i="47"/>
  <c r="M146" i="47"/>
  <c r="M143" i="47"/>
  <c r="M49" i="47"/>
  <c r="M95" i="47"/>
  <c r="M87" i="47"/>
  <c r="M80" i="47"/>
  <c r="M81" i="47"/>
  <c r="M151" i="47"/>
  <c r="M140" i="47"/>
  <c r="M152" i="47"/>
  <c r="M162" i="47"/>
  <c r="M161" i="47"/>
  <c r="M128" i="47"/>
  <c r="M139" i="47"/>
  <c r="M57" i="47"/>
  <c r="M62" i="47"/>
  <c r="M82" i="47"/>
  <c r="M46" i="47"/>
  <c r="M61" i="47"/>
  <c r="M113" i="47"/>
  <c r="M50" i="47"/>
  <c r="M96" i="47"/>
  <c r="M112" i="47"/>
  <c r="M114" i="47"/>
  <c r="M51" i="47"/>
  <c r="M92" i="47"/>
  <c r="M98" i="47"/>
  <c r="M116" i="47"/>
  <c r="M56" i="47"/>
  <c r="M64" i="47"/>
  <c r="M138" i="47"/>
  <c r="M99" i="47"/>
  <c r="M86" i="47"/>
  <c r="M66" i="47"/>
  <c r="M48" i="47"/>
  <c r="M97" i="47"/>
  <c r="P102" i="47"/>
  <c r="P158" i="47"/>
  <c r="R152" i="47"/>
  <c r="R159" i="47"/>
  <c r="R121" i="47"/>
  <c r="R95" i="47"/>
  <c r="R141" i="47"/>
  <c r="R115" i="47"/>
  <c r="R72" i="47"/>
  <c r="R122" i="47"/>
  <c r="R98" i="47"/>
  <c r="R68" i="47"/>
  <c r="R86" i="47"/>
  <c r="R125" i="47"/>
  <c r="R87" i="47"/>
  <c r="R51" i="47"/>
  <c r="R130" i="47"/>
  <c r="R47" i="47"/>
  <c r="R123" i="47"/>
  <c r="R117" i="47"/>
  <c r="R113" i="47"/>
  <c r="R67" i="47"/>
  <c r="R155" i="47"/>
  <c r="R100" i="47"/>
  <c r="R137" i="47"/>
  <c r="R50" i="47"/>
  <c r="R140" i="47"/>
  <c r="R153" i="47"/>
  <c r="R57" i="47"/>
  <c r="R112" i="47"/>
  <c r="R61" i="47"/>
  <c r="R109" i="47"/>
  <c r="R127" i="47"/>
  <c r="R161" i="47"/>
  <c r="R53" i="47"/>
  <c r="R101" i="47"/>
  <c r="R62" i="47"/>
  <c r="R151" i="47"/>
  <c r="R56" i="47"/>
  <c r="R55" i="47"/>
  <c r="R156" i="47"/>
  <c r="R91" i="47"/>
  <c r="R144" i="47"/>
  <c r="R93" i="47"/>
  <c r="R145" i="47"/>
  <c r="R126" i="47"/>
  <c r="R65" i="47"/>
  <c r="R129" i="47"/>
  <c r="R83" i="47"/>
  <c r="R99" i="47"/>
  <c r="R96" i="47"/>
  <c r="R66" i="47"/>
  <c r="R49" i="47"/>
  <c r="R131" i="47"/>
  <c r="R160" i="47"/>
  <c r="R94" i="47"/>
  <c r="R136" i="47"/>
  <c r="R46" i="47"/>
  <c r="R58" i="47" s="1"/>
  <c r="R60" i="47" s="1"/>
  <c r="R73" i="47" s="1"/>
  <c r="R75" i="47" s="1"/>
  <c r="R88" i="47" s="1"/>
  <c r="R90" i="47" s="1"/>
  <c r="R103" i="47" s="1"/>
  <c r="R105" i="47" s="1"/>
  <c r="R118" i="47" s="1"/>
  <c r="R76" i="47"/>
  <c r="R54" i="47"/>
  <c r="R139" i="47"/>
  <c r="R158" i="47"/>
  <c r="R138" i="47"/>
  <c r="Q132" i="47"/>
  <c r="K314" i="46"/>
  <c r="K316" i="46" s="1"/>
  <c r="F32" i="43" s="1"/>
  <c r="L162" i="47" s="1"/>
  <c r="K315" i="46"/>
  <c r="S315" i="46" s="1"/>
  <c r="P77" i="47"/>
  <c r="L123" i="47"/>
  <c r="L50" i="47"/>
  <c r="L58" i="47" s="1"/>
  <c r="L60" i="47" s="1"/>
  <c r="P145" i="47"/>
  <c r="P117" i="47"/>
  <c r="P138" i="47"/>
  <c r="P93" i="47"/>
  <c r="S232" i="46"/>
  <c r="P128" i="47"/>
  <c r="Q100" i="47"/>
  <c r="I234" i="46"/>
  <c r="D29" i="43" s="1"/>
  <c r="S153" i="46"/>
  <c r="P106" i="47"/>
  <c r="Q85" i="47"/>
  <c r="O87" i="47"/>
  <c r="O162" i="47"/>
  <c r="O146" i="47"/>
  <c r="O97" i="47"/>
  <c r="O143" i="47"/>
  <c r="O85" i="47"/>
  <c r="O91" i="47"/>
  <c r="O129" i="47"/>
  <c r="O161" i="47"/>
  <c r="O115" i="47"/>
  <c r="O144" i="47"/>
  <c r="O96" i="47"/>
  <c r="O138" i="47"/>
  <c r="O114" i="47"/>
  <c r="O140" i="47"/>
  <c r="O142" i="47"/>
  <c r="P141" i="47"/>
  <c r="R82" i="47"/>
  <c r="O80" i="47"/>
  <c r="O77" i="47"/>
  <c r="O152" i="47"/>
  <c r="O82" i="47"/>
  <c r="O124" i="47"/>
  <c r="O157" i="47"/>
  <c r="O159" i="47"/>
  <c r="O116" i="47"/>
  <c r="O130" i="47"/>
  <c r="O108" i="47"/>
  <c r="O94" i="47"/>
  <c r="O154" i="47"/>
  <c r="O123" i="47"/>
  <c r="O102" i="47"/>
  <c r="O127" i="47"/>
  <c r="O84" i="47"/>
  <c r="O145" i="47"/>
  <c r="L37" i="43" l="1"/>
  <c r="L38" i="43" s="1"/>
  <c r="R120" i="47"/>
  <c r="R133" i="47" s="1"/>
  <c r="R135" i="47" s="1"/>
  <c r="R148" i="47" s="1"/>
  <c r="R150" i="47" s="1"/>
  <c r="R163" i="47" s="1"/>
  <c r="G37" i="43"/>
  <c r="G38" i="43" s="1"/>
  <c r="M120" i="47"/>
  <c r="M133" i="47" s="1"/>
  <c r="M135" i="47" s="1"/>
  <c r="M148" i="47" s="1"/>
  <c r="M150" i="47" s="1"/>
  <c r="M163" i="47" s="1"/>
  <c r="K37" i="43"/>
  <c r="K38" i="43" s="1"/>
  <c r="Q120" i="47"/>
  <c r="Q133" i="47" s="1"/>
  <c r="Q135" i="47" s="1"/>
  <c r="Q148" i="47" s="1"/>
  <c r="Q150" i="47" s="1"/>
  <c r="Q163" i="47" s="1"/>
  <c r="M37" i="43"/>
  <c r="M38" i="43" s="1"/>
  <c r="S120" i="47"/>
  <c r="S133" i="47" s="1"/>
  <c r="S135" i="47" s="1"/>
  <c r="S148" i="47" s="1"/>
  <c r="S150" i="47" s="1"/>
  <c r="S163" i="47" s="1"/>
  <c r="I37" i="43"/>
  <c r="I38" i="43" s="1"/>
  <c r="O120" i="47"/>
  <c r="O133" i="47" s="1"/>
  <c r="O135" i="47" s="1"/>
  <c r="O148" i="47" s="1"/>
  <c r="O150" i="47" s="1"/>
  <c r="O163" i="47" s="1"/>
  <c r="J132" i="47"/>
  <c r="J154" i="47"/>
  <c r="J130" i="47"/>
  <c r="J151" i="47"/>
  <c r="J127" i="47"/>
  <c r="J129" i="47"/>
  <c r="J131" i="47"/>
  <c r="J145" i="47"/>
  <c r="J161" i="47"/>
  <c r="J146" i="47"/>
  <c r="J55" i="47"/>
  <c r="J84" i="47"/>
  <c r="J113" i="47"/>
  <c r="J87" i="47"/>
  <c r="J57" i="47"/>
  <c r="J76" i="47"/>
  <c r="J67" i="47"/>
  <c r="J72" i="47"/>
  <c r="J100" i="47"/>
  <c r="J109" i="47"/>
  <c r="J93" i="47"/>
  <c r="J52" i="47"/>
  <c r="J82" i="47"/>
  <c r="J54" i="47"/>
  <c r="J92" i="47"/>
  <c r="J63" i="47"/>
  <c r="J160" i="47"/>
  <c r="J125" i="47"/>
  <c r="J136" i="47"/>
  <c r="J152" i="47"/>
  <c r="J123" i="47"/>
  <c r="J153" i="47"/>
  <c r="J155" i="47"/>
  <c r="J159" i="47"/>
  <c r="J144" i="47"/>
  <c r="J96" i="47"/>
  <c r="J112" i="47"/>
  <c r="J91" i="47"/>
  <c r="J46" i="47"/>
  <c r="J53" i="47"/>
  <c r="J80" i="47"/>
  <c r="J101" i="47"/>
  <c r="J81" i="47"/>
  <c r="J78" i="47"/>
  <c r="J69" i="47"/>
  <c r="J115" i="47"/>
  <c r="J102" i="47"/>
  <c r="J114" i="47"/>
  <c r="J106" i="47"/>
  <c r="J121" i="47"/>
  <c r="J139" i="47"/>
  <c r="J137" i="47"/>
  <c r="J142" i="47"/>
  <c r="J124" i="47"/>
  <c r="J70" i="47"/>
  <c r="J71" i="47"/>
  <c r="J51" i="47"/>
  <c r="T51" i="47" s="1"/>
  <c r="J108" i="47"/>
  <c r="J116" i="47"/>
  <c r="J79" i="47"/>
  <c r="J138" i="47"/>
  <c r="J162" i="47"/>
  <c r="J141" i="47"/>
  <c r="J156" i="47"/>
  <c r="J158" i="47"/>
  <c r="J126" i="47"/>
  <c r="J140" i="47"/>
  <c r="J143" i="47"/>
  <c r="J128" i="47"/>
  <c r="J50" i="47"/>
  <c r="J66" i="47"/>
  <c r="J117" i="47"/>
  <c r="J65" i="47"/>
  <c r="J98" i="47"/>
  <c r="J86" i="47"/>
  <c r="J49" i="47"/>
  <c r="J94" i="47"/>
  <c r="J47" i="47"/>
  <c r="J95" i="47"/>
  <c r="J85" i="47"/>
  <c r="J97" i="47"/>
  <c r="J64" i="47"/>
  <c r="J62" i="47"/>
  <c r="J107" i="47"/>
  <c r="J157" i="47"/>
  <c r="J122" i="47"/>
  <c r="J147" i="47"/>
  <c r="J56" i="47"/>
  <c r="T56" i="47" s="1"/>
  <c r="J83" i="47"/>
  <c r="J61" i="47"/>
  <c r="J99" i="47"/>
  <c r="J68" i="47"/>
  <c r="J77" i="47"/>
  <c r="J48" i="47"/>
  <c r="E37" i="43"/>
  <c r="E38" i="43" s="1"/>
  <c r="K120" i="47"/>
  <c r="K133" i="47" s="1"/>
  <c r="K135" i="47" s="1"/>
  <c r="K148" i="47" s="1"/>
  <c r="K150" i="47" s="1"/>
  <c r="K163" i="47" s="1"/>
  <c r="L161" i="47"/>
  <c r="L138" i="47"/>
  <c r="L70" i="47"/>
  <c r="L125" i="47"/>
  <c r="L78" i="47"/>
  <c r="L137" i="47"/>
  <c r="L61" i="47"/>
  <c r="L73" i="47" s="1"/>
  <c r="L75" i="47" s="1"/>
  <c r="L88" i="47" s="1"/>
  <c r="L90" i="47" s="1"/>
  <c r="L103" i="47" s="1"/>
  <c r="L105" i="47" s="1"/>
  <c r="L118" i="47" s="1"/>
  <c r="L95" i="47"/>
  <c r="L124" i="47"/>
  <c r="L115" i="47"/>
  <c r="L143" i="47"/>
  <c r="L106" i="47"/>
  <c r="L146" i="47"/>
  <c r="L153" i="47"/>
  <c r="L114" i="47"/>
  <c r="L131" i="47"/>
  <c r="I47" i="47"/>
  <c r="I78" i="47"/>
  <c r="T78" i="47" s="1"/>
  <c r="I52" i="47"/>
  <c r="T52" i="47" s="1"/>
  <c r="I62" i="47"/>
  <c r="I66" i="47"/>
  <c r="T66" i="47" s="1"/>
  <c r="I70" i="47"/>
  <c r="T70" i="47" s="1"/>
  <c r="I67" i="47"/>
  <c r="I76" i="47"/>
  <c r="T76" i="47" s="1"/>
  <c r="I71" i="47"/>
  <c r="T71" i="47" s="1"/>
  <c r="I121" i="47"/>
  <c r="T121" i="47" s="1"/>
  <c r="I137" i="47"/>
  <c r="T137" i="47" s="1"/>
  <c r="I145" i="47"/>
  <c r="T145" i="47" s="1"/>
  <c r="L69" i="47"/>
  <c r="L86" i="47"/>
  <c r="L68" i="47"/>
  <c r="S121" i="54"/>
  <c r="S123" i="54" s="1"/>
  <c r="H123" i="54"/>
  <c r="C35" i="43" s="1"/>
  <c r="I130" i="47" s="1"/>
  <c r="T130" i="47" s="1"/>
  <c r="L72" i="47"/>
  <c r="S314" i="46"/>
  <c r="S316" i="46" s="1"/>
  <c r="L83" i="47"/>
  <c r="P88" i="47"/>
  <c r="P90" i="47" s="1"/>
  <c r="P103" i="47" s="1"/>
  <c r="P105" i="47" s="1"/>
  <c r="P118" i="47" s="1"/>
  <c r="T57" i="47"/>
  <c r="T72" i="47"/>
  <c r="T49" i="47"/>
  <c r="T46" i="47"/>
  <c r="L76" i="47"/>
  <c r="L108" i="47"/>
  <c r="L102" i="47"/>
  <c r="L113" i="47"/>
  <c r="L112" i="47"/>
  <c r="L147" i="47"/>
  <c r="L77" i="47"/>
  <c r="L66" i="47"/>
  <c r="L160" i="47"/>
  <c r="L121" i="47"/>
  <c r="S234" i="46"/>
  <c r="L157" i="47"/>
  <c r="L71" i="47"/>
  <c r="L139" i="47"/>
  <c r="L100" i="47"/>
  <c r="L87" i="47"/>
  <c r="L91" i="47"/>
  <c r="L142" i="47"/>
  <c r="L132" i="47"/>
  <c r="L101" i="47"/>
  <c r="L122" i="47"/>
  <c r="L107" i="47"/>
  <c r="L98" i="47"/>
  <c r="L144" i="47"/>
  <c r="L81" i="47"/>
  <c r="L154" i="47"/>
  <c r="N31" i="43"/>
  <c r="L116" i="47"/>
  <c r="L65" i="47"/>
  <c r="L140" i="47"/>
  <c r="L136" i="47"/>
  <c r="L92" i="47"/>
  <c r="L159" i="47"/>
  <c r="L63" i="47"/>
  <c r="L151" i="47"/>
  <c r="L126" i="47"/>
  <c r="L155" i="47"/>
  <c r="L62" i="47"/>
  <c r="L128" i="47"/>
  <c r="L82" i="47"/>
  <c r="L94" i="47"/>
  <c r="I107" i="47"/>
  <c r="T107" i="47" s="1"/>
  <c r="I98" i="47"/>
  <c r="T98" i="47" s="1"/>
  <c r="I79" i="47"/>
  <c r="I63" i="47"/>
  <c r="I64" i="47"/>
  <c r="T64" i="47" s="1"/>
  <c r="I116" i="47"/>
  <c r="T116" i="47" s="1"/>
  <c r="I96" i="47"/>
  <c r="T96" i="47" s="1"/>
  <c r="I50" i="47"/>
  <c r="T50" i="47" s="1"/>
  <c r="I68" i="47"/>
  <c r="T31" i="47"/>
  <c r="T43" i="47" s="1"/>
  <c r="T45" i="47" s="1"/>
  <c r="I43" i="47"/>
  <c r="I45" i="47" s="1"/>
  <c r="I113" i="47"/>
  <c r="T113" i="47" s="1"/>
  <c r="I144" i="47"/>
  <c r="T144" i="47" s="1"/>
  <c r="I158" i="47"/>
  <c r="I131" i="47"/>
  <c r="T131" i="47" s="1"/>
  <c r="I126" i="47"/>
  <c r="T126" i="47" s="1"/>
  <c r="I143" i="47"/>
  <c r="T143" i="47" s="1"/>
  <c r="I154" i="47"/>
  <c r="T154" i="47" s="1"/>
  <c r="L130" i="47"/>
  <c r="L84" i="47"/>
  <c r="L96" i="47"/>
  <c r="T54" i="47"/>
  <c r="T53" i="47"/>
  <c r="T55" i="47"/>
  <c r="T65" i="47"/>
  <c r="L158" i="47"/>
  <c r="L117" i="47"/>
  <c r="L64" i="47"/>
  <c r="L141" i="47"/>
  <c r="L80" i="47"/>
  <c r="L109" i="47"/>
  <c r="L67" i="47"/>
  <c r="L127" i="47"/>
  <c r="L129" i="47"/>
  <c r="N29" i="43"/>
  <c r="L85" i="47"/>
  <c r="L145" i="47"/>
  <c r="L99" i="47"/>
  <c r="N32" i="43"/>
  <c r="L79" i="47"/>
  <c r="H37" i="43"/>
  <c r="H38" i="43" s="1"/>
  <c r="N120" i="47"/>
  <c r="N133" i="47" s="1"/>
  <c r="N135" i="47" s="1"/>
  <c r="N148" i="47" s="1"/>
  <c r="N150" i="47" s="1"/>
  <c r="N163" i="47" s="1"/>
  <c r="L97" i="47"/>
  <c r="L156" i="47"/>
  <c r="L93" i="47"/>
  <c r="I81" i="47"/>
  <c r="T81" i="47" s="1"/>
  <c r="I48" i="47"/>
  <c r="T48" i="47" s="1"/>
  <c r="I114" i="47"/>
  <c r="T114" i="47" s="1"/>
  <c r="I108" i="47"/>
  <c r="I69" i="47"/>
  <c r="I97" i="47"/>
  <c r="T97" i="47" s="1"/>
  <c r="I61" i="47"/>
  <c r="T61" i="47" s="1"/>
  <c r="I84" i="47"/>
  <c r="T84" i="47" s="1"/>
  <c r="I94" i="47"/>
  <c r="T94" i="47" s="1"/>
  <c r="I93" i="47"/>
  <c r="T93" i="47" s="1"/>
  <c r="I82" i="47"/>
  <c r="T82" i="47" s="1"/>
  <c r="I115" i="47"/>
  <c r="T115" i="47" s="1"/>
  <c r="I99" i="47"/>
  <c r="T99" i="47" s="1"/>
  <c r="I146" i="47"/>
  <c r="T146" i="47" s="1"/>
  <c r="I128" i="47"/>
  <c r="T128" i="47" s="1"/>
  <c r="I129" i="47"/>
  <c r="T129" i="47" s="1"/>
  <c r="I142" i="47"/>
  <c r="T142" i="47" s="1"/>
  <c r="I155" i="47"/>
  <c r="T155" i="47" s="1"/>
  <c r="I140" i="47"/>
  <c r="T140" i="47" s="1"/>
  <c r="F37" i="43" l="1"/>
  <c r="F38" i="43" s="1"/>
  <c r="L120" i="47"/>
  <c r="L133" i="47" s="1"/>
  <c r="L135" i="47" s="1"/>
  <c r="L148" i="47" s="1"/>
  <c r="L150" i="47" s="1"/>
  <c r="L163" i="47" s="1"/>
  <c r="T108" i="47"/>
  <c r="T158" i="47"/>
  <c r="T79" i="47"/>
  <c r="I161" i="47"/>
  <c r="T161" i="47" s="1"/>
  <c r="I123" i="47"/>
  <c r="T123" i="47" s="1"/>
  <c r="I83" i="47"/>
  <c r="T83" i="47" s="1"/>
  <c r="I106" i="47"/>
  <c r="T106" i="47" s="1"/>
  <c r="J58" i="47"/>
  <c r="J60" i="47" s="1"/>
  <c r="J73" i="47" s="1"/>
  <c r="J75" i="47" s="1"/>
  <c r="J88" i="47" s="1"/>
  <c r="J90" i="47" s="1"/>
  <c r="J103" i="47" s="1"/>
  <c r="J105" i="47" s="1"/>
  <c r="J118" i="47" s="1"/>
  <c r="T68" i="47"/>
  <c r="J37" i="43"/>
  <c r="J38" i="43" s="1"/>
  <c r="P120" i="47"/>
  <c r="P133" i="47" s="1"/>
  <c r="P135" i="47" s="1"/>
  <c r="P148" i="47" s="1"/>
  <c r="P150" i="47" s="1"/>
  <c r="P163" i="47" s="1"/>
  <c r="N35" i="43"/>
  <c r="I141" i="47"/>
  <c r="T141" i="47" s="1"/>
  <c r="I159" i="47"/>
  <c r="T159" i="47" s="1"/>
  <c r="I100" i="47"/>
  <c r="T100" i="47" s="1"/>
  <c r="I117" i="47"/>
  <c r="T117" i="47" s="1"/>
  <c r="I92" i="47"/>
  <c r="T92" i="47" s="1"/>
  <c r="I109" i="47"/>
  <c r="T109" i="47" s="1"/>
  <c r="I151" i="47"/>
  <c r="T151" i="47" s="1"/>
  <c r="I138" i="47"/>
  <c r="T138" i="47" s="1"/>
  <c r="I147" i="47"/>
  <c r="T147" i="47" s="1"/>
  <c r="I127" i="47"/>
  <c r="T127" i="47" s="1"/>
  <c r="I162" i="47"/>
  <c r="T162" i="47" s="1"/>
  <c r="I139" i="47"/>
  <c r="T139" i="47" s="1"/>
  <c r="I85" i="47"/>
  <c r="T85" i="47" s="1"/>
  <c r="I80" i="47"/>
  <c r="T80" i="47" s="1"/>
  <c r="I102" i="47"/>
  <c r="T102" i="47" s="1"/>
  <c r="I156" i="47"/>
  <c r="T156" i="47" s="1"/>
  <c r="I124" i="47"/>
  <c r="T124" i="47" s="1"/>
  <c r="I157" i="47"/>
  <c r="T157" i="47" s="1"/>
  <c r="I86" i="47"/>
  <c r="T86" i="47" s="1"/>
  <c r="I87" i="47"/>
  <c r="T87" i="47" s="1"/>
  <c r="I77" i="47"/>
  <c r="T77" i="47" s="1"/>
  <c r="I136" i="47"/>
  <c r="T136" i="47" s="1"/>
  <c r="I153" i="47"/>
  <c r="T153" i="47" s="1"/>
  <c r="I95" i="47"/>
  <c r="T95" i="47" s="1"/>
  <c r="I91" i="47"/>
  <c r="T91" i="47" s="1"/>
  <c r="T69" i="47"/>
  <c r="I101" i="47"/>
  <c r="T101" i="47" s="1"/>
  <c r="I125" i="47"/>
  <c r="T125" i="47" s="1"/>
  <c r="I152" i="47"/>
  <c r="T152" i="47" s="1"/>
  <c r="I58" i="47"/>
  <c r="I60" i="47" s="1"/>
  <c r="I73" i="47" s="1"/>
  <c r="I75" i="47" s="1"/>
  <c r="I112" i="47"/>
  <c r="T112" i="47" s="1"/>
  <c r="T63" i="47"/>
  <c r="I160" i="47"/>
  <c r="T160" i="47" s="1"/>
  <c r="I122" i="47"/>
  <c r="T122" i="47" s="1"/>
  <c r="I132" i="47"/>
  <c r="T132" i="47" s="1"/>
  <c r="T67" i="47"/>
  <c r="T62" i="47"/>
  <c r="T47" i="47"/>
  <c r="T58" i="47" s="1"/>
  <c r="T60" i="47" s="1"/>
  <c r="T73" i="47" s="1"/>
  <c r="T75" i="47" s="1"/>
  <c r="T88" i="47" s="1"/>
  <c r="T90" i="47" s="1"/>
  <c r="T103" i="47" s="1"/>
  <c r="T105" i="47" s="1"/>
  <c r="T118" i="47" s="1"/>
  <c r="T120" i="47" s="1"/>
  <c r="T133" i="47" s="1"/>
  <c r="T135" i="47" s="1"/>
  <c r="T148" i="47" s="1"/>
  <c r="T150" i="47" s="1"/>
  <c r="T163" i="47" s="1"/>
  <c r="D37" i="43" l="1"/>
  <c r="D38" i="43" s="1"/>
  <c r="J120" i="47"/>
  <c r="J133" i="47" s="1"/>
  <c r="J135" i="47" s="1"/>
  <c r="J148" i="47" s="1"/>
  <c r="J150" i="47" s="1"/>
  <c r="J163" i="47" s="1"/>
  <c r="I88" i="47"/>
  <c r="I90" i="47" s="1"/>
  <c r="I103" i="47" s="1"/>
  <c r="I105" i="47" s="1"/>
  <c r="I118" i="47" s="1"/>
  <c r="C37" i="43" l="1"/>
  <c r="I120" i="47"/>
  <c r="I133" i="47" s="1"/>
  <c r="I135" i="47" s="1"/>
  <c r="I148" i="47" s="1"/>
  <c r="I150" i="47" s="1"/>
  <c r="I163" i="47" s="1"/>
  <c r="N37" i="43" l="1"/>
  <c r="N38" i="43" s="1"/>
  <c r="H14" i="43" s="1"/>
  <c r="C38" i="43"/>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shapeId="0">
      <text>
        <r>
          <rPr>
            <b/>
            <sz val="9"/>
            <color indexed="81"/>
            <rFont val="Calibri"/>
            <family val="2"/>
          </rPr>
          <t>David Heeney:</t>
        </r>
        <r>
          <rPr>
            <sz val="9"/>
            <color indexed="81"/>
            <rFont val="Calibri"/>
            <family val="2"/>
          </rPr>
          <t xml:space="preserve">
Made consistent with decision (p.48 of settlement proposal)</t>
        </r>
      </text>
    </comment>
    <comment ref="F95"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08" authorId="2" shapeId="0">
      <text>
        <r>
          <rPr>
            <b/>
            <sz val="9"/>
            <color indexed="81"/>
            <rFont val="Calibri"/>
            <family val="2"/>
          </rPr>
          <t>David Heeney:</t>
        </r>
        <r>
          <rPr>
            <sz val="9"/>
            <color indexed="81"/>
            <rFont val="Calibri"/>
            <family val="2"/>
          </rPr>
          <t xml:space="preserve">
Made consistent with decision (p.48 of settlement proposal)</t>
        </r>
      </text>
    </comment>
    <comment ref="F108"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20" authorId="2" shapeId="0">
      <text>
        <r>
          <rPr>
            <b/>
            <sz val="9"/>
            <color indexed="81"/>
            <rFont val="Calibri"/>
            <family val="2"/>
          </rPr>
          <t>David Heeney:</t>
        </r>
        <r>
          <rPr>
            <sz val="9"/>
            <color indexed="81"/>
            <rFont val="Calibri"/>
            <family val="2"/>
          </rPr>
          <t xml:space="preserve">
Made consistent with decision (p.48 of settlement proposal)</t>
        </r>
      </text>
    </comment>
    <comment ref="F120" authorId="2" shapeId="0">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Josh Shook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shapeId="0">
      <text>
        <r>
          <rPr>
            <b/>
            <sz val="9"/>
            <color indexed="81"/>
            <rFont val="Tahoma"/>
            <family val="2"/>
          </rPr>
          <t>OEB Staff:</t>
        </r>
        <r>
          <rPr>
            <sz val="9"/>
            <color indexed="81"/>
            <rFont val="Tahoma"/>
            <family val="2"/>
          </rPr>
          <t xml:space="preserve">
Excludes demand response</t>
        </r>
      </text>
    </comment>
    <comment ref="I69" authorId="0" shapeId="0">
      <text>
        <r>
          <rPr>
            <b/>
            <sz val="9"/>
            <color indexed="81"/>
            <rFont val="Tahoma"/>
            <family val="2"/>
          </rPr>
          <t>OEB Staff:</t>
        </r>
        <r>
          <rPr>
            <sz val="9"/>
            <color indexed="81"/>
            <rFont val="Tahoma"/>
            <family val="2"/>
          </rPr>
          <t xml:space="preserve">
Excludes demand response</t>
        </r>
      </text>
    </comment>
    <comment ref="J69" authorId="0" shapeId="0">
      <text>
        <r>
          <rPr>
            <b/>
            <sz val="9"/>
            <color indexed="81"/>
            <rFont val="Tahoma"/>
            <family val="2"/>
          </rPr>
          <t>OEB Staff:</t>
        </r>
        <r>
          <rPr>
            <sz val="9"/>
            <color indexed="81"/>
            <rFont val="Tahoma"/>
            <family val="2"/>
          </rPr>
          <t xml:space="preserve">
Excludes demand response</t>
        </r>
      </text>
    </comment>
    <comment ref="K69" authorId="0" shapeId="0">
      <text>
        <r>
          <rPr>
            <b/>
            <sz val="9"/>
            <color indexed="81"/>
            <rFont val="Tahoma"/>
            <family val="2"/>
          </rPr>
          <t>OEB Staff:</t>
        </r>
        <r>
          <rPr>
            <sz val="9"/>
            <color indexed="81"/>
            <rFont val="Tahoma"/>
            <family val="2"/>
          </rPr>
          <t xml:space="preserve">
Excludes demand response</t>
        </r>
      </text>
    </comment>
    <comment ref="L69" authorId="0" shapeId="0">
      <text>
        <r>
          <rPr>
            <b/>
            <sz val="9"/>
            <color indexed="81"/>
            <rFont val="Tahoma"/>
            <family val="2"/>
          </rPr>
          <t>OEB Staff:</t>
        </r>
        <r>
          <rPr>
            <sz val="9"/>
            <color indexed="81"/>
            <rFont val="Tahoma"/>
            <family val="2"/>
          </rPr>
          <t xml:space="preserve">
Excludes demand response</t>
        </r>
      </text>
    </comment>
    <comment ref="M69" authorId="0" shapeId="0">
      <text>
        <r>
          <rPr>
            <b/>
            <sz val="9"/>
            <color indexed="81"/>
            <rFont val="Tahoma"/>
            <family val="2"/>
          </rPr>
          <t>OEB Staff:</t>
        </r>
        <r>
          <rPr>
            <sz val="9"/>
            <color indexed="81"/>
            <rFont val="Tahoma"/>
            <family val="2"/>
          </rPr>
          <t xml:space="preserve">
Excludes demand response</t>
        </r>
      </text>
    </comment>
    <comment ref="N69" authorId="0" shapeId="0">
      <text>
        <r>
          <rPr>
            <b/>
            <sz val="9"/>
            <color indexed="81"/>
            <rFont val="Tahoma"/>
            <family val="2"/>
          </rPr>
          <t>OEB Staff:</t>
        </r>
        <r>
          <rPr>
            <sz val="9"/>
            <color indexed="81"/>
            <rFont val="Tahoma"/>
            <family val="2"/>
          </rPr>
          <t xml:space="preserve">
Excludes demand response</t>
        </r>
      </text>
    </comment>
    <comment ref="O69" authorId="0" shapeId="0">
      <text>
        <r>
          <rPr>
            <b/>
            <sz val="9"/>
            <color indexed="81"/>
            <rFont val="Tahoma"/>
            <family val="2"/>
          </rPr>
          <t>OEB Staff:</t>
        </r>
        <r>
          <rPr>
            <sz val="9"/>
            <color indexed="81"/>
            <rFont val="Tahoma"/>
            <family val="2"/>
          </rPr>
          <t xml:space="preserve">
Excludes demand response</t>
        </r>
      </text>
    </comment>
    <comment ref="P69" authorId="0" shapeId="0">
      <text>
        <r>
          <rPr>
            <b/>
            <sz val="9"/>
            <color indexed="81"/>
            <rFont val="Tahoma"/>
            <family val="2"/>
          </rPr>
          <t>OEB Staff:</t>
        </r>
        <r>
          <rPr>
            <sz val="9"/>
            <color indexed="81"/>
            <rFont val="Tahoma"/>
            <family val="2"/>
          </rPr>
          <t xml:space="preserve">
Excludes demand response</t>
        </r>
      </text>
    </comment>
    <comment ref="Q69" authorId="0" shapeId="0">
      <text>
        <r>
          <rPr>
            <b/>
            <sz val="9"/>
            <color indexed="81"/>
            <rFont val="Tahoma"/>
            <family val="2"/>
          </rPr>
          <t>OEB Staff:</t>
        </r>
        <r>
          <rPr>
            <sz val="9"/>
            <color indexed="81"/>
            <rFont val="Tahoma"/>
            <family val="2"/>
          </rPr>
          <t xml:space="preserve">
Excludes demand response</t>
        </r>
      </text>
    </comment>
    <comment ref="R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shapeId="0">
      <text>
        <r>
          <rPr>
            <b/>
            <sz val="9"/>
            <color indexed="81"/>
            <rFont val="Tahoma"/>
            <family val="2"/>
          </rPr>
          <t>OEB Staff:</t>
        </r>
        <r>
          <rPr>
            <sz val="9"/>
            <color indexed="81"/>
            <rFont val="Tahoma"/>
            <family val="2"/>
          </rPr>
          <t xml:space="preserve">
Excludes demand response savings</t>
        </r>
      </text>
    </comment>
    <comment ref="I147" authorId="0" shapeId="0">
      <text>
        <r>
          <rPr>
            <b/>
            <sz val="9"/>
            <color indexed="81"/>
            <rFont val="Tahoma"/>
            <family val="2"/>
          </rPr>
          <t>OEB Staff:</t>
        </r>
        <r>
          <rPr>
            <sz val="9"/>
            <color indexed="81"/>
            <rFont val="Tahoma"/>
            <family val="2"/>
          </rPr>
          <t xml:space="preserve">
Excludes demand response savings</t>
        </r>
      </text>
    </comment>
    <comment ref="J147" authorId="0" shapeId="0">
      <text>
        <r>
          <rPr>
            <b/>
            <sz val="9"/>
            <color indexed="81"/>
            <rFont val="Tahoma"/>
            <family val="2"/>
          </rPr>
          <t>OEB Staff:</t>
        </r>
        <r>
          <rPr>
            <sz val="9"/>
            <color indexed="81"/>
            <rFont val="Tahoma"/>
            <family val="2"/>
          </rPr>
          <t xml:space="preserve">
Excludes demand response savings</t>
        </r>
      </text>
    </comment>
    <comment ref="K147" authorId="0" shapeId="0">
      <text>
        <r>
          <rPr>
            <b/>
            <sz val="9"/>
            <color indexed="81"/>
            <rFont val="Tahoma"/>
            <family val="2"/>
          </rPr>
          <t>OEB Staff:</t>
        </r>
        <r>
          <rPr>
            <sz val="9"/>
            <color indexed="81"/>
            <rFont val="Tahoma"/>
            <family val="2"/>
          </rPr>
          <t xml:space="preserve">
Excludes demand response savings</t>
        </r>
      </text>
    </comment>
    <comment ref="L147" authorId="0" shapeId="0">
      <text>
        <r>
          <rPr>
            <b/>
            <sz val="9"/>
            <color indexed="81"/>
            <rFont val="Tahoma"/>
            <family val="2"/>
          </rPr>
          <t>OEB Staff:</t>
        </r>
        <r>
          <rPr>
            <sz val="9"/>
            <color indexed="81"/>
            <rFont val="Tahoma"/>
            <family val="2"/>
          </rPr>
          <t xml:space="preserve">
Excludes demand response savings</t>
        </r>
      </text>
    </comment>
    <comment ref="M147" authorId="0" shapeId="0">
      <text>
        <r>
          <rPr>
            <b/>
            <sz val="9"/>
            <color indexed="81"/>
            <rFont val="Tahoma"/>
            <family val="2"/>
          </rPr>
          <t>OEB Staff:</t>
        </r>
        <r>
          <rPr>
            <sz val="9"/>
            <color indexed="81"/>
            <rFont val="Tahoma"/>
            <family val="2"/>
          </rPr>
          <t xml:space="preserve">
Excludes demand response savings</t>
        </r>
      </text>
    </comment>
    <comment ref="N147" authorId="0" shapeId="0">
      <text>
        <r>
          <rPr>
            <b/>
            <sz val="9"/>
            <color indexed="81"/>
            <rFont val="Tahoma"/>
            <family val="2"/>
          </rPr>
          <t>OEB Staff:</t>
        </r>
        <r>
          <rPr>
            <sz val="9"/>
            <color indexed="81"/>
            <rFont val="Tahoma"/>
            <family val="2"/>
          </rPr>
          <t xml:space="preserve">
Excludes demand response savings</t>
        </r>
      </text>
    </comment>
    <comment ref="O147" authorId="0" shapeId="0">
      <text>
        <r>
          <rPr>
            <b/>
            <sz val="9"/>
            <color indexed="81"/>
            <rFont val="Tahoma"/>
            <family val="2"/>
          </rPr>
          <t>OEB Staff:</t>
        </r>
        <r>
          <rPr>
            <sz val="9"/>
            <color indexed="81"/>
            <rFont val="Tahoma"/>
            <family val="2"/>
          </rPr>
          <t xml:space="preserve">
Excludes demand response savings</t>
        </r>
      </text>
    </comment>
    <comment ref="P147" authorId="0" shapeId="0">
      <text>
        <r>
          <rPr>
            <b/>
            <sz val="9"/>
            <color indexed="81"/>
            <rFont val="Tahoma"/>
            <family val="2"/>
          </rPr>
          <t>OEB Staff:</t>
        </r>
        <r>
          <rPr>
            <sz val="9"/>
            <color indexed="81"/>
            <rFont val="Tahoma"/>
            <family val="2"/>
          </rPr>
          <t xml:space="preserve">
Excludes demand response savings</t>
        </r>
      </text>
    </comment>
    <comment ref="Q147" authorId="0" shapeId="0">
      <text>
        <r>
          <rPr>
            <b/>
            <sz val="9"/>
            <color indexed="81"/>
            <rFont val="Tahoma"/>
            <family val="2"/>
          </rPr>
          <t>OEB Staff:</t>
        </r>
        <r>
          <rPr>
            <sz val="9"/>
            <color indexed="81"/>
            <rFont val="Tahoma"/>
            <family val="2"/>
          </rPr>
          <t xml:space="preserve">
Excludes demand response savings</t>
        </r>
      </text>
    </comment>
    <comment ref="R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shapeId="0">
      <text>
        <r>
          <rPr>
            <b/>
            <sz val="9"/>
            <color indexed="81"/>
            <rFont val="Tahoma"/>
            <family val="2"/>
          </rPr>
          <t>OEB Staff:</t>
        </r>
        <r>
          <rPr>
            <sz val="9"/>
            <color indexed="81"/>
            <rFont val="Tahoma"/>
            <family val="2"/>
          </rPr>
          <t xml:space="preserve">
Excludes demand response savings</t>
        </r>
      </text>
    </comment>
    <comment ref="I227" authorId="0" shapeId="0">
      <text>
        <r>
          <rPr>
            <b/>
            <sz val="9"/>
            <color indexed="81"/>
            <rFont val="Tahoma"/>
            <family val="2"/>
          </rPr>
          <t>OEB Staff:</t>
        </r>
        <r>
          <rPr>
            <sz val="9"/>
            <color indexed="81"/>
            <rFont val="Tahoma"/>
            <family val="2"/>
          </rPr>
          <t xml:space="preserve">
Excludes demand response savings</t>
        </r>
      </text>
    </comment>
    <comment ref="J227" authorId="0" shapeId="0">
      <text>
        <r>
          <rPr>
            <b/>
            <sz val="9"/>
            <color indexed="81"/>
            <rFont val="Tahoma"/>
            <family val="2"/>
          </rPr>
          <t>OEB Staff:</t>
        </r>
        <r>
          <rPr>
            <sz val="9"/>
            <color indexed="81"/>
            <rFont val="Tahoma"/>
            <family val="2"/>
          </rPr>
          <t xml:space="preserve">
Excludes demand response savings</t>
        </r>
      </text>
    </comment>
    <comment ref="K227" authorId="0" shapeId="0">
      <text>
        <r>
          <rPr>
            <b/>
            <sz val="9"/>
            <color indexed="81"/>
            <rFont val="Tahoma"/>
            <family val="2"/>
          </rPr>
          <t>OEB Staff:</t>
        </r>
        <r>
          <rPr>
            <sz val="9"/>
            <color indexed="81"/>
            <rFont val="Tahoma"/>
            <family val="2"/>
          </rPr>
          <t xml:space="preserve">
Excludes demand response savings</t>
        </r>
      </text>
    </comment>
    <comment ref="L227" authorId="0" shapeId="0">
      <text>
        <r>
          <rPr>
            <b/>
            <sz val="9"/>
            <color indexed="81"/>
            <rFont val="Tahoma"/>
            <family val="2"/>
          </rPr>
          <t>OEB Staff:</t>
        </r>
        <r>
          <rPr>
            <sz val="9"/>
            <color indexed="81"/>
            <rFont val="Tahoma"/>
            <family val="2"/>
          </rPr>
          <t xml:space="preserve">
Excludes demand response savings</t>
        </r>
      </text>
    </comment>
    <comment ref="M227" authorId="0" shapeId="0">
      <text>
        <r>
          <rPr>
            <b/>
            <sz val="9"/>
            <color indexed="81"/>
            <rFont val="Tahoma"/>
            <family val="2"/>
          </rPr>
          <t>OEB Staff:</t>
        </r>
        <r>
          <rPr>
            <sz val="9"/>
            <color indexed="81"/>
            <rFont val="Tahoma"/>
            <family val="2"/>
          </rPr>
          <t xml:space="preserve">
Excludes demand response savings</t>
        </r>
      </text>
    </comment>
    <comment ref="N227" authorId="0" shapeId="0">
      <text>
        <r>
          <rPr>
            <b/>
            <sz val="9"/>
            <color indexed="81"/>
            <rFont val="Tahoma"/>
            <family val="2"/>
          </rPr>
          <t>OEB Staff:</t>
        </r>
        <r>
          <rPr>
            <sz val="9"/>
            <color indexed="81"/>
            <rFont val="Tahoma"/>
            <family val="2"/>
          </rPr>
          <t xml:space="preserve">
Excludes demand response savings</t>
        </r>
      </text>
    </comment>
    <comment ref="O227" authorId="0" shapeId="0">
      <text>
        <r>
          <rPr>
            <b/>
            <sz val="9"/>
            <color indexed="81"/>
            <rFont val="Tahoma"/>
            <family val="2"/>
          </rPr>
          <t>OEB Staff:</t>
        </r>
        <r>
          <rPr>
            <sz val="9"/>
            <color indexed="81"/>
            <rFont val="Tahoma"/>
            <family val="2"/>
          </rPr>
          <t xml:space="preserve">
Excludes demand response savings</t>
        </r>
      </text>
    </comment>
    <comment ref="P227" authorId="0" shapeId="0">
      <text>
        <r>
          <rPr>
            <b/>
            <sz val="9"/>
            <color indexed="81"/>
            <rFont val="Tahoma"/>
            <family val="2"/>
          </rPr>
          <t>OEB Staff:</t>
        </r>
        <r>
          <rPr>
            <sz val="9"/>
            <color indexed="81"/>
            <rFont val="Tahoma"/>
            <family val="2"/>
          </rPr>
          <t xml:space="preserve">
Excludes demand response savings</t>
        </r>
      </text>
    </comment>
    <comment ref="Q227" authorId="0" shapeId="0">
      <text>
        <r>
          <rPr>
            <b/>
            <sz val="9"/>
            <color indexed="81"/>
            <rFont val="Tahoma"/>
            <family val="2"/>
          </rPr>
          <t>OEB Staff:</t>
        </r>
        <r>
          <rPr>
            <sz val="9"/>
            <color indexed="81"/>
            <rFont val="Tahoma"/>
            <family val="2"/>
          </rPr>
          <t xml:space="preserve">
Excludes demand response savings</t>
        </r>
      </text>
    </comment>
    <comment ref="R227" authorId="0" shapeId="0">
      <text>
        <r>
          <rPr>
            <b/>
            <sz val="9"/>
            <color indexed="81"/>
            <rFont val="Tahoma"/>
            <family val="2"/>
          </rPr>
          <t>OEB Staff:</t>
        </r>
        <r>
          <rPr>
            <sz val="9"/>
            <color indexed="81"/>
            <rFont val="Tahoma"/>
            <family val="2"/>
          </rPr>
          <t xml:space="preserve">
Excludes demand response savings</t>
        </r>
      </text>
    </comment>
    <comment ref="G263" authorId="2" shapeId="0">
      <text>
        <r>
          <rPr>
            <b/>
            <sz val="9"/>
            <color indexed="81"/>
            <rFont val="Verdana"/>
            <family val="2"/>
          </rPr>
          <t>Josh Shook:</t>
        </r>
        <r>
          <rPr>
            <sz val="9"/>
            <color indexed="81"/>
            <rFont val="Verdana"/>
            <family val="2"/>
          </rPr>
          <t xml:space="preserve">
Net kWh for street lighting projects removed.</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shapeId="0">
      <text>
        <r>
          <rPr>
            <b/>
            <sz val="9"/>
            <color indexed="81"/>
            <rFont val="Tahoma"/>
            <family val="2"/>
          </rPr>
          <t>OEB Staff:</t>
        </r>
        <r>
          <rPr>
            <sz val="9"/>
            <color indexed="81"/>
            <rFont val="Tahoma"/>
            <family val="2"/>
          </rPr>
          <t xml:space="preserve">
Adjust formulas as needed.</t>
        </r>
      </text>
    </comment>
    <comment ref="I308" authorId="0" shapeId="0">
      <text>
        <r>
          <rPr>
            <b/>
            <sz val="9"/>
            <color indexed="81"/>
            <rFont val="Tahoma"/>
            <family val="2"/>
          </rPr>
          <t>OEB Staff:</t>
        </r>
        <r>
          <rPr>
            <sz val="9"/>
            <color indexed="81"/>
            <rFont val="Tahoma"/>
            <family val="2"/>
          </rPr>
          <t xml:space="preserve">
Adjust formulas as needed.</t>
        </r>
      </text>
    </comment>
    <comment ref="J308" authorId="0" shapeId="0">
      <text>
        <r>
          <rPr>
            <b/>
            <sz val="9"/>
            <color indexed="81"/>
            <rFont val="Tahoma"/>
            <family val="2"/>
          </rPr>
          <t>OEB Staff:</t>
        </r>
        <r>
          <rPr>
            <sz val="9"/>
            <color indexed="81"/>
            <rFont val="Tahoma"/>
            <family val="2"/>
          </rPr>
          <t xml:space="preserve">
Adjust formulas as needed.</t>
        </r>
      </text>
    </comment>
    <comment ref="K308" authorId="0" shapeId="0">
      <text>
        <r>
          <rPr>
            <b/>
            <sz val="9"/>
            <color indexed="81"/>
            <rFont val="Tahoma"/>
            <family val="2"/>
          </rPr>
          <t>OEB Staff:</t>
        </r>
        <r>
          <rPr>
            <sz val="9"/>
            <color indexed="81"/>
            <rFont val="Tahoma"/>
            <family val="2"/>
          </rPr>
          <t xml:space="preserve">
Adjust formulas as needed.</t>
        </r>
      </text>
    </comment>
    <comment ref="L308" authorId="0" shapeId="0">
      <text>
        <r>
          <rPr>
            <b/>
            <sz val="9"/>
            <color indexed="81"/>
            <rFont val="Tahoma"/>
            <family val="2"/>
          </rPr>
          <t>OEB Staff:</t>
        </r>
        <r>
          <rPr>
            <sz val="9"/>
            <color indexed="81"/>
            <rFont val="Tahoma"/>
            <family val="2"/>
          </rPr>
          <t xml:space="preserve">
Adjust formulas as needed.</t>
        </r>
      </text>
    </comment>
    <comment ref="M308" authorId="0" shapeId="0">
      <text>
        <r>
          <rPr>
            <b/>
            <sz val="9"/>
            <color indexed="81"/>
            <rFont val="Tahoma"/>
            <family val="2"/>
          </rPr>
          <t>OEB Staff:</t>
        </r>
        <r>
          <rPr>
            <sz val="9"/>
            <color indexed="81"/>
            <rFont val="Tahoma"/>
            <family val="2"/>
          </rPr>
          <t xml:space="preserve">
Adjust formulas as needed.</t>
        </r>
      </text>
    </comment>
    <comment ref="N308" authorId="0" shapeId="0">
      <text>
        <r>
          <rPr>
            <b/>
            <sz val="9"/>
            <color indexed="81"/>
            <rFont val="Tahoma"/>
            <family val="2"/>
          </rPr>
          <t>OEB Staff:</t>
        </r>
        <r>
          <rPr>
            <sz val="9"/>
            <color indexed="81"/>
            <rFont val="Tahoma"/>
            <family val="2"/>
          </rPr>
          <t xml:space="preserve">
Adjust formulas as needed.</t>
        </r>
      </text>
    </comment>
    <comment ref="O308" authorId="0" shapeId="0">
      <text>
        <r>
          <rPr>
            <b/>
            <sz val="9"/>
            <color indexed="81"/>
            <rFont val="Tahoma"/>
            <family val="2"/>
          </rPr>
          <t>OEB Staff:</t>
        </r>
        <r>
          <rPr>
            <sz val="9"/>
            <color indexed="81"/>
            <rFont val="Tahoma"/>
            <family val="2"/>
          </rPr>
          <t xml:space="preserve">
Adjust formulas as needed.</t>
        </r>
      </text>
    </comment>
    <comment ref="P308" authorId="0" shapeId="0">
      <text>
        <r>
          <rPr>
            <b/>
            <sz val="9"/>
            <color indexed="81"/>
            <rFont val="Tahoma"/>
            <family val="2"/>
          </rPr>
          <t>OEB Staff:</t>
        </r>
        <r>
          <rPr>
            <sz val="9"/>
            <color indexed="81"/>
            <rFont val="Tahoma"/>
            <family val="2"/>
          </rPr>
          <t xml:space="preserve">
Adjust formulas as needed.</t>
        </r>
      </text>
    </comment>
    <comment ref="Q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shapeId="0">
      <text>
        <r>
          <rPr>
            <b/>
            <sz val="9"/>
            <color indexed="81"/>
            <rFont val="Tahoma"/>
            <family val="2"/>
          </rPr>
          <t>OEB Staff:</t>
        </r>
        <r>
          <rPr>
            <sz val="9"/>
            <color indexed="81"/>
            <rFont val="Tahoma"/>
            <family val="2"/>
          </rPr>
          <t xml:space="preserve">
Adjust formulas as needed.</t>
        </r>
      </text>
    </comment>
    <comment ref="C114"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Josh Shook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 ref="L258" authorId="1" shapeId="0">
      <text>
        <r>
          <rPr>
            <b/>
            <sz val="9"/>
            <color indexed="81"/>
            <rFont val="Verdana"/>
            <family val="2"/>
          </rPr>
          <t>Josh Shook:</t>
        </r>
        <r>
          <rPr>
            <sz val="9"/>
            <color indexed="81"/>
            <rFont val="Verdana"/>
            <family val="2"/>
          </rPr>
          <t xml:space="preserve">
Net kWh for street lighting projects removed.</t>
        </r>
      </text>
    </comment>
    <comment ref="M258" authorId="1" shapeId="0">
      <text>
        <r>
          <rPr>
            <b/>
            <sz val="9"/>
            <color indexed="81"/>
            <rFont val="Verdana"/>
            <family val="2"/>
          </rPr>
          <t>Josh Shook:</t>
        </r>
        <r>
          <rPr>
            <sz val="9"/>
            <color indexed="81"/>
            <rFont val="Verdana"/>
            <family val="2"/>
          </rPr>
          <t xml:space="preserve">
Net kWh for street lighting projects removed.</t>
        </r>
      </text>
    </comment>
  </commentList>
</comments>
</file>

<file path=xl/comments13.xml><?xml version="1.0" encoding="utf-8"?>
<comments xmlns="http://schemas.openxmlformats.org/spreadsheetml/2006/main">
  <authors>
    <author>Keith Ritchie</author>
  </authors>
  <commentList>
    <comment ref="H106"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<sst xmlns="http://schemas.openxmlformats.org/spreadsheetml/2006/main" count="3088" uniqueCount="614">
  <si>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</si>
  <si>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</si>
  <si>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</si>
  <si>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</si>
  <si>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</si>
  <si>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</si>
  <si>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</si>
  <si>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</si>
  <si>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</si>
  <si>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</si>
  <si>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</si>
  <si>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</si>
  <si>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</si>
  <si>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</si>
  <si>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</si>
  <si>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</si>
  <si>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</si>
  <si>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</si>
  <si>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</si>
  <si>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</si>
  <si>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</si>
  <si>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</si>
  <si>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</si>
  <si>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</si>
  <si>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</si>
  <si>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</si>
  <si>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</si>
  <si>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</si>
  <si>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</si>
  <si>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</si>
  <si>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</si>
  <si>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</si>
  <si>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</si>
  <si>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</si>
  <si>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</si>
  <si>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</si>
  <si>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</si>
  <si>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</si>
  <si>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</si>
  <si>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</si>
  <si>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</si>
  <si>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</si>
  <si>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</si>
  <si>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</si>
  <si>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</si>
  <si>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</si>
  <si>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</si>
  <si>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</si>
  <si>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</si>
  <si>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</si>
  <si>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</si>
  <si>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</si>
  <si>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</si>
  <si>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</si>
  <si>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</si>
  <si>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</si>
  <si>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</si>
  <si>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</si>
  <si>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</si>
  <si>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</si>
  <si>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</si>
  <si>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</si>
  <si>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</si>
  <si>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</si>
  <si>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</si>
  <si>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</si>
  <si>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</si>
  <si>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</si>
  <si>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</si>
  <si>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</si>
  <si>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</si>
  <si>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</si>
  <si>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</si>
  <si>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</si>
  <si>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</si>
  <si>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</si>
  <si>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</si>
  <si>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</si>
  <si>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</si>
  <si>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</si>
  <si>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</si>
  <si>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</si>
  <si>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</si>
  <si>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</si>
  <si>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</si>
  <si>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</si>
  <si>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</si>
  <si>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</si>
  <si>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</si>
  <si>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</si>
  <si>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</si>
  <si>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</si>
  <si>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</si>
  <si>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</si>
  <si>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</si>
  <si>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</si>
  <si>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</si>
  <si>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</si>
  <si>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</si>
  <si>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</si>
  <si>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</si>
  <si>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</si>
  <si>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</si>
  <si>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</si>
  <si>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</si>
  <si>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</si>
  <si>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</si>
  <si>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</si>
  <si>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</si>
  <si>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</si>
  <si>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</si>
  <si>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</si>
  <si>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</si>
  <si>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</si>
  <si>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</si>
  <si>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</si>
  <si>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</si>
  <si>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</si>
  <si>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</si>
  <si>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</si>
  <si>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</si>
  <si>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</si>
  <si>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</si>
  <si>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</si>
  <si>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</si>
  <si>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</si>
  <si>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</si>
  <si>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</si>
  <si>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</si>
  <si>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</si>
  <si>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</si>
  <si>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</si>
  <si>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</si>
  <si>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</si>
  <si>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</si>
  <si>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</si>
  <si>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</si>
  <si>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</si>
  <si>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</si>
  <si>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</si>
  <si>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</si>
  <si>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</si>
  <si>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</si>
  <si>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</si>
  <si>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</si>
  <si>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</si>
  <si>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</si>
  <si>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</si>
  <si>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</si>
  <si>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</si>
  <si>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</si>
  <si>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</si>
  <si>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</si>
  <si>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</si>
  <si>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</si>
  <si>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</si>
  <si>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</si>
  <si>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</si>
  <si>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</si>
  <si>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</si>
  <si>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</si>
  <si>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</si>
  <si>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</si>
  <si>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</si>
  <si>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</si>
  <si>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</si>
  <si>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</si>
  <si>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</si>
  <si>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</si>
  <si>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</si>
  <si>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</si>
  <si>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</si>
  <si>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</si>
  <si>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</si>
  <si>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</si>
  <si>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</si>
  <si>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</si>
  <si>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</si>
  <si>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</si>
  <si>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</si>
  <si>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</si>
  <si>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</si>
  <si>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</si>
  <si>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</si>
  <si>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</si>
  <si>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</si>
  <si>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</si>
  <si>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</si>
  <si>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</si>
  <si>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</si>
  <si>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</si>
  <si>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</si>
  <si>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</si>
  <si>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</si>
  <si>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</si>
  <si>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</si>
  <si>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</si>
  <si>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</si>
  <si>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</si>
  <si>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</si>
  <si>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</si>
  <si>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</si>
  <si>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</si>
  <si>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</si>
  <si>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</si>
  <si>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</si>
  <si>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</si>
  <si>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</si>
  <si>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</si>
  <si>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</si>
  <si>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</si>
  <si>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</si>
  <si>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</si>
  <si>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</si>
  <si>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</si>
  <si>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</si>
  <si>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</si>
  <si>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</si>
  <si>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</si>
  <si>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</si>
  <si>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</si>
  <si>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</si>
  <si>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</si>
  <si>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</si>
  <si>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</si>
  <si>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</si>
  <si>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</si>
  <si>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</si>
  <si>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</si>
  <si>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</si>
  <si>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</si>
  <si>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</si>
  <si>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</si>
  <si>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</si>
  <si>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</si>
  <si>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</si>
  <si>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</si>
  <si>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</si>
  <si>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</si>
  <si>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</si>
  <si>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</si>
  <si>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</si>
  <si>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</si>
  <si>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</si>
  <si>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</si>
  <si>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</si>
  <si>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</si>
  <si>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</si>
  <si>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</si>
  <si>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</si>
  <si>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</si>
  <si>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</si>
  <si>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</si>
  <si>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</si>
  <si>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</si>
  <si>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</si>
  <si>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</si>
  <si>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</si>
  <si>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</si>
  <si>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</si>
  <si>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</si>
  <si>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</si>
  <si>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</si>
  <si>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</si>
  <si>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</si>
  <si>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</si>
  <si>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</si>
  <si>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</si>
  <si>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</si>
  <si>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</si>
  <si>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</si>
  <si>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</si>
  <si>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</si>
  <si>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</si>
  <si>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</si>
  <si>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</si>
  <si>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</si>
  <si>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</si>
  <si>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</si>
  <si>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</si>
  <si>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</si>
  <si>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</si>
  <si>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</si>
  <si>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</si>
  <si>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</si>
  <si>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</si>
  <si>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</si>
  <si>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</si>
  <si>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</si>
  <si>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</si>
  <si>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</si>
  <si>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</si>
  <si>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</si>
  <si>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</si>
  <si>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</si>
  <si>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</si>
  <si>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</si>
  <si>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</si>
  <si>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</si>
  <si>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</si>
  <si>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</si>
  <si>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</si>
  <si>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</si>
  <si>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</si>
  <si>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</si>
  <si>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</si>
  <si>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</si>
  <si>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</si>
  <si>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</si>
  <si>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</si>
  <si>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</si>
  <si>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</si>
  <si>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</si>
  <si>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</si>
  <si>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</si>
  <si>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</si>
  <si>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</si>
  <si>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</si>
  <si>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</si>
  <si>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</si>
  <si>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</si>
  <si>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</si>
  <si>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</si>
  <si>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</si>
  <si>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</si>
  <si>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</si>
  <si>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</si>
  <si>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</si>
  <si>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</si>
  <si>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</si>
  <si>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</si>
  <si>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</si>
  <si>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</si>
  <si>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</si>
  <si>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</si>
  <si>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</si>
  <si>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</si>
  <si>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</si>
  <si>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</si>
  <si>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</si>
  <si>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</si>
  <si>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</si>
  <si>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</si>
  <si>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</si>
  <si>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</si>
  <si>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</si>
  <si>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</si>
  <si>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</si>
  <si>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</si>
  <si>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</si>
  <si>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</si>
  <si>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</si>
  <si>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</si>
  <si>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</si>
  <si>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</si>
  <si>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</si>
  <si>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</si>
  <si>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</si>
  <si>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</si>
  <si>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</si>
  <si>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</si>
  <si>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</si>
  <si>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</si>
  <si>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</si>
  <si>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</si>
  <si>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</si>
  <si>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</si>
  <si>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</si>
  <si>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</si>
  <si>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</si>
  <si>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</si>
  <si>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</si>
  <si>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</si>
  <si>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</si>
  <si>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</si>
  <si>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</si>
  <si>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</si>
  <si>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</si>
  <si>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</si>
  <si>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</si>
  <si>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</si>
  <si>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</si>
  <si>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</si>
  <si>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</si>
  <si>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</si>
  <si>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</si>
  <si>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</si>
  <si>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</si>
  <si>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</si>
  <si>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</si>
  <si>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</si>
  <si>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</si>
  <si>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</si>
  <si>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</si>
  <si>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</si>
  <si>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</si>
  <si>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</si>
  <si>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</si>
  <si>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</si>
  <si>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</si>
  <si>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</si>
  <si>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</si>
  <si>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</si>
  <si>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</si>
  <si>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</si>
  <si>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</si>
  <si>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</si>
  <si>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</si>
  <si>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</si>
  <si>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</si>
  <si>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</si>
  <si>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</si>
  <si>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</si>
  <si>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</si>
  <si>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</si>
  <si>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</si>
  <si>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</si>
  <si>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</si>
  <si>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</si>
  <si>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</si>
  <si>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</si>
  <si>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</si>
  <si>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</si>
  <si>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</si>
  <si>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</si>
  <si>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</si>
  <si>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</si>
  <si>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</si>
  <si>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</si>
  <si>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</si>
  <si>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</si>
  <si>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</si>
  <si>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</si>
  <si>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</si>
  <si>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</si>
  <si>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</si>
  <si>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</si>
  <si>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</si>
  <si>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</si>
  <si>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</si>
  <si>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</si>
  <si>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</si>
  <si>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</si>
  <si>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</si>
  <si>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</si>
  <si>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</si>
  <si>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</si>
  <si>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</si>
  <si>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</si>
  <si>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</si>
  <si>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</si>
  <si>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</si>
  <si>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</si>
  <si>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</si>
  <si>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</si>
  <si>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</si>
  <si>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</si>
  <si>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</si>
  <si>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</si>
  <si>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</si>
  <si>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</si>
  <si>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</si>
  <si>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</si>
  <si>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</si>
  <si>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</si>
  <si>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</si>
  <si>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</si>
  <si>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</si>
  <si>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</si>
  <si>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</si>
  <si>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</si>
  <si>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</si>
  <si>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</si>
  <si>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</si>
  <si>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</si>
  <si>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</si>
  <si>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</si>
  <si>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</si>
  <si>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</si>
  <si>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</si>
  <si>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</si>
  <si>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</si>
  <si>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</si>
  <si>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</si>
  <si>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</si>
  <si>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</si>
  <si>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</si>
  <si>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</si>
  <si>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</si>
  <si>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</si>
  <si>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</si>
  <si>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</si>
  <si>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</si>
  <si>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</si>
  <si>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</si>
  <si>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</si>
  <si>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</si>
  <si>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</si>
  <si>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</si>
  <si>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</si>
  <si>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</si>
  <si>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</si>
  <si>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</si>
  <si>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</si>
  <si>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</si>
  <si>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</si>
  <si>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</si>
  <si>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</si>
  <si>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</si>
  <si>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</si>
  <si>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</si>
  <si>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</si>
  <si>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</si>
  <si>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</si>
  <si>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</si>
  <si>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</si>
  <si>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</si>
  <si>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</si>
  <si>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</si>
  <si>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</si>
  <si>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</si>
  <si>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</si>
  <si>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</si>
  <si>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</si>
  <si>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</si>
  <si>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</si>
  <si>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</si>
  <si>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</si>
  <si>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</si>
  <si>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</si>
  <si>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Source:</t>
  </si>
  <si>
    <t>Note: Tables 3A are not used so have been hidden</t>
  </si>
  <si>
    <t>Table 2a. LRAMVA Thresholds 2014</t>
  </si>
  <si>
    <t xml:space="preserve">2011-2012 rates removed, as 2011-2012 LRAMVA was disposed in 2014 COS rate case. </t>
  </si>
  <si>
    <t xml:space="preserve">Initiative level persistence was used. See below. Tables 12 and 13 not used. </t>
  </si>
  <si>
    <t>Rates</t>
  </si>
  <si>
    <t>Customer Counts (YE)</t>
  </si>
  <si>
    <t>Weighted Average</t>
  </si>
  <si>
    <t>Veridian</t>
  </si>
  <si>
    <t>Jan 1st to Apr 30th</t>
  </si>
  <si>
    <t>May 1st to Dec 31st</t>
  </si>
  <si>
    <t>Calendar Year Average</t>
  </si>
  <si>
    <t>GS &lt; 50 kW</t>
  </si>
  <si>
    <t>GS &gt; 50 kW</t>
  </si>
  <si>
    <t>Intermediate</t>
  </si>
  <si>
    <t>Large Use</t>
  </si>
  <si>
    <t>Gravenhurst</t>
  </si>
  <si>
    <t>Residential-Urban</t>
  </si>
  <si>
    <t>Residential-Suburban</t>
  </si>
  <si>
    <t>Residential-Seasonal</t>
  </si>
  <si>
    <t>2012 rate year rates adjusted for Rate Rider for Tax Change</t>
  </si>
  <si>
    <t>2013 rate year rates adjusted for Rate Rider for Tax Change</t>
  </si>
  <si>
    <t>2016 customer counts are unavailable at this time, so 2015 values were used as an estimate.</t>
  </si>
  <si>
    <t xml:space="preserve">There were no GS &gt; 3,000 kW customers in Gravenhurst that would have been equivalent to the Intermediate rate class, so the GS 50 to 4,999 kW rate class for Gravenhurst and GS 50 to 2,999 kW rate class outside Gravenhurt were used to calculate the equivalent GS &gt; 50 kW weighted average rates. </t>
  </si>
  <si>
    <t>Prior to 2014 rate year, rates for all service areas except Gravenhurst were used for other rate classes because no Gravenhurst rate class existed (Unmetered Scattered Load), there was no CDM undertaken by customers in that rate class (Sentinel Lighting), or all CDM was undertaken by customers not in Gravenhurst (Street Lighting).</t>
  </si>
  <si>
    <t>Rates for the GS 50 to 2,999 kW, GS 3,000 to 4,999 kW, and Large Use rate classes were adjusted to account for the Transformer Allowance for Ownership and these adjusted rates were applied to CDM results for customers that own transformers.</t>
  </si>
  <si>
    <t xml:space="preserve">Notes: </t>
  </si>
  <si>
    <t>Table 6a.  Average Distribution Volumetric Rates by Year Weighted by Customer Counts for LRAM Calculations</t>
  </si>
  <si>
    <t xml:space="preserve">Table 6a in Tab 3a shows weighted average calculations based on customer counts for equivalent rates in different rate zones and different customer types (e.g. Residential Urban, Suburban, and Seasonal) were directly calculated using rates pro-rated to the calendar year for the following rate classes: Residential, GS &lt; 50 kW (prior to 2014 rate year), and GS 50 to 2,999 kW (prior to 2014 rate year). </t>
  </si>
  <si>
    <t>May 1, 2017-April 30, 2018</t>
  </si>
  <si>
    <t>Year</t>
  </si>
  <si>
    <t>Gross</t>
  </si>
  <si>
    <t>NTG</t>
  </si>
  <si>
    <t>Net</t>
  </si>
  <si>
    <t>Billed kW</t>
  </si>
  <si>
    <t>Gross kW reduction</t>
  </si>
  <si>
    <t>Net kW reduction</t>
  </si>
  <si>
    <t>2011 total</t>
  </si>
  <si>
    <t>2012 total</t>
  </si>
  <si>
    <t>2013 total</t>
  </si>
  <si>
    <t>2014 total</t>
  </si>
  <si>
    <t>2015 total</t>
  </si>
  <si>
    <t>Table 25. Energy savings attributed to street lighting project in IESO results</t>
  </si>
  <si>
    <t>Table 26. Actual street lighting lost revenue based on kW billing</t>
  </si>
  <si>
    <t>The kWh assigned to street lighting projects by the IESO have been manually removed from the Retrofit program results and the actual kW that customer bills were reduced was included in the total kW load impact.</t>
  </si>
  <si>
    <t>The street lighting calculations can be found in Tables 25 and 26 in tab 8. Street lighting.</t>
  </si>
  <si>
    <t>Persistence of 2014 street lighting results were calculated directly in Table 26 in tab 8. Street lighting.</t>
  </si>
  <si>
    <t>Notes:</t>
  </si>
  <si>
    <t>Embedded in 2014 forecast</t>
  </si>
  <si>
    <t xml:space="preserve">Lost revenue from 2011 CDM programs was excluded, as the 2011 CDM impact would have been embedded in the load forecast base numbers in the 2014 COS load forecast. </t>
  </si>
  <si>
    <t>EB-2016-0107</t>
  </si>
  <si>
    <t xml:space="preserve">Lost revenue from 2011 and 2012 CDM programs was excluded, as the 2011 and 2012 CDM impact would have been embedded in the load forecast base numbers in the 2014 COS load forecast. </t>
  </si>
  <si>
    <t/>
  </si>
  <si>
    <t>EB-2011-0199</t>
  </si>
  <si>
    <t>EB-2012-0170</t>
  </si>
  <si>
    <t>EB-2013-0174</t>
  </si>
  <si>
    <t>EB-2014-0117</t>
  </si>
  <si>
    <t>EB-2015-0106</t>
  </si>
  <si>
    <t>May 1, 2010-April 30, 2011</t>
  </si>
  <si>
    <t>May 1, 2011-April 30, 2012</t>
  </si>
  <si>
    <t>May 1, 2012-April 30, 2013</t>
  </si>
  <si>
    <t>May 1, 2013-April 30, 2014</t>
  </si>
  <si>
    <t>May 1, 2014-April 30, 2015</t>
  </si>
  <si>
    <t>May 1, 2015-April 30, 2016</t>
  </si>
  <si>
    <t>May 1, 2016-April 30, 2017</t>
  </si>
  <si>
    <t>GS 50 to 2,999 kW</t>
  </si>
  <si>
    <t>GS 50 to 2,999 kW with owned transformer</t>
  </si>
  <si>
    <t>GS 3,000 to 4,999 kW</t>
  </si>
  <si>
    <t>GS 3,000 to 4,999 kW with owned transformer</t>
  </si>
  <si>
    <t>Large Use with owned transformer</t>
  </si>
  <si>
    <t>Consumer Program Total</t>
  </si>
  <si>
    <t>Small Commercial Demand Response</t>
  </si>
  <si>
    <t>Business Program Total</t>
  </si>
  <si>
    <t>Industrial Program Total</t>
  </si>
  <si>
    <t>Home Assistance Program Total</t>
  </si>
  <si>
    <t>Pre-2011 Programs completed in 2011 Total</t>
  </si>
  <si>
    <t>Totals</t>
  </si>
  <si>
    <t>MicroFIT Generator</t>
  </si>
  <si>
    <t>NA</t>
  </si>
  <si>
    <t>Veridian Connections Inc. EB-2013-0174 Settlement Proposal Filed: March 26, 2014, Page 38 of 54 as part of the final decision and order for the Cost of Service rate case.  Allocation to with and without transformer based on actual results for 2014 and 2015.</t>
  </si>
  <si>
    <t>Retailer Co-Op</t>
  </si>
  <si>
    <t>Small Commercial Demand Response (switch/pstat)</t>
  </si>
  <si>
    <t>Other Total</t>
  </si>
  <si>
    <t>1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</si>
</sst>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 numFmtId="179" formatCode="#,##0.0_);\(#,##0.0\)"/>
    <numFmt numFmtId="180" formatCode="&quot;$&quot;_(#,##0.00_);&quot;$&quot;\(#,##0.00\)"/>
    <numFmt numFmtId="181" formatCode="_(&quot;$&quot;* #,##0.00000000000000000_);_(&quot;$&quot;* \(#,##0.00000000000000000\);_(&quot;$&quot;* &quot;-&quot;??_);_(@_)"/>
    <numFmt numFmtId="182" formatCode="_-&quot;£&quot;* #,##0.00_-;\-&quot;£&quot;* #,##0.00_-;_-&quot;£&quot;* &quot;-&quot;??_-;_-@_-"/>
    <numFmt numFmtId="183" formatCode="#,##0.0_)\x;\(#,##0.0\)\x"/>
    <numFmt numFmtId="184" formatCode="_(&quot;$&quot;* #,##0.00000000_);_(&quot;$&quot;* \(#,##0.00000000\);_(&quot;$&quot;* &quot;-&quot;??_);_(@_)"/>
    <numFmt numFmtId="185" formatCode="_(&quot;$&quot;* #,##0.00000000000_);_(&quot;$&quot;* \(#,##0.00000000000\);_(&quot;$&quot;* &quot;-&quot;??_);_(@_)"/>
    <numFmt numFmtId="186" formatCode="_(&quot;$&quot;* #,##0.000000000000_);_(&quot;$&quot;* \(#,##0.000000000000\);_(&quot;$&quot;* &quot;-&quot;??_);_(@_)"/>
    <numFmt numFmtId="187" formatCode="_-&quot;£&quot;* #,##0_-;\-&quot;£&quot;* #,##0_-;_-&quot;£&quot;* &quot;-&quot;_-;_-@_-"/>
    <numFmt numFmtId="188" formatCode="#,##0.0_)_x;\(#,##0.0\)_x"/>
    <numFmt numFmtId="189" formatCode="_(* #,##0.0_);_(* \(#,##0.0\);_(* &quot;-&quot;?_);_(@_)"/>
    <numFmt numFmtId="190" formatCode="#,##0.0_)_x;\(#,##0.0\)_x;0.0_)_x;@_)_x"/>
    <numFmt numFmtId="191" formatCode="_(&quot;$&quot;* #,##0.00000000000000_);_(&quot;$&quot;* \(#,##0.00000000000000\);_(&quot;$&quot;*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 #,##0_);[Red]\(\¥\ #,##0\)"/>
    <numFmt numFmtId="199" formatCode="[&gt;1]&quot;10Q: &quot;0&quot; qtrs&quot;;&quot;10Q: &quot;0&quot; qtr&quot;"/>
    <numFmt numFmtId="200" formatCode="0.0%;[Red]\(0.0%\)"/>
    <numFmt numFmtId="201" formatCode="#,##0.0\ \ \ _);\(#,##0.0\)\ \ "/>
    <numFmt numFmtId="202" formatCode="_-* #,##0.00\ _F_-;\-* #,##0.00\ _F_-;_-* &quot;-&quot;??\ _F_-;_-@_-"/>
    <numFmt numFmtId="203" formatCode="m\-d\-yy"/>
    <numFmt numFmtId="204" formatCode="&quot;£&quot;#,##0.00_);[Red]\(&quot;£&quot;#,##0.00\)"/>
    <numFmt numFmtId="205" formatCode="0.0_)"/>
    <numFmt numFmtId="206" formatCode="m/yy"/>
    <numFmt numFmtId="207" formatCode="#,###.0#"/>
    <numFmt numFmtId="208" formatCode="#,###.#"/>
    <numFmt numFmtId="209" formatCode="0000\ \-\ 0000"/>
    <numFmt numFmtId="210" formatCode="[Red][&gt;0.0000001]\+#,##0.?#;[Red][&lt;-0.0000001]\-#,##0.?#;[Green]&quot;=  &quot;"/>
    <numFmt numFmtId="211" formatCode="#.#######\x"/>
    <numFmt numFmtId="212" formatCode="0.00000E+00"/>
    <numFmt numFmtId="213" formatCode="_(* #,##0.0_);_(* \(#,##0.0\);_(* &quot;-&quot;_);_(@_)"/>
    <numFmt numFmtId="214" formatCode="_-* #,##0.00\ _D_M_-;\-* #,##0.00\ _D_M_-;_-* &quot;-&quot;??\ _D_M_-;_-@_-"/>
    <numFmt numFmtId="215" formatCode="#,##0.00_%_);\(#,##0.00\)_%;**;@_%_)"/>
    <numFmt numFmtId="216" formatCode="0.000\x"/>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quot;$&quot;#,##0.00_);[Red]\(&quot;$&quot;#,##0.00\);&quot;--  &quot;;_(@_)"/>
    <numFmt numFmtId="222" formatCode="_(\§\ #,##0_)\ ;[Red]\(\§\ #,##0\)\ ;&quot; - &quot;;_(@\ _)"/>
    <numFmt numFmtId="223" formatCode="_(\§\ #,##0.00_);[Red]\(\§\ #,##0.00\);&quot; - &quot;_0_0;_(@_)"/>
    <numFmt numFmtId="224" formatCode="###0.00_)"/>
    <numFmt numFmtId="225" formatCode="m/d/yy_%_)"/>
    <numFmt numFmtId="226" formatCode="mmm\-d\-yyyy"/>
    <numFmt numFmtId="227" formatCode="mmm\-dd\-yyyy"/>
    <numFmt numFmtId="228" formatCode="mmm\-yyyy"/>
    <numFmt numFmtId="229" formatCode="m/d/yy_%_);;**"/>
    <numFmt numFmtId="230" formatCode="#,##0.0_);[Red]\(#,##0.0\)"/>
    <numFmt numFmtId="231" formatCode="_([$€-2]* #,##0.00_);_([$€-2]* \(#,##0.00\);_([$€-2]* &quot;-&quot;??_)"/>
    <numFmt numFmtId="232" formatCode="&quot;$&quot;#,##0.000_);[Red]\(&quot;$&quot;#,##0.000\)"/>
    <numFmt numFmtId="233" formatCode="0.0000000000000"/>
    <numFmt numFmtId="234" formatCode="0.0%"/>
    <numFmt numFmtId="235" formatCode="0_)"/>
    <numFmt numFmtId="236" formatCode="[$-409]d\-mmm\-yy;@"/>
    <numFmt numFmtId="237" formatCode="#,##0.00_);[Red]\(#,##0.00\);\-\-\ \ \ "/>
    <numFmt numFmtId="238" formatCode="General_)"/>
    <numFmt numFmtId="239" formatCode="&quot;&quot;"/>
    <numFmt numFmtId="240" formatCode="#,##0.0\ ;\(#,##0.0\ \)"/>
    <numFmt numFmtId="241" formatCode="0.0%;0.0%;\-\ "/>
    <numFmt numFmtId="242" formatCode="0.0%\ ;\(0.0%\)"/>
    <numFmt numFmtId="243" formatCode="_ * #,##0.00_)\ _$_ ;_ * \(#,##0.00\)\ _$_ ;_ * &quot;-&quot;??_)\ _$_ ;_ @_ "/>
    <numFmt numFmtId="244" formatCode="#,##0.00000\ ;\(#,##0.00000\ \)"/>
    <numFmt numFmtId="245" formatCode="0.000000000000"/>
    <numFmt numFmtId="246" formatCode="_ * #,##0.00_)\ &quot;$&quot;_ ;_ * \(#,##0.00\)\ &quot;$&quot;_ ;_ * &quot;-&quot;??_)\ &quot;$&quot;_ ;_ @_ "/>
    <numFmt numFmtId="247" formatCode="#,##0.0000\ ;\(#,##0.0000\ \)"/>
    <numFmt numFmtId="248" formatCode="0.000%\ ;\(0.000%\)"/>
    <numFmt numFmtId="249" formatCode="#,##0.0\x_)_);\(#,##0.0\x\)_);#,##0.0\x_)_);@_%_)"/>
    <numFmt numFmtId="250" formatCode="_(* #,##0.00000_);_(* \(#,##0.00000\);_(* &quot;-&quot;?_);_(@_)"/>
    <numFmt numFmtId="251" formatCode="0.00_)"/>
    <numFmt numFmtId="252" formatCode="#,##0.000_);[Red]\(#,##0.000\)"/>
    <numFmt numFmtId="253" formatCode="0_);\(0\)"/>
    <numFmt numFmtId="254" formatCode="[$-1009]d\-mmm\-yy;@"/>
    <numFmt numFmtId="255" formatCode="#,##0.0_);[Red]\(#,##0.0\);&quot;--  &quot;"/>
    <numFmt numFmtId="256" formatCode="#,##0.00&quot;x&quot;_);[Red]\(#,##0.00&quot;x&quot;\)"/>
    <numFmt numFmtId="257" formatCode="#,##0_);\(#,##0\);&quot;-  &quot;"/>
    <numFmt numFmtId="258" formatCode="#,##0.0_);\(#,##0.0\);&quot;-  &quot;"/>
    <numFmt numFmtId="259" formatCode="#,##0.0_);\(#,##0.0\);\-_)"/>
    <numFmt numFmtId="260" formatCode="0.00000000"/>
    <numFmt numFmtId="261" formatCode="#,##0.0%_);[Red]\(#,##0.0%\)"/>
    <numFmt numFmtId="262" formatCode="#,##0.00%_);[Red]\(#,##0.00%\)"/>
    <numFmt numFmtId="263" formatCode="0.0%_);\(0.0%\);&quot;-  &quot;"/>
    <numFmt numFmtId="264" formatCode="#,##0.0\%_);\(#,##0.0\%\);#,##0.0\%_);@_%_)"/>
    <numFmt numFmtId="265" formatCode="mm/dd/yy"/>
    <numFmt numFmtId="266" formatCode="0.00\ ;\-0.00\ ;&quot;- &quot;"/>
    <numFmt numFmtId="267" formatCode="#,##0.0000"/>
    <numFmt numFmtId="268" formatCode="#,##0\ ;[Red]\(#,##0\);\ \-\ "/>
    <numFmt numFmtId="269" formatCode="#,##0.00_);\(#,##0.00\);#,##0.00_);@_)"/>
    <numFmt numFmtId="270" formatCode="[White]General"/>
    <numFmt numFmtId="271" formatCode="#,###.##"/>
    <numFmt numFmtId="272" formatCode="&quot;$&quot;#,##0.000000_);[Red]\(&quot;$&quot;#,##0.000000\)"/>
    <numFmt numFmtId="273" formatCode="&quot;Table &quot;0"/>
    <numFmt numFmtId="274" formatCode="_(General_)"/>
    <numFmt numFmtId="275" formatCode="0.00\ "/>
    <numFmt numFmtId="276" formatCode="_-&quot;L.&quot;\ * #,##0.00_-;\-&quot;L.&quot;\ * #,##0.00_-;_-&quot;L.&quot;\ * &quot;-&quot;??_-;_-@_-"/>
    <numFmt numFmtId="277" formatCode="0_%_);\(0\)_%;0_%_);@_%_)"/>
    <numFmt numFmtId="278" formatCode="0,000\x"/>
    <numFmt numFmtId="279" formatCode="yyyy&quot;A&quot;"/>
    <numFmt numFmtId="280" formatCode="_-* #,##0\ _D_M_-;\-* #,##0\ _D_M_-;_-* &quot;-&quot;\ _D_M_-;_-@_-"/>
    <numFmt numFmtId="281" formatCode="&quot;@ &quot;0.00"/>
    <numFmt numFmtId="282" formatCode="&quot;Yes&quot;_%_);&quot;Error&quot;_%_);&quot;No&quot;_%_);&quot;--&quot;_%_)"/>
  </numFmts>
  <fonts count="245">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sz val="16"/>
      <name val="Verdana"/>
      <family val="2"/>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0"/>
      <name val="Verdana"/>
      <family val="2"/>
    </font>
    <font>
      <sz val="12"/>
      <color indexed="8"/>
      <name val="Verdana"/>
      <family val="2"/>
    </font>
    <font>
      <b/>
      <sz val="11"/>
      <color rgb="FFFF0000"/>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9"/>
      <color indexed="81"/>
      <name val="Verdana"/>
      <family val="2"/>
    </font>
    <font>
      <sz val="9"/>
      <color indexed="81"/>
      <name val="Verdana"/>
      <family val="2"/>
    </font>
  </fonts>
  <fills count="9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F2F2F2"/>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BF3DA"/>
        <bgColor indexed="64"/>
      </patternFill>
    </fill>
    <fill>
      <patternFill patternType="solid">
        <fgColor rgb="FFE1F4E1"/>
        <bgColor indexed="64"/>
      </patternFill>
    </fill>
    <fill>
      <patternFill patternType="solid">
        <fgColor rgb="FFFFFF00"/>
        <bgColor indexed="64"/>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rgb="FFEFEFEF"/>
        <bgColor indexed="64"/>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09">
    <xf numFmtId="0" fontId="0" fillId="0" borderId="0"/>
    <xf numFmtId="166" fontId="17" fillId="0" borderId="0" applyFont="0" applyFill="0" applyBorder="0" applyAlignment="0" applyProtection="0"/>
    <xf numFmtId="166" fontId="19"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44"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166"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166"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0" fillId="0" borderId="0"/>
    <xf numFmtId="0" fontId="17" fillId="0" borderId="0"/>
    <xf numFmtId="0" fontId="17" fillId="0" borderId="0" applyFont="0" applyFill="0" applyBorder="0" applyAlignment="0" applyProtection="0"/>
    <xf numFmtId="179" fontId="17" fillId="0" borderId="0" applyFont="0" applyFill="0" applyBorder="0" applyAlignment="0" applyProtection="0"/>
    <xf numFmtId="0" fontId="105" fillId="0" borderId="0"/>
    <xf numFmtId="0" fontId="106" fillId="0" borderId="0" applyFont="0" applyFill="0" applyBorder="0" applyAlignment="0" applyProtection="0"/>
    <xf numFmtId="180" fontId="17" fillId="0" borderId="0" applyFont="0" applyFill="0" applyBorder="0" applyAlignment="0" applyProtection="0"/>
    <xf numFmtId="176" fontId="17" fillId="0" borderId="0" applyFont="0" applyFill="0" applyBorder="0" applyAlignment="0" applyProtection="0"/>
    <xf numFmtId="181" fontId="107" fillId="0" borderId="0" applyFont="0" applyFill="0" applyBorder="0" applyAlignment="0" applyProtection="0"/>
    <xf numFmtId="182" fontId="107" fillId="0" borderId="0" applyFont="0" applyFill="0" applyBorder="0" applyAlignment="0" applyProtection="0"/>
    <xf numFmtId="39" fontId="17" fillId="0" borderId="0" applyFont="0" applyFill="0" applyBorder="0" applyAlignment="0" applyProtection="0"/>
    <xf numFmtId="0" fontId="105" fillId="0" borderId="0"/>
    <xf numFmtId="0" fontId="17" fillId="0" borderId="0">
      <alignment vertical="top"/>
    </xf>
    <xf numFmtId="0" fontId="106" fillId="0" borderId="0" applyNumberFormat="0" applyFill="0">
      <alignment horizontal="left" vertical="center" wrapText="1"/>
    </xf>
    <xf numFmtId="183" fontId="17" fillId="0" borderId="0" applyFont="0" applyFill="0" applyBorder="0" applyAlignment="0" applyProtection="0"/>
    <xf numFmtId="184" fontId="107" fillId="0" borderId="0" applyFont="0" applyFill="0" applyBorder="0" applyAlignment="0" applyProtection="0"/>
    <xf numFmtId="185" fontId="107" fillId="0" borderId="0" applyFont="0" applyFill="0" applyBorder="0" applyAlignment="0" applyProtection="0"/>
    <xf numFmtId="186" fontId="107" fillId="0" borderId="0" applyFont="0" applyFill="0" applyBorder="0" applyAlignment="0" applyProtection="0"/>
    <xf numFmtId="187" fontId="107" fillId="0" borderId="0" applyFont="0" applyFill="0" applyBorder="0" applyAlignment="0" applyProtection="0"/>
    <xf numFmtId="188" fontId="17" fillId="0" borderId="0" applyFont="0" applyFill="0" applyBorder="0" applyAlignment="0" applyProtection="0"/>
    <xf numFmtId="189" fontId="17" fillId="0" borderId="0" applyFont="0" applyFill="0" applyBorder="0" applyAlignment="0" applyProtection="0"/>
    <xf numFmtId="190" fontId="17" fillId="0" borderId="0" applyFont="0" applyFill="0" applyBorder="0" applyProtection="0">
      <alignment horizontal="right"/>
    </xf>
    <xf numFmtId="191" fontId="107" fillId="0" borderId="0" applyFont="0" applyFill="0" applyBorder="0" applyAlignment="0" applyProtection="0"/>
    <xf numFmtId="41" fontId="107" fillId="0" borderId="0" applyFont="0" applyFill="0" applyBorder="0" applyAlignment="0" applyProtection="0"/>
    <xf numFmtId="192" fontId="17" fillId="0" borderId="0" applyFont="0" applyFill="0" applyBorder="0" applyAlignment="0" applyProtection="0"/>
    <xf numFmtId="172" fontId="17" fillId="0" borderId="0" applyFont="0" applyFill="0" applyBorder="0" applyAlignment="0" applyProtection="0"/>
    <xf numFmtId="193" fontId="107" fillId="0" borderId="0" applyFont="0" applyFill="0" applyBorder="0" applyAlignment="0" applyProtection="0"/>
    <xf numFmtId="193" fontId="17" fillId="0" borderId="0" applyFont="0" applyFill="0" applyBorder="0" applyAlignment="0" applyProtection="0"/>
    <xf numFmtId="194" fontId="17" fillId="0" borderId="0" applyFont="0" applyFill="0" applyBorder="0" applyAlignment="0" applyProtection="0"/>
    <xf numFmtId="195" fontId="17" fillId="0" borderId="0" applyFont="0" applyFill="0" applyBorder="0" applyAlignment="0" applyProtection="0"/>
    <xf numFmtId="196" fontId="17" fillId="0" borderId="0" applyFont="0" applyFill="0" applyBorder="0" applyAlignment="0" applyProtection="0"/>
    <xf numFmtId="0" fontId="17" fillId="0" borderId="0"/>
    <xf numFmtId="0" fontId="17" fillId="0" borderId="0"/>
    <xf numFmtId="9" fontId="108" fillId="0" borderId="0">
      <alignment horizontal="right"/>
    </xf>
    <xf numFmtId="9" fontId="106" fillId="0" borderId="0">
      <alignment horizontal="right"/>
    </xf>
    <xf numFmtId="0" fontId="17" fillId="70" borderId="30" applyNumberFormat="0">
      <alignment horizontal="centerContinuous" vertical="center" wrapText="1"/>
    </xf>
    <xf numFmtId="0" fontId="17" fillId="71" borderId="30" applyNumberFormat="0">
      <alignment horizontal="left" vertical="center"/>
    </xf>
    <xf numFmtId="43" fontId="109" fillId="0" borderId="0" applyFont="0" applyFill="0" applyBorder="0" applyAlignment="0" applyProtection="0"/>
    <xf numFmtId="0" fontId="17" fillId="0" borderId="0"/>
    <xf numFmtId="9" fontId="110" fillId="0" borderId="0" applyFont="0" applyFill="0" applyBorder="0" applyAlignment="0" applyProtection="0"/>
    <xf numFmtId="10" fontId="110" fillId="0" borderId="0" applyFont="0" applyFill="0" applyBorder="0" applyAlignment="0" applyProtection="0"/>
    <xf numFmtId="0" fontId="107" fillId="0" borderId="0" applyNumberFormat="0" applyFill="0" applyBorder="0" applyAlignment="0" applyProtection="0"/>
    <xf numFmtId="0" fontId="25" fillId="0" borderId="0"/>
    <xf numFmtId="197" fontId="106" fillId="0" borderId="0" applyNumberFormat="0" applyFill="0">
      <alignment horizontal="left" vertical="center" wrapText="1"/>
    </xf>
    <xf numFmtId="5" fontId="110" fillId="0" borderId="0" applyFont="0" applyFill="0" applyBorder="0" applyAlignment="0" applyProtection="0"/>
    <xf numFmtId="8" fontId="110" fillId="0" borderId="0" applyFont="0" applyFill="0" applyBorder="0" applyAlignment="0" applyProtection="0"/>
    <xf numFmtId="0" fontId="111" fillId="0" borderId="0" applyFont="0" applyFill="0" applyBorder="0" applyAlignment="0" applyProtection="0"/>
    <xf numFmtId="198" fontId="111" fillId="0" borderId="0" applyFont="0" applyFill="0" applyBorder="0" applyAlignment="0" applyProtection="0"/>
    <xf numFmtId="0" fontId="106" fillId="25" borderId="0" applyFont="0" applyFill="0" applyProtection="0"/>
    <xf numFmtId="179" fontId="17" fillId="0" borderId="0"/>
    <xf numFmtId="199" fontId="112" fillId="0" borderId="0" applyFill="0" applyBorder="0" applyAlignment="0" applyProtection="0">
      <alignment horizontal="right"/>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113"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113"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113"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113"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113"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113"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10" fillId="45" borderId="0" applyNumberFormat="0" applyBorder="0" applyAlignment="0" applyProtection="0"/>
    <xf numFmtId="0" fontId="53"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53" fillId="45" borderId="0" applyNumberFormat="0" applyBorder="0" applyAlignment="0" applyProtection="0"/>
    <xf numFmtId="0" fontId="10"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113"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9" borderId="0" applyNumberFormat="0" applyBorder="0" applyAlignment="0" applyProtection="0"/>
    <xf numFmtId="0" fontId="53"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53" fillId="49" borderId="0" applyNumberFormat="0" applyBorder="0" applyAlignment="0" applyProtection="0"/>
    <xf numFmtId="0" fontId="10" fillId="49" borderId="0" applyNumberFormat="0" applyBorder="0" applyAlignment="0" applyProtection="0"/>
    <xf numFmtId="0" fontId="53" fillId="49" borderId="0" applyNumberFormat="0" applyBorder="0" applyAlignment="0" applyProtection="0"/>
    <xf numFmtId="0" fontId="53" fillId="49" borderId="0" applyNumberFormat="0" applyBorder="0" applyAlignment="0" applyProtection="0"/>
    <xf numFmtId="0" fontId="53" fillId="49" borderId="0" applyNumberFormat="0" applyBorder="0" applyAlignment="0" applyProtection="0"/>
    <xf numFmtId="0" fontId="53" fillId="49" borderId="0" applyNumberFormat="0" applyBorder="0" applyAlignment="0" applyProtection="0"/>
    <xf numFmtId="0" fontId="53" fillId="49" borderId="0" applyNumberFormat="0" applyBorder="0" applyAlignment="0" applyProtection="0"/>
    <xf numFmtId="0" fontId="113"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53" borderId="0" applyNumberFormat="0" applyBorder="0" applyAlignment="0" applyProtection="0"/>
    <xf numFmtId="0" fontId="53"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53" fillId="53" borderId="0" applyNumberFormat="0" applyBorder="0" applyAlignment="0" applyProtection="0"/>
    <xf numFmtId="0" fontId="10" fillId="53" borderId="0" applyNumberFormat="0" applyBorder="0" applyAlignment="0" applyProtection="0"/>
    <xf numFmtId="0" fontId="53" fillId="53" borderId="0" applyNumberFormat="0" applyBorder="0" applyAlignment="0" applyProtection="0"/>
    <xf numFmtId="0" fontId="53" fillId="53" borderId="0" applyNumberFormat="0" applyBorder="0" applyAlignment="0" applyProtection="0"/>
    <xf numFmtId="0" fontId="53" fillId="53" borderId="0" applyNumberFormat="0" applyBorder="0" applyAlignment="0" applyProtection="0"/>
    <xf numFmtId="0" fontId="53" fillId="53" borderId="0" applyNumberFormat="0" applyBorder="0" applyAlignment="0" applyProtection="0"/>
    <xf numFmtId="0" fontId="53" fillId="53" borderId="0" applyNumberFormat="0" applyBorder="0" applyAlignment="0" applyProtection="0"/>
    <xf numFmtId="0" fontId="113"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3" borderId="0" applyNumberFormat="0" applyBorder="0" applyAlignment="0" applyProtection="0"/>
    <xf numFmtId="0" fontId="10" fillId="57" borderId="0" applyNumberFormat="0" applyBorder="0" applyAlignment="0" applyProtection="0"/>
    <xf numFmtId="0" fontId="53"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53" fillId="57" borderId="0" applyNumberFormat="0" applyBorder="0" applyAlignment="0" applyProtection="0"/>
    <xf numFmtId="0" fontId="10"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113"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61" borderId="0" applyNumberFormat="0" applyBorder="0" applyAlignment="0" applyProtection="0"/>
    <xf numFmtId="0" fontId="53"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53" fillId="61" borderId="0" applyNumberFormat="0" applyBorder="0" applyAlignment="0" applyProtection="0"/>
    <xf numFmtId="0" fontId="10" fillId="61" borderId="0" applyNumberFormat="0" applyBorder="0" applyAlignment="0" applyProtection="0"/>
    <xf numFmtId="0" fontId="53" fillId="61" borderId="0" applyNumberFormat="0" applyBorder="0" applyAlignment="0" applyProtection="0"/>
    <xf numFmtId="0" fontId="53" fillId="61" borderId="0" applyNumberFormat="0" applyBorder="0" applyAlignment="0" applyProtection="0"/>
    <xf numFmtId="0" fontId="53" fillId="61" borderId="0" applyNumberFormat="0" applyBorder="0" applyAlignment="0" applyProtection="0"/>
    <xf numFmtId="0" fontId="53" fillId="61" borderId="0" applyNumberFormat="0" applyBorder="0" applyAlignment="0" applyProtection="0"/>
    <xf numFmtId="0" fontId="53" fillId="61" borderId="0" applyNumberFormat="0" applyBorder="0" applyAlignment="0" applyProtection="0"/>
    <xf numFmtId="0" fontId="113"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5" borderId="0" applyNumberFormat="0" applyBorder="0" applyAlignment="0" applyProtection="0"/>
    <xf numFmtId="0" fontId="53"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53" fillId="65" borderId="0" applyNumberFormat="0" applyBorder="0" applyAlignment="0" applyProtection="0"/>
    <xf numFmtId="0" fontId="10" fillId="65" borderId="0" applyNumberFormat="0" applyBorder="0" applyAlignment="0" applyProtection="0"/>
    <xf numFmtId="0" fontId="53" fillId="65" borderId="0" applyNumberFormat="0" applyBorder="0" applyAlignment="0" applyProtection="0"/>
    <xf numFmtId="0" fontId="53" fillId="65" borderId="0" applyNumberFormat="0" applyBorder="0" applyAlignment="0" applyProtection="0"/>
    <xf numFmtId="0" fontId="53" fillId="65" borderId="0" applyNumberFormat="0" applyBorder="0" applyAlignment="0" applyProtection="0"/>
    <xf numFmtId="0" fontId="53" fillId="65" borderId="0" applyNumberFormat="0" applyBorder="0" applyAlignment="0" applyProtection="0"/>
    <xf numFmtId="0" fontId="53" fillId="65" borderId="0" applyNumberFormat="0" applyBorder="0" applyAlignment="0" applyProtection="0"/>
    <xf numFmtId="0" fontId="113"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114" fillId="46" borderId="0" applyNumberFormat="0" applyBorder="0" applyAlignment="0" applyProtection="0"/>
    <xf numFmtId="0" fontId="114" fillId="46"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114" fillId="50" borderId="0" applyNumberFormat="0" applyBorder="0" applyAlignment="0" applyProtection="0"/>
    <xf numFmtId="0" fontId="114" fillId="50"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114" fillId="54" borderId="0" applyNumberFormat="0" applyBorder="0" applyAlignment="0" applyProtection="0"/>
    <xf numFmtId="0" fontId="114" fillId="54"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4" fillId="58" borderId="0" applyNumberFormat="0" applyBorder="0" applyAlignment="0" applyProtection="0"/>
    <xf numFmtId="0" fontId="114" fillId="58"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114" fillId="62" borderId="0" applyNumberFormat="0" applyBorder="0" applyAlignment="0" applyProtection="0"/>
    <xf numFmtId="0" fontId="114" fillId="62"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114" fillId="66" borderId="0" applyNumberFormat="0" applyBorder="0" applyAlignment="0" applyProtection="0"/>
    <xf numFmtId="0" fontId="114" fillId="66" borderId="0" applyNumberFormat="0" applyBorder="0" applyAlignment="0" applyProtection="0"/>
    <xf numFmtId="200" fontId="17" fillId="0" borderId="11">
      <alignment horizontal="right"/>
    </xf>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114" fillId="43" borderId="0" applyNumberFormat="0" applyBorder="0" applyAlignment="0" applyProtection="0"/>
    <xf numFmtId="0" fontId="114" fillId="43" borderId="0" applyNumberFormat="0" applyBorder="0" applyAlignment="0" applyProtection="0"/>
    <xf numFmtId="0" fontId="72" fillId="47" borderId="0" applyNumberFormat="0" applyBorder="0" applyAlignment="0" applyProtection="0"/>
    <xf numFmtId="0" fontId="72" fillId="47" borderId="0" applyNumberFormat="0" applyBorder="0" applyAlignment="0" applyProtection="0"/>
    <xf numFmtId="0" fontId="72" fillId="47" borderId="0" applyNumberFormat="0" applyBorder="0" applyAlignment="0" applyProtection="0"/>
    <xf numFmtId="0" fontId="72" fillId="47" borderId="0" applyNumberFormat="0" applyBorder="0" applyAlignment="0" applyProtection="0"/>
    <xf numFmtId="0" fontId="72" fillId="47" borderId="0" applyNumberFormat="0" applyBorder="0" applyAlignment="0" applyProtection="0"/>
    <xf numFmtId="0" fontId="72" fillId="47" borderId="0" applyNumberFormat="0" applyBorder="0" applyAlignment="0" applyProtection="0"/>
    <xf numFmtId="0" fontId="72" fillId="47" borderId="0" applyNumberFormat="0" applyBorder="0" applyAlignment="0" applyProtection="0"/>
    <xf numFmtId="0" fontId="114" fillId="47" borderId="0" applyNumberFormat="0" applyBorder="0" applyAlignment="0" applyProtection="0"/>
    <xf numFmtId="0" fontId="114" fillId="47"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114" fillId="55" borderId="0" applyNumberFormat="0" applyBorder="0" applyAlignment="0" applyProtection="0"/>
    <xf numFmtId="0" fontId="114" fillId="55"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114" fillId="59" borderId="0" applyNumberFormat="0" applyBorder="0" applyAlignment="0" applyProtection="0"/>
    <xf numFmtId="0" fontId="114" fillId="59" borderId="0" applyNumberFormat="0" applyBorder="0" applyAlignment="0" applyProtection="0"/>
    <xf numFmtId="0" fontId="72" fillId="63" borderId="0" applyNumberFormat="0" applyBorder="0" applyAlignment="0" applyProtection="0"/>
    <xf numFmtId="0" fontId="72" fillId="63" borderId="0" applyNumberFormat="0" applyBorder="0" applyAlignment="0" applyProtection="0"/>
    <xf numFmtId="0" fontId="72" fillId="63" borderId="0" applyNumberFormat="0" applyBorder="0" applyAlignment="0" applyProtection="0"/>
    <xf numFmtId="0" fontId="72" fillId="63" borderId="0" applyNumberFormat="0" applyBorder="0" applyAlignment="0" applyProtection="0"/>
    <xf numFmtId="0" fontId="72" fillId="63" borderId="0" applyNumberFormat="0" applyBorder="0" applyAlignment="0" applyProtection="0"/>
    <xf numFmtId="0" fontId="72" fillId="63" borderId="0" applyNumberFormat="0" applyBorder="0" applyAlignment="0" applyProtection="0"/>
    <xf numFmtId="0" fontId="72" fillId="63" borderId="0" applyNumberFormat="0" applyBorder="0" applyAlignment="0" applyProtection="0"/>
    <xf numFmtId="0" fontId="114" fillId="63" borderId="0" applyNumberFormat="0" applyBorder="0" applyAlignment="0" applyProtection="0"/>
    <xf numFmtId="0" fontId="114" fillId="63" borderId="0" applyNumberFormat="0" applyBorder="0" applyAlignment="0" applyProtection="0"/>
    <xf numFmtId="42" fontId="115" fillId="0" borderId="0" applyFont="0"/>
    <xf numFmtId="42" fontId="115" fillId="0" borderId="103" applyFont="0"/>
    <xf numFmtId="41" fontId="115" fillId="0" borderId="0" applyFont="0"/>
    <xf numFmtId="201" fontId="116" fillId="0" borderId="11">
      <alignment horizontal="right"/>
    </xf>
    <xf numFmtId="201" fontId="116" fillId="0" borderId="11" applyFill="0">
      <alignment horizontal="right"/>
    </xf>
    <xf numFmtId="3" fontId="17" fillId="0" borderId="11" applyFill="0">
      <alignment horizontal="right"/>
    </xf>
    <xf numFmtId="202" fontId="116" fillId="0" borderId="11" applyFill="0">
      <alignment horizontal="right"/>
    </xf>
    <xf numFmtId="203" fontId="16" fillId="72" borderId="104">
      <alignment horizontal="center" vertical="center"/>
    </xf>
    <xf numFmtId="0" fontId="17" fillId="0" borderId="0"/>
    <xf numFmtId="179" fontId="117" fillId="0" borderId="0"/>
    <xf numFmtId="0" fontId="17" fillId="0" borderId="0"/>
    <xf numFmtId="204" fontId="17" fillId="0" borderId="11">
      <alignment horizontal="right"/>
      <protection locked="0"/>
    </xf>
    <xf numFmtId="6" fontId="116" fillId="0" borderId="11" applyNumberFormat="0" applyFont="0" applyBorder="0" applyProtection="0">
      <alignment horizontal="right"/>
    </xf>
    <xf numFmtId="205" fontId="118" fillId="73" borderId="105"/>
    <xf numFmtId="0" fontId="17" fillId="0" borderId="0" applyNumberFormat="0" applyFill="0" applyBorder="0" applyAlignment="0" applyProtection="0"/>
    <xf numFmtId="0" fontId="119" fillId="0" borderId="0" applyNumberFormat="0" applyFill="0" applyBorder="0" applyAlignment="0" applyProtection="0"/>
    <xf numFmtId="0" fontId="120" fillId="0" borderId="0"/>
    <xf numFmtId="0" fontId="37" fillId="0" borderId="0" applyNumberFormat="0" applyFill="0" applyBorder="0" applyAlignment="0" applyProtection="0"/>
    <xf numFmtId="0" fontId="121" fillId="37" borderId="0" applyNumberFormat="0" applyBorder="0" applyAlignment="0" applyProtection="0"/>
    <xf numFmtId="0" fontId="121" fillId="37" borderId="0" applyNumberFormat="0" applyBorder="0" applyAlignment="0" applyProtection="0"/>
    <xf numFmtId="0" fontId="121" fillId="37" borderId="0" applyNumberFormat="0" applyBorder="0" applyAlignment="0" applyProtection="0"/>
    <xf numFmtId="0" fontId="121" fillId="37" borderId="0" applyNumberFormat="0" applyBorder="0" applyAlignment="0" applyProtection="0"/>
    <xf numFmtId="0" fontId="121" fillId="37" borderId="0" applyNumberFormat="0" applyBorder="0" applyAlignment="0" applyProtection="0"/>
    <xf numFmtId="0" fontId="121" fillId="37" borderId="0" applyNumberFormat="0" applyBorder="0" applyAlignment="0" applyProtection="0"/>
    <xf numFmtId="0" fontId="121" fillId="37" borderId="0" applyNumberFormat="0" applyBorder="0" applyAlignment="0" applyProtection="0"/>
    <xf numFmtId="0" fontId="122" fillId="37" borderId="0" applyNumberFormat="0" applyBorder="0" applyAlignment="0" applyProtection="0"/>
    <xf numFmtId="0" fontId="122" fillId="37" borderId="0" applyNumberFormat="0" applyBorder="0" applyAlignment="0" applyProtection="0"/>
    <xf numFmtId="1" fontId="123" fillId="74" borderId="12" applyNumberFormat="0" applyBorder="0" applyAlignment="0">
      <alignment horizontal="center" vertical="top" wrapText="1"/>
      <protection hidden="1"/>
    </xf>
    <xf numFmtId="0" fontId="124" fillId="75" borderId="0"/>
    <xf numFmtId="0" fontId="125" fillId="0" borderId="0" applyAlignment="0"/>
    <xf numFmtId="0" fontId="126" fillId="0" borderId="6" applyNumberFormat="0" applyFill="0" applyAlignment="0" applyProtection="0"/>
    <xf numFmtId="0" fontId="127" fillId="0" borderId="106" applyNumberFormat="0" applyFont="0" applyFill="0" applyAlignment="0" applyProtection="0"/>
    <xf numFmtId="0" fontId="128" fillId="0" borderId="107" applyNumberFormat="0" applyFont="0" applyFill="0" applyAlignment="0" applyProtection="0">
      <alignment horizontal="centerContinuous"/>
    </xf>
    <xf numFmtId="0" fontId="110" fillId="0" borderId="6" applyNumberFormat="0" applyFont="0" applyFill="0" applyAlignment="0" applyProtection="0"/>
    <xf numFmtId="0" fontId="110" fillId="0" borderId="12" applyNumberFormat="0" applyFont="0" applyFill="0" applyAlignment="0" applyProtection="0"/>
    <xf numFmtId="0" fontId="110" fillId="0" borderId="13" applyNumberFormat="0" applyFont="0" applyFill="0" applyAlignment="0" applyProtection="0"/>
    <xf numFmtId="0" fontId="110" fillId="0" borderId="50" applyNumberFormat="0" applyFont="0" applyFill="0" applyAlignment="0" applyProtection="0"/>
    <xf numFmtId="206" fontId="17" fillId="0" borderId="0" applyFont="0" applyFill="0" applyBorder="0" applyAlignment="0" applyProtection="0"/>
    <xf numFmtId="0" fontId="107" fillId="0" borderId="0">
      <alignment horizontal="right"/>
    </xf>
    <xf numFmtId="0" fontId="111" fillId="0" borderId="0" applyFont="0" applyFill="0" applyBorder="0" applyAlignment="0" applyProtection="0"/>
    <xf numFmtId="207" fontId="107" fillId="0" borderId="0" applyFill="0" applyBorder="0" applyAlignment="0"/>
    <xf numFmtId="208" fontId="107" fillId="0" borderId="0" applyFill="0" applyBorder="0" applyAlignment="0"/>
    <xf numFmtId="169" fontId="107" fillId="0" borderId="0" applyFill="0" applyBorder="0" applyAlignment="0"/>
    <xf numFmtId="209" fontId="107" fillId="0" borderId="0" applyFill="0" applyBorder="0" applyAlignment="0"/>
    <xf numFmtId="169" fontId="17" fillId="0" borderId="0" applyFill="0" applyBorder="0" applyAlignment="0"/>
    <xf numFmtId="207" fontId="107" fillId="0" borderId="0" applyFill="0" applyBorder="0" applyAlignment="0"/>
    <xf numFmtId="209" fontId="17" fillId="0" borderId="0" applyFill="0" applyBorder="0" applyAlignment="0"/>
    <xf numFmtId="208" fontId="107" fillId="0" borderId="0" applyFill="0" applyBorder="0" applyAlignment="0"/>
    <xf numFmtId="0" fontId="23" fillId="21" borderId="30" applyNumberFormat="0" applyAlignment="0" applyProtection="0"/>
    <xf numFmtId="0" fontId="129" fillId="40" borderId="97" applyNumberFormat="0" applyAlignment="0" applyProtection="0"/>
    <xf numFmtId="0" fontId="129" fillId="40" borderId="97" applyNumberFormat="0" applyAlignment="0" applyProtection="0"/>
    <xf numFmtId="0" fontId="129" fillId="40" borderId="97" applyNumberFormat="0" applyAlignment="0" applyProtection="0"/>
    <xf numFmtId="0" fontId="129" fillId="40" borderId="97" applyNumberFormat="0" applyAlignment="0" applyProtection="0"/>
    <xf numFmtId="0" fontId="129" fillId="40" borderId="97" applyNumberFormat="0" applyAlignment="0" applyProtection="0"/>
    <xf numFmtId="0" fontId="130" fillId="40" borderId="97" applyNumberFormat="0" applyAlignment="0" applyProtection="0"/>
    <xf numFmtId="0" fontId="130" fillId="40" borderId="97" applyNumberFormat="0" applyAlignment="0" applyProtection="0"/>
    <xf numFmtId="179" fontId="127" fillId="76" borderId="0" applyNumberFormat="0" applyFont="0" applyBorder="0" applyAlignment="0">
      <alignment horizontal="left"/>
    </xf>
    <xf numFmtId="0" fontId="32" fillId="0" borderId="21" applyNumberFormat="0" applyFill="0" applyAlignment="0" applyProtection="0"/>
    <xf numFmtId="210" fontId="17" fillId="0" borderId="0" applyFont="0" applyFill="0" applyBorder="0" applyProtection="0">
      <alignment horizontal="center" vertical="center"/>
    </xf>
    <xf numFmtId="0" fontId="67" fillId="41" borderId="100" applyNumberFormat="0" applyAlignment="0" applyProtection="0"/>
    <xf numFmtId="0" fontId="67" fillId="41" borderId="100" applyNumberFormat="0" applyAlignment="0" applyProtection="0"/>
    <xf numFmtId="0" fontId="67" fillId="41" borderId="100" applyNumberFormat="0" applyAlignment="0" applyProtection="0"/>
    <xf numFmtId="0" fontId="67" fillId="41" borderId="100" applyNumberFormat="0" applyAlignment="0" applyProtection="0"/>
    <xf numFmtId="0" fontId="67" fillId="41" borderId="100" applyNumberFormat="0" applyAlignment="0" applyProtection="0"/>
    <xf numFmtId="0" fontId="67" fillId="41" borderId="100" applyNumberFormat="0" applyAlignment="0" applyProtection="0"/>
    <xf numFmtId="0" fontId="67" fillId="41" borderId="100" applyNumberFormat="0" applyAlignment="0" applyProtection="0"/>
    <xf numFmtId="0" fontId="93" fillId="41" borderId="100" applyNumberFormat="0" applyAlignment="0" applyProtection="0"/>
    <xf numFmtId="0" fontId="93" fillId="41" borderId="100" applyNumberFormat="0" applyAlignment="0" applyProtection="0"/>
    <xf numFmtId="211" fontId="17" fillId="0" borderId="0" applyNumberFormat="0" applyFont="0" applyFill="0" applyAlignment="0" applyProtection="0"/>
    <xf numFmtId="0" fontId="126" fillId="0" borderId="6" applyNumberFormat="0" applyFill="0" applyProtection="0">
      <alignment horizontal="left" vertical="center"/>
    </xf>
    <xf numFmtId="0" fontId="131" fillId="0" borderId="0">
      <alignment horizontal="center" wrapText="1"/>
      <protection hidden="1"/>
    </xf>
    <xf numFmtId="0" fontId="132" fillId="0" borderId="0">
      <alignment horizontal="right"/>
    </xf>
    <xf numFmtId="167" fontId="112" fillId="0" borderId="0" applyBorder="0">
      <alignment horizontal="right"/>
    </xf>
    <xf numFmtId="167" fontId="112" fillId="0" borderId="106" applyAlignment="0">
      <alignment horizontal="right"/>
    </xf>
    <xf numFmtId="212" fontId="107" fillId="0" borderId="0"/>
    <xf numFmtId="212" fontId="107" fillId="0" borderId="0"/>
    <xf numFmtId="212" fontId="107" fillId="0" borderId="0"/>
    <xf numFmtId="212" fontId="107" fillId="0" borderId="0"/>
    <xf numFmtId="212" fontId="107" fillId="0" borderId="0"/>
    <xf numFmtId="212" fontId="107" fillId="0" borderId="0"/>
    <xf numFmtId="212" fontId="107" fillId="0" borderId="0"/>
    <xf numFmtId="212" fontId="107" fillId="0" borderId="0"/>
    <xf numFmtId="41" fontId="133" fillId="0" borderId="0" applyFont="0" applyBorder="0">
      <alignment horizontal="right"/>
    </xf>
    <xf numFmtId="207" fontId="107" fillId="0" borderId="0" applyFont="0" applyFill="0" applyBorder="0" applyAlignment="0" applyProtection="0"/>
    <xf numFmtId="213" fontId="17" fillId="0" borderId="0" applyFont="0"/>
    <xf numFmtId="0" fontId="134" fillId="0" borderId="0" applyFont="0" applyFill="0" applyBorder="0" applyProtection="0">
      <alignment horizontal="right"/>
    </xf>
    <xf numFmtId="0" fontId="134" fillId="0" borderId="0" applyFont="0" applyFill="0" applyBorder="0" applyProtection="0">
      <alignment horizontal="right"/>
    </xf>
    <xf numFmtId="172" fontId="17" fillId="0" borderId="0" applyFont="0" applyFill="0" applyBorder="0" applyAlignment="0" applyProtection="0">
      <alignment horizontal="right"/>
    </xf>
    <xf numFmtId="214" fontId="17"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43" fontId="17" fillId="0" borderId="0" applyFont="0" applyFill="0" applyBorder="0" applyAlignment="0" applyProtection="0"/>
    <xf numFmtId="43" fontId="135" fillId="0" borderId="0" applyFont="0" applyFill="0" applyBorder="0" applyAlignment="0" applyProtection="0"/>
    <xf numFmtId="166" fontId="17" fillId="0" borderId="0" applyFont="0" applyFill="0" applyBorder="0" applyAlignment="0" applyProtection="0"/>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43" fontId="17" fillId="0" borderId="0" applyFont="0" applyFill="0" applyBorder="0" applyAlignment="0" applyProtection="0"/>
    <xf numFmtId="43" fontId="135" fillId="0" borderId="0" applyFont="0" applyFill="0" applyBorder="0" applyAlignment="0" applyProtection="0"/>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43" fontId="131" fillId="0" borderId="0" applyFont="0" applyFill="0" applyBorder="0" applyAlignment="0" applyProtection="0"/>
    <xf numFmtId="43" fontId="135"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15" fontId="136"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1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166" fontId="1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3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1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 fontId="139" fillId="0" borderId="0" applyFont="0" applyFill="0" applyBorder="0" applyAlignment="0" applyProtection="0"/>
    <xf numFmtId="179" fontId="140" fillId="0" borderId="0"/>
    <xf numFmtId="0" fontId="141" fillId="0" borderId="0"/>
    <xf numFmtId="0" fontId="17" fillId="24" borderId="31" applyNumberFormat="0" applyFont="0" applyAlignment="0" applyProtection="0"/>
    <xf numFmtId="0" fontId="142" fillId="77" borderId="0">
      <alignment horizontal="center" vertical="center" wrapText="1"/>
    </xf>
    <xf numFmtId="216" fontId="17" fillId="0" borderId="0" applyFill="0" applyBorder="0">
      <alignment horizontal="right"/>
      <protection locked="0"/>
    </xf>
    <xf numFmtId="208" fontId="107" fillId="0" borderId="0" applyFont="0" applyFill="0" applyBorder="0" applyAlignment="0" applyProtection="0"/>
    <xf numFmtId="217" fontId="46" fillId="0" borderId="0">
      <alignment horizontal="right"/>
    </xf>
    <xf numFmtId="8" fontId="143" fillId="0" borderId="108">
      <protection locked="0"/>
    </xf>
    <xf numFmtId="0" fontId="134" fillId="0" borderId="0" applyFont="0" applyFill="0" applyBorder="0" applyProtection="0">
      <alignment horizontal="right"/>
    </xf>
    <xf numFmtId="188" fontId="17" fillId="0" borderId="0" applyFont="0" applyFill="0" applyBorder="0" applyAlignment="0" applyProtection="0">
      <alignment horizontal="right"/>
    </xf>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0" fillId="0" borderId="0" applyFont="0" applyFill="0" applyBorder="0" applyAlignment="0" applyProtection="0"/>
    <xf numFmtId="44" fontId="12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96" fillId="0" borderId="0" applyFont="0" applyFill="0" applyBorder="0" applyAlignment="0" applyProtection="0"/>
    <xf numFmtId="44" fontId="119" fillId="0" borderId="0" applyFont="0" applyFill="0" applyBorder="0" applyAlignment="0" applyProtection="0"/>
    <xf numFmtId="14" fontId="17"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165" fontId="137" fillId="0" borderId="0" applyFont="0" applyFill="0" applyBorder="0" applyAlignment="0" applyProtection="0"/>
    <xf numFmtId="165" fontId="17" fillId="0" borderId="0" applyFont="0" applyFill="0" applyBorder="0" applyAlignment="0" applyProtection="0"/>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44" fontId="17" fillId="0" borderId="0" applyFont="0" applyFill="0" applyBorder="0" applyAlignment="0" applyProtection="0"/>
    <xf numFmtId="44" fontId="25" fillId="0" borderId="0" applyFont="0" applyFill="0" applyBorder="0" applyAlignment="0" applyProtection="0"/>
    <xf numFmtId="165" fontId="10" fillId="0" borderId="0" applyFont="0" applyFill="0" applyBorder="0" applyAlignment="0" applyProtection="0"/>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219" fontId="14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6" fillId="0" borderId="0" applyFont="0" applyFill="0" applyBorder="0" applyAlignment="0" applyProtection="0"/>
    <xf numFmtId="44" fontId="10"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165" fontId="138" fillId="0" borderId="0" applyFont="0" applyFill="0" applyBorder="0" applyAlignment="0" applyProtection="0"/>
    <xf numFmtId="44" fontId="96"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220" fontId="107" fillId="0" borderId="0" applyFont="0" applyFill="0" applyBorder="0" applyProtection="0">
      <alignment horizontal="right"/>
    </xf>
    <xf numFmtId="221" fontId="138" fillId="0" borderId="109" applyFont="0" applyFill="0" applyBorder="0" applyAlignment="0" applyProtection="0"/>
    <xf numFmtId="222" fontId="116" fillId="0" borderId="0" applyFont="0" applyFill="0" applyBorder="0" applyAlignment="0" applyProtection="0">
      <alignment vertical="center"/>
    </xf>
    <xf numFmtId="223" fontId="116" fillId="0" borderId="0" applyFont="0" applyFill="0" applyBorder="0" applyAlignment="0" applyProtection="0">
      <alignment vertical="center"/>
    </xf>
    <xf numFmtId="0" fontId="131" fillId="0" borderId="0" applyFont="0" applyFill="0" applyBorder="0" applyAlignment="0">
      <protection locked="0"/>
    </xf>
    <xf numFmtId="0" fontId="111" fillId="0" borderId="0" applyFont="0" applyFill="0" applyBorder="0" applyAlignment="0" applyProtection="0"/>
    <xf numFmtId="224" fontId="105" fillId="0" borderId="110" applyNumberFormat="0" applyFill="0">
      <alignment horizontal="right"/>
    </xf>
    <xf numFmtId="224" fontId="105" fillId="0" borderId="110" applyNumberFormat="0" applyFill="0">
      <alignment horizontal="right"/>
    </xf>
    <xf numFmtId="1" fontId="145" fillId="0" borderId="0"/>
    <xf numFmtId="225" fontId="127" fillId="0" borderId="0" applyFont="0" applyFill="0" applyBorder="0" applyProtection="0">
      <alignment horizontal="right"/>
    </xf>
    <xf numFmtId="226" fontId="108" fillId="75" borderId="10" applyFont="0" applyFill="0" applyBorder="0" applyAlignment="0" applyProtection="0"/>
    <xf numFmtId="227" fontId="138" fillId="0" borderId="0" applyFont="0" applyFill="0" applyBorder="0" applyAlignment="0" applyProtection="0"/>
    <xf numFmtId="227" fontId="138" fillId="0" borderId="0" applyFont="0" applyFill="0" applyBorder="0" applyAlignment="0" applyProtection="0"/>
    <xf numFmtId="228" fontId="112" fillId="0" borderId="6" applyFont="0" applyFill="0" applyBorder="0" applyAlignment="0" applyProtection="0"/>
    <xf numFmtId="180" fontId="17" fillId="0" borderId="0" applyFont="0" applyFill="0" applyBorder="0" applyAlignment="0" applyProtection="0"/>
    <xf numFmtId="229" fontId="136" fillId="0" borderId="0" applyFont="0" applyFill="0" applyBorder="0" applyAlignment="0" applyProtection="0"/>
    <xf numFmtId="14" fontId="25" fillId="0" borderId="0" applyFill="0" applyBorder="0" applyAlignment="0"/>
    <xf numFmtId="0" fontId="17" fillId="0" borderId="0">
      <alignment horizontal="left" vertical="top"/>
    </xf>
    <xf numFmtId="42" fontId="146" fillId="0" borderId="0"/>
    <xf numFmtId="0" fontId="138" fillId="0" borderId="0"/>
    <xf numFmtId="41" fontId="17" fillId="0" borderId="0" applyFont="0" applyFill="0" applyBorder="0" applyAlignment="0" applyProtection="0"/>
    <xf numFmtId="43" fontId="17" fillId="0" borderId="0" applyFont="0" applyFill="0" applyBorder="0" applyAlignment="0" applyProtection="0"/>
    <xf numFmtId="0" fontId="147" fillId="0" borderId="0">
      <protection locked="0"/>
    </xf>
    <xf numFmtId="0" fontId="17" fillId="0" borderId="0"/>
    <xf numFmtId="42" fontId="107" fillId="0" borderId="0"/>
    <xf numFmtId="167" fontId="17" fillId="0" borderId="111" applyNumberFormat="0" applyFont="0" applyFill="0" applyAlignment="0" applyProtection="0"/>
    <xf numFmtId="167" fontId="17" fillId="0" borderId="111" applyNumberFormat="0" applyFont="0" applyFill="0" applyAlignment="0" applyProtection="0"/>
    <xf numFmtId="167" fontId="17" fillId="0" borderId="111" applyNumberFormat="0" applyFont="0" applyFill="0" applyAlignment="0" applyProtection="0"/>
    <xf numFmtId="42" fontId="148" fillId="0" borderId="0" applyFill="0" applyBorder="0" applyAlignment="0" applyProtection="0"/>
    <xf numFmtId="1" fontId="127" fillId="0" borderId="0"/>
    <xf numFmtId="230" fontId="149" fillId="0" borderId="0">
      <protection locked="0"/>
    </xf>
    <xf numFmtId="230" fontId="149" fillId="0" borderId="0">
      <protection locked="0"/>
    </xf>
    <xf numFmtId="207" fontId="107" fillId="0" borderId="0" applyFill="0" applyBorder="0" applyAlignment="0"/>
    <xf numFmtId="208" fontId="107" fillId="0" borderId="0" applyFill="0" applyBorder="0" applyAlignment="0"/>
    <xf numFmtId="207" fontId="107" fillId="0" borderId="0" applyFill="0" applyBorder="0" applyAlignment="0"/>
    <xf numFmtId="209" fontId="17" fillId="0" borderId="0" applyFill="0" applyBorder="0" applyAlignment="0"/>
    <xf numFmtId="208" fontId="107" fillId="0" borderId="0" applyFill="0" applyBorder="0" applyAlignment="0"/>
    <xf numFmtId="0" fontId="31" fillId="8" borderId="30" applyNumberFormat="0" applyAlignment="0" applyProtection="0"/>
    <xf numFmtId="231" fontId="106" fillId="0" borderId="0" applyFon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232" fontId="131" fillId="78" borderId="12">
      <alignment horizontal="left"/>
    </xf>
    <xf numFmtId="1" fontId="152" fillId="79" borderId="49" applyNumberFormat="0" applyBorder="0" applyAlignment="0">
      <alignment horizontal="centerContinuous" vertical="center"/>
      <protection locked="0"/>
    </xf>
    <xf numFmtId="233" fontId="17" fillId="0" borderId="0">
      <protection locked="0"/>
    </xf>
    <xf numFmtId="211" fontId="17" fillId="0" borderId="0">
      <protection locked="0"/>
    </xf>
    <xf numFmtId="2" fontId="139" fillId="0" borderId="0" applyFont="0" applyFill="0" applyBorder="0" applyAlignment="0" applyProtection="0"/>
    <xf numFmtId="0" fontId="153" fillId="0" borderId="0" applyNumberFormat="0" applyFill="0" applyBorder="0" applyAlignment="0" applyProtection="0"/>
    <xf numFmtId="0" fontId="154" fillId="0" borderId="0" applyFill="0" applyBorder="0" applyProtection="0">
      <alignment horizontal="left"/>
    </xf>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6" fillId="36" borderId="0" applyNumberFormat="0" applyBorder="0" applyAlignment="0" applyProtection="0"/>
    <xf numFmtId="0" fontId="156" fillId="36" borderId="0" applyNumberFormat="0" applyBorder="0" applyAlignment="0" applyProtection="0"/>
    <xf numFmtId="38" fontId="138" fillId="80" borderId="0" applyNumberFormat="0" applyBorder="0" applyAlignment="0" applyProtection="0"/>
    <xf numFmtId="0" fontId="157" fillId="0" borderId="0" applyNumberFormat="0">
      <alignment horizontal="right"/>
    </xf>
    <xf numFmtId="0" fontId="17" fillId="0" borderId="0"/>
    <xf numFmtId="0" fontId="17" fillId="0" borderId="0"/>
    <xf numFmtId="0" fontId="17" fillId="0" borderId="0"/>
    <xf numFmtId="0" fontId="17" fillId="0" borderId="0"/>
    <xf numFmtId="234" fontId="17" fillId="81" borderId="37" applyNumberFormat="0" applyFont="0" applyBorder="0" applyAlignment="0" applyProtection="0"/>
    <xf numFmtId="183" fontId="17" fillId="0" borderId="0" applyFont="0" applyFill="0" applyBorder="0" applyAlignment="0" applyProtection="0">
      <alignment horizontal="right"/>
    </xf>
    <xf numFmtId="179" fontId="158" fillId="81" borderId="0" applyNumberFormat="0" applyFont="0" applyAlignment="0"/>
    <xf numFmtId="0" fontId="159" fillId="0" borderId="0" applyProtection="0">
      <alignment horizontal="right"/>
    </xf>
    <xf numFmtId="0" fontId="60" fillId="0" borderId="112" applyNumberFormat="0" applyAlignment="0" applyProtection="0">
      <alignment horizontal="left" vertical="center"/>
    </xf>
    <xf numFmtId="0" fontId="60" fillId="0" borderId="35">
      <alignment horizontal="left" vertical="center"/>
    </xf>
    <xf numFmtId="49" fontId="160" fillId="0" borderId="0">
      <alignment horizontal="centerContinuous"/>
    </xf>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99" fillId="0" borderId="94" applyNumberFormat="0" applyFill="0" applyAlignment="0" applyProtection="0"/>
    <xf numFmtId="0" fontId="161" fillId="0" borderId="0" applyNumberFormat="0" applyFill="0" applyBorder="0" applyAlignment="0" applyProtection="0"/>
    <xf numFmtId="0" fontId="162" fillId="0" borderId="0" applyProtection="0">
      <alignment horizontal="left"/>
    </xf>
    <xf numFmtId="0" fontId="162" fillId="0" borderId="0" applyProtection="0">
      <alignment horizontal="left"/>
    </xf>
    <xf numFmtId="0" fontId="162" fillId="0" borderId="0" applyProtection="0">
      <alignment horizontal="left"/>
    </xf>
    <xf numFmtId="0" fontId="162" fillId="0" borderId="0" applyProtection="0">
      <alignment horizontal="left"/>
    </xf>
    <xf numFmtId="0" fontId="100" fillId="0" borderId="95" applyNumberFormat="0" applyFill="0" applyAlignment="0" applyProtection="0"/>
    <xf numFmtId="0" fontId="162" fillId="0" borderId="0" applyProtection="0">
      <alignment horizontal="left"/>
    </xf>
    <xf numFmtId="0" fontId="163" fillId="0" borderId="0" applyProtection="0">
      <alignment horizontal="left"/>
    </xf>
    <xf numFmtId="0" fontId="163" fillId="0" borderId="0" applyProtection="0">
      <alignment horizontal="left"/>
    </xf>
    <xf numFmtId="0" fontId="163" fillId="0" borderId="0" applyProtection="0">
      <alignment horizontal="left"/>
    </xf>
    <xf numFmtId="0" fontId="163" fillId="0" borderId="0" applyProtection="0">
      <alignment horizontal="left"/>
    </xf>
    <xf numFmtId="0" fontId="164" fillId="0" borderId="96" applyNumberFormat="0" applyFill="0" applyAlignment="0" applyProtection="0"/>
    <xf numFmtId="0" fontId="101" fillId="0" borderId="96" applyNumberFormat="0" applyFill="0" applyAlignment="0" applyProtection="0"/>
    <xf numFmtId="0" fontId="163"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5" fillId="0" borderId="0"/>
    <xf numFmtId="0" fontId="120" fillId="0" borderId="0"/>
    <xf numFmtId="235" fontId="115" fillId="0" borderId="0">
      <alignment horizontal="centerContinuous"/>
    </xf>
    <xf numFmtId="0" fontId="166" fillId="0" borderId="113" applyNumberFormat="0" applyFill="0" applyBorder="0" applyAlignment="0" applyProtection="0">
      <alignment horizontal="left"/>
    </xf>
    <xf numFmtId="235" fontId="115" fillId="0" borderId="114">
      <alignment horizontal="center"/>
    </xf>
    <xf numFmtId="0" fontId="17" fillId="0" borderId="0" applyNumberFormat="0" applyFill="0" applyBorder="0" applyProtection="0">
      <alignment wrapText="1"/>
    </xf>
    <xf numFmtId="0" fontId="17" fillId="0" borderId="0" applyNumberFormat="0" applyFill="0" applyBorder="0" applyProtection="0">
      <alignment horizontal="justify" vertical="top" wrapText="1"/>
    </xf>
    <xf numFmtId="0" fontId="167" fillId="0" borderId="43">
      <alignment horizontal="left" vertical="center"/>
    </xf>
    <xf numFmtId="0" fontId="167" fillId="82" borderId="0">
      <alignment horizontal="centerContinuous" wrapText="1"/>
    </xf>
    <xf numFmtId="0" fontId="168" fillId="0" borderId="0" applyNumberFormat="0" applyFill="0" applyBorder="0" applyAlignment="0" applyProtection="0"/>
    <xf numFmtId="0" fontId="169"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47" fillId="0" borderId="0" applyNumberFormat="0" applyFill="0" applyBorder="0" applyAlignment="0" applyProtection="0"/>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73" fillId="0" borderId="0" applyNumberFormat="0" applyFill="0" applyBorder="0" applyAlignment="0" applyProtection="0">
      <alignment vertical="top"/>
      <protection locked="0"/>
    </xf>
    <xf numFmtId="236" fontId="169" fillId="0" borderId="0" applyNumberFormat="0" applyFill="0" applyBorder="0" applyAlignment="0" applyProtection="0">
      <alignment vertical="top"/>
      <protection locked="0"/>
    </xf>
    <xf numFmtId="0" fontId="17" fillId="0" borderId="0" applyNumberFormat="0" applyFill="0" applyBorder="0" applyAlignment="0" applyProtection="0"/>
    <xf numFmtId="0" fontId="17" fillId="0" borderId="0">
      <alignment horizontal="right"/>
    </xf>
    <xf numFmtId="10" fontId="138" fillId="75" borderId="37" applyNumberFormat="0" applyBorder="0" applyAlignment="0" applyProtection="0"/>
    <xf numFmtId="0" fontId="174" fillId="39" borderId="97" applyNumberFormat="0" applyAlignment="0" applyProtection="0"/>
    <xf numFmtId="0" fontId="174" fillId="39" borderId="97" applyNumberFormat="0" applyAlignment="0" applyProtection="0"/>
    <xf numFmtId="0" fontId="174" fillId="39" borderId="97" applyNumberFormat="0" applyAlignment="0" applyProtection="0"/>
    <xf numFmtId="0" fontId="174" fillId="39" borderId="97" applyNumberFormat="0" applyAlignment="0" applyProtection="0"/>
    <xf numFmtId="0" fontId="174" fillId="39" borderId="97" applyNumberFormat="0" applyAlignment="0" applyProtection="0"/>
    <xf numFmtId="0" fontId="175" fillId="39" borderId="97" applyNumberFormat="0" applyAlignment="0" applyProtection="0"/>
    <xf numFmtId="237" fontId="131" fillId="0" borderId="0" applyNumberFormat="0" applyFill="0" applyBorder="0" applyAlignment="0" applyProtection="0"/>
    <xf numFmtId="0" fontId="17" fillId="0" borderId="0" applyNumberFormat="0" applyFill="0" applyBorder="0" applyAlignment="0">
      <protection locked="0"/>
    </xf>
    <xf numFmtId="0" fontId="176" fillId="75" borderId="0" applyNumberFormat="0" applyFont="0" applyBorder="0" applyAlignment="0">
      <alignment horizontal="right"/>
      <protection locked="0"/>
    </xf>
    <xf numFmtId="0" fontId="177" fillId="23" borderId="0" applyNumberFormat="0" applyFont="0" applyBorder="0" applyAlignment="0">
      <alignment horizontal="right" vertical="top"/>
      <protection locked="0"/>
    </xf>
    <xf numFmtId="238" fontId="17" fillId="75" borderId="115" applyNumberFormat="0" applyFont="0" applyBorder="0" applyAlignment="0">
      <alignment horizontal="right" vertical="center"/>
      <protection locked="0"/>
    </xf>
    <xf numFmtId="0" fontId="177" fillId="23" borderId="0" applyNumberFormat="0" applyFont="0" applyBorder="0" applyAlignment="0">
      <alignment horizontal="right" vertical="top"/>
      <protection locked="0"/>
    </xf>
    <xf numFmtId="0" fontId="131" fillId="0" borderId="0" applyFill="0" applyBorder="0">
      <alignment horizontal="right"/>
      <protection locked="0"/>
    </xf>
    <xf numFmtId="239" fontId="178" fillId="0" borderId="116" applyFont="0" applyFill="0" applyBorder="0" applyAlignment="0" applyProtection="0"/>
    <xf numFmtId="240" fontId="17" fillId="0" borderId="0" applyFill="0" applyBorder="0">
      <alignment horizontal="right"/>
      <protection locked="0"/>
    </xf>
    <xf numFmtId="0" fontId="179" fillId="0" borderId="0" applyFill="0" applyBorder="0"/>
    <xf numFmtId="0" fontId="180" fillId="83" borderId="117">
      <alignment horizontal="left" vertical="center" wrapText="1"/>
    </xf>
    <xf numFmtId="0" fontId="111" fillId="0" borderId="0" applyNumberFormat="0" applyFill="0" applyBorder="0" applyProtection="0">
      <alignment horizontal="left" vertical="center"/>
    </xf>
    <xf numFmtId="0" fontId="181"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07" fillId="84" borderId="0" applyNumberFormat="0" applyFont="0" applyBorder="0" applyProtection="0"/>
    <xf numFmtId="2" fontId="182" fillId="0" borderId="6"/>
    <xf numFmtId="207" fontId="107" fillId="0" borderId="0" applyFill="0" applyBorder="0" applyAlignment="0"/>
    <xf numFmtId="208" fontId="107" fillId="0" borderId="0" applyFill="0" applyBorder="0" applyAlignment="0"/>
    <xf numFmtId="207" fontId="107" fillId="0" borderId="0" applyFill="0" applyBorder="0" applyAlignment="0"/>
    <xf numFmtId="209" fontId="17" fillId="0" borderId="0" applyFill="0" applyBorder="0" applyAlignment="0"/>
    <xf numFmtId="208" fontId="107" fillId="0" borderId="0" applyFill="0" applyBorder="0" applyAlignment="0"/>
    <xf numFmtId="0" fontId="183" fillId="0" borderId="99" applyNumberFormat="0" applyFill="0" applyAlignment="0" applyProtection="0"/>
    <xf numFmtId="0" fontId="183" fillId="0" borderId="99" applyNumberFormat="0" applyFill="0" applyAlignment="0" applyProtection="0"/>
    <xf numFmtId="0" fontId="183" fillId="0" borderId="99" applyNumberFormat="0" applyFill="0" applyAlignment="0" applyProtection="0"/>
    <xf numFmtId="0" fontId="183" fillId="0" borderId="99" applyNumberFormat="0" applyFill="0" applyAlignment="0" applyProtection="0"/>
    <xf numFmtId="0" fontId="183" fillId="0" borderId="99" applyNumberFormat="0" applyFill="0" applyAlignment="0" applyProtection="0"/>
    <xf numFmtId="0" fontId="183" fillId="0" borderId="99" applyNumberFormat="0" applyFill="0" applyAlignment="0" applyProtection="0"/>
    <xf numFmtId="0" fontId="183" fillId="0" borderId="99" applyNumberFormat="0" applyFill="0" applyAlignment="0" applyProtection="0"/>
    <xf numFmtId="0" fontId="184" fillId="0" borderId="99" applyNumberFormat="0" applyFill="0" applyAlignment="0" applyProtection="0"/>
    <xf numFmtId="0" fontId="184" fillId="0" borderId="99" applyNumberFormat="0" applyFill="0" applyAlignment="0" applyProtection="0"/>
    <xf numFmtId="14" fontId="112" fillId="0" borderId="6" applyFont="0" applyFill="0" applyBorder="0" applyAlignment="0" applyProtection="0"/>
    <xf numFmtId="3" fontId="17" fillId="0" borderId="0"/>
    <xf numFmtId="1" fontId="185" fillId="0" borderId="0"/>
    <xf numFmtId="241" fontId="186" fillId="85" borderId="0" applyBorder="0" applyAlignment="0">
      <alignment horizontal="right"/>
    </xf>
    <xf numFmtId="41" fontId="17" fillId="0" borderId="0" applyFont="0" applyFill="0" applyBorder="0" applyAlignment="0" applyProtection="0"/>
    <xf numFmtId="43"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242" fontId="17" fillId="0" borderId="0" applyFont="0" applyFill="0" applyBorder="0" applyAlignment="0" applyProtection="0"/>
    <xf numFmtId="243" fontId="10" fillId="0" borderId="0" applyFont="0" applyFill="0" applyBorder="0" applyAlignment="0" applyProtection="0"/>
    <xf numFmtId="244" fontId="17" fillId="0" borderId="0" applyFont="0" applyFill="0" applyBorder="0" applyAlignment="0" applyProtection="0"/>
    <xf numFmtId="14" fontId="110" fillId="0" borderId="0" applyFont="0" applyFill="0" applyBorder="0" applyAlignment="0" applyProtection="0"/>
    <xf numFmtId="3" fontId="111" fillId="0" borderId="0"/>
    <xf numFmtId="3" fontId="111" fillId="0" borderId="0"/>
    <xf numFmtId="0" fontId="17" fillId="0" borderId="0" applyFont="0" applyFill="0" applyBorder="0" applyAlignment="0" applyProtection="0"/>
    <xf numFmtId="0" fontId="17" fillId="0" borderId="0" applyFont="0" applyFill="0" applyBorder="0" applyAlignment="0" applyProtection="0"/>
    <xf numFmtId="245" fontId="17" fillId="0" borderId="0" applyFont="0" applyFill="0" applyBorder="0" applyAlignment="0" applyProtection="0"/>
    <xf numFmtId="246" fontId="10" fillId="0" borderId="0" applyFont="0" applyFill="0" applyBorder="0" applyAlignment="0" applyProtection="0"/>
    <xf numFmtId="247" fontId="17" fillId="0" borderId="0" applyFont="0" applyFill="0" applyBorder="0" applyAlignment="0" applyProtection="0"/>
    <xf numFmtId="248" fontId="17" fillId="0" borderId="0">
      <protection locked="0"/>
    </xf>
    <xf numFmtId="228" fontId="138" fillId="75" borderId="0">
      <alignment horizontal="center"/>
    </xf>
    <xf numFmtId="249" fontId="136" fillId="0" borderId="0" applyFont="0" applyFill="0" applyBorder="0" applyProtection="0">
      <alignment horizontal="right"/>
    </xf>
    <xf numFmtId="250" fontId="17" fillId="0" borderId="0" applyFont="0" applyFill="0" applyBorder="0" applyAlignment="0" applyProtection="0"/>
    <xf numFmtId="176" fontId="17" fillId="0" borderId="0" applyFont="0" applyFill="0" applyBorder="0" applyAlignment="0" applyProtection="0"/>
    <xf numFmtId="0" fontId="134" fillId="0" borderId="0" applyFont="0" applyFill="0" applyBorder="0" applyProtection="0">
      <alignment horizontal="right"/>
    </xf>
    <xf numFmtId="0" fontId="134" fillId="0" borderId="0" applyFont="0" applyFill="0" applyBorder="0" applyProtection="0">
      <alignment horizontal="right"/>
    </xf>
    <xf numFmtId="0" fontId="134" fillId="0" borderId="0" applyFont="0" applyFill="0" applyBorder="0" applyProtection="0">
      <alignment horizontal="right"/>
    </xf>
    <xf numFmtId="0" fontId="17" fillId="0" borderId="0" applyFont="0" applyFill="0" applyBorder="0" applyProtection="0">
      <alignment horizontal="right"/>
    </xf>
    <xf numFmtId="167" fontId="17" fillId="0" borderId="0" applyFont="0" applyFill="0" applyBorder="0" applyProtection="0">
      <alignment horizontal="right"/>
    </xf>
    <xf numFmtId="0" fontId="17" fillId="0" borderId="118" applyBorder="0" applyAlignment="0" applyProtection="0">
      <alignment horizontal="center"/>
    </xf>
    <xf numFmtId="0" fontId="187" fillId="38" borderId="0" applyNumberFormat="0" applyBorder="0" applyAlignment="0" applyProtection="0"/>
    <xf numFmtId="0" fontId="187" fillId="38" borderId="0" applyNumberFormat="0" applyBorder="0" applyAlignment="0" applyProtection="0"/>
    <xf numFmtId="0" fontId="187" fillId="38" borderId="0" applyNumberFormat="0" applyBorder="0" applyAlignment="0" applyProtection="0"/>
    <xf numFmtId="0" fontId="187" fillId="38" borderId="0" applyNumberFormat="0" applyBorder="0" applyAlignment="0" applyProtection="0"/>
    <xf numFmtId="0" fontId="187" fillId="38" borderId="0" applyNumberFormat="0" applyBorder="0" applyAlignment="0" applyProtection="0"/>
    <xf numFmtId="0" fontId="187" fillId="38" borderId="0" applyNumberFormat="0" applyBorder="0" applyAlignment="0" applyProtection="0"/>
    <xf numFmtId="0" fontId="187" fillId="38" borderId="0" applyNumberFormat="0" applyBorder="0" applyAlignment="0" applyProtection="0"/>
    <xf numFmtId="0" fontId="188" fillId="38" borderId="0" applyNumberFormat="0" applyBorder="0" applyAlignment="0" applyProtection="0"/>
    <xf numFmtId="0" fontId="188" fillId="38" borderId="0" applyNumberFormat="0" applyBorder="0" applyAlignment="0" applyProtection="0"/>
    <xf numFmtId="0" fontId="125" fillId="0" borderId="0"/>
    <xf numFmtId="238" fontId="116" fillId="0" borderId="0" applyNumberFormat="0" applyFont="0" applyFill="0" applyBorder="0" applyAlignment="0" applyProtection="0">
      <alignment vertical="center"/>
    </xf>
    <xf numFmtId="37" fontId="189" fillId="0" borderId="0"/>
    <xf numFmtId="0" fontId="190" fillId="0" borderId="0"/>
    <xf numFmtId="0" fontId="46" fillId="86" borderId="0" applyNumberFormat="0" applyBorder="0" applyAlignment="0">
      <alignment horizontal="right"/>
      <protection hidden="1"/>
    </xf>
    <xf numFmtId="238" fontId="191" fillId="0" borderId="0" applyNumberFormat="0" applyFill="0" applyBorder="0" applyAlignment="0" applyProtection="0">
      <alignment vertical="center"/>
    </xf>
    <xf numFmtId="1" fontId="111" fillId="0" borderId="0"/>
    <xf numFmtId="251" fontId="192" fillId="0" borderId="0"/>
    <xf numFmtId="37" fontId="108" fillId="87" borderId="0" applyFont="0" applyFill="0" applyBorder="0" applyAlignment="0" applyProtection="0"/>
    <xf numFmtId="230" fontId="17" fillId="0" borderId="0" applyFont="0" applyFill="0" applyBorder="0" applyAlignment="0"/>
    <xf numFmtId="252" fontId="138" fillId="0" borderId="0" applyFont="0" applyFill="0" applyBorder="0" applyAlignment="0"/>
    <xf numFmtId="253" fontId="138" fillId="0" borderId="0" applyFont="0" applyFill="0" applyBorder="0" applyAlignment="0"/>
    <xf numFmtId="252" fontId="138" fillId="0" borderId="0" applyFont="0" applyFill="0" applyBorder="0" applyAlignment="0"/>
    <xf numFmtId="254" fontId="10" fillId="0" borderId="0"/>
    <xf numFmtId="0" fontId="17" fillId="0" borderId="0"/>
    <xf numFmtId="0" fontId="17" fillId="0" borderId="0"/>
    <xf numFmtId="0" fontId="17" fillId="0" borderId="0"/>
    <xf numFmtId="0" fontId="17" fillId="0" borderId="0"/>
    <xf numFmtId="0" fontId="131" fillId="0" borderId="0"/>
    <xf numFmtId="0" fontId="17" fillId="0" borderId="0"/>
    <xf numFmtId="0" fontId="10" fillId="0" borderId="0"/>
    <xf numFmtId="0" fontId="17" fillId="0" borderId="0"/>
    <xf numFmtId="0" fontId="10" fillId="0" borderId="0"/>
    <xf numFmtId="0" fontId="10" fillId="0" borderId="0"/>
    <xf numFmtId="0" fontId="10" fillId="0" borderId="0"/>
    <xf numFmtId="0" fontId="131" fillId="0" borderId="0"/>
    <xf numFmtId="0" fontId="17" fillId="0" borderId="0"/>
    <xf numFmtId="0" fontId="25" fillId="0" borderId="0"/>
    <xf numFmtId="0" fontId="10" fillId="0" borderId="0"/>
    <xf numFmtId="0" fontId="10" fillId="0" borderId="0"/>
    <xf numFmtId="0" fontId="10" fillId="0" borderId="0"/>
    <xf numFmtId="0" fontId="10" fillId="0" borderId="0"/>
    <xf numFmtId="0" fontId="17" fillId="0" borderId="37"/>
    <xf numFmtId="0" fontId="25" fillId="0" borderId="0">
      <alignment vertical="top"/>
    </xf>
    <xf numFmtId="0" fontId="25" fillId="0" borderId="0">
      <alignment vertical="top"/>
    </xf>
    <xf numFmtId="0" fontId="17" fillId="0" borderId="0"/>
    <xf numFmtId="0" fontId="10" fillId="0" borderId="0"/>
    <xf numFmtId="0" fontId="17" fillId="0" borderId="0"/>
    <xf numFmtId="0" fontId="10" fillId="0" borderId="0"/>
    <xf numFmtId="0" fontId="17" fillId="0" borderId="0"/>
    <xf numFmtId="0" fontId="17" fillId="0" borderId="0"/>
    <xf numFmtId="0" fontId="17" fillId="0" borderId="0"/>
    <xf numFmtId="0" fontId="17" fillId="0" borderId="0"/>
    <xf numFmtId="0" fontId="10" fillId="0" borderId="0"/>
    <xf numFmtId="0" fontId="17" fillId="0" borderId="0"/>
    <xf numFmtId="0" fontId="17" fillId="0" borderId="0"/>
    <xf numFmtId="0" fontId="131" fillId="0" borderId="0"/>
    <xf numFmtId="0" fontId="10" fillId="0" borderId="0"/>
    <xf numFmtId="0" fontId="131" fillId="0" borderId="0"/>
    <xf numFmtId="0" fontId="131"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42" fillId="0" borderId="0"/>
    <xf numFmtId="0" fontId="17" fillId="0" borderId="0"/>
    <xf numFmtId="0" fontId="17" fillId="0" borderId="0"/>
    <xf numFmtId="0" fontId="42" fillId="0" borderId="0"/>
    <xf numFmtId="0" fontId="131" fillId="0" borderId="0"/>
    <xf numFmtId="0" fontId="17" fillId="0" borderId="0"/>
    <xf numFmtId="236" fontId="17" fillId="0" borderId="0"/>
    <xf numFmtId="0" fontId="131" fillId="0" borderId="0"/>
    <xf numFmtId="0" fontId="131" fillId="0" borderId="0"/>
    <xf numFmtId="236" fontId="17" fillId="0" borderId="0"/>
    <xf numFmtId="0" fontId="42"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19"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20" fillId="0" borderId="0"/>
    <xf numFmtId="0" fontId="157" fillId="0" borderId="0"/>
    <xf numFmtId="0" fontId="17" fillId="0" borderId="0"/>
    <xf numFmtId="236" fontId="17" fillId="0" borderId="0"/>
    <xf numFmtId="236" fontId="17" fillId="0" borderId="0"/>
    <xf numFmtId="0" fontId="17" fillId="0" borderId="0"/>
    <xf numFmtId="0" fontId="13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236" fontId="17" fillId="0" borderId="0"/>
    <xf numFmtId="0" fontId="131"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31" fillId="0" borderId="0"/>
    <xf numFmtId="0" fontId="131" fillId="0" borderId="0"/>
    <xf numFmtId="0" fontId="131" fillId="0" borderId="0"/>
    <xf numFmtId="0" fontId="131" fillId="0" borderId="0"/>
    <xf numFmtId="0" fontId="131"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7" fillId="0" borderId="0"/>
    <xf numFmtId="0" fontId="17" fillId="0" borderId="0"/>
    <xf numFmtId="0" fontId="131" fillId="0" borderId="0"/>
    <xf numFmtId="0" fontId="96" fillId="0" borderId="0"/>
    <xf numFmtId="0" fontId="131" fillId="0" borderId="0"/>
    <xf numFmtId="0" fontId="131"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1" fillId="0" borderId="0"/>
    <xf numFmtId="0" fontId="131" fillId="0" borderId="0"/>
    <xf numFmtId="0" fontId="10" fillId="0" borderId="0"/>
    <xf numFmtId="0" fontId="10" fillId="0" borderId="0"/>
    <xf numFmtId="0" fontId="10" fillId="0" borderId="0"/>
    <xf numFmtId="0" fontId="131" fillId="0" borderId="0"/>
    <xf numFmtId="0" fontId="131" fillId="0" borderId="0"/>
    <xf numFmtId="0" fontId="131" fillId="0" borderId="0"/>
    <xf numFmtId="0" fontId="131" fillId="0" borderId="0"/>
    <xf numFmtId="0" fontId="131" fillId="0" borderId="0"/>
    <xf numFmtId="0" fontId="20" fillId="0" borderId="0"/>
    <xf numFmtId="0" fontId="131" fillId="0" borderId="0"/>
    <xf numFmtId="0" fontId="96" fillId="0" borderId="0"/>
    <xf numFmtId="0" fontId="96" fillId="0" borderId="0"/>
    <xf numFmtId="0" fontId="131" fillId="0" borderId="0"/>
    <xf numFmtId="0" fontId="13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6" fillId="0" borderId="0"/>
    <xf numFmtId="0" fontId="10" fillId="0" borderId="0"/>
    <xf numFmtId="0" fontId="131" fillId="0" borderId="0"/>
    <xf numFmtId="0" fontId="17" fillId="0" borderId="0"/>
    <xf numFmtId="0" fontId="96" fillId="0" borderId="0"/>
    <xf numFmtId="0" fontId="17" fillId="0" borderId="0"/>
    <xf numFmtId="0" fontId="17" fillId="0" borderId="0"/>
    <xf numFmtId="0" fontId="96" fillId="0" borderId="0"/>
    <xf numFmtId="0" fontId="17" fillId="0" borderId="0"/>
    <xf numFmtId="0" fontId="17" fillId="0" borderId="0"/>
    <xf numFmtId="0" fontId="17" fillId="0" borderId="0"/>
    <xf numFmtId="0" fontId="17" fillId="0" borderId="0"/>
    <xf numFmtId="0" fontId="17" fillId="0" borderId="0"/>
    <xf numFmtId="0" fontId="96" fillId="0" borderId="0"/>
    <xf numFmtId="0" fontId="17" fillId="0" borderId="0"/>
    <xf numFmtId="0" fontId="131" fillId="0" borderId="0"/>
    <xf numFmtId="0" fontId="96" fillId="0" borderId="0"/>
    <xf numFmtId="0" fontId="17" fillId="0" borderId="0"/>
    <xf numFmtId="0" fontId="17" fillId="0" borderId="0"/>
    <xf numFmtId="0" fontId="119" fillId="0" borderId="0"/>
    <xf numFmtId="0" fontId="131" fillId="0" borderId="0"/>
    <xf numFmtId="0" fontId="131" fillId="0" borderId="0"/>
    <xf numFmtId="0" fontId="131" fillId="0" borderId="0"/>
    <xf numFmtId="0" fontId="131"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31"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31" fillId="0" borderId="0"/>
    <xf numFmtId="0" fontId="131" fillId="0" borderId="0"/>
    <xf numFmtId="0" fontId="131"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236" fontId="17" fillId="0" borderId="0"/>
    <xf numFmtId="236" fontId="17" fillId="0" borderId="0"/>
    <xf numFmtId="0"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3" fillId="0" borderId="0"/>
    <xf numFmtId="0" fontId="193" fillId="0" borderId="0"/>
    <xf numFmtId="236" fontId="17" fillId="0" borderId="0"/>
    <xf numFmtId="236" fontId="17" fillId="0" borderId="0"/>
    <xf numFmtId="0" fontId="119"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54" fontId="10" fillId="0" borderId="0"/>
    <xf numFmtId="0" fontId="10" fillId="0" borderId="0"/>
    <xf numFmtId="0" fontId="137" fillId="0" borderId="0"/>
    <xf numFmtId="236" fontId="17" fillId="0" borderId="0"/>
    <xf numFmtId="0" fontId="17" fillId="0" borderId="0"/>
    <xf numFmtId="236" fontId="17" fillId="0" borderId="0"/>
    <xf numFmtId="0" fontId="96" fillId="0" borderId="0"/>
    <xf numFmtId="0" fontId="10" fillId="0" borderId="0"/>
    <xf numFmtId="0" fontId="96" fillId="0" borderId="0"/>
    <xf numFmtId="236" fontId="17"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0" fontId="10" fillId="0" borderId="0"/>
    <xf numFmtId="236" fontId="17" fillId="0" borderId="0"/>
    <xf numFmtId="236" fontId="17" fillId="0" borderId="0"/>
    <xf numFmtId="236" fontId="17" fillId="0" borderId="0"/>
    <xf numFmtId="0" fontId="10" fillId="0" borderId="0"/>
    <xf numFmtId="0" fontId="17" fillId="0" borderId="0"/>
    <xf numFmtId="0" fontId="17" fillId="0" borderId="0"/>
    <xf numFmtId="0" fontId="17" fillId="0" borderId="0"/>
    <xf numFmtId="0" fontId="17" fillId="0" borderId="0"/>
    <xf numFmtId="236" fontId="17" fillId="0" borderId="0"/>
    <xf numFmtId="0" fontId="17" fillId="0" borderId="0"/>
    <xf numFmtId="0" fontId="131"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0" fontId="131"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07"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236" fontId="17" fillId="0" borderId="0"/>
    <xf numFmtId="236" fontId="17" fillId="0" borderId="0"/>
    <xf numFmtId="0" fontId="17" fillId="0" borderId="0">
      <alignment wrapText="1"/>
    </xf>
    <xf numFmtId="0" fontId="17" fillId="0" borderId="0">
      <alignment wrapText="1"/>
    </xf>
    <xf numFmtId="0" fontId="119"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0" fontId="17"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3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236" fontId="17" fillId="0" borderId="0"/>
    <xf numFmtId="236" fontId="17" fillId="0" borderId="0"/>
    <xf numFmtId="0" fontId="53" fillId="0" borderId="0"/>
    <xf numFmtId="0" fontId="53" fillId="0" borderId="0"/>
    <xf numFmtId="0" fontId="17" fillId="0" borderId="0">
      <alignment wrapText="1"/>
    </xf>
    <xf numFmtId="0" fontId="17" fillId="0" borderId="0">
      <alignment wrapText="1"/>
    </xf>
    <xf numFmtId="0" fontId="17" fillId="0" borderId="0">
      <alignment wrapText="1"/>
    </xf>
    <xf numFmtId="0" fontId="53" fillId="0" borderId="0"/>
    <xf numFmtId="0" fontId="53"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236" fontId="17" fillId="0" borderId="0"/>
    <xf numFmtId="0" fontId="131" fillId="0" borderId="0"/>
    <xf numFmtId="0" fontId="17" fillId="0" borderId="0">
      <alignment wrapText="1"/>
    </xf>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alignment wrapText="1"/>
    </xf>
    <xf numFmtId="0" fontId="131"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54" fontId="10"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7" fillId="0" borderId="0"/>
    <xf numFmtId="0" fontId="17" fillId="0" borderId="0"/>
    <xf numFmtId="0" fontId="42" fillId="0" borderId="0"/>
    <xf numFmtId="0" fontId="25"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0" fillId="0" borderId="0"/>
    <xf numFmtId="0" fontId="131" fillId="0" borderId="0"/>
    <xf numFmtId="0" fontId="17" fillId="0" borderId="0"/>
    <xf numFmtId="0" fontId="17" fillId="0" borderId="0"/>
    <xf numFmtId="0" fontId="17" fillId="0" borderId="0"/>
    <xf numFmtId="0" fontId="17" fillId="0" borderId="0"/>
    <xf numFmtId="0" fontId="17" fillId="0" borderId="0"/>
    <xf numFmtId="0" fontId="25" fillId="0" borderId="0"/>
    <xf numFmtId="0" fontId="25" fillId="0" borderId="0"/>
    <xf numFmtId="236" fontId="17" fillId="0" borderId="0"/>
    <xf numFmtId="0" fontId="17" fillId="0" borderId="0"/>
    <xf numFmtId="0" fontId="131" fillId="0" borderId="0"/>
    <xf numFmtId="0" fontId="131" fillId="0" borderId="0"/>
    <xf numFmtId="0" fontId="131" fillId="0" borderId="0"/>
    <xf numFmtId="0" fontId="131" fillId="0" borderId="0"/>
    <xf numFmtId="0" fontId="1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96" fillId="0" borderId="0"/>
    <xf numFmtId="254" fontId="10"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7" fillId="0" borderId="0"/>
    <xf numFmtId="0" fontId="10" fillId="0" borderId="0"/>
    <xf numFmtId="0" fontId="17" fillId="0" borderId="0"/>
    <xf numFmtId="0" fontId="1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1" fillId="0" borderId="0"/>
    <xf numFmtId="0" fontId="10" fillId="0" borderId="0"/>
    <xf numFmtId="0" fontId="10" fillId="0" borderId="0"/>
    <xf numFmtId="0" fontId="10" fillId="0" borderId="0"/>
    <xf numFmtId="0" fontId="131" fillId="0" borderId="0"/>
    <xf numFmtId="0" fontId="10" fillId="0" borderId="0"/>
    <xf numFmtId="0" fontId="131" fillId="0" borderId="0"/>
    <xf numFmtId="0" fontId="131" fillId="0" borderId="0"/>
    <xf numFmtId="0" fontId="131" fillId="0" borderId="0"/>
    <xf numFmtId="0" fontId="131" fillId="0" borderId="0"/>
    <xf numFmtId="0" fontId="131" fillId="0" borderId="0"/>
    <xf numFmtId="0" fontId="17" fillId="0" borderId="0"/>
    <xf numFmtId="0" fontId="131" fillId="0" borderId="0"/>
    <xf numFmtId="0" fontId="1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1" fillId="0" borderId="0"/>
    <xf numFmtId="0" fontId="10" fillId="0" borderId="0"/>
    <xf numFmtId="0" fontId="10" fillId="0" borderId="0"/>
    <xf numFmtId="0" fontId="10" fillId="0" borderId="0"/>
    <xf numFmtId="0" fontId="131" fillId="0" borderId="0"/>
    <xf numFmtId="0" fontId="131" fillId="0" borderId="0"/>
    <xf numFmtId="0" fontId="131" fillId="0" borderId="0"/>
    <xf numFmtId="0" fontId="131" fillId="0" borderId="0"/>
    <xf numFmtId="0" fontId="131" fillId="0" borderId="0"/>
    <xf numFmtId="254" fontId="10" fillId="0" borderId="0"/>
    <xf numFmtId="0" fontId="25" fillId="0" borderId="0"/>
    <xf numFmtId="0" fontId="17" fillId="0" borderId="0"/>
    <xf numFmtId="0" fontId="17" fillId="0" borderId="0"/>
    <xf numFmtId="0" fontId="138" fillId="0" borderId="0"/>
    <xf numFmtId="0" fontId="10" fillId="0" borderId="0"/>
    <xf numFmtId="0" fontId="131" fillId="0" borderId="0"/>
    <xf numFmtId="255" fontId="138" fillId="0" borderId="0" applyFont="0" applyFill="0" applyBorder="0" applyAlignment="0" applyProtection="0">
      <alignment horizontal="right"/>
    </xf>
    <xf numFmtId="255" fontId="138" fillId="0" borderId="0" applyFont="0" applyFill="0" applyBorder="0" applyAlignment="0" applyProtection="0">
      <alignment horizontal="right"/>
    </xf>
    <xf numFmtId="255" fontId="138" fillId="0" borderId="0" applyFont="0" applyFill="0" applyBorder="0" applyAlignment="0" applyProtection="0">
      <alignment horizontal="right"/>
    </xf>
    <xf numFmtId="255" fontId="138" fillId="0" borderId="0" applyFont="0" applyFill="0" applyBorder="0" applyAlignment="0" applyProtection="0">
      <alignment horizontal="right"/>
    </xf>
    <xf numFmtId="255" fontId="138" fillId="0" borderId="0" applyFont="0" applyFill="0" applyBorder="0" applyAlignment="0" applyProtection="0">
      <alignment horizontal="right"/>
    </xf>
    <xf numFmtId="255" fontId="138" fillId="0" borderId="0" applyFont="0" applyFill="0" applyBorder="0" applyAlignment="0" applyProtection="0">
      <alignment horizontal="right"/>
    </xf>
    <xf numFmtId="255" fontId="138" fillId="0" borderId="0" applyFont="0" applyFill="0" applyBorder="0" applyAlignment="0" applyProtection="0">
      <alignment horizontal="right"/>
    </xf>
    <xf numFmtId="255" fontId="138" fillId="0" borderId="0" applyFont="0" applyFill="0" applyBorder="0" applyAlignment="0" applyProtection="0">
      <alignment horizontal="right"/>
    </xf>
    <xf numFmtId="0" fontId="194" fillId="0" borderId="0"/>
    <xf numFmtId="0" fontId="17" fillId="0" borderId="0"/>
    <xf numFmtId="0" fontId="195" fillId="0" borderId="0"/>
    <xf numFmtId="256" fontId="138" fillId="0" borderId="0" applyFont="0" applyFill="0" applyBorder="0" applyAlignment="0" applyProtection="0"/>
    <xf numFmtId="0" fontId="113" fillId="42" borderId="101" applyNumberFormat="0" applyFont="0" applyAlignment="0" applyProtection="0"/>
    <xf numFmtId="0" fontId="10" fillId="42" borderId="101" applyNumberFormat="0" applyFont="0" applyAlignment="0" applyProtection="0"/>
    <xf numFmtId="0" fontId="53" fillId="42" borderId="101" applyNumberFormat="0" applyFont="0" applyAlignment="0" applyProtection="0"/>
    <xf numFmtId="0" fontId="10" fillId="42" borderId="101" applyNumberFormat="0" applyFont="0" applyAlignment="0" applyProtection="0"/>
    <xf numFmtId="0" fontId="53"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96" fillId="42" borderId="101" applyNumberFormat="0" applyFont="0" applyAlignment="0" applyProtection="0"/>
    <xf numFmtId="0" fontId="196" fillId="42" borderId="101" applyNumberFormat="0" applyFont="0" applyAlignment="0" applyProtection="0"/>
    <xf numFmtId="0" fontId="196" fillId="42" borderId="101" applyNumberFormat="0" applyFont="0" applyAlignment="0" applyProtection="0"/>
    <xf numFmtId="0" fontId="196" fillId="42" borderId="101" applyNumberFormat="0" applyFont="0" applyAlignment="0" applyProtection="0"/>
    <xf numFmtId="0" fontId="196" fillId="42" borderId="101" applyNumberFormat="0" applyFont="0" applyAlignment="0" applyProtection="0"/>
    <xf numFmtId="0" fontId="196" fillId="42" borderId="101" applyNumberFormat="0" applyFont="0" applyAlignment="0" applyProtection="0"/>
    <xf numFmtId="0" fontId="113" fillId="42" borderId="101" applyNumberFormat="0" applyFont="0" applyAlignment="0" applyProtection="0"/>
    <xf numFmtId="0" fontId="10" fillId="42" borderId="101" applyNumberFormat="0" applyFont="0" applyAlignment="0" applyProtection="0"/>
    <xf numFmtId="0" fontId="113" fillId="42" borderId="101" applyNumberFormat="0" applyFont="0" applyAlignment="0" applyProtection="0"/>
    <xf numFmtId="0" fontId="10" fillId="42" borderId="101" applyNumberFormat="0" applyFont="0" applyAlignment="0" applyProtection="0"/>
    <xf numFmtId="0" fontId="113" fillId="42" borderId="101" applyNumberFormat="0" applyFont="0" applyAlignment="0" applyProtection="0"/>
    <xf numFmtId="0" fontId="10" fillId="42" borderId="101" applyNumberFormat="0" applyFont="0" applyAlignment="0" applyProtection="0"/>
    <xf numFmtId="0" fontId="113"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0" fontId="10" fillId="42" borderId="101" applyNumberFormat="0" applyFont="0" applyAlignment="0" applyProtection="0"/>
    <xf numFmtId="257" fontId="197" fillId="0" borderId="0" applyBorder="0" applyProtection="0">
      <alignment horizontal="right"/>
    </xf>
    <xf numFmtId="257" fontId="198" fillId="88" borderId="0" applyBorder="0" applyProtection="0">
      <alignment horizontal="right"/>
    </xf>
    <xf numFmtId="257" fontId="199" fillId="0" borderId="35" applyBorder="0"/>
    <xf numFmtId="257" fontId="197" fillId="0" borderId="0" applyBorder="0" applyProtection="0">
      <alignment horizontal="right"/>
    </xf>
    <xf numFmtId="258" fontId="197" fillId="0" borderId="0" applyBorder="0" applyProtection="0">
      <alignment horizontal="right"/>
    </xf>
    <xf numFmtId="258" fontId="200" fillId="88" borderId="0" applyProtection="0">
      <alignment horizontal="right"/>
    </xf>
    <xf numFmtId="37" fontId="106" fillId="0" borderId="0" applyFill="0" applyBorder="0" applyProtection="0">
      <alignment horizontal="right"/>
    </xf>
    <xf numFmtId="189" fontId="108" fillId="0" borderId="0" applyFont="0" applyFill="0" applyBorder="0" applyProtection="0">
      <alignment horizontal="right"/>
    </xf>
    <xf numFmtId="259" fontId="197" fillId="0" borderId="0" applyFill="0" applyBorder="0" applyProtection="0"/>
    <xf numFmtId="0" fontId="124" fillId="75" borderId="0">
      <alignment horizontal="right"/>
    </xf>
    <xf numFmtId="0" fontId="17" fillId="0" borderId="0">
      <alignment horizontal="right"/>
    </xf>
    <xf numFmtId="0" fontId="201" fillId="40" borderId="98" applyNumberFormat="0" applyAlignment="0" applyProtection="0"/>
    <xf numFmtId="0" fontId="201" fillId="40" borderId="98" applyNumberFormat="0" applyAlignment="0" applyProtection="0"/>
    <xf numFmtId="0" fontId="201" fillId="40" borderId="98" applyNumberFormat="0" applyAlignment="0" applyProtection="0"/>
    <xf numFmtId="0" fontId="201" fillId="40" borderId="98" applyNumberFormat="0" applyAlignment="0" applyProtection="0"/>
    <xf numFmtId="0" fontId="201" fillId="40" borderId="98" applyNumberFormat="0" applyAlignment="0" applyProtection="0"/>
    <xf numFmtId="0" fontId="202" fillId="40" borderId="98" applyNumberFormat="0" applyAlignment="0" applyProtection="0"/>
    <xf numFmtId="0" fontId="202" fillId="40" borderId="98" applyNumberFormat="0" applyAlignment="0" applyProtection="0"/>
    <xf numFmtId="0" fontId="203" fillId="0" borderId="0" applyProtection="0">
      <alignment horizontal="left"/>
    </xf>
    <xf numFmtId="0" fontId="203" fillId="0" borderId="0" applyFill="0" applyBorder="0" applyProtection="0">
      <alignment horizontal="left"/>
    </xf>
    <xf numFmtId="0" fontId="204" fillId="0" borderId="0" applyFill="0" applyBorder="0" applyProtection="0">
      <alignment horizontal="left"/>
    </xf>
    <xf numFmtId="1" fontId="205" fillId="0" borderId="0" applyProtection="0">
      <alignment horizontal="right" vertical="center"/>
    </xf>
    <xf numFmtId="238" fontId="206" fillId="0" borderId="6">
      <alignment vertical="center"/>
    </xf>
    <xf numFmtId="2" fontId="127" fillId="0" borderId="0"/>
    <xf numFmtId="234" fontId="207" fillId="0" borderId="0" applyFill="0" applyBorder="0" applyAlignment="0" applyProtection="0"/>
    <xf numFmtId="169" fontId="17" fillId="0" borderId="0" applyFont="0" applyFill="0" applyBorder="0" applyAlignment="0" applyProtection="0"/>
    <xf numFmtId="260" fontId="107" fillId="0" borderId="0" applyFont="0" applyFill="0" applyBorder="0" applyAlignment="0" applyProtection="0"/>
    <xf numFmtId="261" fontId="208" fillId="75" borderId="37" applyFill="0" applyBorder="0" applyAlignment="0" applyProtection="0">
      <alignment horizontal="right"/>
      <protection locked="0"/>
    </xf>
    <xf numFmtId="262" fontId="208" fillId="80" borderId="0" applyFill="0" applyBorder="0" applyAlignment="0" applyProtection="0">
      <protection hidden="1"/>
    </xf>
    <xf numFmtId="10" fontId="17" fillId="0" borderId="0" applyFont="0" applyFill="0" applyBorder="0" applyAlignment="0" applyProtection="0"/>
    <xf numFmtId="10" fontId="17" fillId="0" borderId="0" applyFont="0" applyFill="0" applyBorder="0" applyAlignment="0" applyProtection="0"/>
    <xf numFmtId="263" fontId="197" fillId="0" borderId="0" applyBorder="0" applyProtection="0">
      <alignment horizontal="right"/>
    </xf>
    <xf numFmtId="263" fontId="198" fillId="88" borderId="0" applyProtection="0">
      <alignment horizontal="right"/>
    </xf>
    <xf numFmtId="263" fontId="197" fillId="0" borderId="0" applyFont="0" applyBorder="0" applyProtection="0">
      <alignment horizontal="right"/>
    </xf>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34"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4" fontId="127" fillId="0" borderId="0" applyFont="0" applyFill="0" applyBorder="0" applyProtection="0">
      <alignment horizontal="right"/>
    </xf>
    <xf numFmtId="9" fontId="17" fillId="0" borderId="0"/>
    <xf numFmtId="265" fontId="17" fillId="0" borderId="0" applyFill="0" applyBorder="0">
      <alignment horizontal="right"/>
      <protection locked="0"/>
    </xf>
    <xf numFmtId="1" fontId="111" fillId="0" borderId="0"/>
    <xf numFmtId="248" fontId="17" fillId="0" borderId="0">
      <protection locked="0"/>
    </xf>
    <xf numFmtId="234" fontId="17" fillId="0" borderId="0" applyFont="0" applyFill="0" applyBorder="0" applyAlignment="0" applyProtection="0"/>
    <xf numFmtId="207" fontId="107" fillId="0" borderId="0" applyFill="0" applyBorder="0" applyAlignment="0"/>
    <xf numFmtId="208" fontId="107" fillId="0" borderId="0" applyFill="0" applyBorder="0" applyAlignment="0"/>
    <xf numFmtId="207" fontId="107" fillId="0" borderId="0" applyFill="0" applyBorder="0" applyAlignment="0"/>
    <xf numFmtId="209" fontId="17" fillId="0" borderId="0" applyFill="0" applyBorder="0" applyAlignment="0"/>
    <xf numFmtId="208" fontId="107" fillId="0" borderId="0" applyFill="0" applyBorder="0" applyAlignment="0"/>
    <xf numFmtId="10" fontId="127" fillId="0" borderId="0"/>
    <xf numFmtId="10" fontId="127" fillId="83" borderId="0"/>
    <xf numFmtId="9" fontId="127" fillId="0" borderId="0" applyFont="0" applyFill="0" applyBorder="0" applyAlignment="0" applyProtection="0"/>
    <xf numFmtId="167" fontId="25" fillId="0" borderId="0"/>
    <xf numFmtId="266" fontId="209" fillId="80" borderId="0" applyBorder="0" applyAlignment="0">
      <protection hidden="1"/>
    </xf>
    <xf numFmtId="1" fontId="209" fillId="80" borderId="0">
      <alignment horizontal="center"/>
    </xf>
    <xf numFmtId="0" fontId="131" fillId="0" borderId="0" applyNumberFormat="0" applyFont="0" applyFill="0" applyBorder="0" applyAlignment="0" applyProtection="0">
      <alignment horizontal="left"/>
    </xf>
    <xf numFmtId="15" fontId="131" fillId="0" borderId="0" applyFont="0" applyFill="0" applyBorder="0" applyAlignment="0" applyProtection="0"/>
    <xf numFmtId="4" fontId="131" fillId="0" borderId="0" applyFont="0" applyFill="0" applyBorder="0" applyAlignment="0" applyProtection="0"/>
    <xf numFmtId="0" fontId="180" fillId="0" borderId="106">
      <alignment horizontal="center"/>
    </xf>
    <xf numFmtId="3" fontId="131" fillId="0" borderId="0" applyFont="0" applyFill="0" applyBorder="0" applyAlignment="0" applyProtection="0"/>
    <xf numFmtId="0" fontId="131" fillId="89" borderId="0" applyNumberFormat="0" applyFont="0" applyBorder="0" applyAlignment="0" applyProtection="0"/>
    <xf numFmtId="0" fontId="131" fillId="0" borderId="0">
      <alignment horizontal="right"/>
      <protection locked="0"/>
    </xf>
    <xf numFmtId="230" fontId="210" fillId="0" borderId="0" applyNumberFormat="0" applyFill="0" applyBorder="0" applyAlignment="0" applyProtection="0">
      <alignment horizontal="left"/>
    </xf>
    <xf numFmtId="0" fontId="211" fillId="78" borderId="0"/>
    <xf numFmtId="0" fontId="111" fillId="0" borderId="0" applyNumberFormat="0" applyFill="0" applyBorder="0" applyProtection="0">
      <alignment horizontal="right" vertical="center"/>
    </xf>
    <xf numFmtId="0" fontId="212" fillId="0" borderId="119">
      <alignment vertical="center"/>
    </xf>
    <xf numFmtId="267" fontId="17" fillId="0" borderId="0" applyFill="0" applyBorder="0">
      <alignment horizontal="right"/>
      <protection hidden="1"/>
    </xf>
    <xf numFmtId="0" fontId="213" fillId="77" borderId="37">
      <alignment horizontal="center" vertical="center" wrapText="1"/>
      <protection hidden="1"/>
    </xf>
    <xf numFmtId="0" fontId="131" fillId="90" borderId="120"/>
    <xf numFmtId="0" fontId="107" fillId="91" borderId="0" applyNumberFormat="0" applyFont="0" applyBorder="0" applyAlignment="0" applyProtection="0"/>
    <xf numFmtId="42" fontId="214" fillId="0" borderId="0" applyFill="0" applyBorder="0" applyAlignment="0" applyProtection="0"/>
    <xf numFmtId="41" fontId="215" fillId="0" borderId="0"/>
    <xf numFmtId="0" fontId="138" fillId="0" borderId="0"/>
    <xf numFmtId="0" fontId="216" fillId="0" borderId="0">
      <alignment horizontal="right"/>
    </xf>
    <xf numFmtId="0" fontId="145" fillId="0" borderId="0">
      <alignment horizontal="left"/>
    </xf>
    <xf numFmtId="234" fontId="217" fillId="0" borderId="114"/>
    <xf numFmtId="268" fontId="116" fillId="85" borderId="0" applyFont="0" applyBorder="0"/>
    <xf numFmtId="0" fontId="218"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7" fillId="0" borderId="0">
      <alignment vertical="top"/>
    </xf>
    <xf numFmtId="41" fontId="17" fillId="0" borderId="0" applyFont="0" applyFill="0" applyBorder="0" applyAlignment="0" applyProtection="0"/>
    <xf numFmtId="0" fontId="46" fillId="0" borderId="0">
      <alignment vertical="top"/>
    </xf>
    <xf numFmtId="0" fontId="107" fillId="0" borderId="0">
      <alignment vertical="top"/>
    </xf>
    <xf numFmtId="0" fontId="107"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7"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7"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44" fontId="17" fillId="0" borderId="0" applyFont="0" applyFill="0" applyBorder="0" applyAlignment="0" applyProtection="0"/>
    <xf numFmtId="0" fontId="107"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19" fillId="91" borderId="37" applyNumberFormat="0" applyProtection="0">
      <alignment horizontal="center" vertical="center"/>
    </xf>
    <xf numFmtId="0" fontId="107" fillId="0" borderId="0">
      <alignment vertical="top"/>
    </xf>
    <xf numFmtId="0" fontId="16" fillId="91" borderId="37" applyNumberFormat="0" applyProtection="0">
      <alignment horizontal="center" vertical="center" wrapText="1"/>
    </xf>
    <xf numFmtId="0" fontId="16" fillId="91" borderId="37" applyNumberFormat="0" applyProtection="0">
      <alignment horizontal="center" vertical="center"/>
    </xf>
    <xf numFmtId="0" fontId="16" fillId="91" borderId="37" applyNumberFormat="0" applyProtection="0">
      <alignment horizontal="center" vertical="center" wrapText="1"/>
    </xf>
    <xf numFmtId="0" fontId="220" fillId="0" borderId="0" applyNumberFormat="0" applyFill="0" applyBorder="0" applyAlignment="0" applyProtection="0"/>
    <xf numFmtId="0" fontId="16" fillId="70" borderId="37" applyNumberFormat="0" applyProtection="0">
      <alignment horizontal="left" vertical="center" wrapText="1"/>
    </xf>
    <xf numFmtId="0" fontId="107" fillId="0" borderId="0">
      <alignment vertical="top"/>
    </xf>
    <xf numFmtId="0" fontId="107" fillId="0" borderId="0">
      <alignment vertical="top"/>
    </xf>
    <xf numFmtId="0" fontId="60" fillId="0" borderId="0" applyNumberFormat="0" applyFill="0" applyBorder="0" applyAlignment="0" applyProtection="0"/>
    <xf numFmtId="254" fontId="16" fillId="92" borderId="37" applyNumberFormat="0" applyProtection="0">
      <alignment horizontal="center" vertical="center" wrapText="1"/>
    </xf>
    <xf numFmtId="0" fontId="17" fillId="25" borderId="37" applyNumberFormat="0" applyProtection="0">
      <alignment horizontal="left" vertical="center" wrapText="1"/>
    </xf>
    <xf numFmtId="0" fontId="107" fillId="0" borderId="0">
      <alignment vertical="top"/>
    </xf>
    <xf numFmtId="0" fontId="16" fillId="70" borderId="37" applyNumberFormat="0" applyProtection="0">
      <alignment horizontal="left" vertical="center" wrapText="1"/>
    </xf>
    <xf numFmtId="0" fontId="107" fillId="0" borderId="0">
      <alignment vertical="top"/>
    </xf>
    <xf numFmtId="0" fontId="107" fillId="0" borderId="0">
      <alignment vertical="top"/>
    </xf>
    <xf numFmtId="0" fontId="221" fillId="93" borderId="0" applyNumberFormat="0" applyBorder="0" applyAlignment="0" applyProtection="0"/>
    <xf numFmtId="0" fontId="107" fillId="0" borderId="0">
      <alignment vertical="top"/>
    </xf>
    <xf numFmtId="0" fontId="107" fillId="0" borderId="0">
      <alignment vertical="top"/>
    </xf>
    <xf numFmtId="0" fontId="107" fillId="0" borderId="0">
      <alignment vertical="top"/>
    </xf>
    <xf numFmtId="43" fontId="106"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182" fontId="17"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4" fontId="17"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269" fontId="127"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269" fontId="127"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5" fillId="0" borderId="0" applyNumberFormat="0" applyBorder="0" applyAlignment="0"/>
    <xf numFmtId="0" fontId="222" fillId="0" borderId="0" applyNumberFormat="0" applyBorder="0" applyAlignment="0"/>
    <xf numFmtId="0" fontId="223" fillId="0" borderId="0" applyNumberFormat="0" applyBorder="0" applyAlignment="0"/>
    <xf numFmtId="0" fontId="126" fillId="0" borderId="0" applyNumberFormat="0" applyFill="0" applyBorder="0" applyProtection="0">
      <alignment horizontal="left" vertical="center"/>
    </xf>
    <xf numFmtId="0" fontId="126" fillId="0" borderId="35" applyNumberFormat="0" applyFill="0" applyProtection="0">
      <alignment horizontal="left" vertical="center"/>
    </xf>
    <xf numFmtId="270" fontId="116" fillId="94" borderId="0" applyNumberFormat="0" applyFont="0" applyBorder="0">
      <alignment horizontal="center" vertical="center"/>
      <protection locked="0"/>
    </xf>
    <xf numFmtId="9" fontId="17" fillId="0" borderId="0"/>
    <xf numFmtId="0" fontId="128" fillId="0" borderId="0" applyFill="0" applyBorder="0" applyProtection="0">
      <alignment horizontal="center" vertical="center"/>
    </xf>
    <xf numFmtId="0" fontId="224" fillId="0" borderId="0" applyBorder="0" applyProtection="0">
      <alignment vertical="center"/>
    </xf>
    <xf numFmtId="167" fontId="17" fillId="0" borderId="6" applyBorder="0" applyProtection="0">
      <alignment horizontal="right" vertical="center"/>
    </xf>
    <xf numFmtId="0" fontId="225" fillId="95" borderId="0" applyBorder="0" applyProtection="0">
      <alignment horizontal="centerContinuous" vertical="center"/>
    </xf>
    <xf numFmtId="0" fontId="225" fillId="93" borderId="6" applyBorder="0" applyProtection="0">
      <alignment horizontal="centerContinuous" vertical="center"/>
    </xf>
    <xf numFmtId="0" fontId="226" fillId="0" borderId="0"/>
    <xf numFmtId="0" fontId="128" fillId="0" borderId="0" applyFill="0" applyBorder="0" applyProtection="0"/>
    <xf numFmtId="0" fontId="195" fillId="0" borderId="0"/>
    <xf numFmtId="0" fontId="227" fillId="0" borderId="0" applyFill="0" applyBorder="0" applyProtection="0">
      <alignment horizontal="left"/>
    </xf>
    <xf numFmtId="0" fontId="228" fillId="0" borderId="0" applyFill="0" applyBorder="0" applyProtection="0">
      <alignment horizontal="left" vertical="top"/>
    </xf>
    <xf numFmtId="0" fontId="229" fillId="0" borderId="0">
      <alignment horizontal="centerContinuous"/>
    </xf>
    <xf numFmtId="238" fontId="17" fillId="25" borderId="121" applyNumberFormat="0" applyAlignment="0">
      <alignment vertical="center"/>
    </xf>
    <xf numFmtId="238" fontId="230" fillId="96" borderId="122" applyNumberFormat="0" applyBorder="0" applyAlignment="0" applyProtection="0">
      <alignment vertical="center"/>
    </xf>
    <xf numFmtId="238" fontId="17" fillId="25" borderId="121" applyNumberFormat="0" applyProtection="0">
      <alignment horizontal="centerContinuous" vertical="center"/>
    </xf>
    <xf numFmtId="238" fontId="231" fillId="97" borderId="0" applyNumberFormat="0" applyBorder="0" applyAlignment="0" applyProtection="0">
      <alignment vertical="center"/>
    </xf>
    <xf numFmtId="238" fontId="17" fillId="96" borderId="0" applyBorder="0" applyAlignment="0" applyProtection="0">
      <alignment vertical="center"/>
    </xf>
    <xf numFmtId="49" fontId="106" fillId="0" borderId="6">
      <alignment vertical="center"/>
    </xf>
    <xf numFmtId="0" fontId="232" fillId="0" borderId="0"/>
    <xf numFmtId="0" fontId="233" fillId="0" borderId="0"/>
    <xf numFmtId="49" fontId="25" fillId="0" borderId="0" applyFill="0" applyBorder="0" applyAlignment="0"/>
    <xf numFmtId="271" fontId="107" fillId="0" borderId="0" applyFill="0" applyBorder="0" applyAlignment="0"/>
    <xf numFmtId="272" fontId="107" fillId="0" borderId="0" applyFill="0" applyBorder="0" applyAlignment="0"/>
    <xf numFmtId="0" fontId="110" fillId="0" borderId="0" applyNumberFormat="0" applyFont="0" applyFill="0" applyBorder="0" applyProtection="0">
      <alignment horizontal="left" vertical="top" wrapText="1"/>
    </xf>
    <xf numFmtId="18" fontId="138" fillId="0" borderId="0" applyFill="0" applyBorder="0" applyAlignment="0" applyProtection="0"/>
    <xf numFmtId="0" fontId="107" fillId="0" borderId="0" applyNumberFormat="0" applyFill="0" applyBorder="0" applyAlignment="0" applyProtection="0"/>
    <xf numFmtId="0" fontId="111" fillId="0" borderId="0" applyNumberFormat="0" applyFill="0" applyBorder="0" applyAlignment="0" applyProtection="0"/>
    <xf numFmtId="40" fontId="234" fillId="0" borderId="0"/>
    <xf numFmtId="0" fontId="235" fillId="0" borderId="0" applyNumberFormat="0" applyBorder="0" applyAlignment="0" applyProtection="0"/>
    <xf numFmtId="0" fontId="235" fillId="0" borderId="0" applyNumberFormat="0" applyBorder="0" applyAlignment="0" applyProtection="0"/>
    <xf numFmtId="0" fontId="236" fillId="0" borderId="0">
      <alignment horizontal="left"/>
    </xf>
    <xf numFmtId="273" fontId="237" fillId="93" borderId="0" applyNumberFormat="0" applyProtection="0">
      <alignment horizontal="left" vertical="center"/>
    </xf>
    <xf numFmtId="0" fontId="238" fillId="0" borderId="0" applyNumberFormat="0" applyProtection="0">
      <alignment horizontal="left" vertical="center"/>
    </xf>
    <xf numFmtId="0" fontId="131" fillId="0" borderId="0" applyBorder="0"/>
    <xf numFmtId="1" fontId="107" fillId="82" borderId="0" applyNumberFormat="0" applyFont="0" applyBorder="0" applyProtection="0">
      <alignment horizontal="left"/>
    </xf>
    <xf numFmtId="274" fontId="17" fillId="0" borderId="0" applyNumberFormat="0" applyFill="0" applyBorder="0" applyProtection="0">
      <alignment vertical="top"/>
    </xf>
    <xf numFmtId="0" fontId="5"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239" fillId="0" borderId="102" applyNumberFormat="0" applyFill="0" applyAlignment="0" applyProtection="0"/>
    <xf numFmtId="39" fontId="17" fillId="0" borderId="103">
      <protection locked="0"/>
    </xf>
    <xf numFmtId="6" fontId="229" fillId="0" borderId="103" applyFill="0" applyAlignment="0" applyProtection="0"/>
    <xf numFmtId="167" fontId="112" fillId="0" borderId="123"/>
    <xf numFmtId="0" fontId="240" fillId="0" borderId="0">
      <alignment horizontal="fill"/>
    </xf>
    <xf numFmtId="275" fontId="209" fillId="80" borderId="12" applyBorder="0">
      <alignment horizontal="right" vertical="center"/>
      <protection locked="0"/>
    </xf>
    <xf numFmtId="42" fontId="17" fillId="0" borderId="0" applyFont="0" applyFill="0" applyBorder="0" applyAlignment="0" applyProtection="0"/>
    <xf numFmtId="276" fontId="17" fillId="0" borderId="0" applyFont="0" applyFill="0" applyBorder="0" applyAlignment="0" applyProtection="0"/>
    <xf numFmtId="42" fontId="17" fillId="0" borderId="0" applyFont="0" applyFill="0" applyBorder="0" applyAlignment="0" applyProtection="0"/>
    <xf numFmtId="44" fontId="17" fillId="0" borderId="0" applyFont="0" applyFill="0" applyBorder="0" applyAlignment="0" applyProtection="0"/>
    <xf numFmtId="274" fontId="241" fillId="96" borderId="0" applyNumberFormat="0" applyBorder="0" applyProtection="0">
      <alignment horizontal="centerContinuous" vertical="center"/>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42" fillId="0" borderId="0"/>
    <xf numFmtId="1" fontId="242" fillId="0" borderId="0"/>
    <xf numFmtId="277" fontId="127" fillId="0" borderId="0" applyFont="0" applyFill="0" applyBorder="0" applyProtection="0">
      <alignment horizontal="right"/>
    </xf>
    <xf numFmtId="278" fontId="17" fillId="0" borderId="0"/>
    <xf numFmtId="279" fontId="197" fillId="0" borderId="0" applyFill="0" applyBorder="0" applyProtection="0"/>
    <xf numFmtId="0" fontId="17" fillId="0" borderId="0">
      <alignment horizontal="center"/>
    </xf>
    <xf numFmtId="280" fontId="106" fillId="0" borderId="6">
      <alignment horizontal="right"/>
    </xf>
    <xf numFmtId="281" fontId="17" fillId="0" borderId="0" applyFont="0" applyFill="0" applyBorder="0" applyAlignment="0" applyProtection="0"/>
    <xf numFmtId="282" fontId="118" fillId="0" borderId="0" applyFont="0" applyFill="0" applyBorder="0" applyProtection="0">
      <alignment horizontal="right"/>
    </xf>
    <xf numFmtId="0" fontId="17" fillId="0" borderId="0"/>
    <xf numFmtId="166" fontId="17" fillId="0" borderId="0" applyFont="0" applyFill="0" applyBorder="0" applyAlignment="0" applyProtection="0"/>
    <xf numFmtId="254" fontId="17" fillId="0" borderId="0"/>
    <xf numFmtId="0" fontId="58"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77">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2" fontId="17" fillId="2" borderId="0" xfId="0" applyNumberFormat="1" applyFont="1" applyFill="1" applyBorder="1" applyProtection="1"/>
    <xf numFmtId="0" fontId="46" fillId="2" borderId="0" xfId="0" applyFont="1" applyFill="1"/>
    <xf numFmtId="172"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4" fontId="5" fillId="2" borderId="0" xfId="0" applyNumberFormat="1" applyFont="1" applyFill="1"/>
    <xf numFmtId="174"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2"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164" fontId="6" fillId="2" borderId="0" xfId="0" applyNumberFormat="1" applyFont="1" applyFill="1" applyBorder="1" applyAlignment="1">
      <alignment horizontal="center"/>
    </xf>
    <xf numFmtId="164"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5"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1" fontId="53" fillId="2" borderId="2" xfId="0" applyNumberFormat="1" applyFont="1" applyFill="1" applyBorder="1" applyAlignment="1">
      <alignment horizontal="center"/>
    </xf>
    <xf numFmtId="171"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5" fontId="66" fillId="0" borderId="29" xfId="40" applyNumberFormat="1" applyFont="1" applyFill="1" applyBorder="1" applyAlignment="1">
      <alignment vertical="center"/>
    </xf>
    <xf numFmtId="0" fontId="53" fillId="2" borderId="0" xfId="0" applyFont="1" applyFill="1" applyAlignment="1">
      <alignment horizontal="left" wrapText="1"/>
    </xf>
    <xf numFmtId="164" fontId="58" fillId="2" borderId="42" xfId="0" applyNumberFormat="1" applyFont="1" applyFill="1" applyBorder="1" applyAlignment="1">
      <alignment horizontal="center"/>
    </xf>
    <xf numFmtId="164" fontId="58" fillId="2" borderId="43" xfId="0" applyNumberFormat="1" applyFont="1" applyFill="1" applyBorder="1" applyAlignment="1">
      <alignment horizontal="center"/>
    </xf>
    <xf numFmtId="164" fontId="53" fillId="2" borderId="42" xfId="0" applyNumberFormat="1" applyFont="1" applyFill="1" applyBorder="1" applyAlignment="1">
      <alignment horizontal="center"/>
    </xf>
    <xf numFmtId="164"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70" fontId="67" fillId="28" borderId="49" xfId="0" applyNumberFormat="1" applyFont="1" applyFill="1" applyBorder="1" applyAlignment="1">
      <alignment horizontal="center" vertical="center" wrapText="1"/>
    </xf>
    <xf numFmtId="170" fontId="67" fillId="27" borderId="50" xfId="6" applyNumberFormat="1" applyFont="1" applyFill="1" applyBorder="1" applyAlignment="1">
      <alignment horizontal="center" vertical="center" wrapText="1"/>
    </xf>
    <xf numFmtId="170" fontId="67" fillId="28" borderId="41" xfId="0" applyNumberFormat="1" applyFont="1" applyFill="1" applyBorder="1" applyAlignment="1">
      <alignment horizontal="center" vertical="center" wrapText="1"/>
    </xf>
    <xf numFmtId="171" fontId="58" fillId="2" borderId="45" xfId="0" applyNumberFormat="1" applyFont="1" applyFill="1" applyBorder="1" applyAlignment="1">
      <alignment horizontal="center"/>
    </xf>
    <xf numFmtId="171" fontId="12" fillId="2" borderId="51" xfId="0" applyNumberFormat="1" applyFont="1" applyFill="1" applyBorder="1" applyAlignment="1">
      <alignment horizontal="center"/>
    </xf>
    <xf numFmtId="164"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70" fontId="67" fillId="28" borderId="47" xfId="0" applyNumberFormat="1" applyFont="1" applyFill="1" applyBorder="1" applyAlignment="1">
      <alignment horizontal="center" vertical="center" wrapText="1"/>
    </xf>
    <xf numFmtId="170" fontId="67" fillId="27" borderId="46" xfId="6" applyNumberFormat="1" applyFont="1" applyFill="1" applyBorder="1" applyAlignment="1">
      <alignment horizontal="center" vertical="center" wrapText="1"/>
    </xf>
    <xf numFmtId="170"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164" fontId="58" fillId="2" borderId="44" xfId="0" applyNumberFormat="1" applyFont="1" applyFill="1" applyBorder="1" applyAlignment="1">
      <alignment horizontal="center"/>
    </xf>
    <xf numFmtId="164"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4"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5"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70"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6"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6" fontId="58" fillId="2" borderId="0" xfId="71" applyNumberFormat="1" applyFont="1" applyFill="1" applyBorder="1" applyProtection="1">
      <protection locked="0"/>
    </xf>
    <xf numFmtId="176" fontId="58" fillId="2" borderId="37" xfId="71" applyNumberFormat="1" applyFont="1" applyFill="1" applyBorder="1" applyAlignment="1" applyProtection="1">
      <alignment horizontal="left" vertical="center"/>
      <protection locked="0"/>
    </xf>
    <xf numFmtId="176"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70"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9" fontId="17" fillId="0" borderId="9" xfId="70" applyNumberFormat="1" applyFont="1" applyFill="1" applyBorder="1"/>
    <xf numFmtId="169"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9" fontId="17" fillId="2" borderId="8" xfId="70" applyNumberFormat="1" applyFont="1" applyFill="1" applyBorder="1"/>
    <xf numFmtId="169"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70"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9"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9"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5" fontId="66" fillId="29" borderId="29" xfId="40" applyNumberFormat="1" applyFont="1" applyFill="1" applyBorder="1" applyAlignment="1">
      <alignment vertical="center" wrapText="1"/>
    </xf>
    <xf numFmtId="175" fontId="66" fillId="29" borderId="0" xfId="40" applyNumberFormat="1" applyFont="1" applyFill="1" applyBorder="1" applyAlignment="1">
      <alignment vertical="center" wrapText="1"/>
    </xf>
    <xf numFmtId="172"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7" fontId="58" fillId="29" borderId="39" xfId="70" applyNumberFormat="1" applyFont="1" applyFill="1" applyBorder="1" applyAlignment="1" applyProtection="1">
      <alignment horizontal="center"/>
      <protection locked="0"/>
    </xf>
    <xf numFmtId="177" fontId="58" fillId="29" borderId="55" xfId="70" applyNumberFormat="1" applyFont="1" applyFill="1" applyBorder="1" applyAlignment="1" applyProtection="1">
      <alignment horizontal="center"/>
      <protection locked="0"/>
    </xf>
    <xf numFmtId="177" fontId="58" fillId="29" borderId="55" xfId="70" applyNumberFormat="1" applyFont="1" applyFill="1" applyBorder="1"/>
    <xf numFmtId="0" fontId="53" fillId="2" borderId="0" xfId="0" applyFont="1" applyFill="1" applyAlignment="1">
      <alignment vertical="center"/>
    </xf>
    <xf numFmtId="167" fontId="66" fillId="29" borderId="2" xfId="0" applyNumberFormat="1" applyFont="1" applyFill="1" applyBorder="1" applyAlignment="1">
      <alignment horizontal="center" vertical="top"/>
    </xf>
    <xf numFmtId="176" fontId="58" fillId="29" borderId="37" xfId="71" applyNumberFormat="1" applyFont="1" applyFill="1" applyBorder="1" applyAlignment="1" applyProtection="1">
      <alignment horizontal="right" vertical="center"/>
      <protection locked="0"/>
    </xf>
    <xf numFmtId="176" fontId="58" fillId="29" borderId="37" xfId="71" applyNumberFormat="1" applyFont="1" applyFill="1" applyBorder="1" applyAlignment="1" applyProtection="1">
      <alignment horizontal="left" vertical="center"/>
      <protection locked="0"/>
    </xf>
    <xf numFmtId="176"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5"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70" fontId="62" fillId="27" borderId="66" xfId="6" applyNumberFormat="1" applyFont="1" applyFill="1" applyBorder="1" applyAlignment="1">
      <alignment horizontal="center" vertical="center" wrapText="1"/>
    </xf>
    <xf numFmtId="170"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9" fontId="42" fillId="29" borderId="8" xfId="0" applyNumberFormat="1" applyFont="1" applyFill="1" applyBorder="1" applyProtection="1">
      <protection locked="0"/>
    </xf>
    <xf numFmtId="169" fontId="17" fillId="29" borderId="8" xfId="70" applyNumberFormat="1" applyFont="1" applyFill="1" applyBorder="1" applyProtection="1"/>
    <xf numFmtId="0" fontId="57" fillId="2" borderId="0" xfId="73" applyFont="1" applyFill="1"/>
    <xf numFmtId="164"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5"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164" fontId="58" fillId="29" borderId="39" xfId="0" applyNumberFormat="1" applyFont="1" applyFill="1" applyBorder="1" applyAlignment="1">
      <alignment horizontal="center"/>
    </xf>
    <xf numFmtId="164"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1"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5"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8" fontId="58" fillId="2" borderId="0" xfId="0" applyNumberFormat="1" applyFont="1" applyFill="1" applyBorder="1" applyAlignment="1">
      <alignment horizontal="center" vertical="center"/>
    </xf>
    <xf numFmtId="171"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1" fontId="58" fillId="2" borderId="13" xfId="0" applyNumberFormat="1" applyFont="1" applyFill="1" applyBorder="1" applyAlignment="1">
      <alignment horizontal="center" vertical="center"/>
    </xf>
    <xf numFmtId="171"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7"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7"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7" fontId="58" fillId="2" borderId="6" xfId="70" applyNumberFormat="1" applyFont="1" applyFill="1" applyBorder="1" applyAlignment="1" applyProtection="1">
      <alignment horizontal="center"/>
    </xf>
    <xf numFmtId="177"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5"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3"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7" fontId="58" fillId="2" borderId="0" xfId="70" applyNumberFormat="1" applyFont="1" applyFill="1" applyBorder="1" applyAlignment="1" applyProtection="1">
      <alignment horizontal="center"/>
      <protection locked="0"/>
    </xf>
    <xf numFmtId="177"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1"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5"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6"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7"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70" fontId="67" fillId="27" borderId="85"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70"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1" fontId="12" fillId="2" borderId="6" xfId="0" applyNumberFormat="1" applyFont="1" applyFill="1" applyBorder="1" applyAlignment="1">
      <alignment horizontal="center" vertical="center"/>
    </xf>
    <xf numFmtId="171"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164" fontId="54" fillId="2" borderId="6" xfId="0" applyNumberFormat="1" applyFont="1" applyFill="1" applyBorder="1" applyAlignment="1">
      <alignment horizontal="center"/>
    </xf>
    <xf numFmtId="171" fontId="54" fillId="2" borderId="82" xfId="0" applyNumberFormat="1" applyFont="1" applyFill="1" applyBorder="1" applyAlignment="1">
      <alignment horizontal="center"/>
    </xf>
    <xf numFmtId="164" fontId="12" fillId="2" borderId="55" xfId="0" applyNumberFormat="1" applyFont="1" applyFill="1" applyBorder="1" applyAlignment="1">
      <alignment horizontal="center"/>
    </xf>
    <xf numFmtId="164" fontId="54" fillId="2" borderId="83"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166"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7" fontId="53" fillId="2" borderId="37" xfId="0" applyNumberFormat="1" applyFont="1" applyFill="1" applyBorder="1"/>
    <xf numFmtId="4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8"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7"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164" fontId="54" fillId="0" borderId="7" xfId="0" applyNumberFormat="1" applyFont="1" applyFill="1" applyBorder="1" applyAlignment="1">
      <alignment horizontal="center"/>
    </xf>
    <xf numFmtId="164"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3" fontId="63" fillId="26" borderId="50" xfId="0" applyNumberFormat="1" applyFont="1" applyFill="1" applyBorder="1" applyAlignment="1">
      <alignment horizontal="left" vertical="center"/>
    </xf>
    <xf numFmtId="0" fontId="53" fillId="2" borderId="93" xfId="0" applyFont="1" applyFill="1" applyBorder="1" applyAlignment="1">
      <alignment wrapText="1"/>
    </xf>
    <xf numFmtId="0" fontId="53" fillId="2" borderId="93" xfId="0" applyFont="1" applyFill="1" applyBorder="1"/>
    <xf numFmtId="3" fontId="63" fillId="26" borderId="93" xfId="0" applyNumberFormat="1" applyFont="1" applyFill="1" applyBorder="1" applyAlignment="1">
      <alignment horizontal="left" vertical="center"/>
    </xf>
    <xf numFmtId="0" fontId="90" fillId="32" borderId="0" xfId="0" applyFont="1" applyFill="1" applyAlignment="1">
      <alignment vertical="center"/>
    </xf>
    <xf numFmtId="0" fontId="66" fillId="32" borderId="0" xfId="0" applyFont="1" applyFill="1"/>
    <xf numFmtId="3" fontId="63" fillId="34" borderId="50" xfId="0" applyNumberFormat="1" applyFont="1" applyFill="1" applyBorder="1" applyAlignment="1">
      <alignment horizontal="left" vertical="center"/>
    </xf>
    <xf numFmtId="0" fontId="66" fillId="32" borderId="93" xfId="0" applyFont="1" applyFill="1" applyBorder="1" applyAlignment="1">
      <alignment wrapText="1"/>
    </xf>
    <xf numFmtId="0" fontId="66" fillId="32" borderId="93" xfId="0" applyFont="1" applyFill="1" applyBorder="1"/>
    <xf numFmtId="0" fontId="66" fillId="32" borderId="43" xfId="0" applyFont="1" applyFill="1" applyBorder="1" applyAlignment="1">
      <alignment wrapText="1"/>
    </xf>
    <xf numFmtId="0" fontId="66" fillId="32" borderId="43" xfId="0" applyFont="1" applyFill="1" applyBorder="1"/>
    <xf numFmtId="3" fontId="63" fillId="34" borderId="43" xfId="0" applyNumberFormat="1" applyFont="1" applyFill="1" applyBorder="1" applyAlignment="1">
      <alignment horizontal="left" vertical="center"/>
    </xf>
    <xf numFmtId="3" fontId="63" fillId="34" borderId="93" xfId="0" applyNumberFormat="1" applyFont="1" applyFill="1" applyBorder="1" applyAlignment="1">
      <alignment horizontal="left" vertical="center"/>
    </xf>
    <xf numFmtId="3" fontId="53" fillId="2" borderId="93" xfId="0" applyNumberFormat="1" applyFont="1" applyFill="1" applyBorder="1"/>
    <xf numFmtId="38" fontId="53" fillId="2" borderId="93" xfId="0" applyNumberFormat="1" applyFont="1" applyFill="1" applyBorder="1"/>
    <xf numFmtId="166"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3" xfId="0" applyNumberFormat="1" applyFont="1" applyFill="1" applyBorder="1"/>
    <xf numFmtId="166" fontId="54" fillId="2" borderId="0" xfId="71" applyFont="1" applyFill="1" applyBorder="1" applyAlignment="1">
      <alignment wrapText="1"/>
    </xf>
    <xf numFmtId="3" fontId="53" fillId="2" borderId="0" xfId="0" applyNumberFormat="1" applyFont="1" applyFill="1" applyBorder="1"/>
    <xf numFmtId="3" fontId="54" fillId="2" borderId="35"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3" xfId="71" applyNumberFormat="1" applyFont="1" applyFill="1" applyBorder="1"/>
    <xf numFmtId="0" fontId="63" fillId="26" borderId="93" xfId="0" applyNumberFormat="1" applyFont="1" applyFill="1" applyBorder="1" applyAlignment="1">
      <alignment horizontal="left" vertical="center"/>
    </xf>
    <xf numFmtId="0" fontId="53" fillId="2" borderId="93"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3" xfId="0" applyFont="1" applyFill="1" applyBorder="1" applyAlignment="1">
      <alignment wrapText="1"/>
    </xf>
    <xf numFmtId="0" fontId="95" fillId="32" borderId="93" xfId="0" applyFont="1" applyFill="1" applyBorder="1" applyAlignment="1">
      <alignment wrapText="1"/>
    </xf>
    <xf numFmtId="9" fontId="66" fillId="35" borderId="0" xfId="0" applyNumberFormat="1" applyFont="1" applyFill="1" applyAlignment="1">
      <alignment horizontal="center"/>
    </xf>
    <xf numFmtId="0" fontId="81" fillId="2" borderId="0" xfId="0"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8" fontId="58" fillId="32" borderId="93" xfId="0" quotePrefix="1" applyNumberFormat="1" applyFont="1" applyFill="1" applyBorder="1"/>
    <xf numFmtId="0" fontId="12" fillId="26" borderId="93" xfId="0" applyNumberFormat="1" applyFont="1" applyFill="1" applyBorder="1" applyAlignment="1">
      <alignment horizontal="left" vertical="center"/>
    </xf>
    <xf numFmtId="0" fontId="53"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53" fillId="2" borderId="93"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3" fontId="54" fillId="2" borderId="35" xfId="0" applyNumberFormat="1" applyFont="1" applyFill="1" applyBorder="1" applyAlignment="1">
      <alignment wrapText="1"/>
    </xf>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8"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3" fontId="66" fillId="32" borderId="93" xfId="0" applyNumberFormat="1" applyFont="1" applyFill="1" applyBorder="1" applyAlignment="1">
      <alignment wrapText="1"/>
    </xf>
    <xf numFmtId="3" fontId="66" fillId="32" borderId="43" xfId="0" applyNumberFormat="1" applyFont="1" applyFill="1" applyBorder="1" applyAlignment="1">
      <alignment wrapText="1"/>
    </xf>
    <xf numFmtId="0" fontId="11" fillId="0" borderId="0" xfId="567" applyFont="1" applyBorder="1" applyAlignment="1" applyProtection="1">
      <alignment vertical="top" wrapText="1"/>
      <protection hidden="1"/>
    </xf>
    <xf numFmtId="170" fontId="67" fillId="28" borderId="14" xfId="0" applyNumberFormat="1" applyFont="1" applyFill="1" applyBorder="1" applyAlignment="1">
      <alignment horizontal="center" vertical="center" wrapText="1"/>
    </xf>
    <xf numFmtId="170" fontId="67" fillId="28" borderId="37" xfId="0" applyNumberFormat="1" applyFont="1" applyFill="1" applyBorder="1" applyAlignment="1">
      <alignment horizontal="center" vertical="center" wrapText="1"/>
    </xf>
    <xf numFmtId="0" fontId="11" fillId="2" borderId="0" xfId="0" applyFont="1" applyFill="1" applyAlignment="1">
      <alignment horizontal="right"/>
    </xf>
    <xf numFmtId="9" fontId="58" fillId="29" borderId="0" xfId="72" applyFont="1" applyFill="1" applyBorder="1" applyAlignment="1">
      <alignment horizontal="center" vertical="top"/>
    </xf>
    <xf numFmtId="0" fontId="59" fillId="2" borderId="0" xfId="0" applyFont="1" applyFill="1" applyAlignment="1">
      <alignment horizontal="center"/>
    </xf>
    <xf numFmtId="0" fontId="58" fillId="2" borderId="0" xfId="0" applyFont="1" applyFill="1" applyAlignment="1">
      <alignment horizontal="left" wrapText="1"/>
    </xf>
    <xf numFmtId="0" fontId="41" fillId="2" borderId="0" xfId="0" applyFont="1" applyFill="1" applyAlignment="1">
      <alignment horizontal="center" wrapText="1"/>
    </xf>
    <xf numFmtId="0" fontId="92" fillId="33" borderId="13" xfId="0" applyFont="1" applyFill="1" applyBorder="1" applyAlignment="1">
      <alignment horizontal="center" vertical="center"/>
    </xf>
    <xf numFmtId="0" fontId="81" fillId="2" borderId="0" xfId="74" applyFont="1" applyFill="1" applyBorder="1" applyAlignment="1" applyProtection="1">
      <alignment horizontal="center"/>
      <protection locked="0"/>
    </xf>
    <xf numFmtId="0" fontId="102" fillId="67" borderId="34" xfId="567" applyFont="1" applyFill="1" applyBorder="1" applyAlignment="1" applyProtection="1">
      <alignment horizontal="left" wrapText="1"/>
      <protection hidden="1"/>
    </xf>
    <xf numFmtId="0" fontId="10" fillId="0" borderId="0" xfId="623" applyFont="1" applyAlignment="1"/>
    <xf numFmtId="0" fontId="102" fillId="67" borderId="34" xfId="567" applyFont="1" applyFill="1" applyBorder="1" applyAlignment="1" applyProtection="1">
      <alignment wrapText="1"/>
      <protection hidden="1"/>
    </xf>
    <xf numFmtId="0" fontId="102" fillId="67" borderId="34" xfId="567" applyFont="1" applyFill="1" applyBorder="1" applyAlignment="1" applyProtection="1">
      <alignment horizontal="center" wrapText="1"/>
      <protection hidden="1"/>
    </xf>
    <xf numFmtId="172" fontId="103" fillId="68" borderId="39" xfId="567" applyNumberFormat="1" applyFont="1" applyFill="1" applyBorder="1" applyAlignment="1" applyProtection="1">
      <alignment wrapText="1"/>
      <protection hidden="1"/>
    </xf>
    <xf numFmtId="172" fontId="10" fillId="0" borderId="0" xfId="623" applyNumberFormat="1" applyFont="1" applyAlignment="1"/>
    <xf numFmtId="172" fontId="10" fillId="69" borderId="0" xfId="623" applyNumberFormat="1" applyFont="1" applyFill="1" applyAlignment="1">
      <alignment wrapText="1"/>
    </xf>
    <xf numFmtId="0" fontId="10" fillId="0" borderId="0" xfId="623" applyFont="1" applyAlignment="1">
      <alignment wrapText="1"/>
    </xf>
    <xf numFmtId="0" fontId="10" fillId="0" borderId="0" xfId="623" applyFont="1" applyFill="1" applyAlignment="1">
      <alignment wrapText="1"/>
    </xf>
    <xf numFmtId="0" fontId="96" fillId="67" borderId="0" xfId="567" applyFill="1" applyBorder="1" applyAlignment="1" applyProtection="1">
      <alignment vertical="top" wrapText="1"/>
      <protection hidden="1"/>
    </xf>
    <xf numFmtId="0" fontId="10" fillId="69" borderId="0" xfId="623" applyFont="1" applyFill="1" applyAlignment="1"/>
    <xf numFmtId="172" fontId="10" fillId="69" borderId="0" xfId="623" applyNumberFormat="1" applyFont="1" applyFill="1" applyAlignment="1"/>
    <xf numFmtId="172" fontId="10" fillId="0" borderId="0" xfId="623" applyNumberFormat="1" applyFont="1" applyAlignment="1">
      <alignment wrapText="1"/>
    </xf>
    <xf numFmtId="172" fontId="10" fillId="0" borderId="0" xfId="623" applyNumberFormat="1" applyFont="1" applyFill="1" applyAlignment="1">
      <alignment wrapText="1"/>
    </xf>
    <xf numFmtId="0" fontId="11" fillId="0" borderId="0" xfId="623" applyFont="1" applyFill="1" applyAlignment="1">
      <alignment wrapText="1"/>
    </xf>
    <xf numFmtId="0" fontId="11" fillId="69" borderId="0" xfId="623" applyFont="1" applyFill="1" applyAlignment="1">
      <alignment wrapText="1"/>
    </xf>
    <xf numFmtId="0" fontId="104" fillId="69" borderId="0" xfId="623" applyFont="1" applyFill="1" applyAlignment="1"/>
    <xf numFmtId="0" fontId="10" fillId="69" borderId="0" xfId="623" applyFont="1" applyFill="1" applyAlignment="1">
      <alignment wrapText="1"/>
    </xf>
    <xf numFmtId="177" fontId="58" fillId="69" borderId="0" xfId="70" applyNumberFormat="1" applyFont="1" applyFill="1" applyBorder="1" applyAlignment="1" applyProtection="1">
      <alignment horizontal="center"/>
    </xf>
    <xf numFmtId="0" fontId="60" fillId="31" borderId="62" xfId="0" applyFont="1" applyFill="1" applyBorder="1" applyAlignment="1">
      <alignment vertical="center" wrapText="1"/>
    </xf>
    <xf numFmtId="0" fontId="60" fillId="31" borderId="92" xfId="0" applyFont="1" applyFill="1" applyBorder="1" applyAlignment="1">
      <alignment vertical="center" wrapText="1"/>
    </xf>
    <xf numFmtId="0" fontId="102" fillId="98" borderId="0" xfId="3044" applyFont="1" applyFill="1"/>
    <xf numFmtId="0" fontId="96" fillId="98" borderId="0" xfId="3044" applyFill="1"/>
    <xf numFmtId="0" fontId="96" fillId="0" borderId="0" xfId="3044"/>
    <xf numFmtId="0" fontId="96" fillId="0" borderId="0" xfId="3044" applyFill="1"/>
    <xf numFmtId="4" fontId="96" fillId="0" borderId="0" xfId="3044" applyNumberFormat="1" applyFill="1"/>
    <xf numFmtId="3" fontId="96" fillId="0" borderId="0" xfId="3044" applyNumberFormat="1" applyFill="1"/>
    <xf numFmtId="17" fontId="96" fillId="98" borderId="0" xfId="3044" applyNumberFormat="1" applyFill="1"/>
    <xf numFmtId="17" fontId="102" fillId="98" borderId="0" xfId="3044" applyNumberFormat="1" applyFont="1" applyFill="1"/>
    <xf numFmtId="2" fontId="96" fillId="98" borderId="0" xfId="3044" applyNumberFormat="1" applyFill="1"/>
    <xf numFmtId="2" fontId="102" fillId="98" borderId="0" xfId="576" applyNumberFormat="1" applyFont="1" applyFill="1"/>
    <xf numFmtId="178" fontId="102" fillId="98" borderId="0" xfId="576" applyNumberFormat="1" applyFont="1" applyFill="1"/>
    <xf numFmtId="0" fontId="102" fillId="98" borderId="0" xfId="3044" applyFont="1" applyFill="1" applyAlignment="1">
      <alignment horizontal="center"/>
    </xf>
    <xf numFmtId="0" fontId="102" fillId="98" borderId="0" xfId="3044" applyFont="1" applyFill="1" applyAlignment="1">
      <alignment horizontal="center" wrapText="1"/>
    </xf>
    <xf numFmtId="0" fontId="0" fillId="2" borderId="0" xfId="0" applyFill="1" applyAlignment="1">
      <alignment horizontal="center" vertical="top"/>
    </xf>
    <xf numFmtId="3" fontId="58" fillId="2" borderId="0" xfId="0" applyNumberFormat="1" applyFont="1" applyFill="1" applyBorder="1" applyAlignment="1">
      <alignment horizontal="right" vertical="center"/>
    </xf>
    <xf numFmtId="3" fontId="81" fillId="2" borderId="0" xfId="0" applyNumberFormat="1" applyFont="1" applyFill="1" applyBorder="1" applyAlignment="1">
      <alignment horizontal="left" vertical="center"/>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0" fontId="96" fillId="0" borderId="0" xfId="567" applyAlignment="1">
      <alignment wrapText="1"/>
    </xf>
    <xf numFmtId="0" fontId="0" fillId="0" borderId="0" xfId="0" applyAlignment="1">
      <alignment wrapText="1"/>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166" fontId="58" fillId="2" borderId="0" xfId="71" applyFont="1" applyFill="1" applyBorder="1" applyAlignment="1">
      <alignment horizontal="center"/>
    </xf>
    <xf numFmtId="0" fontId="58" fillId="2" borderId="0" xfId="0"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5" fontId="66" fillId="29" borderId="0" xfId="40" applyNumberFormat="1" applyFont="1" applyFill="1" applyBorder="1" applyAlignment="1">
      <alignment horizontal="left" vertical="top"/>
    </xf>
    <xf numFmtId="175"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0" fillId="69"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8" fillId="2" borderId="6" xfId="0" applyFont="1" applyFill="1" applyBorder="1" applyAlignment="1">
      <alignment horizontal="center"/>
    </xf>
    <xf numFmtId="0" fontId="102" fillId="67" borderId="49" xfId="567" applyFont="1" applyFill="1" applyBorder="1" applyAlignment="1" applyProtection="1">
      <alignment horizontal="center" wrapText="1"/>
      <protection hidden="1"/>
    </xf>
    <xf numFmtId="0" fontId="102" fillId="67" borderId="5" xfId="567" applyFont="1" applyFill="1" applyBorder="1" applyAlignment="1" applyProtection="1">
      <alignment horizontal="center" wrapText="1"/>
      <protection hidden="1"/>
    </xf>
    <xf numFmtId="0" fontId="102" fillId="67" borderId="34" xfId="567" applyFont="1" applyFill="1" applyBorder="1" applyAlignment="1" applyProtection="1">
      <alignment horizontal="center" wrapText="1"/>
      <protection hidden="1"/>
    </xf>
    <xf numFmtId="0" fontId="102" fillId="67" borderId="36" xfId="567" applyFont="1" applyFill="1" applyBorder="1" applyAlignment="1" applyProtection="1">
      <alignment horizontal="center" wrapText="1"/>
      <protection hidden="1"/>
    </xf>
    <xf numFmtId="0" fontId="102" fillId="67" borderId="35" xfId="567" applyFont="1" applyFill="1" applyBorder="1" applyAlignment="1" applyProtection="1">
      <alignment horizontal="center" wrapText="1"/>
      <protection hidden="1"/>
    </xf>
    <xf numFmtId="0" fontId="102" fillId="67" borderId="66" xfId="567" applyFont="1" applyFill="1" applyBorder="1" applyAlignment="1" applyProtection="1">
      <alignment horizontal="center" wrapText="1"/>
      <protection hidden="1"/>
    </xf>
    <xf numFmtId="0" fontId="102" fillId="67" borderId="10" xfId="567" applyFont="1" applyFill="1" applyBorder="1" applyAlignment="1" applyProtection="1">
      <alignment horizontal="center" wrapText="1"/>
      <protection hidden="1"/>
    </xf>
    <xf numFmtId="0" fontId="96" fillId="67" borderId="0" xfId="567" applyFill="1" applyBorder="1" applyAlignment="1" applyProtection="1">
      <alignment horizontal="left" vertical="top" wrapText="1"/>
      <protection hidden="1"/>
    </xf>
    <xf numFmtId="0" fontId="102" fillId="67" borderId="6" xfId="567" applyFont="1" applyFill="1" applyBorder="1" applyAlignment="1" applyProtection="1">
      <alignment horizontal="left" wrapText="1"/>
      <protection hidden="1"/>
    </xf>
    <xf numFmtId="0" fontId="67" fillId="27" borderId="68" xfId="0" applyNumberFormat="1" applyFont="1" applyFill="1" applyBorder="1" applyAlignment="1">
      <alignment horizontal="center" vertical="center" wrapText="1"/>
    </xf>
    <xf numFmtId="0" fontId="67" fillId="27" borderId="8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3" fontId="12" fillId="2" borderId="46" xfId="0" applyNumberFormat="1" applyFont="1" applyFill="1" applyBorder="1" applyAlignment="1">
      <alignment horizontal="left" vertical="center"/>
    </xf>
    <xf numFmtId="3" fontId="12" fillId="2" borderId="81" xfId="0" applyNumberFormat="1" applyFont="1" applyFill="1" applyBorder="1" applyAlignment="1">
      <alignment horizontal="left" vertical="center"/>
    </xf>
    <xf numFmtId="0" fontId="70" fillId="2" borderId="13" xfId="0" applyFont="1" applyFill="1" applyBorder="1" applyAlignment="1">
      <alignment horizontal="center" vertical="center" textRotation="90"/>
    </xf>
    <xf numFmtId="3" fontId="63" fillId="26" borderId="35" xfId="0" applyNumberFormat="1" applyFont="1" applyFill="1" applyBorder="1" applyAlignment="1">
      <alignment horizontal="left" vertical="center"/>
    </xf>
    <xf numFmtId="0" fontId="70" fillId="2" borderId="0" xfId="0" applyFont="1" applyFill="1" applyBorder="1" applyAlignment="1">
      <alignment horizontal="center" vertical="center" textRotation="90"/>
    </xf>
    <xf numFmtId="0" fontId="65" fillId="2" borderId="0" xfId="0" applyFont="1" applyFill="1" applyAlignment="1">
      <alignment horizontal="left"/>
    </xf>
    <xf numFmtId="3" fontId="12" fillId="2" borderId="0" xfId="0" applyNumberFormat="1" applyFont="1" applyFill="1" applyBorder="1" applyAlignment="1">
      <alignment horizontal="left" vertical="center"/>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0" fillId="2" borderId="0" xfId="0" applyFill="1" applyAlignment="1">
      <alignment horizontal="left" vertical="top" wrapText="1"/>
    </xf>
    <xf numFmtId="0" fontId="98" fillId="2" borderId="0" xfId="0" applyFont="1" applyFill="1" applyAlignment="1">
      <alignment horizontal="left" wrapText="1"/>
    </xf>
    <xf numFmtId="0" fontId="67" fillId="27" borderId="74" xfId="0" applyNumberFormat="1" applyFont="1" applyFill="1" applyBorder="1" applyAlignment="1">
      <alignment horizontal="center" vertical="center" wrapText="1"/>
    </xf>
    <xf numFmtId="0" fontId="67" fillId="27" borderId="67" xfId="0" applyNumberFormat="1" applyFont="1" applyFill="1" applyBorder="1" applyAlignment="1">
      <alignment horizontal="center" vertical="center" wrapText="1"/>
    </xf>
    <xf numFmtId="3" fontId="63" fillId="26" borderId="50" xfId="0" applyNumberFormat="1" applyFont="1" applyFill="1" applyBorder="1" applyAlignment="1">
      <alignment horizontal="left" vertical="center"/>
    </xf>
    <xf numFmtId="0" fontId="58" fillId="2" borderId="0" xfId="0" applyFont="1" applyFill="1" applyAlignment="1">
      <alignment horizontal="left" vertical="top" wrapText="1"/>
    </xf>
    <xf numFmtId="0" fontId="58" fillId="2" borderId="0" xfId="0" applyFont="1" applyFill="1" applyBorder="1" applyAlignment="1">
      <alignment horizontal="left" vertical="top"/>
    </xf>
    <xf numFmtId="0" fontId="60" fillId="31" borderId="91" xfId="0" applyFont="1" applyFill="1" applyBorder="1" applyAlignment="1">
      <alignment horizontal="left" vertical="center" wrapText="1"/>
    </xf>
    <xf numFmtId="0" fontId="60" fillId="31" borderId="62" xfId="0" applyFont="1" applyFill="1" applyBorder="1" applyAlignment="1">
      <alignment horizontal="left" vertical="center" wrapText="1"/>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67" fillId="27" borderId="88" xfId="0" applyFont="1" applyFill="1" applyBorder="1" applyAlignment="1">
      <alignment horizontal="center" vertical="center" wrapText="1"/>
    </xf>
    <xf numFmtId="0" fontId="67" fillId="27" borderId="90" xfId="0" applyFont="1" applyFill="1" applyBorder="1" applyAlignment="1">
      <alignment horizontal="center" vertical="center" wrapText="1"/>
    </xf>
    <xf numFmtId="170" fontId="67" fillId="27" borderId="70" xfId="6" applyNumberFormat="1" applyFont="1" applyFill="1" applyBorder="1" applyAlignment="1">
      <alignment horizontal="center" vertical="center"/>
    </xf>
    <xf numFmtId="170" fontId="67" fillId="27" borderId="71" xfId="6" applyNumberFormat="1" applyFont="1" applyFill="1" applyBorder="1" applyAlignment="1">
      <alignment horizontal="center" vertical="center"/>
    </xf>
    <xf numFmtId="170" fontId="67" fillId="27" borderId="89" xfId="6" applyNumberFormat="1" applyFont="1" applyFill="1" applyBorder="1" applyAlignment="1">
      <alignment horizontal="center" vertical="center"/>
    </xf>
    <xf numFmtId="0" fontId="59" fillId="2" borderId="0" xfId="0" applyFont="1" applyFill="1" applyAlignment="1">
      <alignment horizontal="center" wrapText="1"/>
    </xf>
    <xf numFmtId="175" fontId="66" fillId="29" borderId="0" xfId="40" applyNumberFormat="1"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70" fontId="67" fillId="27" borderId="50" xfId="6" applyNumberFormat="1" applyFont="1" applyFill="1" applyBorder="1" applyAlignment="1">
      <alignment horizontal="center" vertical="center"/>
    </xf>
    <xf numFmtId="170" fontId="67" fillId="27" borderId="41" xfId="6" applyNumberFormat="1" applyFont="1" applyFill="1" applyBorder="1" applyAlignment="1">
      <alignment horizontal="center" vertical="center"/>
    </xf>
    <xf numFmtId="175"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0" fontId="59" fillId="2" borderId="0" xfId="0" applyFont="1" applyFill="1" applyBorder="1" applyAlignment="1">
      <alignment horizontal="center" wrapText="1"/>
    </xf>
    <xf numFmtId="0" fontId="58" fillId="2" borderId="0" xfId="0" applyFont="1" applyFill="1" applyBorder="1" applyAlignment="1">
      <alignment horizontal="left" wrapText="1"/>
    </xf>
    <xf numFmtId="175" fontId="66" fillId="0" borderId="0" xfId="40" applyNumberFormat="1" applyFont="1" applyFill="1" applyBorder="1" applyAlignment="1">
      <alignment horizontal="left" vertical="center"/>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53" fillId="2" borderId="0" xfId="0" applyFont="1" applyFill="1" applyAlignment="1">
      <alignment horizontal="left" vertical="top"/>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5109">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7" builtinId="9" hidden="1"/>
    <cellStyle name="Followed Hyperlink" xfId="5108"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00834"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701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19667"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1691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2562425" cy="189696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2858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6086666"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6829264" cy="219983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Users\David%201\Library\Application%20Support\Lotus%20Notes%20Data\HOBNI%202013-2015%20v5.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LRAMVA%202011-\IndEco\Sept%2029%20Download\Veridian%202013-2016%20LRAMVA%20calculator-v5.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private\var\folders\km\wf12k03s4n31v14gld2k8s940000gp\T\TemporaryItems\notes\Espanola%20LRAMVA%20calculator%20v1%20(2011%20to%2020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LRAMVA%202011-\IndEco\Sept%2029%20Download\Veridian%202013-2016%20LRAMVA%20calculator-v5.01.xlsb"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RAMVA%202011-\IndEco\Sept%2029%20Download\Veridian%202013-2016%20LRAMVA%20calculator-v5.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Users\David%201\Library\Application%20Support\Lotus%20Notes%20Data\LRAMVA%20template%202016.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Table 2B"/>
      <sheetName val="2016 IESO final results"/>
      <sheetName val="2016 estimate"/>
      <sheetName val="EstCurrentYear"/>
      <sheetName val="2016LostRev"/>
      <sheetName val="References"/>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Rates-weighted averages"/>
      <sheetName val="Forecast"/>
      <sheetName val="ForecastVariance"/>
      <sheetName val="2011 OPA final results"/>
      <sheetName val="2011LostRev"/>
      <sheetName val="2012 OPA final results"/>
      <sheetName val="Adjustments"/>
      <sheetName val="2012LostRev"/>
      <sheetName val="2013 OPA final results"/>
      <sheetName val="2013LostRev"/>
      <sheetName val="2014 OPA final results"/>
      <sheetName val="2014LostRev"/>
      <sheetName val="2015 IESO final results"/>
      <sheetName val="2015LostRev"/>
      <sheetName val="ERII_Queue"/>
      <sheetName val="2016 monthly reports"/>
      <sheetName val="2016 estimate"/>
      <sheetName val="2016 IESO final results"/>
      <sheetName val="EstCurrentYear"/>
      <sheetName val="2016LostRev"/>
      <sheetName val="OEB_export"/>
      <sheetName val="Streetlights"/>
      <sheetName val="References"/>
    </sheetNames>
    <sheetDataSet>
      <sheetData sheetId="0"/>
      <sheetData sheetId="1"/>
      <sheetData sheetId="2"/>
      <sheetData sheetId="3">
        <row r="153">
          <cell r="Q153" t="str">
            <v>All</v>
          </cell>
        </row>
        <row r="154">
          <cell r="Q154">
            <v>2011</v>
          </cell>
        </row>
        <row r="155">
          <cell r="Q155">
            <v>2012</v>
          </cell>
        </row>
        <row r="156">
          <cell r="Q156">
            <v>2013</v>
          </cell>
        </row>
        <row r="157">
          <cell r="Q157">
            <v>2014</v>
          </cell>
        </row>
        <row r="158">
          <cell r="Q158">
            <v>2015</v>
          </cell>
        </row>
        <row r="159">
          <cell r="Q159">
            <v>2016</v>
          </cell>
        </row>
        <row r="160">
          <cell r="Q160">
            <v>2017</v>
          </cell>
        </row>
      </sheetData>
      <sheetData sheetId="4">
        <row r="7">
          <cell r="B7" t="str">
            <v>Residential</v>
          </cell>
          <cell r="C7" t="str">
            <v>kWh</v>
          </cell>
        </row>
        <row r="8">
          <cell r="B8" t="str">
            <v>GS &lt; 50 kW</v>
          </cell>
          <cell r="C8" t="str">
            <v>kWh</v>
          </cell>
        </row>
        <row r="9">
          <cell r="B9" t="str">
            <v>GS 50 to 2,999 kW</v>
          </cell>
          <cell r="C9" t="str">
            <v>kW</v>
          </cell>
        </row>
        <row r="10">
          <cell r="B10" t="str">
            <v>GS 50 to 2,999 kW with owned transformer</v>
          </cell>
          <cell r="C10" t="str">
            <v>kW</v>
          </cell>
        </row>
        <row r="11">
          <cell r="B11" t="str">
            <v>GS 3,000 to 4,999 kW</v>
          </cell>
          <cell r="C11" t="str">
            <v>kW</v>
          </cell>
        </row>
        <row r="12">
          <cell r="B12" t="str">
            <v>GS 3,000 to 4,999 kW with owned transformer</v>
          </cell>
          <cell r="C12" t="str">
            <v>kW</v>
          </cell>
        </row>
        <row r="13">
          <cell r="B13" t="str">
            <v>Large Use</v>
          </cell>
          <cell r="C13" t="str">
            <v>kW</v>
          </cell>
        </row>
        <row r="14">
          <cell r="B14" t="str">
            <v>Large Use with owned transformer</v>
          </cell>
          <cell r="C14" t="str">
            <v>kW</v>
          </cell>
        </row>
        <row r="15">
          <cell r="B15" t="str">
            <v>Unmetered Scattered Load</v>
          </cell>
          <cell r="C15" t="str">
            <v>kWh</v>
          </cell>
        </row>
        <row r="16">
          <cell r="B16" t="str">
            <v>Sentinel Lighting</v>
          </cell>
          <cell r="C16" t="str">
            <v>kW</v>
          </cell>
        </row>
        <row r="17">
          <cell r="B17" t="str">
            <v>Street Lighting</v>
          </cell>
          <cell r="C17" t="str">
            <v>kW</v>
          </cell>
        </row>
        <row r="18">
          <cell r="B18" t="str">
            <v>MicroFIT Generator</v>
          </cell>
          <cell r="C18" t="str">
            <v>NA</v>
          </cell>
        </row>
        <row r="40">
          <cell r="A40">
            <v>1</v>
          </cell>
          <cell r="B40" t="str">
            <v>Residential</v>
          </cell>
          <cell r="C40" t="str">
            <v>kWh</v>
          </cell>
          <cell r="F40">
            <v>1.5900000000000001E-2</v>
          </cell>
          <cell r="G40">
            <v>1.61E-2</v>
          </cell>
          <cell r="H40">
            <v>1.6299999999999999E-2</v>
          </cell>
          <cell r="I40">
            <v>1.38E-2</v>
          </cell>
        </row>
        <row r="41">
          <cell r="A41">
            <v>2</v>
          </cell>
          <cell r="B41" t="str">
            <v>GS &lt; 50 kW</v>
          </cell>
          <cell r="C41" t="str">
            <v>kWh</v>
          </cell>
          <cell r="F41">
            <v>1.6899999999999998E-2</v>
          </cell>
          <cell r="G41">
            <v>1.6400000000000001E-2</v>
          </cell>
          <cell r="H41">
            <v>1.6299999999999999E-2</v>
          </cell>
          <cell r="I41">
            <v>1.66E-2</v>
          </cell>
        </row>
        <row r="42">
          <cell r="A42">
            <v>3</v>
          </cell>
          <cell r="B42" t="str">
            <v>GS 50 to 2,999 kW</v>
          </cell>
          <cell r="C42" t="str">
            <v>kW</v>
          </cell>
          <cell r="F42">
            <v>3.0556000000000001</v>
          </cell>
          <cell r="G42">
            <v>3.1402999999999999</v>
          </cell>
          <cell r="H42">
            <v>3.2071000000000001</v>
          </cell>
          <cell r="I42">
            <v>3.2595999999999998</v>
          </cell>
        </row>
        <row r="43">
          <cell r="A43">
            <v>4</v>
          </cell>
          <cell r="B43" t="str">
            <v>GS 50 to 2,999 kW with owned transformer</v>
          </cell>
          <cell r="C43" t="str">
            <v>kW</v>
          </cell>
          <cell r="F43">
            <v>2.4556</v>
          </cell>
          <cell r="G43">
            <v>2.5402999999999998</v>
          </cell>
          <cell r="H43">
            <v>2.6071</v>
          </cell>
          <cell r="I43">
            <v>2.6596000000000002</v>
          </cell>
        </row>
        <row r="44">
          <cell r="A44">
            <v>5</v>
          </cell>
          <cell r="B44" t="str">
            <v>GS 3,000 to 4,999 kW</v>
          </cell>
          <cell r="C44" t="str">
            <v>kW</v>
          </cell>
          <cell r="F44">
            <v>1.4013</v>
          </cell>
          <cell r="G44">
            <v>1.8111999999999999</v>
          </cell>
          <cell r="H44">
            <v>2.032</v>
          </cell>
          <cell r="I44">
            <v>2.0651999999999999</v>
          </cell>
        </row>
        <row r="45">
          <cell r="A45">
            <v>6</v>
          </cell>
          <cell r="B45" t="str">
            <v>GS 3,000 to 4,999 kW with owned transformer</v>
          </cell>
          <cell r="C45" t="str">
            <v>kW</v>
          </cell>
          <cell r="F45">
            <v>0.80130000000000001</v>
          </cell>
          <cell r="G45">
            <v>1.2112000000000001</v>
          </cell>
          <cell r="H45">
            <v>1.4319999999999999</v>
          </cell>
          <cell r="I45">
            <v>1.4652000000000001</v>
          </cell>
        </row>
        <row r="46">
          <cell r="A46">
            <v>7</v>
          </cell>
          <cell r="B46" t="str">
            <v>Large Use</v>
          </cell>
          <cell r="C46" t="str">
            <v>kW</v>
          </cell>
          <cell r="F46">
            <v>1.6715</v>
          </cell>
          <cell r="G46">
            <v>2.4498000000000002</v>
          </cell>
          <cell r="H46">
            <v>2.8616000000000001</v>
          </cell>
          <cell r="I46">
            <v>2.9083999999999999</v>
          </cell>
        </row>
        <row r="47">
          <cell r="A47">
            <v>8</v>
          </cell>
          <cell r="B47" t="str">
            <v>Large Use with owned transformer</v>
          </cell>
          <cell r="C47" t="str">
            <v>kW</v>
          </cell>
          <cell r="F47">
            <v>1.0714999999999999</v>
          </cell>
          <cell r="G47">
            <v>1.8498000000000001</v>
          </cell>
          <cell r="H47">
            <v>2.2616000000000001</v>
          </cell>
          <cell r="I47">
            <v>2.3083999999999998</v>
          </cell>
        </row>
        <row r="48">
          <cell r="A48">
            <v>9</v>
          </cell>
          <cell r="B48" t="str">
            <v>Unmetered Scattered Load</v>
          </cell>
          <cell r="C48" t="str">
            <v>kWh</v>
          </cell>
          <cell r="F48">
            <v>1.84E-2</v>
          </cell>
          <cell r="G48">
            <v>1.6899999999999998E-2</v>
          </cell>
          <cell r="H48">
            <v>1.6199999999999999E-2</v>
          </cell>
          <cell r="I48">
            <v>1.6500000000000001E-2</v>
          </cell>
        </row>
        <row r="49">
          <cell r="A49">
            <v>10</v>
          </cell>
          <cell r="B49" t="str">
            <v>Sentinel Lighting</v>
          </cell>
          <cell r="C49" t="str">
            <v>kW</v>
          </cell>
          <cell r="F49">
            <v>10.862</v>
          </cell>
          <cell r="G49">
            <v>12.3611</v>
          </cell>
          <cell r="H49">
            <v>13.2112</v>
          </cell>
          <cell r="I49">
            <v>13.427199999999999</v>
          </cell>
        </row>
        <row r="50">
          <cell r="A50">
            <v>11</v>
          </cell>
          <cell r="B50" t="str">
            <v>Street Lighting</v>
          </cell>
          <cell r="C50" t="str">
            <v>kW</v>
          </cell>
          <cell r="F50">
            <v>3.6017999999999999</v>
          </cell>
          <cell r="G50">
            <v>3.5910000000000002</v>
          </cell>
          <cell r="H50">
            <v>3.6124999999999998</v>
          </cell>
          <cell r="I50">
            <v>3.6715</v>
          </cell>
        </row>
        <row r="51">
          <cell r="A51">
            <v>12</v>
          </cell>
          <cell r="B51" t="str">
            <v>MicroFIT Generator</v>
          </cell>
          <cell r="C51" t="str">
            <v>NA</v>
          </cell>
          <cell r="F51">
            <v>0</v>
          </cell>
          <cell r="G51">
            <v>0</v>
          </cell>
          <cell r="H51">
            <v>0</v>
          </cell>
          <cell r="I51">
            <v>0</v>
          </cell>
        </row>
      </sheetData>
      <sheetData sheetId="5"/>
      <sheetData sheetId="6"/>
      <sheetData sheetId="7"/>
      <sheetData sheetId="8">
        <row r="4">
          <cell r="B4">
            <v>2011</v>
          </cell>
        </row>
      </sheetData>
      <sheetData sheetId="9"/>
      <sheetData sheetId="10"/>
      <sheetData sheetId="11"/>
      <sheetData sheetId="12"/>
      <sheetData sheetId="13"/>
      <sheetData sheetId="14"/>
      <sheetData sheetId="15"/>
      <sheetData sheetId="16"/>
      <sheetData sheetId="17">
        <row r="2">
          <cell r="B2">
            <v>2015</v>
          </cell>
        </row>
      </sheetData>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2011 OPA final results"/>
      <sheetName val="2011LostRev"/>
      <sheetName val="2012 Table 3B"/>
      <sheetName val="2012 OPA final results"/>
      <sheetName val="Adjustments"/>
      <sheetName val="2012 estimate"/>
      <sheetName val="2012LostRev"/>
      <sheetName val="2013 Table 3B"/>
      <sheetName val="2013 OPA final results"/>
      <sheetName val="2013 estimate"/>
      <sheetName val="2013LostRev"/>
      <sheetName val="2014 Table 3B"/>
      <sheetName val="2014 OPA final results"/>
      <sheetName val="2014 estimate"/>
      <sheetName val="2014LostRev"/>
      <sheetName val="2015 Table 3B"/>
      <sheetName val="2015 OPA final results"/>
      <sheetName val="ERII_Queue"/>
      <sheetName val="2015 estimate"/>
      <sheetName val="2015LostRev"/>
      <sheetName val="EstCurrentYear"/>
      <sheetName val="References"/>
      <sheetName val="Streetlights"/>
      <sheetName val="Rates-weighted averages"/>
      <sheetName val="2015 IESO final results"/>
      <sheetName val="2016 monthly reports"/>
      <sheetName val="2016 estimate"/>
      <sheetName val="2016 IESO final results"/>
      <sheetName val="2016LostRev"/>
      <sheetName val="OEB_export"/>
    </sheetNames>
    <sheetDataSet>
      <sheetData sheetId="0"/>
      <sheetData sheetId="1"/>
      <sheetData sheetId="2">
        <row r="88">
          <cell r="O88">
            <v>2011</v>
          </cell>
        </row>
        <row r="89">
          <cell r="O89">
            <v>2012</v>
          </cell>
        </row>
        <row r="90">
          <cell r="O90">
            <v>2013</v>
          </cell>
        </row>
        <row r="91">
          <cell r="O91">
            <v>2014</v>
          </cell>
        </row>
        <row r="92">
          <cell r="O92">
            <v>2015</v>
          </cell>
        </row>
        <row r="95">
          <cell r="O95" t="str">
            <v>Yes</v>
          </cell>
        </row>
        <row r="96">
          <cell r="O96" t="str">
            <v>No</v>
          </cell>
        </row>
      </sheetData>
      <sheetData sheetId="3">
        <row r="112">
          <cell r="Q112" t="str">
            <v>All</v>
          </cell>
        </row>
        <row r="113">
          <cell r="Q113">
            <v>2011</v>
          </cell>
        </row>
        <row r="114">
          <cell r="Q114">
            <v>2012</v>
          </cell>
        </row>
        <row r="115">
          <cell r="Q115">
            <v>2013</v>
          </cell>
        </row>
        <row r="116">
          <cell r="Q116">
            <v>2014</v>
          </cell>
        </row>
        <row r="117">
          <cell r="Q117">
            <v>2015</v>
          </cell>
        </row>
      </sheetData>
      <sheetData sheetId="4">
        <row r="4">
          <cell r="A4">
            <v>1</v>
          </cell>
          <cell r="B4" t="str">
            <v>Rate year</v>
          </cell>
          <cell r="C4">
            <v>0</v>
          </cell>
          <cell r="D4">
            <v>2010</v>
          </cell>
          <cell r="E4">
            <v>2011</v>
          </cell>
          <cell r="F4">
            <v>2012</v>
          </cell>
          <cell r="G4">
            <v>2013</v>
          </cell>
          <cell r="H4">
            <v>2014</v>
          </cell>
        </row>
        <row r="5">
          <cell r="A5">
            <v>0</v>
          </cell>
          <cell r="B5" t="str">
            <v>Pro-ratio of Rates Period 1 - (enter months previous rate year has in calendar year)</v>
          </cell>
          <cell r="C5">
            <v>0</v>
          </cell>
          <cell r="D5">
            <v>4</v>
          </cell>
          <cell r="E5">
            <v>4</v>
          </cell>
          <cell r="F5">
            <v>4</v>
          </cell>
          <cell r="G5">
            <v>4</v>
          </cell>
          <cell r="H5">
            <v>4</v>
          </cell>
        </row>
        <row r="6">
          <cell r="A6">
            <v>3</v>
          </cell>
          <cell r="B6" t="str">
            <v xml:space="preserve">Pro-ratio of Rates Period 2 - (months in calendar year of current rate year) </v>
          </cell>
          <cell r="C6">
            <v>0</v>
          </cell>
          <cell r="D6">
            <v>8</v>
          </cell>
          <cell r="E6">
            <v>8</v>
          </cell>
          <cell r="F6">
            <v>8</v>
          </cell>
          <cell r="G6">
            <v>8</v>
          </cell>
          <cell r="H6">
            <v>8</v>
          </cell>
        </row>
        <row r="7">
          <cell r="A7">
            <v>4</v>
          </cell>
          <cell r="B7" t="str">
            <v>Residential</v>
          </cell>
          <cell r="C7" t="str">
            <v>kWh</v>
          </cell>
          <cell r="D7">
            <v>0</v>
          </cell>
          <cell r="E7">
            <v>0</v>
          </cell>
          <cell r="F7">
            <v>0</v>
          </cell>
          <cell r="G7">
            <v>0</v>
          </cell>
          <cell r="H7">
            <v>0</v>
          </cell>
        </row>
        <row r="8">
          <cell r="A8">
            <v>5</v>
          </cell>
          <cell r="B8" t="str">
            <v>GS &lt; 50 kW</v>
          </cell>
          <cell r="C8" t="str">
            <v>kWh</v>
          </cell>
          <cell r="D8">
            <v>0</v>
          </cell>
          <cell r="E8">
            <v>0</v>
          </cell>
          <cell r="F8">
            <v>0</v>
          </cell>
          <cell r="G8">
            <v>0</v>
          </cell>
          <cell r="H8">
            <v>1.6199999999999999E-2</v>
          </cell>
        </row>
        <row r="9">
          <cell r="A9">
            <v>6</v>
          </cell>
          <cell r="B9" t="str">
            <v>GS 50 to 2,999 kW</v>
          </cell>
          <cell r="C9" t="str">
            <v>kW</v>
          </cell>
          <cell r="D9">
            <v>0</v>
          </cell>
          <cell r="E9">
            <v>0</v>
          </cell>
          <cell r="F9">
            <v>0</v>
          </cell>
          <cell r="G9">
            <v>0</v>
          </cell>
          <cell r="H9">
            <v>3.1796000000000002</v>
          </cell>
        </row>
        <row r="10">
          <cell r="A10">
            <v>7</v>
          </cell>
          <cell r="B10" t="str">
            <v>GS 50 to 2,999 kW with owned transformer</v>
          </cell>
          <cell r="C10" t="str">
            <v>kW</v>
          </cell>
          <cell r="D10">
            <v>0</v>
          </cell>
          <cell r="E10">
            <v>0</v>
          </cell>
          <cell r="F10">
            <v>0</v>
          </cell>
          <cell r="G10">
            <v>0</v>
          </cell>
          <cell r="H10">
            <v>2.5796000000000001</v>
          </cell>
        </row>
        <row r="11">
          <cell r="A11">
            <v>8</v>
          </cell>
          <cell r="B11" t="str">
            <v>GS 3,000 to 4,999 kW</v>
          </cell>
          <cell r="C11" t="str">
            <v>kW</v>
          </cell>
          <cell r="D11">
            <v>0</v>
          </cell>
          <cell r="E11">
            <v>0</v>
          </cell>
          <cell r="F11">
            <v>1.3948</v>
          </cell>
          <cell r="G11">
            <v>1.4045000000000001</v>
          </cell>
          <cell r="H11">
            <v>2.0145</v>
          </cell>
        </row>
        <row r="12">
          <cell r="A12">
            <v>9</v>
          </cell>
          <cell r="B12" t="str">
            <v>GS 3,000 to 4,999 kW with owned transformer</v>
          </cell>
          <cell r="C12" t="str">
            <v>kW</v>
          </cell>
          <cell r="D12">
            <v>0</v>
          </cell>
          <cell r="E12">
            <v>0</v>
          </cell>
          <cell r="F12">
            <v>0.79480000000000006</v>
          </cell>
          <cell r="G12">
            <v>0.8045000000000001</v>
          </cell>
          <cell r="H12">
            <v>1.4144999999999999</v>
          </cell>
        </row>
        <row r="13">
          <cell r="A13">
            <v>10</v>
          </cell>
          <cell r="B13" t="str">
            <v>Large Use</v>
          </cell>
          <cell r="C13" t="str">
            <v>kW</v>
          </cell>
          <cell r="D13">
            <v>0</v>
          </cell>
          <cell r="E13">
            <v>0</v>
          </cell>
          <cell r="F13">
            <v>1.6637999999999999</v>
          </cell>
          <cell r="G13">
            <v>1.6753</v>
          </cell>
          <cell r="H13">
            <v>2.8370000000000002</v>
          </cell>
        </row>
        <row r="14">
          <cell r="A14">
            <v>11</v>
          </cell>
          <cell r="B14" t="str">
            <v>Large Use with owned transformer</v>
          </cell>
          <cell r="C14" t="str">
            <v>kW</v>
          </cell>
          <cell r="D14">
            <v>0</v>
          </cell>
          <cell r="E14">
            <v>0</v>
          </cell>
          <cell r="F14">
            <v>1.0638000000000001</v>
          </cell>
          <cell r="G14">
            <v>1.0752999999999999</v>
          </cell>
        </row>
        <row r="15">
          <cell r="A15">
            <v>12</v>
          </cell>
          <cell r="B15" t="str">
            <v>Unmetered Scattered Load</v>
          </cell>
          <cell r="C15" t="str">
            <v>kWh</v>
          </cell>
          <cell r="D15">
            <v>0</v>
          </cell>
          <cell r="E15">
            <v>0</v>
          </cell>
          <cell r="F15">
            <v>1.83E-2</v>
          </cell>
          <cell r="G15">
            <v>1.8499999999999999E-2</v>
          </cell>
        </row>
      </sheetData>
      <sheetData sheetId="5"/>
      <sheetData sheetId="6"/>
      <sheetData sheetId="7">
        <row r="4">
          <cell r="B4">
            <v>2011</v>
          </cell>
        </row>
      </sheetData>
      <sheetData sheetId="8">
        <row r="4">
          <cell r="B4">
            <v>2011</v>
          </cell>
        </row>
      </sheetData>
      <sheetData sheetId="9"/>
      <sheetData sheetId="10"/>
      <sheetData sheetId="11"/>
      <sheetData sheetId="12">
        <row r="110">
          <cell r="Q110">
            <v>53</v>
          </cell>
        </row>
      </sheetData>
      <sheetData sheetId="13">
        <row r="110">
          <cell r="Q110" t="str">
            <v>yes</v>
          </cell>
          <cell r="R110" t="str">
            <v>2012 OPA final results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Rates-weighted averages"/>
      <sheetName val="Forecast"/>
      <sheetName val="ForecastVariance"/>
      <sheetName val="2011 OPA final results"/>
      <sheetName val="2011LostRev"/>
      <sheetName val="2012 OPA final results"/>
      <sheetName val="Adjustments"/>
      <sheetName val="2012LostRev"/>
      <sheetName val="2013 OPA final results"/>
      <sheetName val="2013LostRev"/>
      <sheetName val="2014 OPA final results"/>
      <sheetName val="2014LostRev"/>
      <sheetName val="2015 IESO final results"/>
      <sheetName val="2015LostRev"/>
      <sheetName val="ERII_Queue"/>
      <sheetName val="2016 monthly reports"/>
      <sheetName val="2016 estimate"/>
      <sheetName val="2016 IESO final results"/>
      <sheetName val="EstCurrentYear"/>
      <sheetName val="2016LostRev"/>
      <sheetName val="OEB_export"/>
      <sheetName val="Streetlights"/>
      <sheetName val="References"/>
    </sheetNames>
    <sheetDataSet>
      <sheetData sheetId="0">
        <row r="6">
          <cell r="B6" t="str">
            <v>Prepared for Veridian Connections Inc.</v>
          </cell>
        </row>
      </sheetData>
      <sheetData sheetId="1"/>
      <sheetData sheetId="2">
        <row r="85">
          <cell r="B85">
            <v>280433.12429864286</v>
          </cell>
        </row>
      </sheetData>
      <sheetData sheetId="3">
        <row r="134">
          <cell r="D134">
            <v>9211.1867777247408</v>
          </cell>
        </row>
      </sheetData>
      <sheetData sheetId="4">
        <row r="3">
          <cell r="D3" t="str">
            <v>May 1, 2010-April 30, 2011</v>
          </cell>
        </row>
      </sheetData>
      <sheetData sheetId="5"/>
      <sheetData sheetId="6">
        <row r="5">
          <cell r="B5" t="str">
            <v>Residential</v>
          </cell>
        </row>
      </sheetData>
      <sheetData sheetId="7"/>
      <sheetData sheetId="8">
        <row r="4">
          <cell r="B4">
            <v>2011</v>
          </cell>
        </row>
      </sheetData>
      <sheetData sheetId="9">
        <row r="6">
          <cell r="D6" t="str">
            <v>Residential</v>
          </cell>
        </row>
      </sheetData>
      <sheetData sheetId="10">
        <row r="7">
          <cell r="B7" t="str">
            <v>Consumer Program</v>
          </cell>
        </row>
      </sheetData>
      <sheetData sheetId="11">
        <row r="7">
          <cell r="B7" t="str">
            <v>Consumer Program</v>
          </cell>
        </row>
      </sheetData>
      <sheetData sheetId="12">
        <row r="8">
          <cell r="D8">
            <v>1</v>
          </cell>
        </row>
      </sheetData>
      <sheetData sheetId="13">
        <row r="7">
          <cell r="B7" t="str">
            <v>Consumer Program</v>
          </cell>
        </row>
      </sheetData>
      <sheetData sheetId="14">
        <row r="8">
          <cell r="D8">
            <v>1</v>
          </cell>
        </row>
      </sheetData>
      <sheetData sheetId="15">
        <row r="8">
          <cell r="I8">
            <v>17.477</v>
          </cell>
        </row>
      </sheetData>
      <sheetData sheetId="16">
        <row r="8">
          <cell r="D8">
            <v>1</v>
          </cell>
        </row>
      </sheetData>
      <sheetData sheetId="17">
        <row r="2">
          <cell r="B2">
            <v>2015</v>
          </cell>
        </row>
      </sheetData>
      <sheetData sheetId="18">
        <row r="8">
          <cell r="D8">
            <v>1</v>
          </cell>
        </row>
      </sheetData>
      <sheetData sheetId="19"/>
      <sheetData sheetId="20"/>
      <sheetData sheetId="21"/>
      <sheetData sheetId="22"/>
      <sheetData sheetId="23"/>
      <sheetData sheetId="24"/>
      <sheetData sheetId="25">
        <row r="6">
          <cell r="C6">
            <v>1</v>
          </cell>
        </row>
      </sheetData>
      <sheetData sheetId="26"/>
      <sheetData sheetId="2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Rates-weighted averages"/>
      <sheetName val="Forecast"/>
      <sheetName val="ForecastVariance"/>
      <sheetName val="2011 OPA final results"/>
      <sheetName val="2011LostRev"/>
      <sheetName val="2012 OPA final results"/>
      <sheetName val="Adjustments"/>
      <sheetName val="2012LostRev"/>
      <sheetName val="2013 OPA final results"/>
      <sheetName val="2013LostRev"/>
      <sheetName val="2014 OPA final results"/>
      <sheetName val="2014LostRev"/>
      <sheetName val="2015 IESO final results"/>
      <sheetName val="2015LostRev"/>
      <sheetName val="ERII_Queue"/>
      <sheetName val="2016 monthly reports"/>
      <sheetName val="2016 estimate"/>
      <sheetName val="2016 IESO final results"/>
      <sheetName val="EstCurrentYear"/>
      <sheetName val="2016LostRev"/>
      <sheetName val="OEB_export"/>
      <sheetName val="Streetlights"/>
      <sheetName val="References"/>
    </sheetNames>
    <sheetDataSet>
      <sheetData sheetId="0">
        <row r="6">
          <cell r="B6" t="str">
            <v>Prepared for Veridian Connections Inc.</v>
          </cell>
        </row>
      </sheetData>
      <sheetData sheetId="1"/>
      <sheetData sheetId="2">
        <row r="85">
          <cell r="B85">
            <v>280433.12429864286</v>
          </cell>
        </row>
      </sheetData>
      <sheetData sheetId="3">
        <row r="134">
          <cell r="D134">
            <v>9211.1867777247408</v>
          </cell>
        </row>
      </sheetData>
      <sheetData sheetId="4">
        <row r="3">
          <cell r="D3" t="str">
            <v>May 1, 2010-April 30, 2011</v>
          </cell>
        </row>
      </sheetData>
      <sheetData sheetId="5"/>
      <sheetData sheetId="6">
        <row r="5">
          <cell r="B5" t="str">
            <v>Residential</v>
          </cell>
        </row>
      </sheetData>
      <sheetData sheetId="7"/>
      <sheetData sheetId="8">
        <row r="4">
          <cell r="B4">
            <v>2011</v>
          </cell>
        </row>
      </sheetData>
      <sheetData sheetId="9">
        <row r="6">
          <cell r="D6" t="str">
            <v>Residential</v>
          </cell>
        </row>
      </sheetData>
      <sheetData sheetId="10">
        <row r="7">
          <cell r="B7" t="str">
            <v>Consumer Program</v>
          </cell>
        </row>
      </sheetData>
      <sheetData sheetId="11">
        <row r="7">
          <cell r="B7" t="str">
            <v>Consumer Program</v>
          </cell>
        </row>
      </sheetData>
      <sheetData sheetId="12">
        <row r="8">
          <cell r="D8">
            <v>1</v>
          </cell>
        </row>
      </sheetData>
      <sheetData sheetId="13">
        <row r="7">
          <cell r="B7" t="str">
            <v>Consumer Program</v>
          </cell>
        </row>
      </sheetData>
      <sheetData sheetId="14">
        <row r="8">
          <cell r="D8">
            <v>1</v>
          </cell>
        </row>
      </sheetData>
      <sheetData sheetId="15">
        <row r="8">
          <cell r="I8">
            <v>17.477</v>
          </cell>
        </row>
      </sheetData>
      <sheetData sheetId="16">
        <row r="8">
          <cell r="D8">
            <v>1</v>
          </cell>
        </row>
      </sheetData>
      <sheetData sheetId="17">
        <row r="2">
          <cell r="B2">
            <v>2015</v>
          </cell>
        </row>
        <row r="4">
          <cell r="B4">
            <v>0</v>
          </cell>
        </row>
      </sheetData>
      <sheetData sheetId="18">
        <row r="8">
          <cell r="D8">
            <v>1</v>
          </cell>
        </row>
      </sheetData>
      <sheetData sheetId="19"/>
      <sheetData sheetId="20"/>
      <sheetData sheetId="21"/>
      <sheetData sheetId="22"/>
      <sheetData sheetId="23"/>
      <sheetData sheetId="24"/>
      <sheetData sheetId="25">
        <row r="6">
          <cell r="C6">
            <v>1</v>
          </cell>
        </row>
      </sheetData>
      <sheetData sheetId="26"/>
      <sheetData sheetId="2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2015 Table 2B"/>
      <sheetName val="ERII_Queue"/>
      <sheetName val="2015 estimate"/>
      <sheetName val="2016 Table 2B"/>
      <sheetName val="2016 IESO final results"/>
      <sheetName val="2016 estimate"/>
      <sheetName val="EstCurrentYear"/>
      <sheetName val="2016LostRev"/>
      <sheetName val="OEB_export"/>
      <sheetName val="References"/>
    </sheetNames>
    <sheetDataSet>
      <sheetData sheetId="0"/>
      <sheetData sheetId="1"/>
      <sheetData sheetId="2"/>
      <sheetData sheetId="3">
        <row r="134">
          <cell r="Q134" t="str">
            <v>All</v>
          </cell>
        </row>
        <row r="135">
          <cell r="Q135">
            <v>2011</v>
          </cell>
        </row>
        <row r="136">
          <cell r="Q136">
            <v>2012</v>
          </cell>
        </row>
        <row r="137">
          <cell r="Q137">
            <v>2013</v>
          </cell>
        </row>
        <row r="138">
          <cell r="Q138">
            <v>2014</v>
          </cell>
        </row>
        <row r="139">
          <cell r="Q139">
            <v>2015</v>
          </cell>
        </row>
        <row r="140">
          <cell r="Q140">
            <v>2016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tabSelected="1" zoomScale="90" zoomScaleNormal="90" zoomScalePageLayoutView="90" workbookViewId="0">
      <selection activeCell="C6" sqref="C6"/>
    </sheetView>
  </sheetViews>
  <sheetFormatPr defaultColWidth="8.85546875" defaultRowHeight="15"/>
  <cols>
    <col min="1" max="1" width="8.85546875" style="23"/>
    <col min="2" max="2" width="32.140625" style="65" customWidth="1"/>
    <col min="3" max="3" width="114.28515625" style="23" customWidth="1"/>
    <col min="4" max="4" width="8.140625" style="23" customWidth="1"/>
    <col min="5" max="16384" width="8.85546875" style="23"/>
  </cols>
  <sheetData>
    <row r="1" spans="1:3" ht="174" customHeight="1"/>
    <row r="3" spans="1:3" ht="20.25">
      <c r="B3" s="638" t="s">
        <v>337</v>
      </c>
      <c r="C3" s="638"/>
    </row>
    <row r="4" spans="1:3" ht="21" customHeight="1"/>
    <row r="5" spans="1:3" s="72" customFormat="1" ht="25.5" customHeight="1">
      <c r="B5" s="457" t="s">
        <v>371</v>
      </c>
      <c r="C5" s="457" t="s">
        <v>336</v>
      </c>
    </row>
    <row r="6" spans="1:3" s="79" customFormat="1" ht="32.25" customHeight="1">
      <c r="A6" s="43"/>
      <c r="B6" s="458" t="s">
        <v>332</v>
      </c>
      <c r="C6" s="459" t="s">
        <v>453</v>
      </c>
    </row>
    <row r="7" spans="1:3" s="79" customFormat="1" ht="9.75" customHeight="1">
      <c r="B7" s="90"/>
      <c r="C7" s="92"/>
    </row>
    <row r="8" spans="1:3" s="79" customFormat="1">
      <c r="B8" s="299" t="s">
        <v>327</v>
      </c>
      <c r="C8" s="92" t="s">
        <v>343</v>
      </c>
    </row>
    <row r="9" spans="1:3" s="79" customFormat="1" ht="14.25">
      <c r="B9" s="90"/>
      <c r="C9" s="92"/>
    </row>
    <row r="10" spans="1:3" s="79" customFormat="1">
      <c r="B10" s="299" t="s">
        <v>328</v>
      </c>
      <c r="C10" s="92" t="s">
        <v>345</v>
      </c>
    </row>
    <row r="11" spans="1:3" s="79" customFormat="1" ht="14.25">
      <c r="B11" s="90"/>
      <c r="C11" s="92"/>
    </row>
    <row r="12" spans="1:3" s="79" customFormat="1" ht="30" customHeight="1">
      <c r="B12" s="299" t="s">
        <v>329</v>
      </c>
      <c r="C12" s="452" t="s">
        <v>454</v>
      </c>
    </row>
    <row r="13" spans="1:3" s="79" customFormat="1" ht="14.25">
      <c r="B13" s="90"/>
      <c r="C13" s="92"/>
    </row>
    <row r="14" spans="1:3" s="79" customFormat="1">
      <c r="B14" s="299" t="s">
        <v>495</v>
      </c>
      <c r="C14" s="92" t="s">
        <v>474</v>
      </c>
    </row>
    <row r="15" spans="1:3" s="79" customFormat="1" hidden="1">
      <c r="B15" s="299" t="s">
        <v>462</v>
      </c>
      <c r="C15" s="92" t="s">
        <v>475</v>
      </c>
    </row>
    <row r="16" spans="1:3" s="79" customFormat="1" ht="14.25" hidden="1">
      <c r="B16" s="90"/>
      <c r="C16" s="92"/>
    </row>
    <row r="17" spans="2:8" s="79" customFormat="1" hidden="1">
      <c r="B17" s="299" t="s">
        <v>463</v>
      </c>
      <c r="C17" s="92" t="s">
        <v>476</v>
      </c>
    </row>
    <row r="18" spans="2:8" s="79" customFormat="1" ht="14.25" hidden="1">
      <c r="B18" s="90"/>
      <c r="C18" s="92"/>
    </row>
    <row r="19" spans="2:8" s="79" customFormat="1" hidden="1">
      <c r="B19" s="299" t="s">
        <v>464</v>
      </c>
      <c r="C19" s="92" t="s">
        <v>477</v>
      </c>
      <c r="E19" s="639" t="s">
        <v>459</v>
      </c>
      <c r="F19" s="639"/>
      <c r="G19" s="639"/>
      <c r="H19" s="639"/>
    </row>
    <row r="20" spans="2:8" s="79" customFormat="1" ht="14.25" hidden="1">
      <c r="B20" s="90"/>
      <c r="C20" s="92"/>
      <c r="E20" s="639"/>
      <c r="F20" s="639"/>
      <c r="G20" s="639"/>
      <c r="H20" s="639"/>
    </row>
    <row r="21" spans="2:8" s="79" customFormat="1" hidden="1">
      <c r="B21" s="299" t="s">
        <v>465</v>
      </c>
      <c r="C21" s="92" t="s">
        <v>478</v>
      </c>
      <c r="E21" s="639"/>
      <c r="F21" s="639"/>
      <c r="G21" s="639"/>
      <c r="H21" s="639"/>
    </row>
    <row r="22" spans="2:8" s="79" customFormat="1" ht="14.25" hidden="1">
      <c r="B22" s="90"/>
      <c r="C22" s="92"/>
    </row>
    <row r="23" spans="2:8" s="79" customFormat="1" hidden="1">
      <c r="B23" s="299" t="s">
        <v>466</v>
      </c>
      <c r="C23" s="92" t="s">
        <v>479</v>
      </c>
    </row>
    <row r="24" spans="2:8" s="79" customFormat="1" ht="14.25">
      <c r="B24" s="90"/>
      <c r="C24" s="92"/>
    </row>
    <row r="25" spans="2:8" s="79" customFormat="1">
      <c r="B25" s="299" t="s">
        <v>461</v>
      </c>
      <c r="C25" s="452" t="s">
        <v>483</v>
      </c>
    </row>
    <row r="26" spans="2:8" s="79" customFormat="1" ht="14.25">
      <c r="B26" s="299"/>
      <c r="C26" s="452"/>
    </row>
    <row r="27" spans="2:8" s="79" customFormat="1">
      <c r="B27" s="299" t="s">
        <v>330</v>
      </c>
      <c r="C27" s="92" t="s">
        <v>358</v>
      </c>
    </row>
    <row r="28" spans="2:8" s="79" customFormat="1" ht="14.25">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B3" sqref="B3:K7"/>
    </sheetView>
  </sheetViews>
  <sheetFormatPr defaultColWidth="8.85546875" defaultRowHeight="1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row r="3" spans="2:11">
      <c r="B3" s="640" t="s">
        <v>487</v>
      </c>
      <c r="C3" s="641"/>
      <c r="D3" s="641"/>
      <c r="E3" s="641"/>
      <c r="F3" s="641"/>
      <c r="G3" s="641"/>
      <c r="H3" s="641"/>
      <c r="I3" s="641"/>
      <c r="J3" s="641"/>
      <c r="K3" s="642"/>
    </row>
    <row r="4" spans="2:11" ht="15" customHeight="1">
      <c r="B4" s="643"/>
      <c r="C4" s="644"/>
      <c r="D4" s="644"/>
      <c r="E4" s="644"/>
      <c r="F4" s="644"/>
      <c r="G4" s="644"/>
      <c r="H4" s="644"/>
      <c r="I4" s="644"/>
      <c r="J4" s="644"/>
      <c r="K4" s="645"/>
    </row>
    <row r="5" spans="2:11" ht="15" customHeight="1">
      <c r="B5" s="643"/>
      <c r="C5" s="644"/>
      <c r="D5" s="644"/>
      <c r="E5" s="644"/>
      <c r="F5" s="644"/>
      <c r="G5" s="644"/>
      <c r="H5" s="644"/>
      <c r="I5" s="644"/>
      <c r="J5" s="644"/>
      <c r="K5" s="645"/>
    </row>
    <row r="6" spans="2:11">
      <c r="B6" s="643"/>
      <c r="C6" s="644"/>
      <c r="D6" s="644"/>
      <c r="E6" s="644"/>
      <c r="F6" s="644"/>
      <c r="G6" s="644"/>
      <c r="H6" s="644"/>
      <c r="I6" s="644"/>
      <c r="J6" s="644"/>
      <c r="K6" s="645"/>
    </row>
    <row r="7" spans="2:11">
      <c r="B7" s="646"/>
      <c r="C7" s="647"/>
      <c r="D7" s="647"/>
      <c r="E7" s="647"/>
      <c r="F7" s="647"/>
      <c r="G7" s="647"/>
      <c r="H7" s="647"/>
      <c r="I7" s="647"/>
      <c r="J7" s="647"/>
      <c r="K7" s="648"/>
    </row>
    <row r="9" spans="2:11" s="448" customFormat="1" ht="18.75">
      <c r="B9" s="450"/>
      <c r="C9" s="449" t="s">
        <v>438</v>
      </c>
      <c r="H9" s="451"/>
      <c r="I9" s="449" t="s">
        <v>439</v>
      </c>
    </row>
    <row r="11" spans="2:11">
      <c r="B11" s="82" t="s">
        <v>448</v>
      </c>
      <c r="C11" s="462" t="s">
        <v>455</v>
      </c>
      <c r="D11" s="463"/>
      <c r="E11" s="464"/>
      <c r="F11" s="465" t="s">
        <v>447</v>
      </c>
      <c r="G11" s="65"/>
      <c r="H11" s="649" t="s">
        <v>441</v>
      </c>
      <c r="I11" s="462" t="s">
        <v>440</v>
      </c>
      <c r="J11" s="463"/>
      <c r="K11" s="464"/>
    </row>
    <row r="12" spans="2:11">
      <c r="B12" s="82" t="s">
        <v>488</v>
      </c>
      <c r="C12" s="415" t="s">
        <v>456</v>
      </c>
      <c r="D12" s="155"/>
      <c r="E12" s="347"/>
      <c r="F12" s="465" t="s">
        <v>447</v>
      </c>
      <c r="G12" s="65"/>
      <c r="H12" s="649"/>
      <c r="I12" s="415" t="s">
        <v>442</v>
      </c>
      <c r="J12" s="155"/>
      <c r="K12" s="347"/>
    </row>
    <row r="13" spans="2:11">
      <c r="B13" s="82" t="s">
        <v>449</v>
      </c>
      <c r="C13" s="416" t="s">
        <v>443</v>
      </c>
      <c r="D13" s="328"/>
      <c r="E13" s="392"/>
      <c r="F13" s="465" t="s">
        <v>447</v>
      </c>
      <c r="G13" s="65"/>
      <c r="H13" s="649"/>
      <c r="I13" s="416" t="s">
        <v>444</v>
      </c>
      <c r="J13" s="328"/>
      <c r="K13" s="392"/>
    </row>
    <row r="14" spans="2:11">
      <c r="B14" s="82"/>
      <c r="C14" s="65"/>
      <c r="D14" s="65"/>
      <c r="E14" s="65"/>
      <c r="F14" s="65"/>
      <c r="G14" s="65"/>
      <c r="H14" s="460"/>
      <c r="I14" s="65"/>
      <c r="J14" s="65"/>
      <c r="K14" s="65"/>
    </row>
    <row r="15" spans="2:11" ht="15" customHeight="1">
      <c r="B15" s="650" t="s">
        <v>488</v>
      </c>
      <c r="C15" s="462"/>
      <c r="D15" s="463"/>
      <c r="E15" s="464"/>
      <c r="F15" s="65"/>
      <c r="G15" s="65"/>
      <c r="H15" s="649" t="s">
        <v>489</v>
      </c>
      <c r="I15" s="651" t="s">
        <v>450</v>
      </c>
      <c r="J15" s="652"/>
      <c r="K15" s="653"/>
    </row>
    <row r="16" spans="2:11">
      <c r="B16" s="650"/>
      <c r="C16" s="415" t="s">
        <v>457</v>
      </c>
      <c r="D16" s="155"/>
      <c r="E16" s="347"/>
      <c r="F16" s="65"/>
      <c r="G16" s="65"/>
      <c r="H16" s="649"/>
      <c r="I16" s="654"/>
      <c r="J16" s="655"/>
      <c r="K16" s="656"/>
    </row>
    <row r="17" spans="2:11">
      <c r="B17" s="650"/>
      <c r="C17" s="415" t="s">
        <v>445</v>
      </c>
      <c r="D17" s="155"/>
      <c r="E17" s="347"/>
      <c r="F17" s="65"/>
      <c r="G17" s="65"/>
      <c r="H17" s="649"/>
      <c r="I17" s="654"/>
      <c r="J17" s="655"/>
      <c r="K17" s="656"/>
    </row>
    <row r="18" spans="2:11">
      <c r="B18" s="650"/>
      <c r="C18" s="415" t="s">
        <v>458</v>
      </c>
      <c r="D18" s="155"/>
      <c r="E18" s="347"/>
      <c r="F18" s="65"/>
      <c r="G18" s="65"/>
      <c r="H18" s="649"/>
      <c r="I18" s="654"/>
      <c r="J18" s="655"/>
      <c r="K18" s="656"/>
    </row>
    <row r="19" spans="2:11">
      <c r="B19" s="650"/>
      <c r="C19" s="415" t="s">
        <v>445</v>
      </c>
      <c r="D19" s="155"/>
      <c r="E19" s="347"/>
      <c r="F19" s="65"/>
      <c r="G19" s="65"/>
      <c r="H19" s="649"/>
      <c r="I19" s="654"/>
      <c r="J19" s="655"/>
      <c r="K19" s="656"/>
    </row>
    <row r="20" spans="2:11">
      <c r="B20" s="650"/>
      <c r="C20" s="415" t="s">
        <v>446</v>
      </c>
      <c r="D20" s="155"/>
      <c r="E20" s="347"/>
      <c r="F20" s="65"/>
      <c r="G20" s="65"/>
      <c r="H20" s="649"/>
      <c r="I20" s="654"/>
      <c r="J20" s="655"/>
      <c r="K20" s="656"/>
    </row>
    <row r="21" spans="2:11">
      <c r="B21" s="82"/>
      <c r="C21" s="416"/>
      <c r="D21" s="328"/>
      <c r="E21" s="392"/>
      <c r="F21" s="65"/>
      <c r="G21" s="65"/>
      <c r="H21" s="649"/>
      <c r="I21" s="654"/>
      <c r="J21" s="655"/>
      <c r="K21" s="656"/>
    </row>
    <row r="22" spans="2:11">
      <c r="B22" s="82"/>
      <c r="C22" s="65"/>
      <c r="D22" s="65"/>
      <c r="E22" s="65"/>
      <c r="F22" s="65"/>
      <c r="G22" s="65"/>
      <c r="H22" s="649"/>
      <c r="I22" s="654"/>
      <c r="J22" s="655"/>
      <c r="K22" s="656"/>
    </row>
    <row r="23" spans="2:11">
      <c r="B23" s="82" t="s">
        <v>467</v>
      </c>
      <c r="C23" s="462" t="s">
        <v>451</v>
      </c>
      <c r="D23" s="463"/>
      <c r="E23" s="464"/>
      <c r="F23" s="65"/>
      <c r="G23" s="65"/>
      <c r="H23" s="649"/>
      <c r="I23" s="654"/>
      <c r="J23" s="655"/>
      <c r="K23" s="656"/>
    </row>
    <row r="24" spans="2:11">
      <c r="B24" s="82"/>
      <c r="C24" s="415" t="s">
        <v>445</v>
      </c>
      <c r="D24" s="155"/>
      <c r="E24" s="347"/>
      <c r="F24" s="65"/>
      <c r="G24" s="65"/>
      <c r="H24" s="649"/>
      <c r="I24" s="654"/>
      <c r="J24" s="655"/>
      <c r="K24" s="656"/>
    </row>
    <row r="25" spans="2:11">
      <c r="B25" s="82" t="s">
        <v>488</v>
      </c>
      <c r="C25" s="415" t="s">
        <v>452</v>
      </c>
      <c r="D25" s="155"/>
      <c r="E25" s="347"/>
      <c r="F25" s="65"/>
      <c r="G25" s="65"/>
      <c r="H25" s="649"/>
      <c r="I25" s="654"/>
      <c r="J25" s="655"/>
      <c r="K25" s="656"/>
    </row>
    <row r="26" spans="2:11">
      <c r="B26" s="82"/>
      <c r="C26" s="416"/>
      <c r="D26" s="328"/>
      <c r="E26" s="392"/>
      <c r="F26" s="65"/>
      <c r="G26" s="65"/>
      <c r="H26" s="649"/>
      <c r="I26" s="654"/>
      <c r="J26" s="655"/>
      <c r="K26" s="656"/>
    </row>
    <row r="27" spans="2:11">
      <c r="B27" s="82"/>
      <c r="C27" s="65"/>
      <c r="D27" s="65"/>
      <c r="E27" s="65"/>
      <c r="F27" s="65"/>
      <c r="G27" s="65"/>
      <c r="H27" s="649"/>
      <c r="I27" s="657"/>
      <c r="J27" s="658"/>
      <c r="K27" s="659"/>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2"/>
  <sheetViews>
    <sheetView showGridLines="0" showZeros="0" zoomScale="90" zoomScaleNormal="90" zoomScalePageLayoutView="90" workbookViewId="0">
      <pane ySplit="3" topLeftCell="A4" activePane="bottomLeft" state="frozen"/>
      <selection activeCell="C6" sqref="C6"/>
      <selection pane="bottomLeft" activeCell="C6" sqref="C6"/>
    </sheetView>
  </sheetViews>
  <sheetFormatPr defaultColWidth="8.85546875" defaultRowHeight="15.75" outlineLevelRow="1"/>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20.85546875" style="23" customWidth="1"/>
    <col min="12" max="12" width="16.42578125" style="23" customWidth="1"/>
    <col min="13" max="13" width="14.42578125" style="23" customWidth="1"/>
    <col min="14" max="14" width="15.42578125" style="23" customWidth="1"/>
    <col min="15" max="15" width="10.7109375" style="23" customWidth="1"/>
    <col min="16" max="16" width="13.7109375" style="17" customWidth="1"/>
    <col min="17" max="17" width="6.28515625" style="17" customWidth="1"/>
    <col min="18" max="18" width="3.140625" style="23" customWidth="1"/>
    <col min="19" max="19" width="15.28515625" style="23" customWidth="1"/>
    <col min="20" max="16384" width="8.85546875" style="23"/>
  </cols>
  <sheetData>
    <row r="1" spans="2:18" ht="144" customHeight="1"/>
    <row r="3" spans="2:18" ht="30.75" customHeight="1">
      <c r="B3" s="660" t="s">
        <v>333</v>
      </c>
      <c r="C3" s="660"/>
      <c r="D3" s="660"/>
      <c r="E3" s="660"/>
      <c r="F3" s="660"/>
      <c r="G3" s="660"/>
      <c r="H3" s="660"/>
      <c r="I3" s="660"/>
      <c r="J3" s="660"/>
      <c r="K3" s="660"/>
      <c r="L3" s="660"/>
      <c r="M3" s="660"/>
      <c r="N3" s="660"/>
    </row>
    <row r="4" spans="2:18" ht="13.5" customHeight="1">
      <c r="B4" s="229"/>
      <c r="C4" s="229"/>
      <c r="D4" s="229"/>
      <c r="E4" s="229"/>
      <c r="F4" s="229"/>
      <c r="G4" s="229"/>
      <c r="H4" s="229"/>
      <c r="I4" s="229"/>
      <c r="J4" s="229"/>
      <c r="K4" s="596"/>
      <c r="L4" s="596"/>
      <c r="M4" s="596"/>
      <c r="N4" s="229"/>
    </row>
    <row r="5" spans="2:18" ht="18" customHeight="1" outlineLevel="1">
      <c r="B5" s="662" t="s">
        <v>499</v>
      </c>
      <c r="C5" s="662"/>
      <c r="D5" s="662"/>
      <c r="E5" s="662"/>
      <c r="F5" s="662"/>
      <c r="G5" s="662"/>
      <c r="H5" s="662"/>
      <c r="I5" s="662"/>
      <c r="J5" s="662"/>
      <c r="K5" s="662"/>
      <c r="L5" s="662"/>
      <c r="M5" s="662"/>
      <c r="N5" s="662"/>
    </row>
    <row r="6" spans="2:18" ht="12.75" customHeight="1" outlineLevel="1">
      <c r="B6" s="229"/>
      <c r="C6" s="229"/>
      <c r="D6" s="229"/>
      <c r="E6" s="229"/>
      <c r="F6" s="229"/>
      <c r="G6" s="229"/>
      <c r="H6" s="229"/>
      <c r="I6" s="229"/>
      <c r="J6" s="229"/>
      <c r="K6" s="596"/>
      <c r="L6" s="596"/>
      <c r="M6" s="596"/>
      <c r="N6" s="229"/>
    </row>
    <row r="7" spans="2:18" ht="12" customHeight="1" outlineLevel="1" thickBot="1">
      <c r="B7" s="229"/>
      <c r="C7" s="229"/>
      <c r="D7" s="229"/>
      <c r="E7" s="229"/>
      <c r="F7" s="229"/>
      <c r="G7" s="229"/>
      <c r="H7" s="229"/>
      <c r="I7" s="229"/>
      <c r="J7" s="229"/>
      <c r="K7" s="596"/>
      <c r="L7" s="596"/>
      <c r="M7" s="596"/>
      <c r="N7" s="229"/>
    </row>
    <row r="8" spans="2:18" outlineLevel="1" thickBot="1">
      <c r="C8" s="359" t="s">
        <v>208</v>
      </c>
      <c r="D8" s="404" t="s">
        <v>580</v>
      </c>
      <c r="J8" s="4"/>
      <c r="M8" s="4"/>
      <c r="N8" s="4"/>
    </row>
    <row r="9" spans="2:18" ht="15.75" customHeight="1" outlineLevel="1" thickBot="1">
      <c r="C9" s="453" t="s">
        <v>205</v>
      </c>
      <c r="D9" s="404"/>
      <c r="F9" s="663" t="s">
        <v>398</v>
      </c>
      <c r="G9" s="664"/>
      <c r="H9" s="495">
        <v>292767</v>
      </c>
      <c r="J9"/>
      <c r="K9"/>
      <c r="P9" s="23"/>
      <c r="R9" s="17"/>
    </row>
    <row r="10" spans="2:18" outlineLevel="1" thickBot="1">
      <c r="C10" s="359" t="s">
        <v>206</v>
      </c>
      <c r="D10" s="404"/>
      <c r="F10" s="358" t="s">
        <v>437</v>
      </c>
      <c r="G10" s="358"/>
      <c r="H10" s="588" t="s">
        <v>364</v>
      </c>
      <c r="J10"/>
      <c r="K10"/>
      <c r="P10" s="23"/>
      <c r="R10" s="17"/>
    </row>
    <row r="11" spans="2:18" ht="15" customHeight="1" outlineLevel="1" thickBot="1">
      <c r="C11" s="453" t="s">
        <v>207</v>
      </c>
      <c r="D11" s="404"/>
      <c r="F11" s="663" t="s">
        <v>397</v>
      </c>
      <c r="G11" s="664"/>
      <c r="H11" s="404" t="str">
        <f>'3.  Distribution Rates'!H14</f>
        <v>EB-2013-0174</v>
      </c>
      <c r="J11"/>
      <c r="K11"/>
      <c r="P11" s="23"/>
      <c r="R11" s="17"/>
    </row>
    <row r="12" spans="2:18" outlineLevel="1" thickBot="1">
      <c r="C12" s="359" t="s">
        <v>209</v>
      </c>
      <c r="D12" s="404"/>
      <c r="F12" s="85"/>
      <c r="G12" s="85"/>
      <c r="J12"/>
      <c r="K12"/>
      <c r="N12" s="4"/>
      <c r="O12" s="4"/>
      <c r="P12" s="23"/>
      <c r="R12" s="17"/>
    </row>
    <row r="13" spans="2:18" outlineLevel="1" thickBot="1">
      <c r="C13" s="17"/>
      <c r="D13" s="23"/>
      <c r="F13" s="360"/>
      <c r="G13" s="360"/>
      <c r="H13" s="80"/>
      <c r="J13"/>
      <c r="K13"/>
      <c r="N13" s="4"/>
      <c r="O13" s="4"/>
      <c r="P13" s="23"/>
      <c r="R13" s="17"/>
    </row>
    <row r="14" spans="2:18" ht="29.25" outlineLevel="1" thickBot="1">
      <c r="C14" s="661" t="s">
        <v>334</v>
      </c>
      <c r="D14" s="197" t="s">
        <v>360</v>
      </c>
      <c r="F14" s="363" t="s">
        <v>407</v>
      </c>
      <c r="G14" s="363"/>
      <c r="H14" s="518">
        <f>N38</f>
        <v>561168.29658638407</v>
      </c>
      <c r="J14"/>
      <c r="K14"/>
      <c r="P14" s="23"/>
      <c r="R14" s="17"/>
    </row>
    <row r="15" spans="2:18" outlineLevel="1" thickBot="1">
      <c r="C15" s="661"/>
      <c r="D15" s="84" t="s">
        <v>335</v>
      </c>
      <c r="F15" s="665" t="s">
        <v>460</v>
      </c>
      <c r="G15" s="666"/>
      <c r="H15" s="501" t="s">
        <v>613</v>
      </c>
      <c r="J15"/>
      <c r="K15"/>
      <c r="P15" s="23"/>
      <c r="R15" s="17"/>
    </row>
    <row r="16" spans="2:18" ht="15" outlineLevel="1">
      <c r="D16" s="23"/>
      <c r="F16" s="17"/>
      <c r="H16" s="455"/>
      <c r="J16"/>
      <c r="K16"/>
    </row>
    <row r="17" spans="1:18" ht="15" outlineLevel="1">
      <c r="A17" s="70"/>
      <c r="B17" s="71"/>
      <c r="C17" s="76"/>
      <c r="D17" s="23"/>
    </row>
    <row r="18" spans="1:18" ht="15"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4.1" customHeight="1">
      <c r="B21" s="93" t="s">
        <v>49</v>
      </c>
      <c r="C21" s="94" t="s">
        <v>38</v>
      </c>
      <c r="D21" s="94" t="s">
        <v>542</v>
      </c>
      <c r="E21" s="94" t="s">
        <v>595</v>
      </c>
      <c r="F21" s="94" t="s">
        <v>596</v>
      </c>
      <c r="G21" s="94" t="s">
        <v>597</v>
      </c>
      <c r="H21" s="94" t="s">
        <v>598</v>
      </c>
      <c r="I21" s="94" t="s">
        <v>545</v>
      </c>
      <c r="J21" s="94" t="s">
        <v>599</v>
      </c>
      <c r="K21" s="94" t="s">
        <v>43</v>
      </c>
      <c r="L21" s="94" t="s">
        <v>41</v>
      </c>
      <c r="M21" s="94" t="s">
        <v>42</v>
      </c>
      <c r="N21" s="95" t="s">
        <v>35</v>
      </c>
      <c r="Q21" s="52"/>
    </row>
    <row r="22" spans="1:18" ht="15">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0</v>
      </c>
      <c r="Q22" s="53"/>
    </row>
    <row r="23" spans="1:18" s="17" customFormat="1" ht="15">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0</v>
      </c>
      <c r="Q23" s="53"/>
      <c r="R23" s="28"/>
    </row>
    <row r="24" spans="1:18" s="17" customFormat="1" ht="15">
      <c r="B24" s="228" t="s">
        <v>91</v>
      </c>
      <c r="C24" s="237"/>
      <c r="D24" s="237"/>
      <c r="E24" s="237"/>
      <c r="F24" s="237"/>
      <c r="G24" s="237">
        <f t="shared" ref="G24:I24" si="1">-(G22+G23)</f>
        <v>0</v>
      </c>
      <c r="H24" s="237">
        <f t="shared" si="1"/>
        <v>0</v>
      </c>
      <c r="I24" s="237">
        <f t="shared" si="1"/>
        <v>0</v>
      </c>
      <c r="J24" s="237">
        <f t="shared" ref="J24:M24" si="2">-(J22+J23)</f>
        <v>0</v>
      </c>
      <c r="K24" s="237">
        <f t="shared" si="2"/>
        <v>0</v>
      </c>
      <c r="L24" s="237">
        <f t="shared" si="2"/>
        <v>0</v>
      </c>
      <c r="M24" s="237">
        <f t="shared" si="2"/>
        <v>0</v>
      </c>
      <c r="N24" s="238"/>
      <c r="Q24" s="53"/>
      <c r="R24" s="28"/>
    </row>
    <row r="25" spans="1:18" ht="15">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0</v>
      </c>
      <c r="Q25" s="53"/>
    </row>
    <row r="26" spans="1:18" s="17" customFormat="1" ht="15">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0</v>
      </c>
      <c r="Q26" s="53"/>
    </row>
    <row r="27" spans="1:18" s="17" customFormat="1" ht="15">
      <c r="B27" s="228" t="s">
        <v>91</v>
      </c>
      <c r="C27" s="237"/>
      <c r="D27" s="237"/>
      <c r="E27" s="237"/>
      <c r="F27" s="237"/>
      <c r="G27" s="237">
        <f t="shared" ref="G27:I27" si="4">-(G25+G26)</f>
        <v>0</v>
      </c>
      <c r="H27" s="237">
        <f t="shared" si="4"/>
        <v>0</v>
      </c>
      <c r="I27" s="237">
        <f t="shared" si="4"/>
        <v>0</v>
      </c>
      <c r="J27" s="237">
        <f t="shared" ref="J27:M27" si="5">-(J25+J26)</f>
        <v>0</v>
      </c>
      <c r="K27" s="237">
        <f t="shared" si="5"/>
        <v>0</v>
      </c>
      <c r="L27" s="237">
        <f t="shared" si="5"/>
        <v>0</v>
      </c>
      <c r="M27" s="237">
        <f t="shared" si="5"/>
        <v>0</v>
      </c>
      <c r="N27" s="238"/>
      <c r="Q27" s="53"/>
    </row>
    <row r="28" spans="1:18" ht="15">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0</v>
      </c>
      <c r="Q28" s="53"/>
    </row>
    <row r="29" spans="1:18" s="17" customFormat="1" ht="15">
      <c r="B29" s="97" t="s">
        <v>53</v>
      </c>
      <c r="C29" s="87">
        <f>'4.  2011-14 LRAM'!H234</f>
        <v>106609.00195077385</v>
      </c>
      <c r="D29" s="87">
        <f>'4.  2011-14 LRAM'!I234</f>
        <v>79507.383127247915</v>
      </c>
      <c r="E29" s="87">
        <f>'4.  2011-14 LRAM'!J234</f>
        <v>72916.987503567449</v>
      </c>
      <c r="F29" s="87">
        <f>'4.  2011-14 LRAM'!K234</f>
        <v>33935.088902545147</v>
      </c>
      <c r="G29" s="87">
        <f>'4.  2011-14 LRAM'!L234</f>
        <v>0</v>
      </c>
      <c r="H29" s="87">
        <f>'4.  2011-14 LRAM'!M234</f>
        <v>326.55546160020947</v>
      </c>
      <c r="I29" s="87">
        <f>'4.  2011-14 LRAM'!N234</f>
        <v>0</v>
      </c>
      <c r="J29" s="87">
        <f>'4.  2011-14 LRAM'!O234</f>
        <v>2178.0048108842411</v>
      </c>
      <c r="K29" s="87">
        <f>'4.  2011-14 LRAM'!P234</f>
        <v>0</v>
      </c>
      <c r="L29" s="87">
        <f>'4.  2011-14 LRAM'!Q234</f>
        <v>0</v>
      </c>
      <c r="M29" s="87">
        <f>'4.  2011-14 LRAM'!R234</f>
        <v>0</v>
      </c>
      <c r="N29" s="98">
        <f t="shared" si="6"/>
        <v>295473.02175661881</v>
      </c>
      <c r="Q29" s="53"/>
    </row>
    <row r="30" spans="1:18" s="17" customFormat="1" ht="15">
      <c r="B30" s="228" t="s">
        <v>91</v>
      </c>
      <c r="C30" s="237">
        <v>0</v>
      </c>
      <c r="D30" s="237">
        <v>0</v>
      </c>
      <c r="E30" s="237">
        <v>0</v>
      </c>
      <c r="F30" s="237">
        <v>0</v>
      </c>
      <c r="G30" s="237">
        <v>0</v>
      </c>
      <c r="H30" s="237">
        <v>0</v>
      </c>
      <c r="I30" s="237">
        <v>0</v>
      </c>
      <c r="J30" s="237"/>
      <c r="K30" s="237"/>
      <c r="L30" s="237"/>
      <c r="M30" s="237"/>
      <c r="N30" s="238"/>
      <c r="Q30" s="53"/>
    </row>
    <row r="31" spans="1:18" ht="15">
      <c r="B31" s="96" t="s">
        <v>54</v>
      </c>
      <c r="C31" s="86">
        <f>-'2.  CDM Allocation'!C136</f>
        <v>-100010.624</v>
      </c>
      <c r="D31" s="86">
        <f>-'2.  CDM Allocation'!D136</f>
        <v>-87746.560000000012</v>
      </c>
      <c r="E31" s="86">
        <f>-'2.  CDM Allocation'!E136</f>
        <v>-29507.768998621774</v>
      </c>
      <c r="F31" s="86">
        <f>-'2.  CDM Allocation'!F136</f>
        <v>-25074.079646795239</v>
      </c>
      <c r="G31" s="86">
        <f>-'2.  CDM Allocation'!G136</f>
        <v>0</v>
      </c>
      <c r="H31" s="86">
        <f>-'2.  CDM Allocation'!H136</f>
        <v>-65.404800000000009</v>
      </c>
      <c r="I31" s="86">
        <f>-'2.  CDM Allocation'!I136</f>
        <v>0</v>
      </c>
      <c r="J31" s="86">
        <f>-'2.  CDM Allocation'!J136</f>
        <v>-832.41000000000008</v>
      </c>
      <c r="K31" s="86">
        <f>-'2.  CDM Allocation'!K136</f>
        <v>0</v>
      </c>
      <c r="L31" s="86">
        <f>-'2.  CDM Allocation'!L136</f>
        <v>0</v>
      </c>
      <c r="M31" s="86">
        <f>-'2.  CDM Allocation'!M136</f>
        <v>0</v>
      </c>
      <c r="N31" s="109">
        <f t="shared" ref="N31:N32" si="7">SUM(C31:M31)</f>
        <v>-243236.84744541702</v>
      </c>
      <c r="Q31" s="53"/>
    </row>
    <row r="32" spans="1:18" s="17" customFormat="1" ht="15">
      <c r="B32" s="97" t="s">
        <v>55</v>
      </c>
      <c r="C32" s="87">
        <f>'4.  2011-14 LRAM'!H316</f>
        <v>118626.89055173856</v>
      </c>
      <c r="D32" s="87">
        <f>'4.  2011-14 LRAM'!I316</f>
        <v>74740.531287578677</v>
      </c>
      <c r="E32" s="87">
        <f>'4.  2011-14 LRAM'!J316</f>
        <v>46554.967920092204</v>
      </c>
      <c r="F32" s="87">
        <f>'4.  2011-14 LRAM'!K316</f>
        <v>34296.556937193767</v>
      </c>
      <c r="G32" s="87">
        <f>'4.  2011-14 LRAM'!L316</f>
        <v>0</v>
      </c>
      <c r="H32" s="87">
        <f>'4.  2011-14 LRAM'!M316</f>
        <v>457.76612403842262</v>
      </c>
      <c r="I32" s="87">
        <f>'4.  2011-14 LRAM'!N316</f>
        <v>0</v>
      </c>
      <c r="J32" s="87">
        <f>'4.  2011-14 LRAM'!O316</f>
        <v>12094.007683065818</v>
      </c>
      <c r="K32" s="87">
        <f>'4.  2011-14 LRAM'!P316</f>
        <v>0</v>
      </c>
      <c r="L32" s="87">
        <f>'4.  2011-14 LRAM'!Q316</f>
        <v>0</v>
      </c>
      <c r="M32" s="87">
        <f>'4.  2011-14 LRAM'!R316</f>
        <v>2512.9185984000005</v>
      </c>
      <c r="N32" s="98">
        <f t="shared" si="7"/>
        <v>289283.6391021075</v>
      </c>
      <c r="Q32" s="53"/>
    </row>
    <row r="33" spans="2:17" s="17" customFormat="1" ht="15">
      <c r="B33" s="228" t="s">
        <v>91</v>
      </c>
      <c r="C33" s="237">
        <v>0</v>
      </c>
      <c r="D33" s="237">
        <v>0</v>
      </c>
      <c r="E33" s="237">
        <v>0</v>
      </c>
      <c r="F33" s="237">
        <v>0</v>
      </c>
      <c r="G33" s="237">
        <v>0</v>
      </c>
      <c r="H33" s="237">
        <v>0</v>
      </c>
      <c r="I33" s="237">
        <v>0</v>
      </c>
      <c r="J33" s="237"/>
      <c r="K33" s="237"/>
      <c r="L33" s="237"/>
      <c r="M33" s="237"/>
      <c r="N33" s="238"/>
      <c r="Q33" s="53"/>
    </row>
    <row r="34" spans="2:17" ht="15">
      <c r="B34" s="96" t="s">
        <v>136</v>
      </c>
      <c r="C34" s="88">
        <f>-'2.  CDM Allocation'!C137</f>
        <v>-101252.99199999998</v>
      </c>
      <c r="D34" s="88">
        <f>-'2.  CDM Allocation'!D137</f>
        <v>-87211.51999999999</v>
      </c>
      <c r="E34" s="88">
        <f>-'2.  CDM Allocation'!E137</f>
        <v>-30135.45392334487</v>
      </c>
      <c r="F34" s="88">
        <f>-'2.  CDM Allocation'!F137</f>
        <v>-25733.430322072145</v>
      </c>
      <c r="G34" s="88">
        <f>-'2.  CDM Allocation'!G137</f>
        <v>0</v>
      </c>
      <c r="H34" s="88">
        <f>-'2.  CDM Allocation'!H137</f>
        <v>-77.328000000000003</v>
      </c>
      <c r="I34" s="88">
        <f>-'2.  CDM Allocation'!I137</f>
        <v>0</v>
      </c>
      <c r="J34" s="88">
        <f>-'2.  CDM Allocation'!J137</f>
        <v>-1017.72</v>
      </c>
      <c r="K34" s="88">
        <f>-'2.  CDM Allocation'!K137</f>
        <v>0</v>
      </c>
      <c r="L34" s="88">
        <f>-'2.  CDM Allocation'!L137</f>
        <v>0</v>
      </c>
      <c r="M34" s="88">
        <f>-'2.  CDM Allocation'!M137</f>
        <v>0</v>
      </c>
      <c r="N34" s="110">
        <f t="shared" ref="N34:N35" si="8">SUM(C34:M34)</f>
        <v>-245428.44424541702</v>
      </c>
      <c r="Q34" s="53"/>
    </row>
    <row r="35" spans="2:17" s="17" customFormat="1" ht="15">
      <c r="B35" s="97" t="s">
        <v>137</v>
      </c>
      <c r="C35" s="89">
        <f>'5.  2015 LRAM'!H123</f>
        <v>197130.1830174338</v>
      </c>
      <c r="D35" s="89">
        <f>'5.  2015 LRAM'!I123</f>
        <v>90598.718306002207</v>
      </c>
      <c r="E35" s="89">
        <f>'5.  2015 LRAM'!J123</f>
        <v>73656.899545797365</v>
      </c>
      <c r="F35" s="89">
        <f>'5.  2015 LRAM'!K123</f>
        <v>50643.125029045957</v>
      </c>
      <c r="G35" s="89">
        <f>'5.  2015 LRAM'!L123</f>
        <v>0</v>
      </c>
      <c r="H35" s="89">
        <f>'5.  2015 LRAM'!M123</f>
        <v>646.43693428326878</v>
      </c>
      <c r="I35" s="89">
        <f>'5.  2015 LRAM'!N123</f>
        <v>0</v>
      </c>
      <c r="J35" s="89">
        <f>'5.  2015 LRAM'!O123</f>
        <v>28910.722479751028</v>
      </c>
      <c r="K35" s="89">
        <f>'5.  2015 LRAM'!P123</f>
        <v>16.460458041628442</v>
      </c>
      <c r="L35" s="89">
        <f>'5.  2015 LRAM'!Q123</f>
        <v>0</v>
      </c>
      <c r="M35" s="89">
        <f>'5.  2015 LRAM'!R123</f>
        <v>3791.9458800000002</v>
      </c>
      <c r="N35" s="98">
        <f t="shared" si="8"/>
        <v>445394.49165035534</v>
      </c>
      <c r="Q35" s="53"/>
    </row>
    <row r="36" spans="2:17" s="17" customFormat="1" ht="15">
      <c r="B36" s="228" t="s">
        <v>91</v>
      </c>
      <c r="C36" s="237">
        <v>0</v>
      </c>
      <c r="D36" s="237">
        <v>0</v>
      </c>
      <c r="E36" s="237">
        <v>0</v>
      </c>
      <c r="F36" s="237">
        <v>0</v>
      </c>
      <c r="G36" s="237">
        <v>0</v>
      </c>
      <c r="H36" s="237">
        <v>0</v>
      </c>
      <c r="I36" s="237">
        <v>0</v>
      </c>
      <c r="J36" s="237"/>
      <c r="K36" s="237"/>
      <c r="L36" s="237"/>
      <c r="M36" s="237"/>
      <c r="N36" s="238"/>
      <c r="Q36" s="53"/>
    </row>
    <row r="37" spans="2:17" s="17" customFormat="1" ht="21.75" customHeight="1">
      <c r="B37" s="475" t="s">
        <v>67</v>
      </c>
      <c r="C37" s="476">
        <f>'7.  Carrying Charges'!I118</f>
        <v>7637.7763465842127</v>
      </c>
      <c r="D37" s="476">
        <f>'7.  Carrying Charges'!J118</f>
        <v>3452.2103866382522</v>
      </c>
      <c r="E37" s="476">
        <f>'7.  Carrying Charges'!K118</f>
        <v>4931.4010152694991</v>
      </c>
      <c r="F37" s="476">
        <f>'7.  Carrying Charges'!L118</f>
        <v>2430.1002122566711</v>
      </c>
      <c r="G37" s="476">
        <f>'7.  Carrying Charges'!M118</f>
        <v>0</v>
      </c>
      <c r="H37" s="476">
        <f>'7.  Carrying Charges'!N118</f>
        <v>40.021320047054431</v>
      </c>
      <c r="I37" s="476">
        <f>'7.  Carrying Charges'!O118</f>
        <v>0</v>
      </c>
      <c r="J37" s="476">
        <f>'7.  Carrying Charges'!P118</f>
        <v>1031.8220983208503</v>
      </c>
      <c r="K37" s="476">
        <f>'7.  Carrying Charges'!Q118</f>
        <v>0.32567702087780276</v>
      </c>
      <c r="L37" s="476">
        <f>'7.  Carrying Charges'!R118</f>
        <v>0</v>
      </c>
      <c r="M37" s="476">
        <f>'7.  Carrying Charges'!S118</f>
        <v>158.77871199909006</v>
      </c>
      <c r="N37" s="477">
        <f>SUM(C37:M37)</f>
        <v>19682.435768136504</v>
      </c>
      <c r="O37" s="23"/>
      <c r="P37" s="23"/>
    </row>
    <row r="38" spans="2:17" ht="24" customHeight="1">
      <c r="B38" s="242" t="s">
        <v>289</v>
      </c>
      <c r="C38" s="474">
        <f>SUM(C22:C37)</f>
        <v>228740.23586653042</v>
      </c>
      <c r="D38" s="474">
        <f t="shared" ref="D38:F38" si="9">SUM(D22:D37)</f>
        <v>73340.76310746705</v>
      </c>
      <c r="E38" s="474">
        <f t="shared" si="9"/>
        <v>138417.0330627599</v>
      </c>
      <c r="F38" s="474">
        <f t="shared" si="9"/>
        <v>70497.361112174156</v>
      </c>
      <c r="G38" s="474">
        <f>SUM(G22:G37)</f>
        <v>0</v>
      </c>
      <c r="H38" s="474">
        <f>SUM(H22:H37)</f>
        <v>1328.0470399689552</v>
      </c>
      <c r="I38" s="474">
        <f>SUM(I22:I37)</f>
        <v>0</v>
      </c>
      <c r="J38" s="474">
        <f t="shared" ref="J38:M38" si="10">SUM(J22:J37)</f>
        <v>42364.427072021943</v>
      </c>
      <c r="K38" s="474">
        <f t="shared" si="10"/>
        <v>16.786135062506244</v>
      </c>
      <c r="L38" s="474">
        <f t="shared" si="10"/>
        <v>0</v>
      </c>
      <c r="M38" s="474">
        <f t="shared" si="10"/>
        <v>6463.6431903990906</v>
      </c>
      <c r="N38" s="517">
        <f>SUM(N22:N37)</f>
        <v>561168.29658638407</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78"/>
  <sheetViews>
    <sheetView showZeros="0" topLeftCell="C1" zoomScale="90" zoomScaleNormal="90" zoomScalePageLayoutView="90" workbookViewId="0">
      <pane ySplit="2" topLeftCell="A21" activePane="bottomLeft" state="frozen"/>
      <selection activeCell="C6" sqref="C6"/>
      <selection pane="bottomLeft" activeCell="C6" sqref="C6"/>
    </sheetView>
  </sheetViews>
  <sheetFormatPr defaultColWidth="8.85546875" defaultRowHeight="15" outlineLevelRow="1"/>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customWidth="1"/>
    <col min="11" max="11" width="19.140625" style="26" customWidth="1"/>
    <col min="12" max="12" width="17.28515625" style="26" customWidth="1"/>
    <col min="13" max="13" width="16.28515625" style="26" customWidth="1"/>
    <col min="14" max="14" width="16" style="26" customWidth="1"/>
    <col min="15" max="15" width="13.42578125" style="26" customWidth="1"/>
    <col min="16" max="16" width="13.85546875" style="26" customWidth="1"/>
    <col min="17" max="17" width="20" style="26" customWidth="1"/>
    <col min="18" max="18" width="10.140625" style="26" customWidth="1"/>
    <col min="19" max="27" width="14" style="26" customWidth="1"/>
    <col min="28" max="16384" width="8.85546875" style="26"/>
  </cols>
  <sheetData>
    <row r="1" spans="2:13" ht="151.5" customHeight="1"/>
    <row r="2" spans="2:13" ht="42" customHeight="1">
      <c r="B2" s="660" t="s">
        <v>339</v>
      </c>
      <c r="C2" s="660"/>
      <c r="D2" s="660"/>
      <c r="E2" s="660"/>
      <c r="F2" s="660"/>
      <c r="G2" s="660"/>
      <c r="H2" s="660"/>
      <c r="I2" s="660"/>
      <c r="J2" s="660"/>
      <c r="K2" s="596"/>
      <c r="L2" s="596"/>
      <c r="M2" s="596"/>
    </row>
    <row r="3" spans="2:13" ht="24.75" customHeight="1">
      <c r="B3" s="239"/>
      <c r="C3" s="69"/>
      <c r="D3" s="47"/>
      <c r="E3" s="47"/>
      <c r="F3" s="47"/>
      <c r="G3" s="47"/>
      <c r="H3" s="47"/>
      <c r="I3" s="47"/>
      <c r="J3" s="47"/>
      <c r="K3" s="47"/>
      <c r="L3" s="47"/>
      <c r="M3" s="47"/>
    </row>
    <row r="4" spans="2:13">
      <c r="B4" s="365" t="s">
        <v>396</v>
      </c>
      <c r="C4" s="69" t="s">
        <v>341</v>
      </c>
      <c r="D4" s="47"/>
      <c r="E4" s="47"/>
      <c r="F4" s="47"/>
      <c r="G4" s="47"/>
      <c r="H4" s="47"/>
      <c r="I4" s="47"/>
      <c r="J4" s="47"/>
      <c r="K4" s="47"/>
      <c r="L4" s="47"/>
      <c r="M4" s="47"/>
    </row>
    <row r="5" spans="2:13" ht="30" customHeight="1">
      <c r="B5" s="366"/>
      <c r="C5" s="668" t="s">
        <v>496</v>
      </c>
      <c r="D5" s="668"/>
      <c r="E5" s="668"/>
      <c r="F5" s="668"/>
      <c r="G5" s="668"/>
      <c r="H5" s="668"/>
      <c r="I5" s="668"/>
      <c r="J5" s="668"/>
      <c r="K5" s="597"/>
      <c r="L5" s="597"/>
      <c r="M5" s="597"/>
    </row>
    <row r="6" spans="2:13" ht="18.75" customHeight="1">
      <c r="B6" s="239"/>
      <c r="C6" s="69" t="s">
        <v>410</v>
      </c>
      <c r="D6" s="47"/>
      <c r="E6" s="47"/>
      <c r="F6" s="47"/>
      <c r="G6" s="47"/>
      <c r="H6" s="47"/>
      <c r="I6" s="47"/>
      <c r="J6" s="47"/>
      <c r="K6" s="47"/>
      <c r="L6" s="47"/>
      <c r="M6" s="47"/>
    </row>
    <row r="7" spans="2:13" ht="18.75" customHeight="1">
      <c r="B7" s="239"/>
      <c r="C7" s="69"/>
      <c r="D7" s="47"/>
      <c r="E7" s="47"/>
      <c r="F7" s="47"/>
      <c r="G7" s="47"/>
      <c r="H7" s="47"/>
      <c r="I7" s="47"/>
      <c r="J7" s="47"/>
      <c r="K7" s="47"/>
      <c r="L7" s="47"/>
      <c r="M7" s="47"/>
    </row>
    <row r="8" spans="2:13" s="3" customFormat="1" ht="15" customHeight="1">
      <c r="B8" s="667" t="s">
        <v>334</v>
      </c>
      <c r="C8" s="198" t="s">
        <v>360</v>
      </c>
    </row>
    <row r="9" spans="2:13" s="3" customFormat="1" ht="17.25" customHeight="1">
      <c r="B9" s="667"/>
      <c r="C9" s="134" t="s">
        <v>335</v>
      </c>
    </row>
    <row r="10" spans="2:13" s="3" customFormat="1" ht="15.75" customHeight="1">
      <c r="B10" s="454"/>
      <c r="C10" s="55"/>
    </row>
    <row r="11" spans="2:13" s="55" customFormat="1" ht="15.75">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ht="14.25">
      <c r="B14" s="104">
        <v>2011</v>
      </c>
      <c r="C14" s="497">
        <v>0</v>
      </c>
      <c r="D14" s="105">
        <v>0</v>
      </c>
      <c r="E14" s="105">
        <f t="shared" ref="E14:E20" si="0">C14</f>
        <v>0</v>
      </c>
      <c r="F14" s="55"/>
    </row>
    <row r="15" spans="2:13" s="3" customFormat="1" ht="14.25">
      <c r="B15" s="104">
        <v>2012</v>
      </c>
      <c r="C15" s="497">
        <v>0</v>
      </c>
      <c r="D15" s="105">
        <v>0</v>
      </c>
      <c r="E15" s="105">
        <f t="shared" si="0"/>
        <v>0</v>
      </c>
      <c r="F15" s="55"/>
    </row>
    <row r="16" spans="2:13" s="3" customFormat="1" ht="14.25">
      <c r="B16" s="104">
        <v>2013</v>
      </c>
      <c r="C16" s="497">
        <v>0</v>
      </c>
      <c r="D16" s="105">
        <v>0</v>
      </c>
      <c r="E16" s="105">
        <f t="shared" si="0"/>
        <v>0</v>
      </c>
      <c r="F16" s="55"/>
    </row>
    <row r="17" spans="2:29" s="3" customFormat="1" ht="14.25">
      <c r="B17" s="104">
        <v>2014</v>
      </c>
      <c r="C17" s="497">
        <v>31633296</v>
      </c>
      <c r="D17" s="105">
        <v>19771</v>
      </c>
      <c r="E17" s="105">
        <f t="shared" si="0"/>
        <v>31633296</v>
      </c>
      <c r="F17" s="55"/>
    </row>
    <row r="18" spans="2:29" s="3" customFormat="1" ht="14.25">
      <c r="B18" s="104">
        <v>2015</v>
      </c>
      <c r="C18" s="497">
        <v>31633296</v>
      </c>
      <c r="D18" s="105">
        <v>19771</v>
      </c>
      <c r="E18" s="105">
        <f t="shared" si="0"/>
        <v>31633296</v>
      </c>
      <c r="F18" s="55"/>
    </row>
    <row r="19" spans="2:29" s="3" customFormat="1">
      <c r="B19" s="104">
        <v>2016</v>
      </c>
      <c r="C19" s="497">
        <v>31633296</v>
      </c>
      <c r="D19" s="105">
        <v>19771</v>
      </c>
      <c r="E19" s="105">
        <f t="shared" si="0"/>
        <v>31633296</v>
      </c>
      <c r="F19" s="55"/>
      <c r="AC19" s="44"/>
    </row>
    <row r="20" spans="2:29" s="3" customFormat="1">
      <c r="B20" s="104">
        <v>2017</v>
      </c>
      <c r="C20" s="497">
        <v>31633296</v>
      </c>
      <c r="D20" s="105">
        <v>19771</v>
      </c>
      <c r="E20" s="105">
        <f t="shared" si="0"/>
        <v>31633296</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2,999 kW</v>
      </c>
      <c r="F24" s="101" t="str">
        <f>'1.  LRAMVA Summary'!F21</f>
        <v>GS 50 to 2,999 kW with owned transformer</v>
      </c>
      <c r="G24" s="101" t="str">
        <f>'1.  LRAMVA Summary'!G21</f>
        <v>GS 3,000 to 4,999 kW</v>
      </c>
      <c r="H24" s="101" t="str">
        <f>'1.  LRAMVA Summary'!H21</f>
        <v>GS 3,000 to 4,999 kW with owned transformer</v>
      </c>
      <c r="I24" s="101" t="str">
        <f>'1.  LRAMVA Summary'!I21</f>
        <v>Large Use</v>
      </c>
      <c r="J24" s="592" t="str">
        <f>'1.  LRAMVA Summary'!J21</f>
        <v>Large Use with owned transformer</v>
      </c>
      <c r="K24" s="592" t="str">
        <f>'1.  LRAMVA Summary'!K21</f>
        <v>Unmetered Scattered Load</v>
      </c>
      <c r="L24" s="592" t="str">
        <f>'1.  LRAMVA Summary'!L21</f>
        <v>Sentinel Lighting</v>
      </c>
      <c r="M24" s="592" t="str">
        <f>'1.  LRAMVA Summary'!M21</f>
        <v>Street Lighting</v>
      </c>
      <c r="N24" s="44"/>
      <c r="O24" s="55"/>
      <c r="P24" s="55"/>
      <c r="Q24" s="55"/>
    </row>
    <row r="25" spans="2:29" s="3" customFormat="1" ht="16.5" customHeight="1">
      <c r="B25" s="101"/>
      <c r="C25" s="101" t="s">
        <v>36</v>
      </c>
      <c r="D25" s="101" t="s">
        <v>36</v>
      </c>
      <c r="E25" s="101" t="s">
        <v>37</v>
      </c>
      <c r="F25" s="101" t="s">
        <v>37</v>
      </c>
      <c r="G25" s="101" t="s">
        <v>37</v>
      </c>
      <c r="H25" s="101" t="s">
        <v>37</v>
      </c>
      <c r="I25" s="101" t="s">
        <v>37</v>
      </c>
      <c r="J25" s="593" t="s">
        <v>37</v>
      </c>
      <c r="K25" s="593" t="s">
        <v>36</v>
      </c>
      <c r="L25" s="593" t="s">
        <v>37</v>
      </c>
      <c r="M25" s="593" t="s">
        <v>37</v>
      </c>
      <c r="N25" s="44"/>
      <c r="O25" s="55"/>
      <c r="P25" s="55"/>
      <c r="Q25" s="55"/>
    </row>
    <row r="26" spans="2:29" s="3" customFormat="1" ht="16.5" customHeight="1">
      <c r="B26" s="113">
        <v>2011</v>
      </c>
      <c r="C26" s="498">
        <v>0</v>
      </c>
      <c r="D26" s="498">
        <v>0</v>
      </c>
      <c r="E26" s="498">
        <v>0</v>
      </c>
      <c r="F26" s="498">
        <v>0</v>
      </c>
      <c r="G26" s="498">
        <v>0</v>
      </c>
      <c r="H26" s="498">
        <v>0</v>
      </c>
      <c r="I26" s="498">
        <v>0</v>
      </c>
      <c r="J26" s="498">
        <v>0</v>
      </c>
      <c r="K26" s="498">
        <v>0</v>
      </c>
      <c r="L26" s="498">
        <v>0</v>
      </c>
      <c r="M26" s="498">
        <v>0</v>
      </c>
      <c r="N26" s="44"/>
      <c r="O26" s="55"/>
      <c r="P26" s="55"/>
      <c r="Q26" s="55"/>
    </row>
    <row r="27" spans="2:29" s="3" customFormat="1" ht="16.5" customHeight="1">
      <c r="B27" s="113">
        <v>2012</v>
      </c>
      <c r="C27" s="498">
        <v>0</v>
      </c>
      <c r="D27" s="498">
        <v>0</v>
      </c>
      <c r="E27" s="498">
        <v>0</v>
      </c>
      <c r="F27" s="498">
        <v>0</v>
      </c>
      <c r="G27" s="498">
        <v>0</v>
      </c>
      <c r="H27" s="498">
        <v>0</v>
      </c>
      <c r="I27" s="498">
        <v>0</v>
      </c>
      <c r="J27" s="498">
        <v>0</v>
      </c>
      <c r="K27" s="498">
        <v>0</v>
      </c>
      <c r="L27" s="498">
        <v>0</v>
      </c>
      <c r="M27" s="498">
        <v>0</v>
      </c>
      <c r="N27" s="44"/>
      <c r="O27" s="55"/>
      <c r="P27" s="55"/>
      <c r="Q27" s="55"/>
    </row>
    <row r="28" spans="2:29" s="3" customFormat="1" ht="16.5" customHeight="1">
      <c r="B28" s="113">
        <v>2013</v>
      </c>
      <c r="C28" s="498">
        <v>0</v>
      </c>
      <c r="D28" s="498">
        <v>0</v>
      </c>
      <c r="E28" s="498">
        <v>0</v>
      </c>
      <c r="F28" s="498">
        <v>0</v>
      </c>
      <c r="G28" s="498">
        <v>0</v>
      </c>
      <c r="H28" s="498">
        <v>0</v>
      </c>
      <c r="I28" s="498">
        <v>0</v>
      </c>
      <c r="J28" s="498">
        <v>0</v>
      </c>
      <c r="K28" s="498">
        <v>0</v>
      </c>
      <c r="L28" s="498">
        <v>0</v>
      </c>
      <c r="M28" s="498">
        <v>0</v>
      </c>
      <c r="N28" s="44"/>
    </row>
    <row r="29" spans="2:29" s="3" customFormat="1" ht="16.5" customHeight="1">
      <c r="B29" s="113">
        <v>2014</v>
      </c>
      <c r="C29" s="498">
        <f>'2a. LRAMVA Forecast'!B8</f>
        <v>6211840</v>
      </c>
      <c r="D29" s="498">
        <f>'2a. LRAMVA Forecast'!C8</f>
        <v>5350400</v>
      </c>
      <c r="E29" s="498">
        <f>'2a. LRAMVA Forecast'!D9</f>
        <v>9396.4809090283652</v>
      </c>
      <c r="F29" s="498">
        <f>'2a. LRAMVA Forecast'!E9</f>
        <v>9870.519090971633</v>
      </c>
      <c r="G29" s="498">
        <v>0</v>
      </c>
      <c r="H29" s="498">
        <f>'2a. LRAMVA Forecast'!G9</f>
        <v>54</v>
      </c>
      <c r="I29" s="498">
        <v>0</v>
      </c>
      <c r="J29" s="498">
        <f>'2a. LRAMVA Forecast'!I9</f>
        <v>450</v>
      </c>
      <c r="K29" s="498">
        <v>0</v>
      </c>
      <c r="L29" s="498">
        <v>0</v>
      </c>
      <c r="M29" s="498">
        <v>0</v>
      </c>
      <c r="N29" s="44"/>
    </row>
    <row r="30" spans="2:29" s="3" customFormat="1" ht="16.5" customHeight="1">
      <c r="B30" s="113">
        <v>2015</v>
      </c>
      <c r="C30" s="498">
        <f t="shared" ref="C30:F31" si="1">C29</f>
        <v>6211840</v>
      </c>
      <c r="D30" s="498">
        <f t="shared" si="1"/>
        <v>5350400</v>
      </c>
      <c r="E30" s="498">
        <f t="shared" si="1"/>
        <v>9396.4809090283652</v>
      </c>
      <c r="F30" s="498">
        <f t="shared" si="1"/>
        <v>9870.519090971633</v>
      </c>
      <c r="G30" s="498">
        <v>0</v>
      </c>
      <c r="H30" s="498">
        <f>H29</f>
        <v>54</v>
      </c>
      <c r="I30" s="498">
        <v>0</v>
      </c>
      <c r="J30" s="498">
        <f>J29</f>
        <v>450</v>
      </c>
      <c r="K30" s="498">
        <v>0</v>
      </c>
      <c r="L30" s="498">
        <v>0</v>
      </c>
      <c r="M30" s="498">
        <v>0</v>
      </c>
      <c r="N30" s="44"/>
    </row>
    <row r="31" spans="2:29" s="3" customFormat="1" ht="16.5" customHeight="1">
      <c r="B31" s="113">
        <v>2016</v>
      </c>
      <c r="C31" s="498">
        <f t="shared" si="1"/>
        <v>6211840</v>
      </c>
      <c r="D31" s="498">
        <f t="shared" si="1"/>
        <v>5350400</v>
      </c>
      <c r="E31" s="498">
        <f t="shared" si="1"/>
        <v>9396.4809090283652</v>
      </c>
      <c r="F31" s="498">
        <f t="shared" si="1"/>
        <v>9870.519090971633</v>
      </c>
      <c r="G31" s="498">
        <v>0</v>
      </c>
      <c r="H31" s="498">
        <f>H30</f>
        <v>54</v>
      </c>
      <c r="I31" s="498">
        <v>0</v>
      </c>
      <c r="J31" s="498">
        <f>J30</f>
        <v>450</v>
      </c>
      <c r="K31" s="498">
        <v>0</v>
      </c>
      <c r="L31" s="498">
        <v>0</v>
      </c>
      <c r="M31" s="498">
        <v>0</v>
      </c>
      <c r="N31" s="44"/>
    </row>
    <row r="32" spans="2:29" s="3" customFormat="1" ht="16.5" hidden="1" customHeight="1">
      <c r="B32" s="113">
        <v>2017</v>
      </c>
      <c r="C32" s="498" t="e">
        <f>#REF!</f>
        <v>#REF!</v>
      </c>
      <c r="D32" s="498" t="e">
        <f>#REF!</f>
        <v>#REF!</v>
      </c>
      <c r="E32" s="498" t="e">
        <f>#REF!</f>
        <v>#REF!</v>
      </c>
      <c r="F32" s="498" t="e">
        <f>#REF!</f>
        <v>#REF!</v>
      </c>
      <c r="G32" s="498" t="e">
        <f>#REF!</f>
        <v>#REF!</v>
      </c>
      <c r="H32" s="498" t="e">
        <f>#REF!</f>
        <v>#REF!</v>
      </c>
      <c r="I32" s="498" t="e">
        <f>#REF!</f>
        <v>#REF!</v>
      </c>
      <c r="J32" s="498" t="e">
        <f>#REF!</f>
        <v>#REF!</v>
      </c>
      <c r="K32" s="498" t="e">
        <f>#REF!</f>
        <v>#REF!</v>
      </c>
      <c r="L32" s="498" t="e">
        <f>#REF!</f>
        <v>#REF!</v>
      </c>
      <c r="M32" s="498" t="e">
        <f>#REF!</f>
        <v>#REF!</v>
      </c>
      <c r="N32" s="44"/>
    </row>
    <row r="33" spans="1:17" s="3" customFormat="1" ht="15.75" customHeight="1">
      <c r="N33" s="44"/>
    </row>
    <row r="34" spans="1:17" s="65" customFormat="1" outlineLevel="1">
      <c r="A34" s="302"/>
      <c r="B34" s="669" t="s">
        <v>405</v>
      </c>
      <c r="C34" s="669"/>
      <c r="D34" s="669"/>
      <c r="E34" s="669"/>
      <c r="F34" s="669"/>
      <c r="G34" s="669"/>
      <c r="H34" s="669"/>
      <c r="I34" s="669"/>
      <c r="J34" s="669"/>
      <c r="K34" s="669"/>
      <c r="L34" s="669"/>
      <c r="M34" s="669"/>
      <c r="N34" s="669"/>
      <c r="O34" s="155"/>
      <c r="P34" s="155"/>
    </row>
    <row r="35" spans="1:17" s="65" customFormat="1" ht="14.25" outlineLevel="1">
      <c r="A35" s="302"/>
      <c r="B35" s="68"/>
      <c r="C35" s="82"/>
      <c r="D35" s="302" t="s">
        <v>531</v>
      </c>
      <c r="O35" s="155"/>
      <c r="P35" s="155"/>
      <c r="Q35" s="324"/>
    </row>
    <row r="36" spans="1:17" s="332" customFormat="1" ht="45" hidden="1" outlineLevel="1">
      <c r="B36" s="335">
        <v>2011</v>
      </c>
      <c r="C36" s="312" t="str">
        <f t="shared" ref="C36:I36" si="2">C24</f>
        <v>Residential</v>
      </c>
      <c r="D36" s="312" t="str">
        <f t="shared" si="2"/>
        <v>GS &lt; 50 kW</v>
      </c>
      <c r="E36" s="312" t="str">
        <f t="shared" si="2"/>
        <v>GS 50 to 2,999 kW</v>
      </c>
      <c r="F36" s="312" t="str">
        <f t="shared" si="2"/>
        <v>GS 50 to 2,999 kW with owned transformer</v>
      </c>
      <c r="G36" s="312" t="str">
        <f t="shared" si="2"/>
        <v>GS 3,000 to 4,999 kW</v>
      </c>
      <c r="H36" s="312" t="str">
        <f t="shared" si="2"/>
        <v>GS 3,000 to 4,999 kW with owned transformer</v>
      </c>
      <c r="I36" s="312" t="str">
        <f t="shared" si="2"/>
        <v>Large Use</v>
      </c>
      <c r="J36" s="312" t="s">
        <v>106</v>
      </c>
      <c r="K36" s="312" t="str">
        <f t="shared" ref="K36:L36" si="3">K24</f>
        <v>Unmetered Scattered Load</v>
      </c>
      <c r="L36" s="312" t="str">
        <f t="shared" si="3"/>
        <v>Sentinel Lighting</v>
      </c>
      <c r="M36" s="312" t="s">
        <v>106</v>
      </c>
      <c r="N36" s="336" t="s">
        <v>35</v>
      </c>
      <c r="O36" s="333"/>
      <c r="P36" s="333"/>
      <c r="Q36" s="337"/>
    </row>
    <row r="37" spans="1:17" s="65" customFormat="1" hidden="1" outlineLevel="1">
      <c r="B37" s="313" t="s">
        <v>36</v>
      </c>
      <c r="C37" s="314"/>
      <c r="D37" s="314"/>
      <c r="E37" s="314"/>
      <c r="F37" s="314"/>
      <c r="G37" s="314"/>
      <c r="H37" s="314"/>
      <c r="I37" s="314"/>
      <c r="J37" s="155"/>
      <c r="K37" s="314"/>
      <c r="L37" s="314"/>
      <c r="M37" s="155"/>
      <c r="N37" s="338"/>
      <c r="O37" s="155"/>
      <c r="P37" s="155"/>
      <c r="Q37" s="339"/>
    </row>
    <row r="38" spans="1:17" s="65" customFormat="1" ht="14.25" hidden="1" outlineLevel="1">
      <c r="B38" s="480" t="s">
        <v>401</v>
      </c>
      <c r="C38" s="316"/>
      <c r="D38" s="316"/>
      <c r="E38" s="316"/>
      <c r="F38" s="316">
        <v>0</v>
      </c>
      <c r="G38" s="316">
        <v>0</v>
      </c>
      <c r="H38" s="316" t="s">
        <v>598</v>
      </c>
      <c r="I38" s="316">
        <v>0</v>
      </c>
      <c r="J38" s="315"/>
      <c r="K38" s="316" t="s">
        <v>43</v>
      </c>
      <c r="L38" s="316">
        <v>0</v>
      </c>
      <c r="M38" s="315"/>
      <c r="N38" s="482">
        <f>SUM(C38:I38)</f>
        <v>0</v>
      </c>
      <c r="O38" s="155"/>
      <c r="P38" s="155"/>
      <c r="Q38" s="324"/>
    </row>
    <row r="39" spans="1:17" s="65" customFormat="1" ht="14.25" hidden="1" outlineLevel="1">
      <c r="B39" s="340" t="s">
        <v>113</v>
      </c>
      <c r="C39" s="478" t="e">
        <f>C38/$N$38</f>
        <v>#DIV/0!</v>
      </c>
      <c r="D39" s="478" t="e">
        <f t="shared" ref="D39:I39" si="4">D38/$N$38</f>
        <v>#DIV/0!</v>
      </c>
      <c r="E39" s="478" t="e">
        <f t="shared" si="4"/>
        <v>#DIV/0!</v>
      </c>
      <c r="F39" s="478" t="e">
        <f t="shared" si="4"/>
        <v>#DIV/0!</v>
      </c>
      <c r="G39" s="478" t="e">
        <f t="shared" si="4"/>
        <v>#DIV/0!</v>
      </c>
      <c r="H39" s="478" t="e">
        <f t="shared" si="4"/>
        <v>#VALUE!</v>
      </c>
      <c r="I39" s="478" t="e">
        <f t="shared" si="4"/>
        <v>#DIV/0!</v>
      </c>
      <c r="J39" s="155"/>
      <c r="K39" s="478" t="e">
        <f t="shared" ref="K39:L39" si="5">K38/$N$38</f>
        <v>#VALUE!</v>
      </c>
      <c r="L39" s="478" t="e">
        <f t="shared" si="5"/>
        <v>#DIV/0!</v>
      </c>
      <c r="M39" s="155"/>
      <c r="N39" s="479" t="e">
        <f>SUM(C39:I39)</f>
        <v>#DIV/0!</v>
      </c>
      <c r="O39" s="155"/>
      <c r="P39" s="155"/>
      <c r="Q39" s="341"/>
    </row>
    <row r="40" spans="1:17" s="65" customFormat="1" ht="14.25" hidden="1" outlineLevel="1">
      <c r="B40" s="340" t="s">
        <v>331</v>
      </c>
      <c r="C40" s="496" t="e">
        <f>-$C$14*C39</f>
        <v>#DIV/0!</v>
      </c>
      <c r="D40" s="496" t="e">
        <f t="shared" ref="D40:I40" si="6">-$C$14*D39</f>
        <v>#DIV/0!</v>
      </c>
      <c r="E40" s="496" t="e">
        <f t="shared" si="6"/>
        <v>#DIV/0!</v>
      </c>
      <c r="F40" s="496" t="e">
        <f t="shared" si="6"/>
        <v>#DIV/0!</v>
      </c>
      <c r="G40" s="496" t="e">
        <f t="shared" si="6"/>
        <v>#DIV/0!</v>
      </c>
      <c r="H40" s="496" t="e">
        <f t="shared" si="6"/>
        <v>#VALUE!</v>
      </c>
      <c r="I40" s="496" t="e">
        <f t="shared" si="6"/>
        <v>#DIV/0!</v>
      </c>
      <c r="J40" s="155"/>
      <c r="K40" s="496" t="e">
        <f t="shared" ref="K40:L40" si="7">-$C$14*K39</f>
        <v>#VALUE!</v>
      </c>
      <c r="L40" s="496" t="e">
        <f t="shared" si="7"/>
        <v>#DIV/0!</v>
      </c>
      <c r="M40" s="155"/>
      <c r="N40" s="342" t="e">
        <f>SUM(C40:I40)</f>
        <v>#DIV/0!</v>
      </c>
      <c r="O40" s="155"/>
      <c r="P40" s="155"/>
    </row>
    <row r="41" spans="1:17" s="65" customFormat="1" ht="14.25" hidden="1" outlineLevel="1">
      <c r="B41" s="340" t="s">
        <v>114</v>
      </c>
      <c r="C41" s="343" t="e">
        <f>C38+C40</f>
        <v>#DIV/0!</v>
      </c>
      <c r="D41" s="339" t="e">
        <f t="shared" ref="D41:I41" si="8">D38+D40</f>
        <v>#DIV/0!</v>
      </c>
      <c r="E41" s="339" t="e">
        <f t="shared" si="8"/>
        <v>#DIV/0!</v>
      </c>
      <c r="F41" s="339" t="e">
        <f t="shared" si="8"/>
        <v>#DIV/0!</v>
      </c>
      <c r="G41" s="339" t="e">
        <f t="shared" si="8"/>
        <v>#DIV/0!</v>
      </c>
      <c r="H41" s="339" t="e">
        <f t="shared" si="8"/>
        <v>#VALUE!</v>
      </c>
      <c r="I41" s="339" t="e">
        <f t="shared" si="8"/>
        <v>#DIV/0!</v>
      </c>
      <c r="J41" s="155"/>
      <c r="K41" s="339" t="e">
        <f t="shared" ref="K41:L41" si="9">K38+K40</f>
        <v>#VALUE!</v>
      </c>
      <c r="L41" s="339" t="e">
        <f t="shared" si="9"/>
        <v>#DIV/0!</v>
      </c>
      <c r="M41" s="155"/>
      <c r="N41" s="342" t="e">
        <f>SUM(C41:I41)</f>
        <v>#DIV/0!</v>
      </c>
      <c r="O41" s="155"/>
      <c r="P41" s="155"/>
    </row>
    <row r="42" spans="1:17" s="65" customFormat="1" hidden="1" outlineLevel="1">
      <c r="B42" s="313" t="s">
        <v>37</v>
      </c>
      <c r="C42" s="343"/>
      <c r="D42" s="339"/>
      <c r="E42" s="339"/>
      <c r="F42" s="339"/>
      <c r="G42" s="339"/>
      <c r="H42" s="339"/>
      <c r="I42" s="339"/>
      <c r="J42" s="155"/>
      <c r="K42" s="339"/>
      <c r="L42" s="339"/>
      <c r="M42" s="155"/>
      <c r="N42" s="342"/>
      <c r="O42" s="155"/>
      <c r="P42" s="155"/>
    </row>
    <row r="43" spans="1:17" s="65" customFormat="1" ht="14.25" hidden="1" outlineLevel="1">
      <c r="B43" s="480" t="s">
        <v>402</v>
      </c>
      <c r="C43" s="343"/>
      <c r="D43" s="339"/>
      <c r="E43" s="339">
        <f>E38*E46</f>
        <v>0</v>
      </c>
      <c r="F43" s="339">
        <f t="shared" ref="F43:H43" si="10">F38*F46</f>
        <v>0</v>
      </c>
      <c r="G43" s="339">
        <f t="shared" si="10"/>
        <v>0</v>
      </c>
      <c r="H43" s="339" t="e">
        <f t="shared" si="10"/>
        <v>#VALUE!</v>
      </c>
      <c r="I43" s="339">
        <f t="shared" ref="I43" si="11">I38*I46</f>
        <v>0</v>
      </c>
      <c r="J43" s="155"/>
      <c r="K43" s="339" t="e">
        <f t="shared" ref="K43:L43" si="12">K38*K46</f>
        <v>#VALUE!</v>
      </c>
      <c r="L43" s="339">
        <f t="shared" si="12"/>
        <v>0</v>
      </c>
      <c r="M43" s="155"/>
      <c r="N43" s="342"/>
      <c r="O43" s="155"/>
      <c r="P43" s="155"/>
    </row>
    <row r="44" spans="1:17" s="65" customFormat="1" ht="14.25" hidden="1" outlineLevel="1">
      <c r="B44" s="340" t="s">
        <v>115</v>
      </c>
      <c r="C44" s="343"/>
      <c r="D44" s="339"/>
      <c r="E44" s="339" t="e">
        <f>E40*E46</f>
        <v>#DIV/0!</v>
      </c>
      <c r="F44" s="339" t="e">
        <f t="shared" ref="F44:H44" si="13">F40*F46</f>
        <v>#DIV/0!</v>
      </c>
      <c r="G44" s="339" t="e">
        <f t="shared" si="13"/>
        <v>#DIV/0!</v>
      </c>
      <c r="H44" s="339" t="e">
        <f t="shared" si="13"/>
        <v>#VALUE!</v>
      </c>
      <c r="I44" s="339" t="e">
        <f t="shared" ref="I44" si="14">I40*I46</f>
        <v>#DIV/0!</v>
      </c>
      <c r="J44" s="155"/>
      <c r="K44" s="339" t="e">
        <f t="shared" ref="K44:L44" si="15">K40*K46</f>
        <v>#VALUE!</v>
      </c>
      <c r="L44" s="339" t="e">
        <f t="shared" si="15"/>
        <v>#DIV/0!</v>
      </c>
      <c r="M44" s="155"/>
      <c r="N44" s="342" t="e">
        <f>SUM(C44:I44)</f>
        <v>#DIV/0!</v>
      </c>
      <c r="O44" s="155"/>
      <c r="P44" s="155"/>
    </row>
    <row r="45" spans="1:17" s="65" customFormat="1" hidden="1" outlineLevel="1">
      <c r="B45" s="340" t="s">
        <v>114</v>
      </c>
      <c r="C45" s="155"/>
      <c r="D45" s="155"/>
      <c r="E45" s="339" t="e">
        <f>E43+E44</f>
        <v>#DIV/0!</v>
      </c>
      <c r="F45" s="339" t="e">
        <f t="shared" ref="F45:H45" si="16">F43+F44</f>
        <v>#DIV/0!</v>
      </c>
      <c r="G45" s="339" t="e">
        <f t="shared" si="16"/>
        <v>#DIV/0!</v>
      </c>
      <c r="H45" s="339" t="e">
        <f t="shared" si="16"/>
        <v>#VALUE!</v>
      </c>
      <c r="I45" s="339" t="e">
        <f t="shared" ref="I45" si="17">I43+I44</f>
        <v>#DIV/0!</v>
      </c>
      <c r="J45" s="155"/>
      <c r="K45" s="339" t="e">
        <f t="shared" ref="K45:L45" si="18">K43+K44</f>
        <v>#VALUE!</v>
      </c>
      <c r="L45" s="339" t="e">
        <f t="shared" si="18"/>
        <v>#DIV/0!</v>
      </c>
      <c r="M45" s="155"/>
      <c r="N45" s="342" t="e">
        <f>SUM(C45:I45)</f>
        <v>#DIV/0!</v>
      </c>
      <c r="O45" s="155"/>
      <c r="P45" s="155"/>
      <c r="Q45" s="344"/>
    </row>
    <row r="46" spans="1:17" s="65" customFormat="1" ht="15" hidden="1" customHeight="1" outlineLevel="1">
      <c r="B46" s="483" t="s">
        <v>399</v>
      </c>
      <c r="C46" s="317"/>
      <c r="D46" s="325"/>
      <c r="E46" s="499"/>
      <c r="F46" s="499"/>
      <c r="G46" s="499"/>
      <c r="H46" s="499"/>
      <c r="I46" s="499"/>
      <c r="J46" s="325"/>
      <c r="K46" s="499"/>
      <c r="L46" s="499"/>
      <c r="M46" s="325"/>
      <c r="N46" s="392"/>
      <c r="O46" s="155"/>
      <c r="P46" s="155"/>
      <c r="Q46" s="324"/>
    </row>
    <row r="47" spans="1:17" s="65" customFormat="1" ht="15" hidden="1" customHeight="1" outlineLevel="1">
      <c r="B47" s="345"/>
      <c r="C47" s="318"/>
      <c r="D47" s="319"/>
      <c r="E47" s="155"/>
      <c r="F47" s="320"/>
      <c r="G47" s="320"/>
      <c r="H47" s="320"/>
      <c r="I47" s="320"/>
      <c r="J47" s="155"/>
      <c r="K47" s="320"/>
      <c r="L47" s="320"/>
      <c r="M47" s="155"/>
      <c r="N47" s="155"/>
      <c r="O47" s="155"/>
      <c r="P47" s="155"/>
      <c r="Q47" s="324"/>
    </row>
    <row r="48" spans="1:17" s="155" customFormat="1" ht="15" hidden="1" customHeight="1" outlineLevel="1">
      <c r="B48" s="345"/>
      <c r="C48" s="318"/>
      <c r="D48" s="319"/>
      <c r="F48" s="320"/>
      <c r="G48" s="320"/>
      <c r="H48" s="320"/>
      <c r="I48" s="320"/>
      <c r="K48" s="320"/>
      <c r="L48" s="320"/>
      <c r="Q48" s="324"/>
    </row>
    <row r="49" spans="2:17" s="331" customFormat="1" ht="36.75" hidden="1" customHeight="1" outlineLevel="1">
      <c r="B49" s="335">
        <v>2012</v>
      </c>
      <c r="C49" s="312" t="str">
        <f t="shared" ref="C49:I49" si="19">C36</f>
        <v>Residential</v>
      </c>
      <c r="D49" s="312" t="str">
        <f t="shared" si="19"/>
        <v>GS &lt; 50 kW</v>
      </c>
      <c r="E49" s="312" t="str">
        <f t="shared" si="19"/>
        <v>GS 50 to 2,999 kW</v>
      </c>
      <c r="F49" s="312" t="str">
        <f t="shared" si="19"/>
        <v>GS 50 to 2,999 kW with owned transformer</v>
      </c>
      <c r="G49" s="312" t="str">
        <f t="shared" si="19"/>
        <v>GS 3,000 to 4,999 kW</v>
      </c>
      <c r="H49" s="312" t="str">
        <f t="shared" si="19"/>
        <v>GS 3,000 to 4,999 kW with owned transformer</v>
      </c>
      <c r="I49" s="312" t="str">
        <f t="shared" si="19"/>
        <v>Large Use</v>
      </c>
      <c r="J49" s="312" t="s">
        <v>106</v>
      </c>
      <c r="K49" s="312" t="str">
        <f t="shared" ref="K49:L49" si="20">K36</f>
        <v>Unmetered Scattered Load</v>
      </c>
      <c r="L49" s="312" t="str">
        <f t="shared" si="20"/>
        <v>Sentinel Lighting</v>
      </c>
      <c r="M49" s="312" t="s">
        <v>106</v>
      </c>
      <c r="N49" s="336" t="s">
        <v>35</v>
      </c>
      <c r="O49" s="330"/>
      <c r="P49" s="330"/>
      <c r="Q49" s="330"/>
    </row>
    <row r="50" spans="2:17" s="65" customFormat="1" hidden="1" outlineLevel="1">
      <c r="B50" s="313" t="s">
        <v>36</v>
      </c>
      <c r="C50" s="314"/>
      <c r="D50" s="314"/>
      <c r="E50" s="314"/>
      <c r="F50" s="314"/>
      <c r="G50" s="314"/>
      <c r="H50" s="314"/>
      <c r="I50" s="314"/>
      <c r="J50" s="155"/>
      <c r="K50" s="314"/>
      <c r="L50" s="314"/>
      <c r="M50" s="155"/>
      <c r="N50" s="338"/>
      <c r="O50" s="155"/>
      <c r="P50" s="155"/>
      <c r="Q50" s="324"/>
    </row>
    <row r="51" spans="2:17" s="65" customFormat="1" ht="14.25" hidden="1" outlineLevel="1">
      <c r="B51" s="480" t="s">
        <v>401</v>
      </c>
      <c r="C51" s="316"/>
      <c r="D51" s="316"/>
      <c r="E51" s="316"/>
      <c r="F51" s="316"/>
      <c r="G51" s="316"/>
      <c r="H51" s="316"/>
      <c r="I51" s="316"/>
      <c r="J51" s="316"/>
      <c r="K51" s="316"/>
      <c r="L51" s="316"/>
      <c r="M51" s="316"/>
      <c r="N51" s="484">
        <f>SUM(C51:I51)</f>
        <v>0</v>
      </c>
      <c r="O51" s="155"/>
      <c r="P51" s="155"/>
      <c r="Q51" s="339"/>
    </row>
    <row r="52" spans="2:17" s="65" customFormat="1" ht="14.25" hidden="1" outlineLevel="1">
      <c r="B52" s="340" t="s">
        <v>113</v>
      </c>
      <c r="C52" s="481" t="e">
        <f t="shared" ref="C52:I52" si="21">C51/$N$51</f>
        <v>#DIV/0!</v>
      </c>
      <c r="D52" s="481" t="e">
        <f t="shared" si="21"/>
        <v>#DIV/0!</v>
      </c>
      <c r="E52" s="481" t="e">
        <f t="shared" si="21"/>
        <v>#DIV/0!</v>
      </c>
      <c r="F52" s="481" t="e">
        <f t="shared" si="21"/>
        <v>#DIV/0!</v>
      </c>
      <c r="G52" s="481" t="e">
        <f t="shared" si="21"/>
        <v>#DIV/0!</v>
      </c>
      <c r="H52" s="481" t="e">
        <f t="shared" si="21"/>
        <v>#DIV/0!</v>
      </c>
      <c r="I52" s="481" t="e">
        <f t="shared" si="21"/>
        <v>#DIV/0!</v>
      </c>
      <c r="J52" s="155"/>
      <c r="K52" s="481" t="e">
        <f t="shared" ref="K52:L52" si="22">K51/$N$51</f>
        <v>#DIV/0!</v>
      </c>
      <c r="L52" s="481" t="e">
        <f t="shared" si="22"/>
        <v>#DIV/0!</v>
      </c>
      <c r="M52" s="155"/>
      <c r="N52" s="479" t="e">
        <f>SUM(C52:I52)</f>
        <v>#DIV/0!</v>
      </c>
      <c r="O52" s="155"/>
      <c r="P52" s="155"/>
      <c r="Q52" s="324"/>
    </row>
    <row r="53" spans="2:17" s="65" customFormat="1" ht="14.25" hidden="1" outlineLevel="1">
      <c r="B53" s="340" t="s">
        <v>331</v>
      </c>
      <c r="C53" s="496" t="e">
        <f>-$C$15*C52</f>
        <v>#DIV/0!</v>
      </c>
      <c r="D53" s="496" t="e">
        <f t="shared" ref="D53:I53" si="23">-$C$15*D52</f>
        <v>#DIV/0!</v>
      </c>
      <c r="E53" s="496" t="e">
        <f t="shared" si="23"/>
        <v>#DIV/0!</v>
      </c>
      <c r="F53" s="496" t="e">
        <f t="shared" si="23"/>
        <v>#DIV/0!</v>
      </c>
      <c r="G53" s="496" t="e">
        <f t="shared" si="23"/>
        <v>#DIV/0!</v>
      </c>
      <c r="H53" s="496" t="e">
        <f t="shared" si="23"/>
        <v>#DIV/0!</v>
      </c>
      <c r="I53" s="496" t="e">
        <f t="shared" si="23"/>
        <v>#DIV/0!</v>
      </c>
      <c r="J53" s="155"/>
      <c r="K53" s="496" t="e">
        <f t="shared" ref="K53:L53" si="24">-$C$15*K52</f>
        <v>#DIV/0!</v>
      </c>
      <c r="L53" s="496" t="e">
        <f t="shared" si="24"/>
        <v>#DIV/0!</v>
      </c>
      <c r="M53" s="155"/>
      <c r="N53" s="342" t="e">
        <f>SUM(C53:I53)</f>
        <v>#DIV/0!</v>
      </c>
      <c r="O53" s="155"/>
      <c r="P53" s="155"/>
      <c r="Q53" s="341"/>
    </row>
    <row r="54" spans="2:17" s="65" customFormat="1" ht="14.25" hidden="1" outlineLevel="1">
      <c r="B54" s="340" t="s">
        <v>114</v>
      </c>
      <c r="C54" s="343" t="e">
        <f>C51+C53</f>
        <v>#DIV/0!</v>
      </c>
      <c r="D54" s="339" t="e">
        <f t="shared" ref="D54" si="25">D51+D53</f>
        <v>#DIV/0!</v>
      </c>
      <c r="E54" s="339" t="e">
        <f t="shared" ref="E54" si="26">E51+E53</f>
        <v>#DIV/0!</v>
      </c>
      <c r="F54" s="339" t="e">
        <f t="shared" ref="F54" si="27">F51+F53</f>
        <v>#DIV/0!</v>
      </c>
      <c r="G54" s="339" t="e">
        <f t="shared" ref="G54" si="28">G51+G53</f>
        <v>#DIV/0!</v>
      </c>
      <c r="H54" s="339" t="e">
        <f t="shared" ref="H54" si="29">H51+H53</f>
        <v>#DIV/0!</v>
      </c>
      <c r="I54" s="339" t="e">
        <f t="shared" ref="I54" si="30">I51+I53</f>
        <v>#DIV/0!</v>
      </c>
      <c r="J54" s="155"/>
      <c r="K54" s="339" t="e">
        <f t="shared" ref="K54:L54" si="31">K51+K53</f>
        <v>#DIV/0!</v>
      </c>
      <c r="L54" s="339" t="e">
        <f t="shared" si="31"/>
        <v>#DIV/0!</v>
      </c>
      <c r="M54" s="155"/>
      <c r="N54" s="342" t="e">
        <f>SUM(C54:I54)</f>
        <v>#DIV/0!</v>
      </c>
      <c r="O54" s="155"/>
      <c r="P54" s="155"/>
    </row>
    <row r="55" spans="2:17" s="65" customFormat="1" hidden="1" outlineLevel="1">
      <c r="B55" s="313" t="s">
        <v>37</v>
      </c>
      <c r="C55" s="155"/>
      <c r="D55" s="321"/>
      <c r="E55" s="346"/>
      <c r="F55" s="322"/>
      <c r="G55" s="323"/>
      <c r="H55" s="324"/>
      <c r="I55" s="155"/>
      <c r="J55" s="155"/>
      <c r="K55" s="324"/>
      <c r="L55" s="155"/>
      <c r="M55" s="155"/>
      <c r="N55" s="347"/>
      <c r="O55" s="155"/>
      <c r="P55" s="155"/>
    </row>
    <row r="56" spans="2:17" s="65" customFormat="1" ht="14.25" hidden="1" outlineLevel="1">
      <c r="B56" s="480" t="s">
        <v>402</v>
      </c>
      <c r="C56" s="155"/>
      <c r="D56" s="155"/>
      <c r="E56" s="339">
        <f>E51*E59</f>
        <v>0</v>
      </c>
      <c r="F56" s="339">
        <f>F51*F59</f>
        <v>0</v>
      </c>
      <c r="G56" s="339">
        <f>G51*G59</f>
        <v>0</v>
      </c>
      <c r="H56" s="339">
        <f>H51*H59</f>
        <v>0</v>
      </c>
      <c r="I56" s="339">
        <f>I51*I59</f>
        <v>0</v>
      </c>
      <c r="J56" s="155"/>
      <c r="K56" s="339">
        <f>K51*K59</f>
        <v>0</v>
      </c>
      <c r="L56" s="339">
        <f>L51*L59</f>
        <v>0</v>
      </c>
      <c r="M56" s="155"/>
      <c r="N56" s="342">
        <f>SUM(C56:I56)</f>
        <v>0</v>
      </c>
      <c r="O56" s="155"/>
    </row>
    <row r="57" spans="2:17" s="65" customFormat="1" ht="14.25" hidden="1" outlineLevel="1">
      <c r="B57" s="340" t="s">
        <v>115</v>
      </c>
      <c r="C57" s="155"/>
      <c r="D57" s="155"/>
      <c r="E57" s="339" t="e">
        <f>E53*E59</f>
        <v>#DIV/0!</v>
      </c>
      <c r="F57" s="339" t="e">
        <f>F53*F59</f>
        <v>#DIV/0!</v>
      </c>
      <c r="G57" s="339" t="e">
        <f>G53*G59</f>
        <v>#DIV/0!</v>
      </c>
      <c r="H57" s="339" t="e">
        <f>H53*H59</f>
        <v>#DIV/0!</v>
      </c>
      <c r="I57" s="339" t="e">
        <f>I53*I59</f>
        <v>#DIV/0!</v>
      </c>
      <c r="J57" s="155"/>
      <c r="K57" s="339" t="e">
        <f>K53*K59</f>
        <v>#DIV/0!</v>
      </c>
      <c r="L57" s="339" t="e">
        <f>L53*L59</f>
        <v>#DIV/0!</v>
      </c>
      <c r="M57" s="155"/>
      <c r="N57" s="342" t="e">
        <f>SUM(C57:I57)</f>
        <v>#DIV/0!</v>
      </c>
      <c r="O57" s="155"/>
      <c r="P57" s="155"/>
    </row>
    <row r="58" spans="2:17" s="65" customFormat="1" ht="14.25" hidden="1" outlineLevel="1">
      <c r="B58" s="340" t="s">
        <v>114</v>
      </c>
      <c r="C58" s="163"/>
      <c r="D58" s="163"/>
      <c r="E58" s="339" t="e">
        <f>E56+E57</f>
        <v>#DIV/0!</v>
      </c>
      <c r="F58" s="339" t="e">
        <f>F56+F57</f>
        <v>#DIV/0!</v>
      </c>
      <c r="G58" s="339" t="e">
        <f t="shared" ref="G58:H58" si="32">G56+G57</f>
        <v>#DIV/0!</v>
      </c>
      <c r="H58" s="339" t="e">
        <f t="shared" si="32"/>
        <v>#DIV/0!</v>
      </c>
      <c r="I58" s="339" t="e">
        <f t="shared" ref="I58" si="33">I56+I57</f>
        <v>#DIV/0!</v>
      </c>
      <c r="J58" s="155"/>
      <c r="K58" s="339" t="e">
        <f t="shared" ref="K58:L58" si="34">K56+K57</f>
        <v>#DIV/0!</v>
      </c>
      <c r="L58" s="339" t="e">
        <f t="shared" si="34"/>
        <v>#DIV/0!</v>
      </c>
      <c r="M58" s="155"/>
      <c r="N58" s="342" t="e">
        <f>SUM(C58:I58)</f>
        <v>#DIV/0!</v>
      </c>
      <c r="O58" s="155"/>
      <c r="P58" s="155"/>
    </row>
    <row r="59" spans="2:17" s="65" customFormat="1" ht="14.25" hidden="1" outlineLevel="1">
      <c r="B59" s="483" t="s">
        <v>399</v>
      </c>
      <c r="C59" s="520"/>
      <c r="D59" s="520"/>
      <c r="E59" s="520"/>
      <c r="F59" s="520"/>
      <c r="G59" s="520"/>
      <c r="H59" s="520"/>
      <c r="I59" s="520"/>
      <c r="J59" s="520"/>
      <c r="K59" s="520"/>
      <c r="L59" s="520"/>
      <c r="M59" s="520"/>
      <c r="N59" s="485"/>
      <c r="O59" s="155"/>
      <c r="P59" s="155"/>
    </row>
    <row r="60" spans="2:17" s="65" customFormat="1" ht="14.25" hidden="1" outlineLevel="1">
      <c r="B60" s="68"/>
      <c r="C60" s="82"/>
      <c r="D60" s="155"/>
      <c r="E60" s="155"/>
      <c r="F60" s="155"/>
      <c r="G60" s="155"/>
      <c r="H60" s="155"/>
      <c r="I60" s="155"/>
      <c r="J60" s="155"/>
      <c r="K60" s="155"/>
      <c r="L60" s="155"/>
      <c r="M60" s="155"/>
      <c r="N60" s="155"/>
      <c r="O60" s="155"/>
      <c r="P60" s="155"/>
    </row>
    <row r="61" spans="2:17" s="65" customFormat="1" ht="14.25" hidden="1" outlineLevel="1">
      <c r="B61" s="68"/>
      <c r="C61" s="82"/>
      <c r="D61" s="155"/>
      <c r="E61" s="155"/>
      <c r="F61" s="155"/>
      <c r="G61" s="155"/>
      <c r="H61" s="155"/>
      <c r="I61" s="155"/>
      <c r="J61" s="155"/>
      <c r="K61" s="155"/>
      <c r="L61" s="155"/>
      <c r="M61" s="155"/>
      <c r="O61" s="155"/>
      <c r="P61" s="155"/>
    </row>
    <row r="62" spans="2:17" s="331" customFormat="1" ht="35.25" hidden="1" customHeight="1" outlineLevel="1">
      <c r="B62" s="335">
        <v>2013</v>
      </c>
      <c r="C62" s="312" t="str">
        <f t="shared" ref="C62:F62" si="35">C49</f>
        <v>Residential</v>
      </c>
      <c r="D62" s="312" t="str">
        <f t="shared" si="35"/>
        <v>GS &lt; 50 kW</v>
      </c>
      <c r="E62" s="312" t="str">
        <f t="shared" si="35"/>
        <v>GS 50 to 2,999 kW</v>
      </c>
      <c r="F62" s="312" t="str">
        <f t="shared" si="35"/>
        <v>GS 50 to 2,999 kW with owned transformer</v>
      </c>
      <c r="G62" s="312" t="str">
        <f>G49</f>
        <v>GS 3,000 to 4,999 kW</v>
      </c>
      <c r="H62" s="312" t="str">
        <f>H49</f>
        <v>GS 3,000 to 4,999 kW with owned transformer</v>
      </c>
      <c r="I62" s="312" t="str">
        <f>I49</f>
        <v>Large Use</v>
      </c>
      <c r="J62" s="312" t="s">
        <v>106</v>
      </c>
      <c r="K62" s="312" t="str">
        <f>K49</f>
        <v>Unmetered Scattered Load</v>
      </c>
      <c r="L62" s="312" t="str">
        <f>L49</f>
        <v>Sentinel Lighting</v>
      </c>
      <c r="M62" s="312" t="s">
        <v>106</v>
      </c>
      <c r="N62" s="336" t="s">
        <v>35</v>
      </c>
      <c r="O62" s="330"/>
      <c r="P62" s="330"/>
    </row>
    <row r="63" spans="2:17" s="65" customFormat="1" hidden="1" outlineLevel="1">
      <c r="B63" s="327" t="s">
        <v>36</v>
      </c>
      <c r="C63" s="314"/>
      <c r="D63" s="314"/>
      <c r="E63" s="314"/>
      <c r="F63" s="314"/>
      <c r="G63" s="314"/>
      <c r="H63" s="314"/>
      <c r="I63" s="314"/>
      <c r="J63" s="155"/>
      <c r="K63" s="314"/>
      <c r="L63" s="314"/>
      <c r="M63" s="155"/>
      <c r="N63" s="338"/>
      <c r="O63" s="155"/>
      <c r="P63" s="155"/>
    </row>
    <row r="64" spans="2:17" s="65" customFormat="1" ht="14.25" hidden="1" outlineLevel="1">
      <c r="B64" s="480" t="s">
        <v>401</v>
      </c>
      <c r="C64" s="316"/>
      <c r="D64" s="316"/>
      <c r="E64" s="316"/>
      <c r="F64" s="316"/>
      <c r="G64" s="316"/>
      <c r="H64" s="316"/>
      <c r="I64" s="316"/>
      <c r="J64" s="316"/>
      <c r="K64" s="316"/>
      <c r="L64" s="316"/>
      <c r="M64" s="316"/>
      <c r="N64" s="342">
        <f>SUM(C64:I64)</f>
        <v>0</v>
      </c>
      <c r="O64" s="155"/>
      <c r="P64" s="155"/>
    </row>
    <row r="65" spans="2:16" s="65" customFormat="1" ht="14.25" hidden="1" outlineLevel="1">
      <c r="B65" s="340" t="s">
        <v>113</v>
      </c>
      <c r="C65" s="481" t="e">
        <f t="shared" ref="C65:I65" si="36">C64/$N$64</f>
        <v>#DIV/0!</v>
      </c>
      <c r="D65" s="481" t="e">
        <f t="shared" si="36"/>
        <v>#DIV/0!</v>
      </c>
      <c r="E65" s="481" t="e">
        <f t="shared" si="36"/>
        <v>#DIV/0!</v>
      </c>
      <c r="F65" s="481" t="e">
        <f t="shared" si="36"/>
        <v>#DIV/0!</v>
      </c>
      <c r="G65" s="481" t="e">
        <f t="shared" si="36"/>
        <v>#DIV/0!</v>
      </c>
      <c r="H65" s="481" t="e">
        <f t="shared" si="36"/>
        <v>#DIV/0!</v>
      </c>
      <c r="I65" s="481" t="e">
        <f t="shared" si="36"/>
        <v>#DIV/0!</v>
      </c>
      <c r="J65" s="155"/>
      <c r="K65" s="481" t="e">
        <f t="shared" ref="K65:L65" si="37">K64/$N$64</f>
        <v>#DIV/0!</v>
      </c>
      <c r="L65" s="481" t="e">
        <f t="shared" si="37"/>
        <v>#DIV/0!</v>
      </c>
      <c r="M65" s="155"/>
      <c r="N65" s="479" t="e">
        <f>SUM(C65:I65)</f>
        <v>#DIV/0!</v>
      </c>
      <c r="O65" s="155"/>
      <c r="P65" s="155"/>
    </row>
    <row r="66" spans="2:16" s="65" customFormat="1" ht="14.25" hidden="1" outlineLevel="1">
      <c r="B66" s="340" t="s">
        <v>331</v>
      </c>
      <c r="C66" s="496" t="e">
        <f>-$C$16*C65</f>
        <v>#DIV/0!</v>
      </c>
      <c r="D66" s="496" t="e">
        <f>-$C$16*D65</f>
        <v>#DIV/0!</v>
      </c>
      <c r="E66" s="496" t="e">
        <f>-$C$16*E65</f>
        <v>#DIV/0!</v>
      </c>
      <c r="F66" s="496" t="e">
        <f t="shared" ref="F66:I66" si="38">-$C$16*F65</f>
        <v>#DIV/0!</v>
      </c>
      <c r="G66" s="496" t="e">
        <f t="shared" si="38"/>
        <v>#DIV/0!</v>
      </c>
      <c r="H66" s="496" t="e">
        <f t="shared" si="38"/>
        <v>#DIV/0!</v>
      </c>
      <c r="I66" s="496" t="e">
        <f t="shared" si="38"/>
        <v>#DIV/0!</v>
      </c>
      <c r="J66" s="155"/>
      <c r="K66" s="496" t="e">
        <f t="shared" ref="K66:L66" si="39">-$C$16*K65</f>
        <v>#DIV/0!</v>
      </c>
      <c r="L66" s="496" t="e">
        <f t="shared" si="39"/>
        <v>#DIV/0!</v>
      </c>
      <c r="M66" s="155"/>
      <c r="N66" s="342" t="e">
        <f>SUM(C66:I66)</f>
        <v>#DIV/0!</v>
      </c>
      <c r="O66" s="155"/>
      <c r="P66" s="155"/>
    </row>
    <row r="67" spans="2:16" s="65" customFormat="1" ht="14.25" hidden="1" outlineLevel="1">
      <c r="B67" s="340" t="s">
        <v>114</v>
      </c>
      <c r="C67" s="343" t="e">
        <f>C64+C66</f>
        <v>#DIV/0!</v>
      </c>
      <c r="D67" s="339" t="e">
        <f t="shared" ref="D67" si="40">D64+D66</f>
        <v>#DIV/0!</v>
      </c>
      <c r="E67" s="339" t="e">
        <f t="shared" ref="E67" si="41">E64+E66</f>
        <v>#DIV/0!</v>
      </c>
      <c r="F67" s="339" t="e">
        <f t="shared" ref="F67" si="42">F64+F66</f>
        <v>#DIV/0!</v>
      </c>
      <c r="G67" s="339" t="e">
        <f t="shared" ref="G67" si="43">G64+G66</f>
        <v>#DIV/0!</v>
      </c>
      <c r="H67" s="339" t="e">
        <f t="shared" ref="H67" si="44">H64+H66</f>
        <v>#DIV/0!</v>
      </c>
      <c r="I67" s="339" t="e">
        <f t="shared" ref="I67" si="45">I64+I66</f>
        <v>#DIV/0!</v>
      </c>
      <c r="J67" s="500"/>
      <c r="K67" s="339" t="e">
        <f t="shared" ref="K67:L67" si="46">K64+K66</f>
        <v>#DIV/0!</v>
      </c>
      <c r="L67" s="339" t="e">
        <f t="shared" si="46"/>
        <v>#DIV/0!</v>
      </c>
      <c r="M67" s="500"/>
      <c r="N67" s="342" t="e">
        <f>SUM(C67:I67)</f>
        <v>#DIV/0!</v>
      </c>
      <c r="O67" s="155"/>
      <c r="P67" s="155"/>
    </row>
    <row r="68" spans="2:16" s="65" customFormat="1" hidden="1" outlineLevel="1">
      <c r="B68" s="327" t="s">
        <v>37</v>
      </c>
      <c r="C68" s="155"/>
      <c r="D68" s="321"/>
      <c r="E68" s="346"/>
      <c r="F68" s="322"/>
      <c r="G68" s="323"/>
      <c r="H68" s="324"/>
      <c r="I68" s="155"/>
      <c r="J68" s="155"/>
      <c r="K68" s="324"/>
      <c r="L68" s="155"/>
      <c r="M68" s="155"/>
      <c r="N68" s="347"/>
      <c r="O68" s="155"/>
      <c r="P68" s="155"/>
    </row>
    <row r="69" spans="2:16" s="65" customFormat="1" ht="14.25" hidden="1" outlineLevel="1">
      <c r="B69" s="480" t="s">
        <v>402</v>
      </c>
      <c r="C69" s="155"/>
      <c r="D69" s="155"/>
      <c r="E69" s="339">
        <f>E64*E72</f>
        <v>0</v>
      </c>
      <c r="F69" s="339">
        <f t="shared" ref="F69:H69" si="47">F64*F72</f>
        <v>0</v>
      </c>
      <c r="G69" s="339">
        <f t="shared" si="47"/>
        <v>0</v>
      </c>
      <c r="H69" s="339">
        <f t="shared" si="47"/>
        <v>0</v>
      </c>
      <c r="I69" s="339">
        <f t="shared" ref="I69" si="48">I64*I72</f>
        <v>0</v>
      </c>
      <c r="J69" s="155"/>
      <c r="K69" s="339">
        <f t="shared" ref="K69:L69" si="49">K64*K72</f>
        <v>0</v>
      </c>
      <c r="L69" s="339">
        <f t="shared" si="49"/>
        <v>0</v>
      </c>
      <c r="M69" s="155"/>
      <c r="N69" s="342">
        <f>SUM(C69:I69)</f>
        <v>0</v>
      </c>
      <c r="O69" s="155"/>
      <c r="P69" s="155"/>
    </row>
    <row r="70" spans="2:16" s="65" customFormat="1" ht="14.25" hidden="1" outlineLevel="1">
      <c r="B70" s="340" t="s">
        <v>115</v>
      </c>
      <c r="C70" s="155"/>
      <c r="D70" s="155"/>
      <c r="E70" s="339" t="e">
        <f>E66*E72</f>
        <v>#DIV/0!</v>
      </c>
      <c r="F70" s="339" t="e">
        <f t="shared" ref="F70:H70" si="50">F66*F72</f>
        <v>#DIV/0!</v>
      </c>
      <c r="G70" s="339" t="e">
        <f t="shared" si="50"/>
        <v>#DIV/0!</v>
      </c>
      <c r="H70" s="339" t="e">
        <f t="shared" si="50"/>
        <v>#DIV/0!</v>
      </c>
      <c r="I70" s="339" t="e">
        <f t="shared" ref="I70" si="51">I66*I72</f>
        <v>#DIV/0!</v>
      </c>
      <c r="J70" s="155"/>
      <c r="K70" s="339" t="e">
        <f t="shared" ref="K70:L70" si="52">K66*K72</f>
        <v>#DIV/0!</v>
      </c>
      <c r="L70" s="339" t="e">
        <f t="shared" si="52"/>
        <v>#DIV/0!</v>
      </c>
      <c r="M70" s="155"/>
      <c r="N70" s="348" t="e">
        <f>SUM(C70:I70)</f>
        <v>#DIV/0!</v>
      </c>
      <c r="O70" s="155"/>
      <c r="P70" s="155"/>
    </row>
    <row r="71" spans="2:16" s="65" customFormat="1" ht="14.25" hidden="1" outlineLevel="1">
      <c r="B71" s="340" t="s">
        <v>114</v>
      </c>
      <c r="C71" s="155"/>
      <c r="D71" s="155"/>
      <c r="E71" s="339" t="e">
        <f>E69+E70</f>
        <v>#DIV/0!</v>
      </c>
      <c r="F71" s="339" t="e">
        <f t="shared" ref="F71" si="53">F69+F70</f>
        <v>#DIV/0!</v>
      </c>
      <c r="G71" s="339" t="e">
        <f t="shared" ref="G71" si="54">G69+G70</f>
        <v>#DIV/0!</v>
      </c>
      <c r="H71" s="339" t="e">
        <f t="shared" ref="H71:I71" si="55">H69+H70</f>
        <v>#DIV/0!</v>
      </c>
      <c r="I71" s="339" t="e">
        <f t="shared" si="55"/>
        <v>#DIV/0!</v>
      </c>
      <c r="J71" s="155"/>
      <c r="K71" s="339" t="e">
        <f t="shared" ref="K71:L71" si="56">K69+K70</f>
        <v>#DIV/0!</v>
      </c>
      <c r="L71" s="339" t="e">
        <f t="shared" si="56"/>
        <v>#DIV/0!</v>
      </c>
      <c r="M71" s="155"/>
      <c r="N71" s="342" t="e">
        <f>SUM(C71:I71)</f>
        <v>#DIV/0!</v>
      </c>
      <c r="O71" s="155"/>
      <c r="P71" s="155"/>
    </row>
    <row r="72" spans="2:16" s="65" customFormat="1" ht="14.25" hidden="1" outlineLevel="1">
      <c r="B72" s="483" t="s">
        <v>400</v>
      </c>
      <c r="C72" s="520"/>
      <c r="D72" s="520"/>
      <c r="E72" s="520"/>
      <c r="F72" s="520"/>
      <c r="G72" s="520"/>
      <c r="H72" s="520"/>
      <c r="I72" s="520"/>
      <c r="J72" s="520"/>
      <c r="K72" s="520"/>
      <c r="L72" s="520"/>
      <c r="M72" s="520"/>
      <c r="N72" s="485"/>
      <c r="O72" s="155"/>
      <c r="P72" s="155"/>
    </row>
    <row r="73" spans="2:16" s="65" customFormat="1" ht="14.25" hidden="1" outlineLevel="1">
      <c r="B73" s="68"/>
      <c r="C73" s="82"/>
      <c r="O73" s="155"/>
    </row>
    <row r="74" spans="2:16" s="65" customFormat="1" ht="14.25" hidden="1" outlineLevel="1">
      <c r="B74" s="68"/>
      <c r="C74" s="82"/>
    </row>
    <row r="75" spans="2:16" s="331" customFormat="1" ht="34.5" hidden="1" customHeight="1" outlineLevel="1">
      <c r="B75" s="335">
        <v>2014</v>
      </c>
      <c r="C75" s="312" t="str">
        <f>C62</f>
        <v>Residential</v>
      </c>
      <c r="D75" s="312" t="str">
        <f t="shared" ref="D75:J75" si="57">D62</f>
        <v>GS &lt; 50 kW</v>
      </c>
      <c r="E75" s="312" t="str">
        <f t="shared" si="57"/>
        <v>GS 50 to 2,999 kW</v>
      </c>
      <c r="F75" s="312" t="str">
        <f t="shared" si="57"/>
        <v>GS 50 to 2,999 kW with owned transformer</v>
      </c>
      <c r="G75" s="312" t="str">
        <f t="shared" si="57"/>
        <v>GS 3,000 to 4,999 kW</v>
      </c>
      <c r="H75" s="312" t="str">
        <f t="shared" si="57"/>
        <v>GS 3,000 to 4,999 kW with owned transformer</v>
      </c>
      <c r="I75" s="312" t="str">
        <f t="shared" si="57"/>
        <v>Large Use</v>
      </c>
      <c r="J75" s="312" t="str">
        <f t="shared" si="57"/>
        <v>Other</v>
      </c>
      <c r="K75" s="312" t="str">
        <f t="shared" ref="K75:M75" si="58">K62</f>
        <v>Unmetered Scattered Load</v>
      </c>
      <c r="L75" s="312" t="str">
        <f t="shared" si="58"/>
        <v>Sentinel Lighting</v>
      </c>
      <c r="M75" s="312" t="str">
        <f t="shared" si="58"/>
        <v>Other</v>
      </c>
      <c r="N75" s="336" t="s">
        <v>35</v>
      </c>
    </row>
    <row r="76" spans="2:16" s="65" customFormat="1" hidden="1" outlineLevel="1">
      <c r="B76" s="327" t="s">
        <v>36</v>
      </c>
      <c r="C76" s="314"/>
      <c r="D76" s="314"/>
      <c r="E76" s="314"/>
      <c r="F76" s="314"/>
      <c r="G76" s="314"/>
      <c r="H76" s="314"/>
      <c r="I76" s="314"/>
      <c r="J76" s="314"/>
      <c r="K76" s="314"/>
      <c r="L76" s="314"/>
      <c r="M76" s="314"/>
      <c r="N76" s="338"/>
    </row>
    <row r="77" spans="2:16" s="65" customFormat="1" ht="14.25" hidden="1" outlineLevel="1">
      <c r="B77" s="340" t="s">
        <v>401</v>
      </c>
      <c r="C77" s="316"/>
      <c r="D77" s="316"/>
      <c r="E77" s="316"/>
      <c r="F77" s="316"/>
      <c r="G77" s="316"/>
      <c r="H77" s="316"/>
      <c r="I77" s="316"/>
      <c r="J77" s="316"/>
      <c r="K77" s="316"/>
      <c r="L77" s="316"/>
      <c r="M77" s="316"/>
      <c r="N77" s="342">
        <f>SUM(C77:I77)</f>
        <v>0</v>
      </c>
    </row>
    <row r="78" spans="2:16" s="65" customFormat="1" ht="14.25" hidden="1" outlineLevel="1">
      <c r="B78" s="340" t="s">
        <v>113</v>
      </c>
      <c r="C78" s="481" t="e">
        <f t="shared" ref="C78:I78" si="59">C77/$N$77</f>
        <v>#DIV/0!</v>
      </c>
      <c r="D78" s="481" t="e">
        <f t="shared" si="59"/>
        <v>#DIV/0!</v>
      </c>
      <c r="E78" s="481" t="e">
        <f t="shared" si="59"/>
        <v>#DIV/0!</v>
      </c>
      <c r="F78" s="481" t="e">
        <f t="shared" si="59"/>
        <v>#DIV/0!</v>
      </c>
      <c r="G78" s="481" t="e">
        <f t="shared" si="59"/>
        <v>#DIV/0!</v>
      </c>
      <c r="H78" s="481" t="e">
        <f t="shared" si="59"/>
        <v>#DIV/0!</v>
      </c>
      <c r="I78" s="481" t="e">
        <f t="shared" si="59"/>
        <v>#DIV/0!</v>
      </c>
      <c r="J78" s="155"/>
      <c r="K78" s="481" t="e">
        <f t="shared" ref="K78:L78" si="60">K77/$N$77</f>
        <v>#DIV/0!</v>
      </c>
      <c r="L78" s="481" t="e">
        <f t="shared" si="60"/>
        <v>#DIV/0!</v>
      </c>
      <c r="M78" s="155"/>
      <c r="N78" s="479" t="e">
        <f>SUM(C78:I78)</f>
        <v>#DIV/0!</v>
      </c>
    </row>
    <row r="79" spans="2:16" s="65" customFormat="1" ht="14.25" hidden="1" outlineLevel="1">
      <c r="B79" s="340" t="s">
        <v>331</v>
      </c>
      <c r="C79" s="496" t="e">
        <f t="shared" ref="C79:I79" si="61">-$C$17*C78</f>
        <v>#DIV/0!</v>
      </c>
      <c r="D79" s="496" t="e">
        <f t="shared" si="61"/>
        <v>#DIV/0!</v>
      </c>
      <c r="E79" s="496" t="e">
        <f t="shared" si="61"/>
        <v>#DIV/0!</v>
      </c>
      <c r="F79" s="496" t="e">
        <f t="shared" si="61"/>
        <v>#DIV/0!</v>
      </c>
      <c r="G79" s="496" t="e">
        <f t="shared" si="61"/>
        <v>#DIV/0!</v>
      </c>
      <c r="H79" s="496" t="e">
        <f t="shared" si="61"/>
        <v>#DIV/0!</v>
      </c>
      <c r="I79" s="496" t="e">
        <f t="shared" si="61"/>
        <v>#DIV/0!</v>
      </c>
      <c r="J79" s="155"/>
      <c r="K79" s="496" t="e">
        <f t="shared" ref="K79:L79" si="62">-$C$17*K78</f>
        <v>#DIV/0!</v>
      </c>
      <c r="L79" s="496" t="e">
        <f t="shared" si="62"/>
        <v>#DIV/0!</v>
      </c>
      <c r="M79" s="155"/>
      <c r="N79" s="342" t="e">
        <f>SUM(C79:I79)</f>
        <v>#DIV/0!</v>
      </c>
    </row>
    <row r="80" spans="2:16" s="65" customFormat="1" ht="14.25" hidden="1" outlineLevel="1">
      <c r="B80" s="340" t="s">
        <v>114</v>
      </c>
      <c r="C80" s="343" t="e">
        <f>C77+C79</f>
        <v>#DIV/0!</v>
      </c>
      <c r="D80" s="339" t="e">
        <f t="shared" ref="D80" si="63">D77+D79</f>
        <v>#DIV/0!</v>
      </c>
      <c r="E80" s="339" t="e">
        <f t="shared" ref="E80" si="64">E77+E79</f>
        <v>#DIV/0!</v>
      </c>
      <c r="F80" s="339" t="e">
        <f t="shared" ref="F80" si="65">F77+F79</f>
        <v>#DIV/0!</v>
      </c>
      <c r="G80" s="339" t="e">
        <f t="shared" ref="G80" si="66">G77+G79</f>
        <v>#DIV/0!</v>
      </c>
      <c r="H80" s="339" t="e">
        <f t="shared" ref="H80" si="67">H77+H79</f>
        <v>#DIV/0!</v>
      </c>
      <c r="I80" s="339" t="e">
        <f t="shared" ref="I80" si="68">I77+I79</f>
        <v>#DIV/0!</v>
      </c>
      <c r="J80" s="155"/>
      <c r="K80" s="339" t="e">
        <f t="shared" ref="K80:L80" si="69">K77+K79</f>
        <v>#DIV/0!</v>
      </c>
      <c r="L80" s="339" t="e">
        <f t="shared" si="69"/>
        <v>#DIV/0!</v>
      </c>
      <c r="M80" s="155"/>
      <c r="N80" s="342" t="e">
        <f>SUM(C80:I80)</f>
        <v>#DIV/0!</v>
      </c>
    </row>
    <row r="81" spans="2:14" s="65" customFormat="1" hidden="1" outlineLevel="1">
      <c r="B81" s="327" t="s">
        <v>37</v>
      </c>
      <c r="C81" s="155"/>
      <c r="D81" s="321"/>
      <c r="E81" s="346"/>
      <c r="F81" s="322"/>
      <c r="G81" s="323"/>
      <c r="H81" s="324"/>
      <c r="I81" s="155"/>
      <c r="J81" s="155"/>
      <c r="K81" s="324"/>
      <c r="L81" s="155"/>
      <c r="M81" s="155"/>
      <c r="N81" s="347"/>
    </row>
    <row r="82" spans="2:14" s="65" customFormat="1" ht="14.25" hidden="1" outlineLevel="1">
      <c r="B82" s="340" t="s">
        <v>402</v>
      </c>
      <c r="C82" s="155"/>
      <c r="D82" s="155"/>
      <c r="E82" s="339">
        <f>E77*E85</f>
        <v>0</v>
      </c>
      <c r="F82" s="339">
        <f t="shared" ref="F82:H82" si="70">F77*F85</f>
        <v>0</v>
      </c>
      <c r="G82" s="339">
        <f t="shared" si="70"/>
        <v>0</v>
      </c>
      <c r="H82" s="339">
        <f t="shared" si="70"/>
        <v>0</v>
      </c>
      <c r="I82" s="339">
        <f t="shared" ref="I82" si="71">I77*I85</f>
        <v>0</v>
      </c>
      <c r="J82" s="155"/>
      <c r="K82" s="339">
        <f t="shared" ref="K82:L82" si="72">K77*K85</f>
        <v>0</v>
      </c>
      <c r="L82" s="339">
        <f t="shared" si="72"/>
        <v>0</v>
      </c>
      <c r="M82" s="155"/>
      <c r="N82" s="342">
        <f>SUM(C82:I82)</f>
        <v>0</v>
      </c>
    </row>
    <row r="83" spans="2:14" s="65" customFormat="1" ht="14.25" hidden="1" outlineLevel="1">
      <c r="B83" s="340" t="s">
        <v>115</v>
      </c>
      <c r="C83" s="155"/>
      <c r="D83" s="155"/>
      <c r="E83" s="339" t="e">
        <f>E79*E85</f>
        <v>#DIV/0!</v>
      </c>
      <c r="F83" s="339" t="e">
        <f t="shared" ref="F83:H83" si="73">F79*F85</f>
        <v>#DIV/0!</v>
      </c>
      <c r="G83" s="339" t="e">
        <f t="shared" si="73"/>
        <v>#DIV/0!</v>
      </c>
      <c r="H83" s="339" t="e">
        <f t="shared" si="73"/>
        <v>#DIV/0!</v>
      </c>
      <c r="I83" s="339" t="e">
        <f t="shared" ref="I83" si="74">I79*I85</f>
        <v>#DIV/0!</v>
      </c>
      <c r="J83" s="155"/>
      <c r="K83" s="339" t="e">
        <f t="shared" ref="K83:L83" si="75">K79*K85</f>
        <v>#DIV/0!</v>
      </c>
      <c r="L83" s="339" t="e">
        <f t="shared" si="75"/>
        <v>#DIV/0!</v>
      </c>
      <c r="M83" s="155"/>
      <c r="N83" s="348" t="e">
        <f>SUM(C83:I83)</f>
        <v>#DIV/0!</v>
      </c>
    </row>
    <row r="84" spans="2:14" s="65" customFormat="1" ht="14.25" hidden="1" outlineLevel="1">
      <c r="B84" s="340" t="s">
        <v>114</v>
      </c>
      <c r="C84" s="155"/>
      <c r="D84" s="155"/>
      <c r="E84" s="339" t="e">
        <f>E82+E83</f>
        <v>#DIV/0!</v>
      </c>
      <c r="F84" s="339" t="e">
        <f t="shared" ref="F84" si="76">F82+F83</f>
        <v>#DIV/0!</v>
      </c>
      <c r="G84" s="339" t="e">
        <f t="shared" ref="G84" si="77">G82+G83</f>
        <v>#DIV/0!</v>
      </c>
      <c r="H84" s="339" t="e">
        <f t="shared" ref="H84:I84" si="78">H82+H83</f>
        <v>#DIV/0!</v>
      </c>
      <c r="I84" s="339" t="e">
        <f t="shared" si="78"/>
        <v>#DIV/0!</v>
      </c>
      <c r="J84" s="155"/>
      <c r="K84" s="339" t="e">
        <f t="shared" ref="K84:L84" si="79">K82+K83</f>
        <v>#DIV/0!</v>
      </c>
      <c r="L84" s="339" t="e">
        <f t="shared" si="79"/>
        <v>#DIV/0!</v>
      </c>
      <c r="M84" s="155"/>
      <c r="N84" s="342" t="e">
        <f>SUM(C84:I84)</f>
        <v>#DIV/0!</v>
      </c>
    </row>
    <row r="85" spans="2:14" s="65" customFormat="1" ht="14.25" hidden="1" outlineLevel="1">
      <c r="B85" s="483" t="s">
        <v>399</v>
      </c>
      <c r="C85" s="520"/>
      <c r="D85" s="520"/>
      <c r="E85" s="520"/>
      <c r="F85" s="520"/>
      <c r="G85" s="520"/>
      <c r="H85" s="520"/>
      <c r="I85" s="520"/>
      <c r="J85" s="520"/>
      <c r="K85" s="520"/>
      <c r="L85" s="520"/>
      <c r="M85" s="520"/>
      <c r="N85" s="485"/>
    </row>
    <row r="86" spans="2:14" s="65" customFormat="1" ht="14.25" hidden="1" outlineLevel="1">
      <c r="C86" s="82"/>
    </row>
    <row r="87" spans="2:14" s="65" customFormat="1" ht="14.25" hidden="1" outlineLevel="1">
      <c r="B87" s="82"/>
      <c r="C87" s="329"/>
    </row>
    <row r="88" spans="2:14" s="65" customFormat="1" ht="45" hidden="1" outlineLevel="1">
      <c r="B88" s="335">
        <v>2015</v>
      </c>
      <c r="C88" s="312" t="str">
        <f>C75</f>
        <v>Residential</v>
      </c>
      <c r="D88" s="312" t="str">
        <f t="shared" ref="D88:J88" si="80">D75</f>
        <v>GS &lt; 50 kW</v>
      </c>
      <c r="E88" s="312" t="str">
        <f t="shared" si="80"/>
        <v>GS 50 to 2,999 kW</v>
      </c>
      <c r="F88" s="312" t="str">
        <f t="shared" si="80"/>
        <v>GS 50 to 2,999 kW with owned transformer</v>
      </c>
      <c r="G88" s="312" t="str">
        <f t="shared" si="80"/>
        <v>GS 3,000 to 4,999 kW</v>
      </c>
      <c r="H88" s="312" t="str">
        <f t="shared" si="80"/>
        <v>GS 3,000 to 4,999 kW with owned transformer</v>
      </c>
      <c r="I88" s="312" t="str">
        <f t="shared" si="80"/>
        <v>Large Use</v>
      </c>
      <c r="J88" s="312" t="str">
        <f t="shared" si="80"/>
        <v>Other</v>
      </c>
      <c r="K88" s="312" t="str">
        <f t="shared" ref="K88:M88" si="81">K75</f>
        <v>Unmetered Scattered Load</v>
      </c>
      <c r="L88" s="312" t="str">
        <f t="shared" si="81"/>
        <v>Sentinel Lighting</v>
      </c>
      <c r="M88" s="312" t="str">
        <f t="shared" si="81"/>
        <v>Other</v>
      </c>
      <c r="N88" s="336" t="s">
        <v>35</v>
      </c>
    </row>
    <row r="89" spans="2:14" s="65" customFormat="1" hidden="1" outlineLevel="1">
      <c r="B89" s="327" t="s">
        <v>36</v>
      </c>
      <c r="C89" s="314"/>
      <c r="D89" s="314"/>
      <c r="E89" s="314"/>
      <c r="F89" s="314"/>
      <c r="G89" s="314"/>
      <c r="H89" s="314"/>
      <c r="I89" s="314"/>
      <c r="J89" s="314"/>
      <c r="K89" s="314"/>
      <c r="L89" s="314"/>
      <c r="M89" s="314"/>
      <c r="N89" s="338"/>
    </row>
    <row r="90" spans="2:14" s="65" customFormat="1" ht="14.25" hidden="1" outlineLevel="1">
      <c r="B90" s="340" t="s">
        <v>401</v>
      </c>
      <c r="C90" s="316"/>
      <c r="D90" s="316"/>
      <c r="E90" s="316"/>
      <c r="F90" s="316"/>
      <c r="G90" s="316"/>
      <c r="H90" s="316"/>
      <c r="I90" s="316"/>
      <c r="J90" s="316"/>
      <c r="K90" s="316"/>
      <c r="L90" s="316"/>
      <c r="M90" s="316"/>
      <c r="N90" s="342">
        <f>SUM(C90:I90)</f>
        <v>0</v>
      </c>
    </row>
    <row r="91" spans="2:14" s="65" customFormat="1" ht="14.25" hidden="1" outlineLevel="1">
      <c r="B91" s="340" t="s">
        <v>113</v>
      </c>
      <c r="C91" s="481" t="e">
        <f>C90/$N$90</f>
        <v>#DIV/0!</v>
      </c>
      <c r="D91" s="481" t="e">
        <f>D90/$N$90</f>
        <v>#DIV/0!</v>
      </c>
      <c r="E91" s="481" t="e">
        <f>E90/$N$90</f>
        <v>#DIV/0!</v>
      </c>
      <c r="F91" s="481" t="e">
        <f t="shared" ref="F91:I91" si="82">F90/$N$90</f>
        <v>#DIV/0!</v>
      </c>
      <c r="G91" s="481" t="e">
        <f t="shared" si="82"/>
        <v>#DIV/0!</v>
      </c>
      <c r="H91" s="481" t="e">
        <f t="shared" si="82"/>
        <v>#DIV/0!</v>
      </c>
      <c r="I91" s="481" t="e">
        <f t="shared" si="82"/>
        <v>#DIV/0!</v>
      </c>
      <c r="J91" s="155"/>
      <c r="K91" s="481" t="e">
        <f t="shared" ref="K91:L91" si="83">K90/$N$90</f>
        <v>#DIV/0!</v>
      </c>
      <c r="L91" s="481" t="e">
        <f t="shared" si="83"/>
        <v>#DIV/0!</v>
      </c>
      <c r="M91" s="155"/>
      <c r="N91" s="479" t="e">
        <f>SUM(C91:I91)</f>
        <v>#DIV/0!</v>
      </c>
    </row>
    <row r="92" spans="2:14" s="65" customFormat="1" ht="14.25" hidden="1" outlineLevel="1">
      <c r="B92" s="340" t="s">
        <v>331</v>
      </c>
      <c r="C92" s="496" t="e">
        <f t="shared" ref="C92:I92" si="84">-$C$18*C91</f>
        <v>#DIV/0!</v>
      </c>
      <c r="D92" s="496" t="e">
        <f t="shared" si="84"/>
        <v>#DIV/0!</v>
      </c>
      <c r="E92" s="496" t="e">
        <f t="shared" si="84"/>
        <v>#DIV/0!</v>
      </c>
      <c r="F92" s="496" t="e">
        <f t="shared" si="84"/>
        <v>#DIV/0!</v>
      </c>
      <c r="G92" s="496" t="e">
        <f t="shared" si="84"/>
        <v>#DIV/0!</v>
      </c>
      <c r="H92" s="496" t="e">
        <f t="shared" si="84"/>
        <v>#DIV/0!</v>
      </c>
      <c r="I92" s="496" t="e">
        <f t="shared" si="84"/>
        <v>#DIV/0!</v>
      </c>
      <c r="J92" s="155"/>
      <c r="K92" s="496" t="e">
        <f t="shared" ref="K92:L92" si="85">-$C$18*K91</f>
        <v>#DIV/0!</v>
      </c>
      <c r="L92" s="496" t="e">
        <f t="shared" si="85"/>
        <v>#DIV/0!</v>
      </c>
      <c r="M92" s="155"/>
      <c r="N92" s="342" t="e">
        <f>SUM(C92:I92)</f>
        <v>#DIV/0!</v>
      </c>
    </row>
    <row r="93" spans="2:14" s="65" customFormat="1" ht="14.25" hidden="1" outlineLevel="1">
      <c r="B93" s="340" t="s">
        <v>114</v>
      </c>
      <c r="C93" s="343" t="e">
        <f>C90+C92</f>
        <v>#DIV/0!</v>
      </c>
      <c r="D93" s="339" t="e">
        <f t="shared" ref="D93:I93" si="86">D90+D92</f>
        <v>#DIV/0!</v>
      </c>
      <c r="E93" s="339" t="e">
        <f t="shared" si="86"/>
        <v>#DIV/0!</v>
      </c>
      <c r="F93" s="339" t="e">
        <f t="shared" si="86"/>
        <v>#DIV/0!</v>
      </c>
      <c r="G93" s="339" t="e">
        <f t="shared" si="86"/>
        <v>#DIV/0!</v>
      </c>
      <c r="H93" s="339" t="e">
        <f t="shared" si="86"/>
        <v>#DIV/0!</v>
      </c>
      <c r="I93" s="339" t="e">
        <f t="shared" si="86"/>
        <v>#DIV/0!</v>
      </c>
      <c r="J93" s="155"/>
      <c r="K93" s="339" t="e">
        <f t="shared" ref="K93:L93" si="87">K90+K92</f>
        <v>#DIV/0!</v>
      </c>
      <c r="L93" s="339" t="e">
        <f t="shared" si="87"/>
        <v>#DIV/0!</v>
      </c>
      <c r="M93" s="155"/>
      <c r="N93" s="342" t="e">
        <f>SUM(C93:I93)</f>
        <v>#DIV/0!</v>
      </c>
    </row>
    <row r="94" spans="2:14" s="65" customFormat="1" hidden="1" outlineLevel="1">
      <c r="B94" s="327" t="s">
        <v>37</v>
      </c>
      <c r="C94" s="155"/>
      <c r="D94" s="321"/>
      <c r="E94" s="346"/>
      <c r="F94" s="322"/>
      <c r="G94" s="323"/>
      <c r="H94" s="324"/>
      <c r="I94" s="155"/>
      <c r="J94" s="155"/>
      <c r="K94" s="324"/>
      <c r="L94" s="155"/>
      <c r="M94" s="155"/>
      <c r="N94" s="347"/>
    </row>
    <row r="95" spans="2:14" s="65" customFormat="1" ht="14.25" hidden="1" outlineLevel="1">
      <c r="B95" s="340" t="s">
        <v>402</v>
      </c>
      <c r="C95" s="155"/>
      <c r="D95" s="155"/>
      <c r="E95" s="339">
        <v>64526</v>
      </c>
      <c r="F95" s="339">
        <v>35242</v>
      </c>
      <c r="G95" s="339">
        <f t="shared" ref="G95:H95" si="88">G90*G98</f>
        <v>0</v>
      </c>
      <c r="H95" s="339">
        <f t="shared" si="88"/>
        <v>0</v>
      </c>
      <c r="I95" s="155"/>
      <c r="J95" s="155"/>
      <c r="K95" s="339">
        <f t="shared" ref="K95" si="89">K90*K98</f>
        <v>0</v>
      </c>
      <c r="L95" s="155"/>
      <c r="M95" s="155"/>
      <c r="N95" s="342">
        <f>SUM(C95:I95)</f>
        <v>99768</v>
      </c>
    </row>
    <row r="96" spans="2:14" s="65" customFormat="1" ht="14.25" hidden="1" outlineLevel="1">
      <c r="B96" s="340" t="s">
        <v>115</v>
      </c>
      <c r="C96" s="155"/>
      <c r="D96" s="155"/>
      <c r="E96" s="339">
        <f>-64526</f>
        <v>-64526</v>
      </c>
      <c r="F96" s="339">
        <v>-35242</v>
      </c>
      <c r="G96" s="339" t="e">
        <f t="shared" ref="G96:H96" si="90">G92*G98</f>
        <v>#DIV/0!</v>
      </c>
      <c r="H96" s="339" t="e">
        <f t="shared" si="90"/>
        <v>#DIV/0!</v>
      </c>
      <c r="I96" s="155"/>
      <c r="J96" s="155"/>
      <c r="K96" s="339" t="e">
        <f t="shared" ref="K96" si="91">K92*K98</f>
        <v>#DIV/0!</v>
      </c>
      <c r="L96" s="155"/>
      <c r="M96" s="155"/>
      <c r="N96" s="348" t="e">
        <f>SUM(C96:I96)</f>
        <v>#DIV/0!</v>
      </c>
    </row>
    <row r="97" spans="2:15" s="65" customFormat="1" ht="14.25" hidden="1" outlineLevel="1">
      <c r="B97" s="340" t="s">
        <v>114</v>
      </c>
      <c r="C97" s="155"/>
      <c r="D97" s="155"/>
      <c r="E97" s="339">
        <f>E95+E96</f>
        <v>0</v>
      </c>
      <c r="F97" s="339">
        <f t="shared" ref="F97:H97" si="92">F95+F96</f>
        <v>0</v>
      </c>
      <c r="G97" s="339" t="e">
        <f t="shared" si="92"/>
        <v>#DIV/0!</v>
      </c>
      <c r="H97" s="339" t="e">
        <f t="shared" si="92"/>
        <v>#DIV/0!</v>
      </c>
      <c r="I97" s="155"/>
      <c r="J97" s="155"/>
      <c r="K97" s="339" t="e">
        <f t="shared" ref="K97" si="93">K95+K96</f>
        <v>#DIV/0!</v>
      </c>
      <c r="L97" s="155"/>
      <c r="M97" s="155"/>
      <c r="N97" s="342" t="e">
        <f>SUM(C97:I97)</f>
        <v>#DIV/0!</v>
      </c>
    </row>
    <row r="98" spans="2:15" s="65" customFormat="1" ht="14.25" hidden="1" outlineLevel="1">
      <c r="B98" s="483" t="s">
        <v>399</v>
      </c>
      <c r="C98" s="520"/>
      <c r="D98" s="520"/>
      <c r="E98" s="520"/>
      <c r="F98" s="520"/>
      <c r="G98" s="520"/>
      <c r="H98" s="520"/>
      <c r="I98" s="520"/>
      <c r="J98" s="520"/>
      <c r="K98" s="520"/>
      <c r="L98" s="520"/>
      <c r="M98" s="520"/>
      <c r="N98" s="485"/>
    </row>
    <row r="99" spans="2:15" s="65" customFormat="1" ht="14.25" hidden="1" outlineLevel="1">
      <c r="B99" s="82"/>
    </row>
    <row r="100" spans="2:15" s="65" customFormat="1" ht="14.25" hidden="1" outlineLevel="1">
      <c r="B100" s="82"/>
    </row>
    <row r="101" spans="2:15" s="65" customFormat="1" ht="45" hidden="1" outlineLevel="1">
      <c r="B101" s="335">
        <v>2016</v>
      </c>
      <c r="C101" s="312" t="str">
        <f>C88</f>
        <v>Residential</v>
      </c>
      <c r="D101" s="312" t="str">
        <f t="shared" ref="D101:J101" si="94">D88</f>
        <v>GS &lt; 50 kW</v>
      </c>
      <c r="E101" s="312" t="str">
        <f t="shared" si="94"/>
        <v>GS 50 to 2,999 kW</v>
      </c>
      <c r="F101" s="312" t="str">
        <f t="shared" si="94"/>
        <v>GS 50 to 2,999 kW with owned transformer</v>
      </c>
      <c r="G101" s="312" t="str">
        <f t="shared" si="94"/>
        <v>GS 3,000 to 4,999 kW</v>
      </c>
      <c r="H101" s="312" t="str">
        <f t="shared" si="94"/>
        <v>GS 3,000 to 4,999 kW with owned transformer</v>
      </c>
      <c r="I101" s="312" t="str">
        <f t="shared" si="94"/>
        <v>Large Use</v>
      </c>
      <c r="J101" s="312" t="str">
        <f t="shared" si="94"/>
        <v>Other</v>
      </c>
      <c r="K101" s="312" t="str">
        <f t="shared" ref="K101:M101" si="95">K88</f>
        <v>Unmetered Scattered Load</v>
      </c>
      <c r="L101" s="312" t="str">
        <f t="shared" si="95"/>
        <v>Sentinel Lighting</v>
      </c>
      <c r="M101" s="312" t="str">
        <f t="shared" si="95"/>
        <v>Other</v>
      </c>
      <c r="N101" s="336" t="s">
        <v>35</v>
      </c>
    </row>
    <row r="102" spans="2:15" s="65" customFormat="1" hidden="1" outlineLevel="1">
      <c r="B102" s="327" t="s">
        <v>36</v>
      </c>
      <c r="C102" s="314"/>
      <c r="D102" s="314"/>
      <c r="E102" s="314"/>
      <c r="F102" s="314"/>
      <c r="G102" s="314"/>
      <c r="H102" s="314"/>
      <c r="I102" s="314"/>
      <c r="J102" s="314"/>
      <c r="K102" s="314"/>
      <c r="L102" s="314"/>
      <c r="M102" s="314"/>
      <c r="N102" s="338"/>
    </row>
    <row r="103" spans="2:15" s="65" customFormat="1" ht="14.25" hidden="1" outlineLevel="1">
      <c r="B103" s="340" t="s">
        <v>401</v>
      </c>
      <c r="C103" s="316"/>
      <c r="D103" s="316"/>
      <c r="E103" s="316"/>
      <c r="F103" s="316"/>
      <c r="G103" s="316"/>
      <c r="H103" s="316"/>
      <c r="I103" s="316"/>
      <c r="J103" s="316"/>
      <c r="K103" s="316"/>
      <c r="L103" s="316"/>
      <c r="M103" s="316"/>
      <c r="N103" s="342">
        <f>SUM(C103:I103)</f>
        <v>0</v>
      </c>
    </row>
    <row r="104" spans="2:15" s="23" customFormat="1" hidden="1" outlineLevel="1">
      <c r="B104" s="340" t="s">
        <v>113</v>
      </c>
      <c r="C104" s="481" t="e">
        <f t="shared" ref="C104:I104" si="96">C103/$N$103</f>
        <v>#DIV/0!</v>
      </c>
      <c r="D104" s="481" t="e">
        <f t="shared" si="96"/>
        <v>#DIV/0!</v>
      </c>
      <c r="E104" s="481" t="e">
        <f t="shared" si="96"/>
        <v>#DIV/0!</v>
      </c>
      <c r="F104" s="481" t="e">
        <f t="shared" si="96"/>
        <v>#DIV/0!</v>
      </c>
      <c r="G104" s="481" t="e">
        <f t="shared" si="96"/>
        <v>#DIV/0!</v>
      </c>
      <c r="H104" s="481" t="e">
        <f t="shared" si="96"/>
        <v>#DIV/0!</v>
      </c>
      <c r="I104" s="481" t="e">
        <f t="shared" si="96"/>
        <v>#DIV/0!</v>
      </c>
      <c r="J104" s="155"/>
      <c r="K104" s="481" t="e">
        <f t="shared" ref="K104:L104" si="97">K103/$N$103</f>
        <v>#DIV/0!</v>
      </c>
      <c r="L104" s="481" t="e">
        <f t="shared" si="97"/>
        <v>#DIV/0!</v>
      </c>
      <c r="M104" s="155"/>
      <c r="N104" s="479" t="e">
        <f>SUM(C104:I104)</f>
        <v>#DIV/0!</v>
      </c>
      <c r="O104" s="65"/>
    </row>
    <row r="105" spans="2:15" s="23" customFormat="1" hidden="1" outlineLevel="1">
      <c r="B105" s="340" t="s">
        <v>331</v>
      </c>
      <c r="C105" s="496" t="e">
        <f>-$C$19*C104</f>
        <v>#DIV/0!</v>
      </c>
      <c r="D105" s="496" t="e">
        <f t="shared" ref="D105:I105" si="98">-$C$19*D104</f>
        <v>#DIV/0!</v>
      </c>
      <c r="E105" s="496" t="e">
        <f t="shared" si="98"/>
        <v>#DIV/0!</v>
      </c>
      <c r="F105" s="496" t="e">
        <f t="shared" si="98"/>
        <v>#DIV/0!</v>
      </c>
      <c r="G105" s="496" t="e">
        <f t="shared" si="98"/>
        <v>#DIV/0!</v>
      </c>
      <c r="H105" s="496" t="e">
        <f t="shared" si="98"/>
        <v>#DIV/0!</v>
      </c>
      <c r="I105" s="496" t="e">
        <f t="shared" si="98"/>
        <v>#DIV/0!</v>
      </c>
      <c r="J105" s="155"/>
      <c r="K105" s="496" t="e">
        <f t="shared" ref="K105:L105" si="99">-$C$19*K104</f>
        <v>#DIV/0!</v>
      </c>
      <c r="L105" s="496" t="e">
        <f t="shared" si="99"/>
        <v>#DIV/0!</v>
      </c>
      <c r="M105" s="155"/>
      <c r="N105" s="342" t="e">
        <f>SUM(C105:I105)</f>
        <v>#DIV/0!</v>
      </c>
    </row>
    <row r="106" spans="2:15" s="23" customFormat="1" hidden="1" outlineLevel="1">
      <c r="B106" s="340" t="s">
        <v>114</v>
      </c>
      <c r="C106" s="343" t="e">
        <f>C103+C105</f>
        <v>#DIV/0!</v>
      </c>
      <c r="D106" s="339" t="e">
        <f t="shared" ref="D106:I106" si="100">D103+D105</f>
        <v>#DIV/0!</v>
      </c>
      <c r="E106" s="339" t="e">
        <f t="shared" si="100"/>
        <v>#DIV/0!</v>
      </c>
      <c r="F106" s="339" t="e">
        <f t="shared" si="100"/>
        <v>#DIV/0!</v>
      </c>
      <c r="G106" s="339" t="e">
        <f t="shared" si="100"/>
        <v>#DIV/0!</v>
      </c>
      <c r="H106" s="339" t="e">
        <f t="shared" si="100"/>
        <v>#DIV/0!</v>
      </c>
      <c r="I106" s="339" t="e">
        <f t="shared" si="100"/>
        <v>#DIV/0!</v>
      </c>
      <c r="J106" s="155"/>
      <c r="K106" s="339" t="e">
        <f t="shared" ref="K106:L106" si="101">K103+K105</f>
        <v>#DIV/0!</v>
      </c>
      <c r="L106" s="339" t="e">
        <f t="shared" si="101"/>
        <v>#DIV/0!</v>
      </c>
      <c r="M106" s="155"/>
      <c r="N106" s="342" t="e">
        <f>SUM(C106:I106)</f>
        <v>#DIV/0!</v>
      </c>
    </row>
    <row r="107" spans="2:15" s="23" customFormat="1" hidden="1" outlineLevel="1">
      <c r="B107" s="327" t="s">
        <v>37</v>
      </c>
      <c r="C107" s="155"/>
      <c r="D107" s="321"/>
      <c r="E107" s="346"/>
      <c r="F107" s="322"/>
      <c r="G107" s="323"/>
      <c r="H107" s="324"/>
      <c r="I107" s="155"/>
      <c r="J107" s="155"/>
      <c r="K107" s="324"/>
      <c r="L107" s="155"/>
      <c r="M107" s="155"/>
      <c r="N107" s="347"/>
    </row>
    <row r="108" spans="2:15" s="23" customFormat="1" hidden="1" outlineLevel="1">
      <c r="B108" s="340" t="s">
        <v>402</v>
      </c>
      <c r="C108" s="155"/>
      <c r="D108" s="155"/>
      <c r="E108" s="339">
        <v>64526</v>
      </c>
      <c r="F108" s="339">
        <v>35242</v>
      </c>
      <c r="G108" s="339">
        <f t="shared" ref="G108:H108" si="102">G103*G111</f>
        <v>0</v>
      </c>
      <c r="H108" s="339">
        <f t="shared" si="102"/>
        <v>0</v>
      </c>
      <c r="I108" s="155"/>
      <c r="J108" s="155"/>
      <c r="K108" s="339">
        <f t="shared" ref="K108" si="103">K103*K111</f>
        <v>0</v>
      </c>
      <c r="L108" s="155"/>
      <c r="M108" s="155"/>
      <c r="N108" s="342">
        <f>SUM(C108:I108)</f>
        <v>99768</v>
      </c>
    </row>
    <row r="109" spans="2:15" s="23" customFormat="1" hidden="1" outlineLevel="1">
      <c r="B109" s="340" t="s">
        <v>115</v>
      </c>
      <c r="C109" s="155"/>
      <c r="D109" s="155"/>
      <c r="E109" s="339">
        <f>-64526</f>
        <v>-64526</v>
      </c>
      <c r="F109" s="339">
        <v>-35242</v>
      </c>
      <c r="G109" s="339" t="e">
        <f t="shared" ref="G109:H109" si="104">G105*G111</f>
        <v>#DIV/0!</v>
      </c>
      <c r="H109" s="339" t="e">
        <f t="shared" si="104"/>
        <v>#DIV/0!</v>
      </c>
      <c r="I109" s="155"/>
      <c r="J109" s="155"/>
      <c r="K109" s="339" t="e">
        <f t="shared" ref="K109" si="105">K105*K111</f>
        <v>#DIV/0!</v>
      </c>
      <c r="L109" s="155"/>
      <c r="M109" s="155"/>
      <c r="N109" s="348" t="e">
        <f>SUM(C109:I109)</f>
        <v>#DIV/0!</v>
      </c>
    </row>
    <row r="110" spans="2:15" s="23" customFormat="1" hidden="1" outlineLevel="1">
      <c r="B110" s="340" t="s">
        <v>114</v>
      </c>
      <c r="C110" s="155"/>
      <c r="D110" s="155"/>
      <c r="E110" s="339">
        <f>E108+E109</f>
        <v>0</v>
      </c>
      <c r="F110" s="339">
        <f t="shared" ref="F110:H110" si="106">F108+F109</f>
        <v>0</v>
      </c>
      <c r="G110" s="339" t="e">
        <f t="shared" si="106"/>
        <v>#DIV/0!</v>
      </c>
      <c r="H110" s="339" t="e">
        <f t="shared" si="106"/>
        <v>#DIV/0!</v>
      </c>
      <c r="I110" s="155"/>
      <c r="J110" s="155"/>
      <c r="K110" s="339" t="e">
        <f t="shared" ref="K110" si="107">K108+K109</f>
        <v>#DIV/0!</v>
      </c>
      <c r="L110" s="155"/>
      <c r="M110" s="155"/>
      <c r="N110" s="342" t="e">
        <f>SUM(C110:I110)</f>
        <v>#DIV/0!</v>
      </c>
    </row>
    <row r="111" spans="2:15" s="23" customFormat="1" hidden="1" outlineLevel="1">
      <c r="B111" s="483" t="s">
        <v>399</v>
      </c>
      <c r="C111" s="520"/>
      <c r="D111" s="520"/>
      <c r="E111" s="520"/>
      <c r="F111" s="520"/>
      <c r="G111" s="520"/>
      <c r="H111" s="520"/>
      <c r="I111" s="520"/>
      <c r="J111" s="520"/>
      <c r="K111" s="520"/>
      <c r="L111" s="520"/>
      <c r="M111" s="520"/>
      <c r="N111" s="485"/>
    </row>
    <row r="112" spans="2:15" s="23" customFormat="1" hidden="1" outlineLevel="1">
      <c r="B112" s="64"/>
    </row>
    <row r="113" spans="2:15" s="23" customFormat="1" hidden="1" outlineLevel="1">
      <c r="B113" s="64"/>
    </row>
    <row r="114" spans="2:15" s="23" customFormat="1" ht="45" hidden="1" outlineLevel="1">
      <c r="B114" s="335">
        <v>2017</v>
      </c>
      <c r="C114" s="312" t="str">
        <f>C101</f>
        <v>Residential</v>
      </c>
      <c r="D114" s="312" t="str">
        <f t="shared" ref="D114:J114" si="108">D101</f>
        <v>GS &lt; 50 kW</v>
      </c>
      <c r="E114" s="312" t="str">
        <f t="shared" si="108"/>
        <v>GS 50 to 2,999 kW</v>
      </c>
      <c r="F114" s="312" t="str">
        <f t="shared" si="108"/>
        <v>GS 50 to 2,999 kW with owned transformer</v>
      </c>
      <c r="G114" s="312" t="str">
        <f t="shared" si="108"/>
        <v>GS 3,000 to 4,999 kW</v>
      </c>
      <c r="H114" s="312" t="str">
        <f t="shared" si="108"/>
        <v>GS 3,000 to 4,999 kW with owned transformer</v>
      </c>
      <c r="I114" s="312" t="str">
        <f t="shared" si="108"/>
        <v>Large Use</v>
      </c>
      <c r="J114" s="312" t="str">
        <f t="shared" si="108"/>
        <v>Other</v>
      </c>
      <c r="K114" s="312" t="str">
        <f t="shared" ref="K114:M114" si="109">K101</f>
        <v>Unmetered Scattered Load</v>
      </c>
      <c r="L114" s="312" t="str">
        <f t="shared" si="109"/>
        <v>Sentinel Lighting</v>
      </c>
      <c r="M114" s="312" t="str">
        <f t="shared" si="109"/>
        <v>Other</v>
      </c>
      <c r="N114" s="336" t="s">
        <v>35</v>
      </c>
    </row>
    <row r="115" spans="2:15" s="23" customFormat="1" hidden="1" outlineLevel="1">
      <c r="B115" s="327" t="s">
        <v>36</v>
      </c>
      <c r="C115" s="314"/>
      <c r="D115" s="314"/>
      <c r="E115" s="314"/>
      <c r="F115" s="314"/>
      <c r="G115" s="314"/>
      <c r="H115" s="314"/>
      <c r="I115" s="314"/>
      <c r="J115" s="314"/>
      <c r="K115" s="314"/>
      <c r="L115" s="314"/>
      <c r="M115" s="314"/>
      <c r="N115" s="338"/>
    </row>
    <row r="116" spans="2:15" s="23" customFormat="1" hidden="1" outlineLevel="1">
      <c r="B116" s="340" t="s">
        <v>401</v>
      </c>
      <c r="C116" s="316"/>
      <c r="D116" s="316"/>
      <c r="E116" s="316"/>
      <c r="F116" s="316"/>
      <c r="G116" s="316"/>
      <c r="H116" s="316"/>
      <c r="I116" s="316"/>
      <c r="J116" s="316"/>
      <c r="K116" s="316"/>
      <c r="L116" s="316"/>
      <c r="M116" s="316"/>
      <c r="N116" s="342">
        <f>SUM(C116:I116)</f>
        <v>0</v>
      </c>
    </row>
    <row r="117" spans="2:15" s="23" customFormat="1" hidden="1" outlineLevel="1">
      <c r="B117" s="340" t="s">
        <v>113</v>
      </c>
      <c r="C117" s="481" t="e">
        <f t="shared" ref="C117:I117" si="110">C116/$N$116</f>
        <v>#DIV/0!</v>
      </c>
      <c r="D117" s="481" t="e">
        <f t="shared" si="110"/>
        <v>#DIV/0!</v>
      </c>
      <c r="E117" s="481" t="e">
        <f t="shared" si="110"/>
        <v>#DIV/0!</v>
      </c>
      <c r="F117" s="481" t="e">
        <f t="shared" si="110"/>
        <v>#DIV/0!</v>
      </c>
      <c r="G117" s="481" t="e">
        <f t="shared" si="110"/>
        <v>#DIV/0!</v>
      </c>
      <c r="H117" s="481" t="e">
        <f t="shared" si="110"/>
        <v>#DIV/0!</v>
      </c>
      <c r="I117" s="481" t="e">
        <f t="shared" si="110"/>
        <v>#DIV/0!</v>
      </c>
      <c r="J117" s="155"/>
      <c r="K117" s="481" t="e">
        <f t="shared" ref="K117:L117" si="111">K116/$N$116</f>
        <v>#DIV/0!</v>
      </c>
      <c r="L117" s="481" t="e">
        <f t="shared" si="111"/>
        <v>#DIV/0!</v>
      </c>
      <c r="M117" s="155"/>
      <c r="N117" s="479" t="e">
        <f>SUM(C117:I117)</f>
        <v>#DIV/0!</v>
      </c>
      <c r="O117" s="65"/>
    </row>
    <row r="118" spans="2:15" s="23" customFormat="1" hidden="1" outlineLevel="1">
      <c r="B118" s="340" t="s">
        <v>331</v>
      </c>
      <c r="C118" s="496" t="e">
        <f>-$C$20*C117</f>
        <v>#DIV/0!</v>
      </c>
      <c r="D118" s="496" t="e">
        <f t="shared" ref="D118:I118" si="112">-$C$20*D117</f>
        <v>#DIV/0!</v>
      </c>
      <c r="E118" s="496" t="e">
        <f t="shared" si="112"/>
        <v>#DIV/0!</v>
      </c>
      <c r="F118" s="496" t="e">
        <f t="shared" si="112"/>
        <v>#DIV/0!</v>
      </c>
      <c r="G118" s="496" t="e">
        <f t="shared" si="112"/>
        <v>#DIV/0!</v>
      </c>
      <c r="H118" s="496" t="e">
        <f t="shared" si="112"/>
        <v>#DIV/0!</v>
      </c>
      <c r="I118" s="496" t="e">
        <f t="shared" si="112"/>
        <v>#DIV/0!</v>
      </c>
      <c r="J118" s="155"/>
      <c r="K118" s="496" t="e">
        <f t="shared" ref="K118:L118" si="113">-$C$20*K117</f>
        <v>#DIV/0!</v>
      </c>
      <c r="L118" s="496" t="e">
        <f t="shared" si="113"/>
        <v>#DIV/0!</v>
      </c>
      <c r="M118" s="155"/>
      <c r="N118" s="342" t="e">
        <f>SUM(C118:I118)</f>
        <v>#DIV/0!</v>
      </c>
    </row>
    <row r="119" spans="2:15" s="23" customFormat="1" hidden="1" outlineLevel="1">
      <c r="B119" s="340" t="s">
        <v>114</v>
      </c>
      <c r="C119" s="343" t="e">
        <f>C116+C118</f>
        <v>#DIV/0!</v>
      </c>
      <c r="D119" s="339" t="e">
        <f>D116+D118</f>
        <v>#DIV/0!</v>
      </c>
      <c r="E119" s="339" t="e">
        <f t="shared" ref="E119:I119" si="114">E116+E118</f>
        <v>#DIV/0!</v>
      </c>
      <c r="F119" s="339" t="e">
        <f t="shared" si="114"/>
        <v>#DIV/0!</v>
      </c>
      <c r="G119" s="339" t="e">
        <f t="shared" si="114"/>
        <v>#DIV/0!</v>
      </c>
      <c r="H119" s="339" t="e">
        <f t="shared" si="114"/>
        <v>#DIV/0!</v>
      </c>
      <c r="I119" s="339" t="e">
        <f t="shared" si="114"/>
        <v>#DIV/0!</v>
      </c>
      <c r="J119" s="155"/>
      <c r="K119" s="339" t="e">
        <f t="shared" ref="K119:L119" si="115">K116+K118</f>
        <v>#DIV/0!</v>
      </c>
      <c r="L119" s="339" t="e">
        <f t="shared" si="115"/>
        <v>#DIV/0!</v>
      </c>
      <c r="M119" s="155"/>
      <c r="N119" s="342" t="e">
        <f>SUM(C119:I119)</f>
        <v>#DIV/0!</v>
      </c>
    </row>
    <row r="120" spans="2:15" s="23" customFormat="1" hidden="1" outlineLevel="1">
      <c r="B120" s="327" t="s">
        <v>37</v>
      </c>
      <c r="C120" s="155"/>
      <c r="D120" s="321"/>
      <c r="E120" s="339">
        <v>64526</v>
      </c>
      <c r="F120" s="339">
        <v>35242</v>
      </c>
      <c r="G120" s="323"/>
      <c r="H120" s="324"/>
      <c r="I120" s="155"/>
      <c r="J120" s="155"/>
      <c r="K120" s="324"/>
      <c r="L120" s="155"/>
      <c r="M120" s="155"/>
      <c r="N120" s="347"/>
    </row>
    <row r="121" spans="2:15" s="23" customFormat="1" hidden="1" outlineLevel="1">
      <c r="B121" s="340" t="s">
        <v>402</v>
      </c>
      <c r="C121" s="155"/>
      <c r="D121" s="155"/>
      <c r="E121" s="339">
        <f>-64526</f>
        <v>-64526</v>
      </c>
      <c r="F121" s="339">
        <v>-35242</v>
      </c>
      <c r="G121" s="339">
        <f t="shared" ref="G121:H121" si="116">G116*G124</f>
        <v>0</v>
      </c>
      <c r="H121" s="339">
        <f t="shared" si="116"/>
        <v>0</v>
      </c>
      <c r="I121" s="155"/>
      <c r="J121" s="155"/>
      <c r="K121" s="339">
        <f t="shared" ref="K121" si="117">K116*K124</f>
        <v>0</v>
      </c>
      <c r="L121" s="155"/>
      <c r="M121" s="155"/>
      <c r="N121" s="342">
        <f>SUM(C121:I121)</f>
        <v>-99768</v>
      </c>
    </row>
    <row r="122" spans="2:15" s="23" customFormat="1" hidden="1" outlineLevel="1">
      <c r="B122" s="340" t="s">
        <v>115</v>
      </c>
      <c r="C122" s="155"/>
      <c r="D122" s="155"/>
      <c r="E122" s="339" t="e">
        <f>E118*E124</f>
        <v>#DIV/0!</v>
      </c>
      <c r="F122" s="339" t="e">
        <f t="shared" ref="F122:H122" si="118">F118*F124</f>
        <v>#DIV/0!</v>
      </c>
      <c r="G122" s="339" t="e">
        <f t="shared" si="118"/>
        <v>#DIV/0!</v>
      </c>
      <c r="H122" s="339" t="e">
        <f t="shared" si="118"/>
        <v>#DIV/0!</v>
      </c>
      <c r="I122" s="155"/>
      <c r="J122" s="155"/>
      <c r="K122" s="339" t="e">
        <f t="shared" ref="K122" si="119">K118*K124</f>
        <v>#DIV/0!</v>
      </c>
      <c r="L122" s="155"/>
      <c r="M122" s="155"/>
      <c r="N122" s="348" t="e">
        <f>SUM(C122:I122)</f>
        <v>#DIV/0!</v>
      </c>
    </row>
    <row r="123" spans="2:15" s="23" customFormat="1" hidden="1" outlineLevel="1">
      <c r="B123" s="340" t="s">
        <v>114</v>
      </c>
      <c r="C123" s="155"/>
      <c r="D123" s="155"/>
      <c r="E123" s="339" t="e">
        <f>E121+E122</f>
        <v>#DIV/0!</v>
      </c>
      <c r="F123" s="339" t="e">
        <f t="shared" ref="F123:H123" si="120">F121+F122</f>
        <v>#DIV/0!</v>
      </c>
      <c r="G123" s="339" t="e">
        <f t="shared" si="120"/>
        <v>#DIV/0!</v>
      </c>
      <c r="H123" s="339" t="e">
        <f t="shared" si="120"/>
        <v>#DIV/0!</v>
      </c>
      <c r="I123" s="155"/>
      <c r="J123" s="155"/>
      <c r="K123" s="339" t="e">
        <f t="shared" ref="K123" si="121">K121+K122</f>
        <v>#DIV/0!</v>
      </c>
      <c r="L123" s="155"/>
      <c r="M123" s="155"/>
      <c r="N123" s="342" t="e">
        <f>SUM(C123:I123)</f>
        <v>#DIV/0!</v>
      </c>
    </row>
    <row r="124" spans="2:15" s="23" customFormat="1" hidden="1" outlineLevel="1">
      <c r="B124" s="483" t="s">
        <v>399</v>
      </c>
      <c r="C124" s="326"/>
      <c r="D124" s="326"/>
      <c r="E124" s="499"/>
      <c r="F124" s="499"/>
      <c r="G124" s="499"/>
      <c r="H124" s="499"/>
      <c r="I124" s="326"/>
      <c r="J124" s="325"/>
      <c r="K124" s="499"/>
      <c r="L124" s="326"/>
      <c r="M124" s="325"/>
      <c r="N124" s="485"/>
    </row>
    <row r="125" spans="2:15" s="23" customFormat="1" outlineLevel="1">
      <c r="B125" s="64"/>
    </row>
    <row r="126" spans="2:15" s="23" customFormat="1" outlineLevel="1">
      <c r="B126" s="64" t="s">
        <v>523</v>
      </c>
      <c r="C126" s="587" t="s">
        <v>529</v>
      </c>
    </row>
    <row r="127" spans="2:15" s="23" customFormat="1" outlineLevel="1">
      <c r="B127" s="64"/>
    </row>
    <row r="128" spans="2:15" s="23" customFormat="1">
      <c r="B128" s="64"/>
    </row>
    <row r="129" spans="2:14" s="55" customFormat="1" ht="16.5" customHeight="1">
      <c r="B129" s="364"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2">C24</f>
        <v>Residential</v>
      </c>
      <c r="D131" s="101" t="str">
        <f t="shared" si="122"/>
        <v>GS &lt; 50 kW</v>
      </c>
      <c r="E131" s="101" t="str">
        <f t="shared" si="122"/>
        <v>GS 50 to 2,999 kW</v>
      </c>
      <c r="F131" s="101" t="str">
        <f t="shared" si="122"/>
        <v>GS 50 to 2,999 kW with owned transformer</v>
      </c>
      <c r="G131" s="101" t="str">
        <f t="shared" si="122"/>
        <v>GS 3,000 to 4,999 kW</v>
      </c>
      <c r="H131" s="101" t="str">
        <f t="shared" si="122"/>
        <v>GS 3,000 to 4,999 kW with owned transformer</v>
      </c>
      <c r="I131" s="101" t="str">
        <f t="shared" si="122"/>
        <v>Large Use</v>
      </c>
      <c r="J131" s="101" t="str">
        <f t="shared" si="122"/>
        <v>Large Use with owned transformer</v>
      </c>
      <c r="K131" s="101" t="str">
        <f t="shared" ref="K131:M131" si="123">K24</f>
        <v>Unmetered Scattered Load</v>
      </c>
      <c r="L131" s="101" t="str">
        <f t="shared" si="123"/>
        <v>Sentinel Lighting</v>
      </c>
      <c r="M131" s="101" t="str">
        <f t="shared" si="123"/>
        <v>Street Lighting</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0</v>
      </c>
      <c r="D133" s="73">
        <f>D26*'3.  Distribution Rates'!E37</f>
        <v>0</v>
      </c>
      <c r="E133" s="73">
        <f>E26*'3.  Distribution Rates'!E38</f>
        <v>0</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4">SUM(C133:M133)</f>
        <v>0</v>
      </c>
    </row>
    <row r="134" spans="2:14" s="3" customFormat="1" ht="16.5" customHeight="1">
      <c r="B134" s="113">
        <v>2012</v>
      </c>
      <c r="C134" s="73">
        <f>C27*'3.  Distribution Rates'!F36</f>
        <v>0</v>
      </c>
      <c r="D134" s="73">
        <f>D27*'3.  Distribution Rates'!F37</f>
        <v>0</v>
      </c>
      <c r="E134" s="73">
        <f>E27*'3.  Distribution Rates'!F38</f>
        <v>0</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4"/>
        <v>0</v>
      </c>
    </row>
    <row r="135" spans="2:14" s="3" customFormat="1" ht="16.5" customHeight="1">
      <c r="B135" s="113">
        <v>2013</v>
      </c>
      <c r="C135" s="73">
        <f>C28*'3.  Distribution Rates'!G36</f>
        <v>0</v>
      </c>
      <c r="D135" s="73">
        <f>D28*'3.  Distribution Rates'!G37</f>
        <v>0</v>
      </c>
      <c r="E135" s="73">
        <f>E28*'3.  Distribution Rates'!G38</f>
        <v>0</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4"/>
        <v>0</v>
      </c>
    </row>
    <row r="136" spans="2:14" s="3" customFormat="1" ht="16.5" customHeight="1">
      <c r="B136" s="113">
        <v>2014</v>
      </c>
      <c r="C136" s="74">
        <f>C29*'3.  Distribution Rates'!H36</f>
        <v>100010.624</v>
      </c>
      <c r="D136" s="74">
        <f>D29*'3.  Distribution Rates'!H37</f>
        <v>87746.560000000012</v>
      </c>
      <c r="E136" s="74">
        <f>E29*'3.  Distribution Rates'!H38</f>
        <v>29507.768998621774</v>
      </c>
      <c r="F136" s="74">
        <f>F29*'3.  Distribution Rates'!H39</f>
        <v>25074.079646795239</v>
      </c>
      <c r="G136" s="74">
        <f>G29*'3.  Distribution Rates'!H40</f>
        <v>0</v>
      </c>
      <c r="H136" s="74">
        <f>H29*'3.  Distribution Rates'!H41</f>
        <v>65.404800000000009</v>
      </c>
      <c r="I136" s="74">
        <f>I29*'3.  Distribution Rates'!H42</f>
        <v>0</v>
      </c>
      <c r="J136" s="74">
        <f>J29*'3.  Distribution Rates'!H43</f>
        <v>832.41000000000008</v>
      </c>
      <c r="K136" s="74">
        <f>K29*'3.  Distribution Rates'!K41</f>
        <v>0</v>
      </c>
      <c r="L136" s="74">
        <f>L29*'3.  Distribution Rates'!K42</f>
        <v>0</v>
      </c>
      <c r="M136" s="74"/>
      <c r="N136" s="74">
        <f>SUM(C136:M136)</f>
        <v>243236.84744541702</v>
      </c>
    </row>
    <row r="137" spans="2:14" s="3" customFormat="1" ht="16.5" customHeight="1">
      <c r="B137" s="113">
        <v>2015</v>
      </c>
      <c r="C137" s="74">
        <f>C30*'3.  Distribution Rates'!I36</f>
        <v>101252.99199999998</v>
      </c>
      <c r="D137" s="73">
        <f>D30*'3.  Distribution Rates'!I37</f>
        <v>87211.51999999999</v>
      </c>
      <c r="E137" s="74">
        <f>E30*'3.  Distribution Rates'!I38</f>
        <v>30135.45392334487</v>
      </c>
      <c r="F137" s="74">
        <f>F30*'3.  Distribution Rates'!I39</f>
        <v>25733.430322072145</v>
      </c>
      <c r="G137" s="74">
        <f>G30*'3.  Distribution Rates'!I40</f>
        <v>0</v>
      </c>
      <c r="H137" s="74">
        <f>H30*'3.  Distribution Rates'!I41</f>
        <v>77.328000000000003</v>
      </c>
      <c r="I137" s="73">
        <f>I30*'3.  Distribution Rates'!I42</f>
        <v>0</v>
      </c>
      <c r="J137" s="74">
        <f>J30*'3.  Distribution Rates'!I43</f>
        <v>1017.72</v>
      </c>
      <c r="K137" s="74">
        <f>K30*'3.  Distribution Rates'!L41</f>
        <v>0</v>
      </c>
      <c r="L137" s="73">
        <f>L30*'3.  Distribution Rates'!L42</f>
        <v>0</v>
      </c>
      <c r="M137" s="114"/>
      <c r="N137" s="74">
        <f t="shared" ref="N137:N138" si="125">SUM(C137:M137)</f>
        <v>245428.44424541702</v>
      </c>
    </row>
    <row r="138" spans="2:14" s="3" customFormat="1" ht="16.5" customHeight="1">
      <c r="B138" s="113">
        <v>2016</v>
      </c>
      <c r="C138" s="74">
        <f>C31*'3.  Distribution Rates'!J36</f>
        <v>85723.391999999993</v>
      </c>
      <c r="D138" s="73">
        <f>D31*'3.  Distribution Rates'!J37</f>
        <v>88816.639999999999</v>
      </c>
      <c r="E138" s="74">
        <f>E31*'3.  Distribution Rates'!J38</f>
        <v>30628.769171068856</v>
      </c>
      <c r="F138" s="74">
        <f>F31*'3.  Distribution Rates'!J39</f>
        <v>26251.632574348158</v>
      </c>
      <c r="G138" s="74">
        <f>G31*'3.  Distribution Rates'!J40</f>
        <v>0</v>
      </c>
      <c r="H138" s="74">
        <f>H31*'3.  Distribution Rates'!J41</f>
        <v>79.120800000000003</v>
      </c>
      <c r="I138" s="73">
        <f>I31*'3.  Distribution Rates'!J42</f>
        <v>0</v>
      </c>
      <c r="J138" s="74">
        <f>J31*'3.  Distribution Rates'!J43</f>
        <v>1038.78</v>
      </c>
      <c r="K138" s="74">
        <f>K31*'3.  Distribution Rates'!M41</f>
        <v>0</v>
      </c>
      <c r="L138" s="73">
        <f>L31*'3.  Distribution Rates'!M42</f>
        <v>0</v>
      </c>
      <c r="M138" s="114"/>
      <c r="N138" s="74">
        <f t="shared" si="125"/>
        <v>232538.33454541702</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6">SUM(C139:J139)</f>
        <v>#REF!</v>
      </c>
    </row>
    <row r="140" spans="2:14" s="23" customFormat="1">
      <c r="B140" s="64"/>
    </row>
    <row r="141" spans="2:14" s="23" customFormat="1">
      <c r="B141" s="64" t="s">
        <v>521</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C6" sqref="C6"/>
    </sheetView>
  </sheetViews>
  <sheetFormatPr defaultColWidth="0" defaultRowHeight="12.95" customHeight="1" zeroHeight="1"/>
  <cols>
    <col min="1" max="1" width="17.7109375" style="571" customWidth="1"/>
    <col min="2" max="14" width="12.42578125" style="571" customWidth="1"/>
    <col min="15" max="23" width="12.42578125" style="571" hidden="1" customWidth="1"/>
    <col min="24" max="25" width="1" style="571" hidden="1" customWidth="1"/>
    <col min="26" max="16384" width="12.42578125" style="571" hidden="1"/>
  </cols>
  <sheetData>
    <row r="1" spans="1:14" ht="19.5">
      <c r="A1" s="670" t="s">
        <v>519</v>
      </c>
      <c r="B1" s="670"/>
      <c r="C1" s="670"/>
      <c r="D1" s="670"/>
      <c r="E1" s="670"/>
      <c r="F1" s="670"/>
      <c r="G1" s="670"/>
      <c r="H1" s="670"/>
      <c r="I1" s="670"/>
      <c r="J1" s="570"/>
      <c r="K1" s="570"/>
      <c r="L1" s="570"/>
      <c r="M1" s="570"/>
    </row>
    <row r="2" spans="1:14" ht="15" hidden="1">
      <c r="A2" s="572" t="s">
        <v>520</v>
      </c>
      <c r="B2" s="572">
        <v>1</v>
      </c>
      <c r="C2" s="572">
        <v>2</v>
      </c>
      <c r="D2" s="572">
        <v>3</v>
      </c>
      <c r="E2" s="572">
        <v>4</v>
      </c>
      <c r="F2" s="572">
        <v>5</v>
      </c>
      <c r="G2" s="572">
        <v>6</v>
      </c>
      <c r="H2" s="572">
        <v>7</v>
      </c>
      <c r="I2" s="572">
        <v>8</v>
      </c>
      <c r="J2" s="573">
        <v>9</v>
      </c>
      <c r="K2" s="573">
        <v>10</v>
      </c>
      <c r="L2" s="573">
        <v>11</v>
      </c>
      <c r="M2" s="573">
        <v>12</v>
      </c>
    </row>
    <row r="3" spans="1:14" ht="15">
      <c r="A3" s="572"/>
      <c r="B3" s="572"/>
      <c r="C3" s="572"/>
      <c r="D3" s="572"/>
      <c r="E3" s="572"/>
      <c r="F3" s="572"/>
      <c r="G3" s="572"/>
      <c r="H3" s="572"/>
      <c r="I3" s="572"/>
      <c r="J3" s="572"/>
      <c r="K3" s="572"/>
      <c r="L3" s="572"/>
      <c r="M3" s="572"/>
    </row>
    <row r="4" spans="1:14" ht="18.95" customHeight="1">
      <c r="A4" s="112" t="s">
        <v>532</v>
      </c>
      <c r="B4" s="112"/>
      <c r="C4" s="112"/>
      <c r="D4" s="112"/>
      <c r="E4" s="572"/>
      <c r="F4" s="572"/>
      <c r="G4" s="572"/>
      <c r="H4" s="572"/>
      <c r="I4" s="572"/>
      <c r="J4" s="572"/>
      <c r="K4" s="572"/>
      <c r="L4" s="572"/>
      <c r="M4" s="572"/>
    </row>
    <row r="5" spans="1:14" ht="15">
      <c r="A5" s="572"/>
      <c r="B5" s="572"/>
      <c r="C5" s="572"/>
      <c r="D5" s="572"/>
      <c r="E5" s="572"/>
      <c r="F5" s="572"/>
      <c r="G5" s="572"/>
      <c r="H5" s="572"/>
      <c r="I5" s="572"/>
      <c r="J5" s="572"/>
      <c r="K5" s="572"/>
      <c r="L5" s="572"/>
      <c r="M5" s="572"/>
    </row>
    <row r="6" spans="1:14" ht="75">
      <c r="A6" s="101"/>
      <c r="B6" s="101" t="s">
        <v>38</v>
      </c>
      <c r="C6" s="101" t="s">
        <v>542</v>
      </c>
      <c r="D6" s="101" t="s">
        <v>595</v>
      </c>
      <c r="E6" s="101" t="s">
        <v>596</v>
      </c>
      <c r="F6" s="101" t="s">
        <v>597</v>
      </c>
      <c r="G6" s="101" t="s">
        <v>598</v>
      </c>
      <c r="H6" s="101" t="s">
        <v>545</v>
      </c>
      <c r="I6" s="101" t="s">
        <v>599</v>
      </c>
      <c r="J6" s="101" t="s">
        <v>43</v>
      </c>
      <c r="K6" s="101" t="s">
        <v>41</v>
      </c>
      <c r="L6" s="101" t="s">
        <v>42</v>
      </c>
      <c r="M6" s="101" t="s">
        <v>607</v>
      </c>
      <c r="N6" s="101" t="s">
        <v>35</v>
      </c>
    </row>
    <row r="7" spans="1:14" ht="15">
      <c r="A7" s="101"/>
      <c r="B7" s="101" t="s">
        <v>36</v>
      </c>
      <c r="C7" s="101" t="s">
        <v>36</v>
      </c>
      <c r="D7" s="101" t="s">
        <v>37</v>
      </c>
      <c r="E7" s="101" t="s">
        <v>37</v>
      </c>
      <c r="F7" s="101" t="s">
        <v>37</v>
      </c>
      <c r="G7" s="101" t="s">
        <v>37</v>
      </c>
      <c r="H7" s="101" t="s">
        <v>37</v>
      </c>
      <c r="I7" s="101" t="s">
        <v>37</v>
      </c>
      <c r="J7" s="101" t="s">
        <v>36</v>
      </c>
      <c r="K7" s="101" t="s">
        <v>37</v>
      </c>
      <c r="L7" s="101" t="s">
        <v>37</v>
      </c>
      <c r="M7" s="101" t="s">
        <v>608</v>
      </c>
      <c r="N7" s="101"/>
    </row>
    <row r="8" spans="1:14" ht="14.25">
      <c r="A8" s="104" t="s">
        <v>36</v>
      </c>
      <c r="B8" s="585">
        <f>6117617+94223</f>
        <v>6211840</v>
      </c>
      <c r="C8" s="585">
        <v>5350400</v>
      </c>
      <c r="D8" s="585">
        <v>9532927.6438228451</v>
      </c>
      <c r="E8" s="585">
        <v>10013849.356177155</v>
      </c>
      <c r="F8" s="585">
        <v>0</v>
      </c>
      <c r="G8" s="585">
        <v>62993</v>
      </c>
      <c r="H8" s="585">
        <v>0</v>
      </c>
      <c r="I8" s="585">
        <v>461286</v>
      </c>
      <c r="J8" s="585">
        <v>0</v>
      </c>
      <c r="K8" s="585">
        <v>0</v>
      </c>
      <c r="L8" s="585">
        <v>0</v>
      </c>
      <c r="M8" s="585">
        <v>0</v>
      </c>
      <c r="N8" s="585">
        <f>SUM(B8:M8)</f>
        <v>31633296</v>
      </c>
    </row>
    <row r="9" spans="1:14" ht="14.25">
      <c r="A9" s="104" t="s">
        <v>37</v>
      </c>
      <c r="B9" s="585">
        <v>0</v>
      </c>
      <c r="C9" s="585">
        <v>0</v>
      </c>
      <c r="D9" s="585">
        <v>9396.4809090283652</v>
      </c>
      <c r="E9" s="585">
        <v>9870.519090971633</v>
      </c>
      <c r="F9" s="585">
        <v>0</v>
      </c>
      <c r="G9" s="585">
        <v>54</v>
      </c>
      <c r="H9" s="585">
        <v>0</v>
      </c>
      <c r="I9" s="585">
        <v>450</v>
      </c>
      <c r="J9" s="585">
        <v>0</v>
      </c>
      <c r="K9" s="585">
        <v>0</v>
      </c>
      <c r="L9" s="585">
        <v>0</v>
      </c>
      <c r="M9" s="585">
        <v>0</v>
      </c>
      <c r="N9" s="585">
        <f>SUM(B9:M9)</f>
        <v>19771</v>
      </c>
    </row>
    <row r="10" spans="1:14" ht="15">
      <c r="A10" s="572"/>
      <c r="B10" s="572"/>
      <c r="C10" s="572"/>
      <c r="D10" s="572"/>
      <c r="E10" s="572"/>
      <c r="F10" s="572"/>
      <c r="G10" s="572"/>
      <c r="H10" s="572"/>
      <c r="I10" s="572"/>
      <c r="J10" s="572"/>
      <c r="K10" s="572"/>
      <c r="L10" s="572"/>
      <c r="M10" s="572"/>
    </row>
    <row r="11" spans="1:14" ht="42.95" customHeight="1">
      <c r="A11" s="591" t="s">
        <v>530</v>
      </c>
      <c r="B11" s="671" t="s">
        <v>609</v>
      </c>
      <c r="C11" s="672"/>
      <c r="D11" s="672"/>
      <c r="E11" s="672"/>
      <c r="F11" s="672"/>
      <c r="G11" s="672"/>
      <c r="H11" s="672"/>
      <c r="I11" s="572"/>
      <c r="J11" s="572"/>
      <c r="K11" s="572"/>
      <c r="L11" s="572"/>
      <c r="M11" s="572"/>
    </row>
    <row r="12" spans="1:14" ht="15">
      <c r="A12" s="572"/>
      <c r="B12" s="586"/>
      <c r="C12" s="586"/>
      <c r="D12" s="586"/>
      <c r="E12" s="586"/>
      <c r="F12" s="586"/>
      <c r="G12" s="572"/>
      <c r="H12" s="572"/>
      <c r="I12" s="572"/>
      <c r="J12" s="572"/>
      <c r="K12" s="572"/>
      <c r="L12" s="572"/>
      <c r="M12" s="572"/>
    </row>
    <row r="13" spans="1:14" ht="15">
      <c r="A13" s="572"/>
      <c r="B13" s="586"/>
      <c r="C13" s="586"/>
      <c r="D13" s="586"/>
      <c r="E13" s="586"/>
      <c r="F13" s="586"/>
      <c r="G13" s="572"/>
      <c r="H13" s="572"/>
      <c r="I13" s="572"/>
      <c r="J13" s="572"/>
      <c r="K13" s="572"/>
      <c r="L13" s="572"/>
      <c r="M13" s="572"/>
    </row>
    <row r="14" spans="1:14" ht="15">
      <c r="A14" s="572"/>
      <c r="B14" s="572"/>
      <c r="C14" s="572"/>
      <c r="D14" s="572"/>
      <c r="E14" s="572"/>
      <c r="F14" s="572"/>
      <c r="G14" s="572"/>
      <c r="H14" s="572"/>
      <c r="I14" s="572"/>
      <c r="J14" s="572"/>
      <c r="K14" s="572"/>
      <c r="L14" s="572"/>
      <c r="M14" s="572"/>
    </row>
    <row r="15" spans="1:14" ht="15">
      <c r="A15" s="572"/>
      <c r="B15" s="572"/>
      <c r="C15" s="572"/>
      <c r="D15" s="572"/>
      <c r="E15" s="572"/>
      <c r="F15" s="572"/>
      <c r="G15" s="572"/>
      <c r="H15" s="572"/>
      <c r="I15" s="572"/>
      <c r="J15" s="572"/>
      <c r="K15" s="572"/>
      <c r="L15" s="572"/>
      <c r="M15" s="572"/>
    </row>
    <row r="16" spans="1:14" ht="12.95" customHeight="1"/>
    <row r="17" ht="12.95" customHeight="1"/>
    <row r="18" ht="12.95" customHeight="1"/>
    <row r="19" ht="12.95" customHeight="1"/>
    <row r="20" ht="12.95" customHeight="1"/>
    <row r="21" ht="12.95" customHeight="1"/>
    <row r="22" ht="12.95" hidden="1" customHeight="1"/>
    <row r="23" ht="12.95" hidden="1" customHeight="1"/>
    <row r="24" ht="12.95" hidden="1" customHeight="1"/>
    <row r="25" ht="12.95" hidden="1" customHeight="1"/>
    <row r="26" ht="12.95" hidden="1" customHeight="1"/>
    <row r="27" ht="12.95" hidden="1" customHeight="1"/>
    <row r="28" ht="12.95" hidden="1" customHeight="1"/>
    <row r="29" ht="12.95" hidden="1" customHeight="1"/>
    <row r="30" ht="12.95" hidden="1" customHeight="1"/>
    <row r="31" ht="12.95" hidden="1" customHeight="1"/>
    <row r="32" ht="12.95" hidden="1" customHeight="1"/>
    <row r="33" ht="12.95" hidden="1" customHeight="1"/>
    <row r="34" ht="12.95" hidden="1" customHeight="1"/>
    <row r="35" ht="12.95" hidden="1" customHeight="1"/>
    <row r="36" ht="12.95" hidden="1" customHeight="1"/>
    <row r="37" ht="12.95" hidden="1" customHeight="1"/>
    <row r="38" ht="12.95" hidden="1" customHeight="1"/>
    <row r="39" ht="12.95" hidden="1" customHeight="1"/>
    <row r="40" ht="12.95" hidden="1" customHeight="1"/>
    <row r="41" ht="12.95" hidden="1" customHeight="1"/>
    <row r="42" ht="12.95" hidden="1" customHeight="1"/>
    <row r="43" ht="12.95" hidden="1" customHeight="1"/>
    <row r="44" ht="12.95" hidden="1" customHeight="1"/>
    <row r="45" ht="12.95" hidden="1" customHeight="1"/>
    <row r="46" ht="12.95" hidden="1" customHeight="1"/>
    <row r="47" ht="12.95" hidden="1" customHeight="1"/>
    <row r="48" ht="12.95" hidden="1" customHeight="1"/>
    <row r="49" ht="12.95" hidden="1" customHeight="1"/>
    <row r="50" ht="12.95" hidden="1" customHeight="1"/>
    <row r="51" ht="12.95" hidden="1" customHeight="1"/>
    <row r="52" ht="12.95" hidden="1" customHeight="1"/>
    <row r="53" ht="12.95" hidden="1" customHeight="1"/>
    <row r="54" ht="12.95" customHeight="1"/>
    <row r="55" ht="12.95" customHeight="1"/>
    <row r="56" ht="12.95" customHeight="1"/>
    <row r="57" ht="12.95" customHeight="1"/>
    <row r="58" ht="12.95" customHeight="1"/>
    <row r="59" ht="12.95" customHeight="1"/>
    <row r="60" ht="12.95" customHeight="1"/>
    <row r="61" ht="12.95" customHeight="1"/>
  </sheetData>
  <sheetProtection formatColumns="0" formatRows="0"/>
  <mergeCells count="2">
    <mergeCell ref="A1:I1"/>
    <mergeCell ref="B11:H1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51"/>
  <sheetViews>
    <sheetView showGridLines="0" zoomScale="90" zoomScaleNormal="90" zoomScalePageLayoutView="90" workbookViewId="0">
      <pane ySplit="3" topLeftCell="A27" activePane="bottomLeft" state="frozen"/>
      <selection activeCell="C6" sqref="C6"/>
      <selection pane="bottomLeft" activeCell="C6" sqref="C6"/>
    </sheetView>
  </sheetViews>
  <sheetFormatPr defaultColWidth="8.85546875" defaultRowHeight="15" outlineLevelRow="1"/>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85546875" style="8"/>
  </cols>
  <sheetData>
    <row r="1" spans="1:26" ht="161.25" customHeight="1">
      <c r="B1" s="47"/>
      <c r="C1" s="47"/>
    </row>
    <row r="2" spans="1:26" s="47" customFormat="1">
      <c r="A2" s="7"/>
    </row>
    <row r="3" spans="1:26" ht="20.25">
      <c r="B3" s="677" t="s">
        <v>196</v>
      </c>
      <c r="C3" s="677"/>
      <c r="D3" s="677"/>
      <c r="E3" s="677"/>
      <c r="F3" s="677"/>
      <c r="G3" s="677"/>
      <c r="H3" s="677"/>
      <c r="I3" s="677"/>
      <c r="J3" s="677"/>
      <c r="K3" s="677"/>
    </row>
    <row r="4" spans="1:26" s="47" customFormat="1" ht="20.25">
      <c r="A4" s="7"/>
      <c r="B4" s="230"/>
      <c r="C4" s="230"/>
      <c r="D4" s="230"/>
      <c r="E4" s="230"/>
      <c r="F4" s="230"/>
      <c r="G4" s="230"/>
      <c r="H4" s="230"/>
      <c r="I4" s="230"/>
      <c r="J4" s="230"/>
      <c r="K4" s="230"/>
    </row>
    <row r="5" spans="1:26" ht="54" customHeight="1" outlineLevel="1">
      <c r="B5" s="678" t="s">
        <v>396</v>
      </c>
      <c r="C5" s="681" t="s">
        <v>500</v>
      </c>
      <c r="D5" s="681"/>
      <c r="E5" s="681"/>
      <c r="F5" s="681"/>
      <c r="G5" s="681"/>
      <c r="H5" s="681"/>
      <c r="I5" s="681"/>
      <c r="J5" s="681"/>
      <c r="K5" s="681"/>
    </row>
    <row r="6" spans="1:26" s="47" customFormat="1" ht="34.5" customHeight="1" outlineLevel="1">
      <c r="A6" s="7"/>
      <c r="B6" s="678"/>
      <c r="C6" s="681" t="s">
        <v>406</v>
      </c>
      <c r="D6" s="681"/>
      <c r="E6" s="681"/>
      <c r="F6" s="681"/>
      <c r="G6" s="681"/>
      <c r="H6" s="681"/>
      <c r="I6" s="681"/>
      <c r="J6" s="681"/>
      <c r="K6" s="681"/>
    </row>
    <row r="7" spans="1:26" s="47" customFormat="1" ht="21" customHeight="1" outlineLevel="1">
      <c r="A7" s="7"/>
      <c r="B7" s="678" t="s">
        <v>334</v>
      </c>
      <c r="C7" s="679" t="s">
        <v>360</v>
      </c>
      <c r="D7" s="679"/>
      <c r="E7" s="239"/>
    </row>
    <row r="8" spans="1:26" outlineLevel="1">
      <c r="B8" s="678"/>
      <c r="C8" s="680" t="s">
        <v>335</v>
      </c>
      <c r="D8" s="680"/>
      <c r="E8" s="680"/>
      <c r="M8" s="9"/>
      <c r="N8" s="9"/>
      <c r="O8" s="9"/>
      <c r="P8" s="9"/>
      <c r="Q8" s="9"/>
      <c r="R8" s="9"/>
      <c r="S8" s="9"/>
      <c r="T8" s="9"/>
      <c r="U8" s="9"/>
      <c r="V8" s="9"/>
      <c r="W8" s="9"/>
      <c r="X8" s="9"/>
      <c r="Y8" s="9"/>
      <c r="Z8" s="9"/>
    </row>
    <row r="9" spans="1:26" s="5" customFormat="1" ht="10.5" customHeight="1" outlineLevel="1">
      <c r="B9" s="47"/>
      <c r="C9" s="240"/>
      <c r="D9" s="241"/>
      <c r="E9" s="241"/>
      <c r="M9" s="9"/>
      <c r="N9" s="9"/>
      <c r="O9" s="9"/>
      <c r="P9" s="9"/>
      <c r="Q9" s="9"/>
      <c r="R9" s="9"/>
      <c r="S9" s="9"/>
      <c r="T9" s="9"/>
      <c r="U9" s="9"/>
      <c r="V9" s="9"/>
      <c r="W9" s="9"/>
      <c r="X9" s="9"/>
      <c r="Y9" s="9"/>
      <c r="Z9" s="9"/>
    </row>
    <row r="10" spans="1:26" s="5" customFormat="1" ht="5.25" customHeight="1" outlineLevel="1">
      <c r="B10" s="47"/>
      <c r="C10" s="240"/>
      <c r="D10" s="241"/>
      <c r="E10" s="241"/>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582</v>
      </c>
      <c r="E14" s="199" t="s">
        <v>582</v>
      </c>
      <c r="F14" s="199" t="s">
        <v>583</v>
      </c>
      <c r="G14" s="199" t="s">
        <v>584</v>
      </c>
      <c r="H14" s="199" t="s">
        <v>585</v>
      </c>
      <c r="I14" s="199" t="s">
        <v>586</v>
      </c>
      <c r="J14" s="199" t="s">
        <v>587</v>
      </c>
      <c r="K14" s="199" t="s">
        <v>582</v>
      </c>
    </row>
    <row r="15" spans="1:26" s="11" customFormat="1" ht="14.25" customHeight="1" outlineLevel="1">
      <c r="A15" s="9"/>
      <c r="B15" s="69"/>
      <c r="C15" s="69"/>
      <c r="D15" s="69"/>
      <c r="E15" s="69"/>
      <c r="F15" s="69"/>
      <c r="G15" s="69"/>
      <c r="H15" s="69"/>
      <c r="I15" s="69"/>
      <c r="J15" s="69"/>
      <c r="K15" s="69"/>
      <c r="L15" s="12"/>
    </row>
    <row r="16" spans="1:26" s="357" customFormat="1" ht="54" customHeight="1" outlineLevel="1" thickBot="1">
      <c r="A16" s="356"/>
      <c r="B16" s="132" t="s">
        <v>57</v>
      </c>
      <c r="C16" s="133" t="s">
        <v>58</v>
      </c>
      <c r="D16" s="200" t="s">
        <v>588</v>
      </c>
      <c r="E16" s="200" t="s">
        <v>589</v>
      </c>
      <c r="F16" s="200" t="s">
        <v>590</v>
      </c>
      <c r="G16" s="200" t="s">
        <v>591</v>
      </c>
      <c r="H16" s="200" t="s">
        <v>592</v>
      </c>
      <c r="I16" s="200" t="s">
        <v>593</v>
      </c>
      <c r="J16" s="200" t="s">
        <v>594</v>
      </c>
      <c r="K16" s="200" t="s">
        <v>559</v>
      </c>
    </row>
    <row r="17" spans="1:12" s="11" customFormat="1" ht="14.25" outlineLevel="1">
      <c r="A17" s="7"/>
      <c r="B17" s="129" t="s">
        <v>404</v>
      </c>
      <c r="C17" s="130"/>
      <c r="D17" s="131">
        <v>2010</v>
      </c>
      <c r="E17" s="131">
        <v>2011</v>
      </c>
      <c r="F17" s="131">
        <v>2012</v>
      </c>
      <c r="G17" s="131">
        <v>2013</v>
      </c>
      <c r="H17" s="131">
        <v>2014</v>
      </c>
      <c r="I17" s="131">
        <v>2015</v>
      </c>
      <c r="J17" s="131">
        <v>2016</v>
      </c>
      <c r="K17" s="131">
        <v>2017</v>
      </c>
    </row>
    <row r="18" spans="1:12" s="11" customFormat="1" ht="14.25" outlineLevel="1">
      <c r="A18" s="7"/>
      <c r="B18" s="127" t="s">
        <v>111</v>
      </c>
      <c r="C18" s="128"/>
      <c r="D18" s="456">
        <v>4</v>
      </c>
      <c r="E18" s="456">
        <v>4</v>
      </c>
      <c r="F18" s="456">
        <v>4</v>
      </c>
      <c r="G18" s="456">
        <v>4</v>
      </c>
      <c r="H18" s="456">
        <v>4</v>
      </c>
      <c r="I18" s="456">
        <v>4</v>
      </c>
      <c r="J18" s="456">
        <v>4</v>
      </c>
      <c r="K18" s="202"/>
    </row>
    <row r="19" spans="1:12" s="11" customFormat="1" ht="14.25" outlineLevel="1">
      <c r="A19" s="7"/>
      <c r="B19" s="127" t="s">
        <v>112</v>
      </c>
      <c r="C19" s="128"/>
      <c r="D19" s="201">
        <f>12-D18</f>
        <v>8</v>
      </c>
      <c r="E19" s="201">
        <f>12-E18</f>
        <v>8</v>
      </c>
      <c r="F19" s="201">
        <f t="shared" ref="F19:J19" si="0">12-F18</f>
        <v>8</v>
      </c>
      <c r="G19" s="201">
        <f t="shared" si="0"/>
        <v>8</v>
      </c>
      <c r="H19" s="201">
        <f t="shared" si="0"/>
        <v>8</v>
      </c>
      <c r="I19" s="201">
        <f t="shared" si="0"/>
        <v>8</v>
      </c>
      <c r="J19" s="201">
        <f t="shared" si="0"/>
        <v>8</v>
      </c>
      <c r="K19" s="201"/>
    </row>
    <row r="20" spans="1:12" s="11" customFormat="1" ht="14.25" outlineLevel="1">
      <c r="A20" s="10"/>
      <c r="B20" s="106" t="s">
        <v>38</v>
      </c>
      <c r="C20" s="78" t="s">
        <v>36</v>
      </c>
      <c r="D20" s="203">
        <v>0</v>
      </c>
      <c r="E20" s="203">
        <v>0</v>
      </c>
      <c r="F20" s="203">
        <v>0</v>
      </c>
      <c r="G20" s="203">
        <v>0</v>
      </c>
      <c r="H20" s="203">
        <v>0</v>
      </c>
      <c r="I20" s="203">
        <v>0</v>
      </c>
      <c r="J20" s="203">
        <v>0</v>
      </c>
      <c r="K20" s="203"/>
      <c r="L20" s="12"/>
    </row>
    <row r="21" spans="1:12" outlineLevel="1">
      <c r="B21" s="106" t="s">
        <v>542</v>
      </c>
      <c r="C21" s="78" t="s">
        <v>36</v>
      </c>
      <c r="D21" s="203">
        <v>0</v>
      </c>
      <c r="E21" s="203">
        <v>0</v>
      </c>
      <c r="F21" s="203">
        <v>0</v>
      </c>
      <c r="G21" s="203">
        <v>0</v>
      </c>
      <c r="H21" s="203">
        <v>1.6199999999999999E-2</v>
      </c>
      <c r="I21" s="203">
        <v>1.6400000000000001E-2</v>
      </c>
      <c r="J21" s="203">
        <v>1.67E-2</v>
      </c>
      <c r="K21" s="203"/>
    </row>
    <row r="22" spans="1:12" s="5" customFormat="1" ht="14.25" outlineLevel="1">
      <c r="B22" s="106" t="s">
        <v>595</v>
      </c>
      <c r="C22" s="78" t="s">
        <v>37</v>
      </c>
      <c r="D22" s="203">
        <v>0</v>
      </c>
      <c r="E22" s="203">
        <v>0</v>
      </c>
      <c r="F22" s="203">
        <v>0</v>
      </c>
      <c r="G22" s="203">
        <v>0</v>
      </c>
      <c r="H22" s="203">
        <v>3.1796000000000002</v>
      </c>
      <c r="I22" s="203">
        <v>3.2208999999999999</v>
      </c>
      <c r="J22" s="203">
        <v>3.2789000000000001</v>
      </c>
      <c r="K22" s="203"/>
    </row>
    <row r="23" spans="1:12" s="5" customFormat="1" ht="28.5" outlineLevel="1">
      <c r="A23" s="7"/>
      <c r="B23" s="106" t="s">
        <v>596</v>
      </c>
      <c r="C23" s="78" t="s">
        <v>37</v>
      </c>
      <c r="D23" s="203">
        <v>0</v>
      </c>
      <c r="E23" s="203">
        <v>0</v>
      </c>
      <c r="F23" s="203">
        <v>0</v>
      </c>
      <c r="G23" s="203">
        <v>0</v>
      </c>
      <c r="H23" s="203">
        <v>2.5796000000000001</v>
      </c>
      <c r="I23" s="203">
        <v>2.6208999999999998</v>
      </c>
      <c r="J23" s="203">
        <v>2.6789000000000001</v>
      </c>
      <c r="K23" s="203"/>
    </row>
    <row r="24" spans="1:12" s="5" customFormat="1" ht="14.25" outlineLevel="1">
      <c r="A24" s="7"/>
      <c r="B24" s="106" t="s">
        <v>597</v>
      </c>
      <c r="C24" s="78" t="s">
        <v>37</v>
      </c>
      <c r="D24" s="203">
        <v>0</v>
      </c>
      <c r="E24" s="203">
        <v>0</v>
      </c>
      <c r="F24" s="203">
        <v>1.3948</v>
      </c>
      <c r="G24" s="203">
        <v>1.4045000000000001</v>
      </c>
      <c r="H24" s="203">
        <v>2.0145</v>
      </c>
      <c r="I24" s="203">
        <v>2.0407000000000002</v>
      </c>
      <c r="J24" s="203">
        <v>2.0773999999999999</v>
      </c>
      <c r="K24" s="203"/>
    </row>
    <row r="25" spans="1:12" s="5" customFormat="1" ht="28.5" outlineLevel="1">
      <c r="A25" s="7"/>
      <c r="B25" s="106" t="s">
        <v>598</v>
      </c>
      <c r="C25" s="78" t="s">
        <v>37</v>
      </c>
      <c r="D25" s="203">
        <v>0</v>
      </c>
      <c r="E25" s="203">
        <v>0</v>
      </c>
      <c r="F25" s="203">
        <v>0.79480000000000006</v>
      </c>
      <c r="G25" s="203">
        <v>0.8045000000000001</v>
      </c>
      <c r="H25" s="203">
        <v>1.4144999999999999</v>
      </c>
      <c r="I25" s="203">
        <v>1.4407000000000001</v>
      </c>
      <c r="J25" s="203">
        <v>1.4773999999999998</v>
      </c>
      <c r="K25" s="203"/>
    </row>
    <row r="26" spans="1:12" s="5" customFormat="1" ht="14.25" outlineLevel="1">
      <c r="A26" s="7"/>
      <c r="B26" s="106" t="s">
        <v>545</v>
      </c>
      <c r="C26" s="78" t="s">
        <v>37</v>
      </c>
      <c r="D26" s="203">
        <v>0</v>
      </c>
      <c r="E26" s="203">
        <v>0</v>
      </c>
      <c r="F26" s="203">
        <v>1.6637999999999999</v>
      </c>
      <c r="G26" s="203">
        <v>1.6753</v>
      </c>
      <c r="H26" s="203">
        <v>2.8370000000000002</v>
      </c>
      <c r="I26" s="203">
        <v>2.8738999999999999</v>
      </c>
      <c r="J26" s="203">
        <v>2.9256000000000002</v>
      </c>
      <c r="K26" s="203"/>
    </row>
    <row r="27" spans="1:12" s="5" customFormat="1" ht="14.25" outlineLevel="1">
      <c r="A27" s="7"/>
      <c r="B27" s="106" t="s">
        <v>599</v>
      </c>
      <c r="C27" s="78" t="s">
        <v>37</v>
      </c>
      <c r="D27" s="203">
        <v>0</v>
      </c>
      <c r="E27" s="203">
        <v>0</v>
      </c>
      <c r="F27" s="203">
        <v>1.0638000000000001</v>
      </c>
      <c r="G27" s="203">
        <v>1.0752999999999999</v>
      </c>
      <c r="H27" s="203">
        <v>2.2370000000000001</v>
      </c>
      <c r="I27" s="203">
        <v>2.2738999999999998</v>
      </c>
      <c r="J27" s="203">
        <v>2.3256000000000001</v>
      </c>
      <c r="K27" s="203"/>
    </row>
    <row r="28" spans="1:12" s="5" customFormat="1" ht="14.25" outlineLevel="1">
      <c r="A28" s="7"/>
      <c r="B28" s="106" t="s">
        <v>43</v>
      </c>
      <c r="C28" s="78" t="s">
        <v>36</v>
      </c>
      <c r="D28" s="203">
        <v>0</v>
      </c>
      <c r="E28" s="203">
        <v>0</v>
      </c>
      <c r="F28" s="203">
        <v>1.83E-2</v>
      </c>
      <c r="G28" s="203">
        <v>1.8499999999999999E-2</v>
      </c>
      <c r="H28" s="203">
        <v>1.61E-2</v>
      </c>
      <c r="I28" s="203">
        <v>1.6299999999999999E-2</v>
      </c>
      <c r="J28" s="203">
        <v>1.66E-2</v>
      </c>
      <c r="K28" s="203"/>
    </row>
    <row r="29" spans="1:12" s="5" customFormat="1" ht="14.25" outlineLevel="1">
      <c r="A29" s="7"/>
      <c r="B29" s="106" t="s">
        <v>41</v>
      </c>
      <c r="C29" s="78" t="s">
        <v>37</v>
      </c>
      <c r="D29" s="203">
        <v>0</v>
      </c>
      <c r="E29" s="203">
        <v>0</v>
      </c>
      <c r="F29" s="203">
        <v>10.8103</v>
      </c>
      <c r="G29" s="203">
        <v>10.8878</v>
      </c>
      <c r="H29" s="203">
        <v>13.0977</v>
      </c>
      <c r="I29" s="203">
        <v>13.268000000000001</v>
      </c>
      <c r="J29" s="203">
        <v>13.5068</v>
      </c>
      <c r="K29" s="203"/>
    </row>
    <row r="30" spans="1:12" s="5" customFormat="1" ht="14.25" outlineLevel="1">
      <c r="A30" s="7"/>
      <c r="B30" s="107" t="s">
        <v>42</v>
      </c>
      <c r="C30" s="108" t="s">
        <v>37</v>
      </c>
      <c r="D30" s="204">
        <v>0</v>
      </c>
      <c r="E30" s="204">
        <v>0</v>
      </c>
      <c r="F30" s="204">
        <v>3.5851000000000002</v>
      </c>
      <c r="G30" s="204">
        <v>3.6101000000000001</v>
      </c>
      <c r="H30" s="204">
        <v>3.5813999999999999</v>
      </c>
      <c r="I30" s="204">
        <v>3.6280000000000001</v>
      </c>
      <c r="J30" s="204">
        <v>3.6932999999999998</v>
      </c>
      <c r="K30" s="205"/>
    </row>
    <row r="31" spans="1:12" s="5" customFormat="1" ht="14.25" outlineLevel="1">
      <c r="A31" s="7"/>
      <c r="B31" s="233"/>
      <c r="C31" s="285"/>
      <c r="D31" s="361"/>
      <c r="E31" s="361"/>
      <c r="F31" s="361"/>
      <c r="G31" s="361"/>
      <c r="H31" s="361"/>
      <c r="I31" s="362"/>
      <c r="J31" s="362"/>
      <c r="K31" s="362"/>
    </row>
    <row r="32" spans="1:12" s="5" customFormat="1" outlineLevel="1">
      <c r="A32" s="7"/>
      <c r="B32" s="37"/>
      <c r="C32" s="38"/>
      <c r="D32" s="39"/>
      <c r="E32" s="39"/>
      <c r="F32" s="39"/>
      <c r="G32" s="39"/>
      <c r="H32" s="39"/>
      <c r="I32" s="40"/>
      <c r="J32" s="40"/>
      <c r="K32" s="40"/>
    </row>
    <row r="33" spans="1:11" s="40" customFormat="1" ht="18.75">
      <c r="A33" s="121"/>
      <c r="B33" s="364"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1" t="s">
        <v>57</v>
      </c>
      <c r="C35" s="673" t="s">
        <v>58</v>
      </c>
      <c r="D35" s="674"/>
      <c r="E35" s="282">
        <v>2011</v>
      </c>
      <c r="F35" s="282">
        <v>2012</v>
      </c>
      <c r="G35" s="282">
        <v>2013</v>
      </c>
      <c r="H35" s="282">
        <v>2014</v>
      </c>
      <c r="I35" s="282">
        <v>2015</v>
      </c>
      <c r="J35" s="282">
        <v>2016</v>
      </c>
      <c r="K35" s="283">
        <v>2017</v>
      </c>
    </row>
    <row r="36" spans="1:11" ht="19.5" customHeight="1">
      <c r="B36" s="286" t="str">
        <f>B20</f>
        <v>Residential</v>
      </c>
      <c r="C36" s="675" t="str">
        <f>C20</f>
        <v>kWh</v>
      </c>
      <c r="D36" s="675"/>
      <c r="E36" s="284"/>
      <c r="F36" s="284"/>
      <c r="G36" s="619">
        <f>'3a. Rates-weighted averages'!I21</f>
        <v>1.5900000000000001E-2</v>
      </c>
      <c r="H36" s="619">
        <f>'3a. Rates-weighted averages'!I38</f>
        <v>1.61E-2</v>
      </c>
      <c r="I36" s="619">
        <f>'3a. Rates-weighted averages'!I53</f>
        <v>1.6299999999999999E-2</v>
      </c>
      <c r="J36" s="619">
        <f>'3a. Rates-weighted averages'!I62</f>
        <v>1.38E-2</v>
      </c>
      <c r="K36" s="284">
        <f t="shared" ref="K36" si="1">ROUND(SUM(J20*K$18+K20*K$19)/12,4)</f>
        <v>0</v>
      </c>
    </row>
    <row r="37" spans="1:11" ht="19.5" customHeight="1">
      <c r="B37" s="286" t="str">
        <f t="shared" ref="B37:C37" si="2">B21</f>
        <v>GS &lt; 50 kW</v>
      </c>
      <c r="C37" s="676" t="str">
        <f t="shared" si="2"/>
        <v>kWh</v>
      </c>
      <c r="D37" s="676"/>
      <c r="E37" s="284"/>
      <c r="F37" s="284"/>
      <c r="G37" s="619">
        <f>'3a. Rates-weighted averages'!I22</f>
        <v>1.6899999999999998E-2</v>
      </c>
      <c r="H37" s="619">
        <f>'3a. Rates-weighted averages'!I39</f>
        <v>1.6400000000000001E-2</v>
      </c>
      <c r="I37" s="284">
        <f t="shared" ref="I37:K37" si="3">ROUND(SUM(H21*I$18+I21*I$19)/12,4)</f>
        <v>1.6299999999999999E-2</v>
      </c>
      <c r="J37" s="284">
        <f t="shared" si="3"/>
        <v>1.66E-2</v>
      </c>
      <c r="K37" s="287">
        <f t="shared" si="3"/>
        <v>0</v>
      </c>
    </row>
    <row r="38" spans="1:11" ht="19.5" customHeight="1">
      <c r="B38" s="286" t="str">
        <f t="shared" ref="B38:C38" si="4">B22</f>
        <v>GS 50 to 2,999 kW</v>
      </c>
      <c r="C38" s="676" t="str">
        <f t="shared" si="4"/>
        <v>kW</v>
      </c>
      <c r="D38" s="676"/>
      <c r="E38" s="284"/>
      <c r="F38" s="284"/>
      <c r="G38" s="619">
        <f>'3a. Rates-weighted averages'!I23</f>
        <v>3.0556000000000001</v>
      </c>
      <c r="H38" s="619">
        <f>'3a. Rates-weighted averages'!I40</f>
        <v>3.1402999999999999</v>
      </c>
      <c r="I38" s="284">
        <f t="shared" ref="I38:K38" si="5">ROUND(SUM(H22*I$18+I22*I$19)/12,4)</f>
        <v>3.2071000000000001</v>
      </c>
      <c r="J38" s="284">
        <f t="shared" si="5"/>
        <v>3.2595999999999998</v>
      </c>
      <c r="K38" s="287">
        <f t="shared" si="5"/>
        <v>0</v>
      </c>
    </row>
    <row r="39" spans="1:11" ht="19.5" customHeight="1">
      <c r="B39" s="286" t="str">
        <f t="shared" ref="B39:C39" si="6">B23</f>
        <v>GS 50 to 2,999 kW with owned transformer</v>
      </c>
      <c r="C39" s="676" t="str">
        <f t="shared" si="6"/>
        <v>kW</v>
      </c>
      <c r="D39" s="676"/>
      <c r="E39" s="284"/>
      <c r="F39" s="284"/>
      <c r="G39" s="619">
        <f>G38-0.6</f>
        <v>2.4556</v>
      </c>
      <c r="H39" s="619">
        <f>H38-0.6</f>
        <v>2.5402999999999998</v>
      </c>
      <c r="I39" s="284">
        <f t="shared" ref="I39:K39" si="7">ROUND(SUM(H23*I$18+I23*I$19)/12,4)</f>
        <v>2.6071</v>
      </c>
      <c r="J39" s="284">
        <f t="shared" si="7"/>
        <v>2.6596000000000002</v>
      </c>
      <c r="K39" s="287">
        <f t="shared" si="7"/>
        <v>0</v>
      </c>
    </row>
    <row r="40" spans="1:11" ht="19.5" customHeight="1">
      <c r="B40" s="286" t="str">
        <f t="shared" ref="B40:C40" si="8">B24</f>
        <v>GS 3,000 to 4,999 kW</v>
      </c>
      <c r="C40" s="676" t="str">
        <f t="shared" si="8"/>
        <v>kW</v>
      </c>
      <c r="D40" s="676"/>
      <c r="E40" s="284"/>
      <c r="F40" s="284"/>
      <c r="G40" s="284">
        <f t="shared" ref="G40:K40" si="9">ROUND(SUM(F24*G$18+G24*G$19)/12,4)</f>
        <v>1.4013</v>
      </c>
      <c r="H40" s="284">
        <f t="shared" si="9"/>
        <v>1.8111999999999999</v>
      </c>
      <c r="I40" s="284">
        <f t="shared" si="9"/>
        <v>2.032</v>
      </c>
      <c r="J40" s="284">
        <f t="shared" si="9"/>
        <v>2.0651999999999999</v>
      </c>
      <c r="K40" s="287">
        <f t="shared" si="9"/>
        <v>0</v>
      </c>
    </row>
    <row r="41" spans="1:11" ht="19.5" customHeight="1">
      <c r="B41" s="286" t="str">
        <f t="shared" ref="B41:C41" si="10">B25</f>
        <v>GS 3,000 to 4,999 kW with owned transformer</v>
      </c>
      <c r="C41" s="676" t="str">
        <f t="shared" si="10"/>
        <v>kW</v>
      </c>
      <c r="D41" s="676"/>
      <c r="E41" s="284"/>
      <c r="F41" s="284"/>
      <c r="G41" s="284">
        <f t="shared" ref="G41:K41" si="11">ROUND(SUM(F25*G$18+G25*G$19)/12,4)</f>
        <v>0.80130000000000001</v>
      </c>
      <c r="H41" s="284">
        <f t="shared" si="11"/>
        <v>1.2112000000000001</v>
      </c>
      <c r="I41" s="284">
        <f t="shared" si="11"/>
        <v>1.4319999999999999</v>
      </c>
      <c r="J41" s="284">
        <f t="shared" si="11"/>
        <v>1.4652000000000001</v>
      </c>
      <c r="K41" s="287">
        <f t="shared" si="11"/>
        <v>0</v>
      </c>
    </row>
    <row r="42" spans="1:11" ht="19.5" customHeight="1">
      <c r="B42" s="286" t="str">
        <f t="shared" ref="B42:C43" si="12">B26</f>
        <v>Large Use</v>
      </c>
      <c r="C42" s="676" t="str">
        <f t="shared" si="12"/>
        <v>kW</v>
      </c>
      <c r="D42" s="676"/>
      <c r="E42" s="284"/>
      <c r="F42" s="284"/>
      <c r="G42" s="284">
        <f t="shared" ref="G42:K42" si="13">ROUND(SUM(F26*G$18+G26*G$19)/12,4)</f>
        <v>1.6715</v>
      </c>
      <c r="H42" s="284">
        <f t="shared" si="13"/>
        <v>2.4498000000000002</v>
      </c>
      <c r="I42" s="284">
        <f t="shared" si="13"/>
        <v>2.8616000000000001</v>
      </c>
      <c r="J42" s="284">
        <f t="shared" si="13"/>
        <v>2.9083999999999999</v>
      </c>
      <c r="K42" s="287">
        <f t="shared" si="13"/>
        <v>0</v>
      </c>
    </row>
    <row r="43" spans="1:11" ht="19.5" customHeight="1">
      <c r="B43" s="286" t="str">
        <f t="shared" si="12"/>
        <v>Large Use with owned transformer</v>
      </c>
      <c r="C43" s="676" t="str">
        <f t="shared" si="12"/>
        <v>kW</v>
      </c>
      <c r="D43" s="676"/>
      <c r="E43" s="284"/>
      <c r="F43" s="284"/>
      <c r="G43" s="284">
        <f t="shared" ref="G43:K45" si="14">ROUND(SUM(F27*G$18+G27*G$19)/12,4)</f>
        <v>1.0714999999999999</v>
      </c>
      <c r="H43" s="284">
        <f t="shared" si="14"/>
        <v>1.8498000000000001</v>
      </c>
      <c r="I43" s="284">
        <f t="shared" si="14"/>
        <v>2.2616000000000001</v>
      </c>
      <c r="J43" s="284">
        <f t="shared" si="14"/>
        <v>2.3083999999999998</v>
      </c>
      <c r="K43" s="287">
        <f t="shared" si="14"/>
        <v>0</v>
      </c>
    </row>
    <row r="44" spans="1:11" s="47" customFormat="1" ht="19.5" customHeight="1">
      <c r="A44" s="7"/>
      <c r="B44" s="286" t="str">
        <f t="shared" ref="B44:C44" si="15">B28</f>
        <v>Unmetered Scattered Load</v>
      </c>
      <c r="C44" s="676" t="str">
        <f t="shared" si="15"/>
        <v>kWh</v>
      </c>
      <c r="D44" s="676"/>
      <c r="E44" s="284"/>
      <c r="F44" s="284"/>
      <c r="G44" s="284">
        <f t="shared" si="14"/>
        <v>1.84E-2</v>
      </c>
      <c r="H44" s="284">
        <f t="shared" si="14"/>
        <v>1.6899999999999998E-2</v>
      </c>
      <c r="I44" s="284">
        <f t="shared" si="14"/>
        <v>1.6199999999999999E-2</v>
      </c>
      <c r="J44" s="284">
        <f t="shared" si="14"/>
        <v>1.6500000000000001E-2</v>
      </c>
      <c r="K44" s="287">
        <f t="shared" si="14"/>
        <v>0</v>
      </c>
    </row>
    <row r="45" spans="1:11" s="47" customFormat="1" ht="19.5" customHeight="1">
      <c r="A45" s="7"/>
      <c r="B45" s="286" t="str">
        <f t="shared" ref="B45:C45" si="16">B29</f>
        <v>Sentinel Lighting</v>
      </c>
      <c r="C45" s="676" t="str">
        <f t="shared" si="16"/>
        <v>kW</v>
      </c>
      <c r="D45" s="676"/>
      <c r="E45" s="284"/>
      <c r="F45" s="284"/>
      <c r="G45" s="284">
        <f t="shared" si="14"/>
        <v>10.862</v>
      </c>
      <c r="H45" s="284">
        <f t="shared" si="14"/>
        <v>12.3611</v>
      </c>
      <c r="I45" s="284">
        <f t="shared" si="14"/>
        <v>13.2112</v>
      </c>
      <c r="J45" s="284">
        <f t="shared" si="14"/>
        <v>13.427199999999999</v>
      </c>
      <c r="K45" s="287">
        <f t="shared" si="14"/>
        <v>0</v>
      </c>
    </row>
    <row r="46" spans="1:11" s="47" customFormat="1" ht="19.5" customHeight="1">
      <c r="A46" s="7"/>
      <c r="B46" s="288" t="str">
        <f t="shared" ref="B46:C46" si="17">B30</f>
        <v>Street Lighting</v>
      </c>
      <c r="C46" s="684" t="str">
        <f t="shared" si="17"/>
        <v>kW</v>
      </c>
      <c r="D46" s="684"/>
      <c r="E46" s="289"/>
      <c r="F46" s="289"/>
      <c r="G46" s="289">
        <f t="shared" ref="G46" si="18">ROUND(SUM(F30*G$18+G30*G$19)/12,4)</f>
        <v>3.6017999999999999</v>
      </c>
      <c r="H46" s="289">
        <f t="shared" ref="H46" si="19">ROUND(SUM(G30*H$18+H30*H$19)/12,4)</f>
        <v>3.5910000000000002</v>
      </c>
      <c r="I46" s="289">
        <f t="shared" ref="I46" si="20">ROUND(SUM(H30*I$18+I30*I$19)/12,4)</f>
        <v>3.6124999999999998</v>
      </c>
      <c r="J46" s="289">
        <f t="shared" ref="J46" si="21">ROUND(SUM(I30*J$18+J30*J$19)/12,4)</f>
        <v>3.6715</v>
      </c>
      <c r="K46" s="290">
        <f t="shared" ref="K46" si="22">ROUND(SUM(J30*K$18+K30*K$19)/12,4)</f>
        <v>0</v>
      </c>
    </row>
    <row r="47" spans="1:11">
      <c r="B47" s="47"/>
      <c r="C47" s="47"/>
      <c r="D47" s="47"/>
      <c r="E47" s="47"/>
      <c r="F47" s="47"/>
      <c r="G47" s="47"/>
      <c r="H47" s="47"/>
      <c r="I47" s="47"/>
      <c r="J47" s="47"/>
      <c r="K47" s="47"/>
    </row>
    <row r="48" spans="1:11">
      <c r="B48" s="594" t="s">
        <v>556</v>
      </c>
      <c r="C48" s="8" t="s">
        <v>533</v>
      </c>
    </row>
    <row r="49" spans="3:10" ht="54" customHeight="1">
      <c r="C49" s="682" t="s">
        <v>558</v>
      </c>
      <c r="D49" s="682"/>
      <c r="E49" s="682"/>
      <c r="F49" s="682"/>
      <c r="G49" s="682"/>
      <c r="H49" s="682"/>
      <c r="I49" s="682"/>
      <c r="J49" s="682"/>
    </row>
    <row r="50" spans="3:10" ht="48.95" customHeight="1">
      <c r="C50" s="683" t="s">
        <v>554</v>
      </c>
      <c r="D50" s="683"/>
      <c r="E50" s="683"/>
      <c r="F50" s="683"/>
      <c r="G50" s="683"/>
      <c r="H50" s="683"/>
      <c r="I50" s="683"/>
      <c r="J50" s="683"/>
    </row>
    <row r="51" spans="3:10" ht="36" customHeight="1">
      <c r="C51" s="683" t="s">
        <v>555</v>
      </c>
      <c r="D51" s="683"/>
      <c r="E51" s="683"/>
      <c r="F51" s="683"/>
      <c r="G51" s="683"/>
      <c r="H51" s="683"/>
      <c r="I51" s="683"/>
      <c r="J51" s="683"/>
    </row>
  </sheetData>
  <mergeCells count="22">
    <mergeCell ref="C49:J49"/>
    <mergeCell ref="C50:J50"/>
    <mergeCell ref="C51:J51"/>
    <mergeCell ref="C44:D44"/>
    <mergeCell ref="C45:D45"/>
    <mergeCell ref="C46:D46"/>
    <mergeCell ref="C39:D39"/>
    <mergeCell ref="C40:D40"/>
    <mergeCell ref="C41:D41"/>
    <mergeCell ref="C42:D42"/>
    <mergeCell ref="C43:D43"/>
    <mergeCell ref="C35:D35"/>
    <mergeCell ref="C36:D36"/>
    <mergeCell ref="C37:D37"/>
    <mergeCell ref="C38:D38"/>
    <mergeCell ref="B3:K3"/>
    <mergeCell ref="B7:B8"/>
    <mergeCell ref="C7:D7"/>
    <mergeCell ref="C8:E8"/>
    <mergeCell ref="C5:K5"/>
    <mergeCell ref="C6:K6"/>
    <mergeCell ref="B5:B6"/>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workbookViewId="0">
      <selection activeCell="C6" sqref="C6"/>
    </sheetView>
  </sheetViews>
  <sheetFormatPr defaultColWidth="0" defaultRowHeight="14.1" customHeight="1" zeroHeight="1"/>
  <cols>
    <col min="1" max="1" width="16.7109375" style="602" customWidth="1"/>
    <col min="2" max="2" width="14.28515625" style="613" customWidth="1"/>
    <col min="3" max="3" width="0.85546875" style="606" customWidth="1"/>
    <col min="4" max="4" width="15.140625" style="613" customWidth="1"/>
    <col min="5" max="5" width="12.85546875" style="613" customWidth="1"/>
    <col min="6" max="6" width="8.42578125" style="608" customWidth="1"/>
    <col min="7" max="7" width="14.42578125" style="608" customWidth="1"/>
    <col min="8" max="8" width="1" style="602" customWidth="1"/>
    <col min="9" max="9" width="18.140625" style="602" customWidth="1"/>
    <col min="10" max="16384" width="9.140625" style="602" hidden="1"/>
  </cols>
  <sheetData>
    <row r="1" spans="1:9" ht="42" customHeight="1">
      <c r="A1" s="693" t="s">
        <v>557</v>
      </c>
      <c r="B1" s="693"/>
      <c r="C1" s="693"/>
      <c r="D1" s="693"/>
      <c r="E1" s="693"/>
      <c r="F1" s="693"/>
      <c r="G1" s="693"/>
      <c r="H1" s="693"/>
      <c r="I1" s="693"/>
    </row>
    <row r="2" spans="1:9" ht="42" customHeight="1">
      <c r="A2" s="601">
        <v>2012</v>
      </c>
      <c r="B2" s="687" t="s">
        <v>535</v>
      </c>
      <c r="C2" s="689"/>
      <c r="D2" s="689"/>
      <c r="E2" s="689"/>
      <c r="F2" s="688"/>
      <c r="G2" s="690" t="s">
        <v>536</v>
      </c>
      <c r="H2" s="690"/>
      <c r="I2" s="685" t="s">
        <v>537</v>
      </c>
    </row>
    <row r="3" spans="1:9" ht="26.25">
      <c r="A3" s="603" t="s">
        <v>538</v>
      </c>
      <c r="B3" s="604" t="s">
        <v>539</v>
      </c>
      <c r="C3" s="604"/>
      <c r="D3" s="604" t="s">
        <v>540</v>
      </c>
      <c r="E3" s="687" t="s">
        <v>541</v>
      </c>
      <c r="F3" s="688"/>
      <c r="G3" s="691"/>
      <c r="H3" s="691"/>
      <c r="I3" s="686"/>
    </row>
    <row r="4" spans="1:9" ht="15.75">
      <c r="A4" s="605" t="s">
        <v>38</v>
      </c>
      <c r="B4" s="605">
        <v>1.5599999999999999E-2</v>
      </c>
      <c r="D4" s="607">
        <f>0.0157-0.0003</f>
        <v>1.5399999999999999E-2</v>
      </c>
      <c r="E4" s="605">
        <f>((B4*4)+(D4*8))/12</f>
        <v>1.5466666666666665E-2</v>
      </c>
      <c r="F4" s="608" t="s">
        <v>36</v>
      </c>
      <c r="G4" s="609">
        <v>100120</v>
      </c>
      <c r="I4" s="605"/>
    </row>
    <row r="5" spans="1:9" ht="15.75">
      <c r="A5" s="605" t="s">
        <v>542</v>
      </c>
      <c r="B5" s="605">
        <v>1.6899999999999998E-2</v>
      </c>
      <c r="D5" s="607">
        <f>0.017-0.0002</f>
        <v>1.6800000000000002E-2</v>
      </c>
      <c r="E5" s="605">
        <f>((B5*4)+(D5*8))/12</f>
        <v>1.6833333333333336E-2</v>
      </c>
      <c r="F5" s="608" t="s">
        <v>36</v>
      </c>
      <c r="G5" s="609">
        <v>8899</v>
      </c>
      <c r="I5" s="605"/>
    </row>
    <row r="6" spans="1:9" ht="15.75">
      <c r="A6" s="605" t="s">
        <v>543</v>
      </c>
      <c r="B6" s="605">
        <v>3.0226000000000002</v>
      </c>
      <c r="D6" s="607">
        <f>3.0492-0.04</f>
        <v>3.0091999999999999</v>
      </c>
      <c r="E6" s="605">
        <f>((B6*4)+(D6*8))/12</f>
        <v>3.0136666666666669</v>
      </c>
      <c r="F6" s="608" t="s">
        <v>37</v>
      </c>
      <c r="G6" s="609">
        <v>1017</v>
      </c>
      <c r="I6" s="605"/>
    </row>
    <row r="7" spans="1:9" ht="15.75">
      <c r="A7" s="605" t="s">
        <v>544</v>
      </c>
      <c r="B7" s="605">
        <v>1.4136</v>
      </c>
      <c r="D7" s="607">
        <f>1.426-0.0312</f>
        <v>1.3948</v>
      </c>
      <c r="E7" s="605">
        <f>((B7*4)+(D7*8))/12</f>
        <v>1.4010666666666667</v>
      </c>
      <c r="F7" s="608" t="s">
        <v>37</v>
      </c>
      <c r="G7" s="609">
        <v>3</v>
      </c>
      <c r="I7" s="605"/>
    </row>
    <row r="8" spans="1:9" ht="15.75">
      <c r="A8" s="605" t="s">
        <v>545</v>
      </c>
      <c r="B8" s="605">
        <v>1.6837</v>
      </c>
      <c r="D8" s="607">
        <f>1.6985-0.0347</f>
        <v>1.6637999999999999</v>
      </c>
      <c r="E8" s="605">
        <f>((B8*4)+(D8*8))/12</f>
        <v>1.6704333333333334</v>
      </c>
      <c r="F8" s="608" t="s">
        <v>37</v>
      </c>
      <c r="G8" s="609">
        <v>4</v>
      </c>
      <c r="I8" s="605"/>
    </row>
    <row r="9" spans="1:9" ht="15">
      <c r="A9" s="610"/>
      <c r="B9" s="610"/>
      <c r="C9" s="610"/>
      <c r="D9" s="610"/>
      <c r="E9" s="610"/>
      <c r="F9" s="610"/>
      <c r="G9" s="610"/>
      <c r="H9" s="610"/>
      <c r="I9" s="610"/>
    </row>
    <row r="10" spans="1:9" ht="29.1" customHeight="1">
      <c r="A10" s="603" t="s">
        <v>546</v>
      </c>
      <c r="B10" s="603" t="s">
        <v>539</v>
      </c>
      <c r="C10" s="603"/>
      <c r="D10" s="603" t="s">
        <v>540</v>
      </c>
      <c r="E10" s="687" t="s">
        <v>541</v>
      </c>
      <c r="F10" s="688"/>
      <c r="G10" s="603"/>
      <c r="H10" s="603"/>
      <c r="I10" s="603"/>
    </row>
    <row r="11" spans="1:9" ht="30.75">
      <c r="A11" s="605" t="s">
        <v>547</v>
      </c>
      <c r="B11" s="605">
        <v>1.9199999999999998E-2</v>
      </c>
      <c r="D11" s="607">
        <f>0.0194-(0.0001)</f>
        <v>1.9300000000000001E-2</v>
      </c>
      <c r="E11" s="605">
        <f>((B11*4)+(D11*8))/12</f>
        <v>1.9266666666666668E-2</v>
      </c>
      <c r="F11" s="608" t="s">
        <v>36</v>
      </c>
      <c r="G11" s="609">
        <v>3036</v>
      </c>
      <c r="I11" s="605"/>
    </row>
    <row r="12" spans="1:9" ht="30.75">
      <c r="A12" s="605" t="s">
        <v>548</v>
      </c>
      <c r="B12" s="605">
        <v>2.2599999999999999E-2</v>
      </c>
      <c r="D12" s="607">
        <f>0.0253-(0.0001)</f>
        <v>2.52E-2</v>
      </c>
      <c r="E12" s="605">
        <f>((B12*4)+(D12*8))/12</f>
        <v>2.4333333333333332E-2</v>
      </c>
      <c r="F12" s="608" t="s">
        <v>36</v>
      </c>
      <c r="G12" s="609">
        <v>782</v>
      </c>
      <c r="I12" s="605"/>
    </row>
    <row r="13" spans="1:9" ht="30.75">
      <c r="A13" s="605" t="s">
        <v>549</v>
      </c>
      <c r="B13" s="605">
        <v>3.27E-2</v>
      </c>
      <c r="D13" s="607">
        <f>0.033-(0.0003)</f>
        <v>3.27E-2</v>
      </c>
      <c r="E13" s="605">
        <f>((B13*4)+(D13*8))/12</f>
        <v>3.27E-2</v>
      </c>
      <c r="F13" s="608" t="s">
        <v>36</v>
      </c>
      <c r="G13" s="609">
        <v>1588</v>
      </c>
      <c r="I13" s="605"/>
    </row>
    <row r="14" spans="1:9" ht="15.75">
      <c r="A14" s="605" t="s">
        <v>542</v>
      </c>
      <c r="B14" s="605">
        <v>1.84E-2</v>
      </c>
      <c r="D14" s="607">
        <f>0.0168-(0.0001)</f>
        <v>1.67E-2</v>
      </c>
      <c r="E14" s="605">
        <f>((B14*4)+(D14*8))/12</f>
        <v>1.7266666666666666E-2</v>
      </c>
      <c r="F14" s="608" t="s">
        <v>36</v>
      </c>
      <c r="G14" s="609">
        <v>713</v>
      </c>
      <c r="I14" s="605"/>
    </row>
    <row r="15" spans="1:9" ht="15.75">
      <c r="A15" s="605" t="s">
        <v>543</v>
      </c>
      <c r="B15" s="605">
        <v>3.8717000000000001</v>
      </c>
      <c r="D15" s="607">
        <f>3.8174-(0.0159)</f>
        <v>3.8015000000000003</v>
      </c>
      <c r="E15" s="605">
        <f>((B15*4)+(D15*8))/12</f>
        <v>3.8249</v>
      </c>
      <c r="F15" s="608" t="s">
        <v>37</v>
      </c>
      <c r="G15" s="609">
        <v>46</v>
      </c>
      <c r="I15" s="605"/>
    </row>
    <row r="16" spans="1:9" ht="15">
      <c r="A16" s="610"/>
      <c r="B16" s="610"/>
      <c r="C16" s="610"/>
      <c r="D16" s="610"/>
      <c r="E16" s="610"/>
      <c r="F16" s="610"/>
      <c r="G16" s="610"/>
      <c r="H16" s="610"/>
      <c r="I16" s="610"/>
    </row>
    <row r="17" spans="1:9" ht="15">
      <c r="A17" s="611" t="s">
        <v>550</v>
      </c>
      <c r="B17" s="607"/>
      <c r="C17" s="612"/>
      <c r="D17" s="607"/>
      <c r="E17" s="610"/>
      <c r="F17" s="610"/>
      <c r="G17" s="610"/>
      <c r="H17" s="610"/>
      <c r="I17" s="610"/>
    </row>
    <row r="18" spans="1:9" ht="15">
      <c r="A18" s="610"/>
      <c r="B18" s="610"/>
      <c r="C18" s="610"/>
      <c r="D18" s="610"/>
      <c r="E18" s="610"/>
      <c r="F18" s="610"/>
      <c r="G18" s="610"/>
      <c r="H18" s="610"/>
      <c r="I18" s="610"/>
    </row>
    <row r="19" spans="1:9" ht="15">
      <c r="A19" s="601">
        <v>2013</v>
      </c>
      <c r="B19" s="687" t="s">
        <v>535</v>
      </c>
      <c r="C19" s="689"/>
      <c r="D19" s="689"/>
      <c r="E19" s="689"/>
      <c r="F19" s="688"/>
      <c r="G19" s="690" t="s">
        <v>536</v>
      </c>
      <c r="H19" s="690"/>
      <c r="I19" s="685" t="s">
        <v>537</v>
      </c>
    </row>
    <row r="20" spans="1:9" ht="26.25">
      <c r="A20" s="603" t="s">
        <v>538</v>
      </c>
      <c r="B20" s="604" t="s">
        <v>539</v>
      </c>
      <c r="C20" s="604"/>
      <c r="D20" s="604" t="s">
        <v>540</v>
      </c>
      <c r="E20" s="687" t="s">
        <v>541</v>
      </c>
      <c r="F20" s="688"/>
      <c r="G20" s="691"/>
      <c r="H20" s="691"/>
      <c r="I20" s="686"/>
    </row>
    <row r="21" spans="1:9" ht="15.75">
      <c r="A21" s="605" t="s">
        <v>38</v>
      </c>
      <c r="B21" s="605">
        <f>D4</f>
        <v>1.5399999999999999E-2</v>
      </c>
      <c r="D21" s="607">
        <f>0.0158-(0.0003)</f>
        <v>1.5500000000000002E-2</v>
      </c>
      <c r="E21" s="605">
        <f>((B21*4)+(D21*8))/12</f>
        <v>1.5466666666666668E-2</v>
      </c>
      <c r="F21" s="608" t="s">
        <v>36</v>
      </c>
      <c r="G21" s="609">
        <v>101253</v>
      </c>
      <c r="I21" s="605">
        <f>ROUND((E21*G21+SUMPRODUCT(E28:E30,G28:G30))/SUM(G21,G28:G30),4)</f>
        <v>1.5900000000000001E-2</v>
      </c>
    </row>
    <row r="22" spans="1:9" ht="15.75">
      <c r="A22" s="605" t="s">
        <v>542</v>
      </c>
      <c r="B22" s="605">
        <f>D5</f>
        <v>1.6800000000000002E-2</v>
      </c>
      <c r="D22" s="607">
        <f>0.0171-(0.0002)</f>
        <v>1.6900000000000002E-2</v>
      </c>
      <c r="E22" s="605">
        <f>((B22*4)+(D22*8))/12</f>
        <v>1.6866666666666669E-2</v>
      </c>
      <c r="F22" s="608" t="s">
        <v>36</v>
      </c>
      <c r="G22" s="609">
        <v>8048</v>
      </c>
      <c r="I22" s="605">
        <f>ROUND((E22*G22+E31*G31)/SUM(G22,G31),4)</f>
        <v>1.6899999999999998E-2</v>
      </c>
    </row>
    <row r="23" spans="1:9" ht="15.75">
      <c r="A23" s="605" t="s">
        <v>543</v>
      </c>
      <c r="B23" s="605">
        <f>D6</f>
        <v>3.0091999999999999</v>
      </c>
      <c r="D23" s="607">
        <f>3.0638-(0.0362)</f>
        <v>3.0276000000000001</v>
      </c>
      <c r="E23" s="605">
        <f>((B23*4)+(D23*8))/12</f>
        <v>3.0214666666666665</v>
      </c>
      <c r="F23" s="608" t="s">
        <v>37</v>
      </c>
      <c r="G23" s="609">
        <v>1023</v>
      </c>
      <c r="I23" s="605">
        <f>ROUND((E23*G23+E32*G32)/SUM(G23,G32),4)</f>
        <v>3.0556000000000001</v>
      </c>
    </row>
    <row r="24" spans="1:9" ht="15.75">
      <c r="A24" s="605" t="s">
        <v>544</v>
      </c>
      <c r="B24" s="605">
        <f>D7</f>
        <v>1.3948</v>
      </c>
      <c r="D24" s="607">
        <f>1.4328-(0.0283)</f>
        <v>1.4045000000000001</v>
      </c>
      <c r="E24" s="605">
        <f>((B24*4)+(D24*8))/12</f>
        <v>1.4012666666666667</v>
      </c>
      <c r="F24" s="608" t="s">
        <v>37</v>
      </c>
      <c r="G24" s="609">
        <v>5</v>
      </c>
      <c r="I24" s="605"/>
    </row>
    <row r="25" spans="1:9" ht="15.75">
      <c r="A25" s="605" t="s">
        <v>545</v>
      </c>
      <c r="B25" s="605">
        <f>D8</f>
        <v>1.6637999999999999</v>
      </c>
      <c r="D25" s="607">
        <f>1.7067-(0.0314)</f>
        <v>1.6753</v>
      </c>
      <c r="E25" s="605">
        <f>((B25*4)+(D25*8))/12</f>
        <v>1.6714666666666667</v>
      </c>
      <c r="F25" s="608" t="s">
        <v>37</v>
      </c>
      <c r="G25" s="609">
        <v>2</v>
      </c>
      <c r="I25" s="605"/>
    </row>
    <row r="26" spans="1:9" ht="15">
      <c r="A26" s="610"/>
      <c r="B26" s="610"/>
      <c r="C26" s="610"/>
      <c r="D26" s="610"/>
      <c r="E26" s="610"/>
      <c r="F26" s="610"/>
      <c r="G26" s="610"/>
      <c r="H26" s="610"/>
      <c r="I26" s="610"/>
    </row>
    <row r="27" spans="1:9" ht="26.25">
      <c r="A27" s="603" t="s">
        <v>546</v>
      </c>
      <c r="B27" s="603" t="s">
        <v>539</v>
      </c>
      <c r="C27" s="603"/>
      <c r="D27" s="603" t="s">
        <v>540</v>
      </c>
      <c r="E27" s="687" t="s">
        <v>541</v>
      </c>
      <c r="F27" s="688"/>
      <c r="G27" s="603"/>
      <c r="H27" s="603"/>
      <c r="I27" s="603"/>
    </row>
    <row r="28" spans="1:9" ht="30.75">
      <c r="A28" s="605" t="s">
        <v>547</v>
      </c>
      <c r="B28" s="605">
        <f>D11</f>
        <v>1.9300000000000001E-2</v>
      </c>
      <c r="D28" s="607">
        <f>0.0195-(0.0001)</f>
        <v>1.9400000000000001E-2</v>
      </c>
      <c r="E28" s="605">
        <f>((B28*4)+(D28*8))/12</f>
        <v>1.9366666666666667E-2</v>
      </c>
      <c r="F28" s="608" t="s">
        <v>36</v>
      </c>
      <c r="G28" s="609">
        <v>3058</v>
      </c>
      <c r="I28" s="605"/>
    </row>
    <row r="29" spans="1:9" ht="30.75">
      <c r="A29" s="605" t="s">
        <v>548</v>
      </c>
      <c r="B29" s="605">
        <f>D12</f>
        <v>2.52E-2</v>
      </c>
      <c r="D29" s="607">
        <f>0.0254-(0.0001)</f>
        <v>2.53E-2</v>
      </c>
      <c r="E29" s="605">
        <f>((B29*4)+(D29*8))/12</f>
        <v>2.526666666666667E-2</v>
      </c>
      <c r="F29" s="608" t="s">
        <v>36</v>
      </c>
      <c r="G29" s="609">
        <v>787</v>
      </c>
      <c r="I29" s="605"/>
    </row>
    <row r="30" spans="1:9" ht="30.75">
      <c r="A30" s="605" t="s">
        <v>549</v>
      </c>
      <c r="B30" s="605">
        <f>D13</f>
        <v>3.27E-2</v>
      </c>
      <c r="D30" s="607">
        <f>0.0332-(0.0003)</f>
        <v>3.2899999999999999E-2</v>
      </c>
      <c r="E30" s="605">
        <f>((B30*4)+(D30*8))/12</f>
        <v>3.2833333333333332E-2</v>
      </c>
      <c r="F30" s="608" t="s">
        <v>36</v>
      </c>
      <c r="G30" s="609">
        <v>1591</v>
      </c>
      <c r="I30" s="605"/>
    </row>
    <row r="31" spans="1:9" ht="15.75">
      <c r="A31" s="605" t="s">
        <v>542</v>
      </c>
      <c r="B31" s="605">
        <f>D14</f>
        <v>1.67E-2</v>
      </c>
      <c r="D31" s="607">
        <f>0.0169-(0.0001)</f>
        <v>1.6799999999999999E-2</v>
      </c>
      <c r="E31" s="605">
        <f>((B31*4)+(D31*8))/12</f>
        <v>1.6766666666666666E-2</v>
      </c>
      <c r="F31" s="608" t="s">
        <v>36</v>
      </c>
      <c r="G31" s="609">
        <v>715</v>
      </c>
      <c r="I31" s="605"/>
    </row>
    <row r="32" spans="1:9" ht="15.75">
      <c r="A32" s="605" t="s">
        <v>543</v>
      </c>
      <c r="B32" s="605">
        <f>D15</f>
        <v>3.8015000000000003</v>
      </c>
      <c r="D32" s="607">
        <f>3.8357-(0.0155)</f>
        <v>3.8202000000000003</v>
      </c>
      <c r="E32" s="605">
        <f>((B32*4)+(D32*8))/12</f>
        <v>3.8139666666666669</v>
      </c>
      <c r="F32" s="608" t="s">
        <v>37</v>
      </c>
      <c r="G32" s="609">
        <v>46</v>
      </c>
      <c r="I32" s="605"/>
    </row>
    <row r="33" spans="1:9" ht="15">
      <c r="A33" s="610"/>
      <c r="B33" s="610"/>
      <c r="C33" s="610"/>
      <c r="D33" s="610"/>
      <c r="E33" s="610"/>
      <c r="F33" s="610"/>
      <c r="G33" s="610"/>
      <c r="H33" s="610"/>
      <c r="I33" s="610"/>
    </row>
    <row r="34" spans="1:9" ht="15">
      <c r="A34" s="611" t="s">
        <v>551</v>
      </c>
      <c r="B34" s="607"/>
      <c r="C34" s="612"/>
      <c r="D34" s="607"/>
      <c r="E34" s="610"/>
      <c r="F34" s="610"/>
      <c r="G34" s="610"/>
      <c r="H34" s="610"/>
      <c r="I34" s="610"/>
    </row>
    <row r="35" spans="1:9" ht="15">
      <c r="A35" s="610"/>
      <c r="B35" s="610"/>
      <c r="C35" s="610"/>
      <c r="D35" s="610"/>
      <c r="E35" s="610"/>
      <c r="F35" s="610"/>
      <c r="G35" s="610"/>
      <c r="H35" s="610"/>
      <c r="I35" s="610"/>
    </row>
    <row r="36" spans="1:9" ht="15">
      <c r="A36" s="601">
        <v>2014</v>
      </c>
      <c r="B36" s="687" t="s">
        <v>535</v>
      </c>
      <c r="C36" s="689"/>
      <c r="D36" s="689"/>
      <c r="E36" s="689"/>
      <c r="F36" s="688"/>
      <c r="G36" s="690" t="s">
        <v>536</v>
      </c>
      <c r="H36" s="690"/>
      <c r="I36" s="685" t="s">
        <v>537</v>
      </c>
    </row>
    <row r="37" spans="1:9" ht="26.25">
      <c r="A37" s="603" t="s">
        <v>538</v>
      </c>
      <c r="B37" s="604" t="s">
        <v>539</v>
      </c>
      <c r="C37" s="604"/>
      <c r="D37" s="604" t="s">
        <v>540</v>
      </c>
      <c r="E37" s="687" t="s">
        <v>541</v>
      </c>
      <c r="F37" s="688"/>
      <c r="G37" s="691"/>
      <c r="H37" s="691"/>
      <c r="I37" s="686"/>
    </row>
    <row r="38" spans="1:9" ht="15.75">
      <c r="A38" s="605" t="s">
        <v>38</v>
      </c>
      <c r="B38" s="605">
        <f>D21</f>
        <v>1.5500000000000002E-2</v>
      </c>
      <c r="D38" s="613">
        <v>1.5900000000000001E-2</v>
      </c>
      <c r="E38" s="605">
        <f>((B38*4)+(D38*8))/12</f>
        <v>1.5766666666666668E-2</v>
      </c>
      <c r="F38" s="608" t="s">
        <v>36</v>
      </c>
      <c r="G38" s="609">
        <v>102311</v>
      </c>
      <c r="I38" s="605">
        <f>ROUND((E38*G38+SUMPRODUCT(E45:E47,G45:G47))/SUM(G38,G45:G47),4)</f>
        <v>1.61E-2</v>
      </c>
    </row>
    <row r="39" spans="1:9" ht="15.75">
      <c r="A39" s="605" t="s">
        <v>542</v>
      </c>
      <c r="B39" s="605">
        <f>D22</f>
        <v>1.6900000000000002E-2</v>
      </c>
      <c r="D39" s="613">
        <v>1.6199999999999999E-2</v>
      </c>
      <c r="E39" s="605">
        <f>((B39*4)+(D39*8))/12</f>
        <v>1.6433333333333331E-2</v>
      </c>
      <c r="F39" s="608" t="s">
        <v>36</v>
      </c>
      <c r="G39" s="609">
        <v>8092</v>
      </c>
      <c r="I39" s="605">
        <f>ROUND((E39*G39+E48*G48)/SUM(G39,G48),4)</f>
        <v>1.6400000000000001E-2</v>
      </c>
    </row>
    <row r="40" spans="1:9" ht="15.75">
      <c r="A40" s="605" t="s">
        <v>543</v>
      </c>
      <c r="B40" s="605">
        <f>D23</f>
        <v>3.0276000000000001</v>
      </c>
      <c r="D40" s="613">
        <v>3.1796000000000002</v>
      </c>
      <c r="E40" s="605">
        <f>((B40*4)+(D40*8))/12</f>
        <v>3.1289333333333338</v>
      </c>
      <c r="F40" s="608" t="s">
        <v>37</v>
      </c>
      <c r="G40" s="609">
        <v>1001</v>
      </c>
      <c r="I40" s="605">
        <f>ROUND((E40*G40+E49*G49)/SUM(G40,G49),4)</f>
        <v>3.1402999999999999</v>
      </c>
    </row>
    <row r="41" spans="1:9" ht="15.75">
      <c r="A41" s="605" t="s">
        <v>544</v>
      </c>
      <c r="B41" s="605">
        <f>D24</f>
        <v>1.4045000000000001</v>
      </c>
      <c r="D41" s="614">
        <v>2.0145</v>
      </c>
      <c r="E41" s="605">
        <f>((B41*4)+(D41*8))/12</f>
        <v>1.8111666666666668</v>
      </c>
      <c r="F41" s="608" t="s">
        <v>37</v>
      </c>
      <c r="G41" s="609">
        <v>6</v>
      </c>
      <c r="I41" s="605"/>
    </row>
    <row r="42" spans="1:9" ht="15.75">
      <c r="A42" s="605" t="s">
        <v>545</v>
      </c>
      <c r="B42" s="605">
        <f>D25</f>
        <v>1.6753</v>
      </c>
      <c r="D42" s="614">
        <v>2.8370000000000002</v>
      </c>
      <c r="E42" s="605">
        <f>((B42*4)+(D42*8))/12</f>
        <v>2.4497666666666666</v>
      </c>
      <c r="F42" s="608" t="s">
        <v>37</v>
      </c>
      <c r="G42" s="609">
        <v>2</v>
      </c>
      <c r="I42" s="605"/>
    </row>
    <row r="43" spans="1:9" ht="15">
      <c r="A43" s="610"/>
      <c r="B43" s="610"/>
      <c r="C43" s="610"/>
      <c r="D43" s="610"/>
      <c r="E43" s="610"/>
      <c r="F43" s="610"/>
      <c r="G43" s="610"/>
      <c r="H43" s="610"/>
      <c r="I43" s="610"/>
    </row>
    <row r="44" spans="1:9" ht="26.25">
      <c r="A44" s="603" t="s">
        <v>546</v>
      </c>
      <c r="B44" s="603" t="s">
        <v>539</v>
      </c>
      <c r="C44" s="603"/>
      <c r="D44" s="603" t="s">
        <v>540</v>
      </c>
      <c r="E44" s="687" t="s">
        <v>541</v>
      </c>
      <c r="F44" s="688"/>
      <c r="G44" s="603"/>
      <c r="H44" s="603"/>
      <c r="I44" s="603"/>
    </row>
    <row r="45" spans="1:9" ht="30.75">
      <c r="A45" s="605" t="s">
        <v>547</v>
      </c>
      <c r="B45" s="605">
        <f>D28</f>
        <v>1.9400000000000001E-2</v>
      </c>
      <c r="D45" s="613">
        <f>D38</f>
        <v>1.5900000000000001E-2</v>
      </c>
      <c r="E45" s="605">
        <f>((B45*4)+(D45*8))/12</f>
        <v>1.7066666666666667E-2</v>
      </c>
      <c r="F45" s="608" t="s">
        <v>36</v>
      </c>
      <c r="G45" s="609">
        <v>3895</v>
      </c>
      <c r="I45" s="605"/>
    </row>
    <row r="46" spans="1:9" ht="30.75">
      <c r="A46" s="605" t="s">
        <v>548</v>
      </c>
      <c r="B46" s="605">
        <f>D29</f>
        <v>2.53E-2</v>
      </c>
      <c r="D46" s="613">
        <f>D38</f>
        <v>1.5900000000000001E-2</v>
      </c>
      <c r="E46" s="605">
        <f>((B46*4)+(D46*8))/12</f>
        <v>1.9033333333333333E-2</v>
      </c>
      <c r="F46" s="608" t="s">
        <v>36</v>
      </c>
      <c r="G46" s="609"/>
      <c r="I46" s="605"/>
    </row>
    <row r="47" spans="1:9" ht="30.75">
      <c r="A47" s="605" t="s">
        <v>549</v>
      </c>
      <c r="B47" s="605">
        <f>D30</f>
        <v>3.2899999999999999E-2</v>
      </c>
      <c r="D47" s="613">
        <v>3.4299999999999997E-2</v>
      </c>
      <c r="E47" s="605">
        <f>((B47*4)+(D47*8))/12</f>
        <v>3.3833333333333333E-2</v>
      </c>
      <c r="F47" s="608" t="s">
        <v>36</v>
      </c>
      <c r="G47" s="609">
        <v>1558</v>
      </c>
      <c r="I47" s="605"/>
    </row>
    <row r="48" spans="1:9" ht="15.75">
      <c r="A48" s="605" t="s">
        <v>542</v>
      </c>
      <c r="B48" s="605">
        <f>D31</f>
        <v>1.6799999999999999E-2</v>
      </c>
      <c r="D48" s="613">
        <f>D39</f>
        <v>1.6199999999999999E-2</v>
      </c>
      <c r="E48" s="605">
        <f>((B48*4)+(D48*8))/12</f>
        <v>1.6399999999999998E-2</v>
      </c>
      <c r="F48" s="608" t="s">
        <v>36</v>
      </c>
      <c r="G48" s="609">
        <v>716</v>
      </c>
      <c r="I48" s="605"/>
    </row>
    <row r="49" spans="1:9" ht="15.75">
      <c r="A49" s="605" t="s">
        <v>543</v>
      </c>
      <c r="B49" s="605">
        <f>D32</f>
        <v>3.8202000000000003</v>
      </c>
      <c r="D49" s="613">
        <f>D40</f>
        <v>3.1796000000000002</v>
      </c>
      <c r="E49" s="605">
        <f>((B49*4)+(D49*8))/12</f>
        <v>3.3931333333333336</v>
      </c>
      <c r="F49" s="608" t="s">
        <v>37</v>
      </c>
      <c r="G49" s="609">
        <v>45</v>
      </c>
      <c r="I49" s="605"/>
    </row>
    <row r="50" spans="1:9" ht="15">
      <c r="A50" s="610"/>
      <c r="B50" s="610"/>
      <c r="C50" s="610"/>
      <c r="D50" s="610"/>
      <c r="E50" s="610"/>
      <c r="F50" s="610"/>
      <c r="G50" s="610"/>
      <c r="H50" s="610"/>
      <c r="I50" s="610"/>
    </row>
    <row r="51" spans="1:9" ht="15">
      <c r="A51" s="601">
        <v>2015</v>
      </c>
      <c r="B51" s="687" t="s">
        <v>535</v>
      </c>
      <c r="C51" s="689"/>
      <c r="D51" s="689"/>
      <c r="E51" s="689"/>
      <c r="F51" s="688"/>
      <c r="G51" s="690" t="s">
        <v>536</v>
      </c>
      <c r="H51" s="690"/>
      <c r="I51" s="685" t="s">
        <v>537</v>
      </c>
    </row>
    <row r="52" spans="1:9" ht="26.25">
      <c r="A52" s="603" t="s">
        <v>538</v>
      </c>
      <c r="B52" s="604" t="s">
        <v>539</v>
      </c>
      <c r="C52" s="604"/>
      <c r="D52" s="604" t="s">
        <v>540</v>
      </c>
      <c r="E52" s="687" t="s">
        <v>541</v>
      </c>
      <c r="F52" s="688"/>
      <c r="G52" s="691"/>
      <c r="H52" s="691"/>
      <c r="I52" s="686"/>
    </row>
    <row r="53" spans="1:9" ht="15.75">
      <c r="A53" s="605" t="s">
        <v>38</v>
      </c>
      <c r="B53" s="605">
        <f>D38</f>
        <v>1.5900000000000001E-2</v>
      </c>
      <c r="D53" s="613">
        <v>1.61E-2</v>
      </c>
      <c r="E53" s="605">
        <f t="shared" ref="E53:E58" si="0">((B53*4)+(D53*8))/12</f>
        <v>1.6033333333333333E-2</v>
      </c>
      <c r="F53" s="608" t="s">
        <v>36</v>
      </c>
      <c r="G53" s="615">
        <v>108729</v>
      </c>
      <c r="I53" s="605">
        <f>ROUND(SUMPRODUCT(E53:E54,G53:G54)/SUM(G53:G54),4)</f>
        <v>1.6299999999999999E-2</v>
      </c>
    </row>
    <row r="54" spans="1:9" ht="30.75">
      <c r="A54" s="605" t="s">
        <v>549</v>
      </c>
      <c r="B54" s="605">
        <f>D47</f>
        <v>3.4299999999999997E-2</v>
      </c>
      <c r="D54" s="613">
        <v>3.4700000000000002E-2</v>
      </c>
      <c r="E54" s="605">
        <f t="shared" si="0"/>
        <v>3.4566666666666669E-2</v>
      </c>
      <c r="F54" s="608" t="s">
        <v>36</v>
      </c>
      <c r="G54" s="615">
        <v>1591</v>
      </c>
      <c r="I54" s="605"/>
    </row>
    <row r="55" spans="1:9" ht="15.75">
      <c r="A55" s="605" t="s">
        <v>542</v>
      </c>
      <c r="B55" s="605">
        <f>D39</f>
        <v>1.6199999999999999E-2</v>
      </c>
      <c r="D55" s="613">
        <v>1.6400000000000001E-2</v>
      </c>
      <c r="E55" s="605">
        <f t="shared" si="0"/>
        <v>1.6333333333333335E-2</v>
      </c>
      <c r="F55" s="608" t="s">
        <v>36</v>
      </c>
      <c r="G55" s="615">
        <v>8843</v>
      </c>
      <c r="I55" s="605"/>
    </row>
    <row r="56" spans="1:9" ht="15.75">
      <c r="A56" s="605" t="s">
        <v>543</v>
      </c>
      <c r="B56" s="605">
        <f>D40</f>
        <v>3.1796000000000002</v>
      </c>
      <c r="D56" s="613">
        <v>3.2208999999999999</v>
      </c>
      <c r="E56" s="605">
        <f t="shared" si="0"/>
        <v>3.2071333333333332</v>
      </c>
      <c r="F56" s="608" t="s">
        <v>37</v>
      </c>
      <c r="G56" s="615">
        <v>1062</v>
      </c>
      <c r="I56" s="605"/>
    </row>
    <row r="57" spans="1:9" ht="15.75">
      <c r="A57" s="605" t="s">
        <v>544</v>
      </c>
      <c r="B57" s="605">
        <f>D41</f>
        <v>2.0145</v>
      </c>
      <c r="D57" s="614">
        <v>2.0407000000000002</v>
      </c>
      <c r="E57" s="605">
        <f t="shared" si="0"/>
        <v>2.0319666666666669</v>
      </c>
      <c r="F57" s="608" t="s">
        <v>37</v>
      </c>
      <c r="G57" s="615">
        <v>5</v>
      </c>
      <c r="I57" s="605"/>
    </row>
    <row r="58" spans="1:9" ht="15.75">
      <c r="A58" s="605" t="s">
        <v>545</v>
      </c>
      <c r="B58" s="605">
        <f>D42</f>
        <v>2.8370000000000002</v>
      </c>
      <c r="D58" s="614">
        <v>2.8738999999999999</v>
      </c>
      <c r="E58" s="605">
        <f t="shared" si="0"/>
        <v>2.8615999999999997</v>
      </c>
      <c r="F58" s="608" t="s">
        <v>37</v>
      </c>
      <c r="G58" s="615">
        <v>3</v>
      </c>
      <c r="I58" s="605"/>
    </row>
    <row r="59" spans="1:9" ht="15">
      <c r="A59" s="610"/>
      <c r="B59" s="610"/>
      <c r="C59" s="610"/>
      <c r="D59" s="610"/>
      <c r="E59" s="610"/>
      <c r="F59" s="610"/>
      <c r="G59" s="610"/>
      <c r="H59" s="610"/>
      <c r="I59" s="610"/>
    </row>
    <row r="60" spans="1:9" ht="27" customHeight="1">
      <c r="A60" s="601">
        <v>2016</v>
      </c>
      <c r="B60" s="687" t="s">
        <v>535</v>
      </c>
      <c r="C60" s="689"/>
      <c r="D60" s="689"/>
      <c r="E60" s="689"/>
      <c r="F60" s="688"/>
      <c r="G60" s="690" t="s">
        <v>536</v>
      </c>
      <c r="H60" s="690"/>
      <c r="I60" s="685" t="s">
        <v>537</v>
      </c>
    </row>
    <row r="61" spans="1:9" ht="39.950000000000003" customHeight="1">
      <c r="A61" s="603" t="s">
        <v>538</v>
      </c>
      <c r="B61" s="604" t="s">
        <v>539</v>
      </c>
      <c r="C61" s="604"/>
      <c r="D61" s="604" t="s">
        <v>540</v>
      </c>
      <c r="E61" s="687" t="s">
        <v>541</v>
      </c>
      <c r="F61" s="688"/>
      <c r="G61" s="691"/>
      <c r="H61" s="691"/>
      <c r="I61" s="686"/>
    </row>
    <row r="62" spans="1:9" ht="15.75">
      <c r="A62" s="605" t="s">
        <v>38</v>
      </c>
      <c r="B62" s="605">
        <f t="shared" ref="B62:B67" si="1">D53</f>
        <v>1.61E-2</v>
      </c>
      <c r="D62" s="613">
        <v>1.23E-2</v>
      </c>
      <c r="E62" s="605">
        <f t="shared" ref="E62:E67" si="2">((B62*4)+(D62*8))/12</f>
        <v>1.3566666666666666E-2</v>
      </c>
      <c r="F62" s="608" t="s">
        <v>36</v>
      </c>
      <c r="G62" s="616">
        <v>108729</v>
      </c>
      <c r="I62" s="605">
        <f>ROUND(SUMPRODUCT(E62:E63,G62:G63)/SUM(G62:G63),4)</f>
        <v>1.38E-2</v>
      </c>
    </row>
    <row r="63" spans="1:9" ht="30.75">
      <c r="A63" s="605" t="s">
        <v>549</v>
      </c>
      <c r="B63" s="605">
        <f t="shared" si="1"/>
        <v>3.4700000000000002E-2</v>
      </c>
      <c r="D63" s="613">
        <v>2.8299999999999999E-2</v>
      </c>
      <c r="E63" s="605">
        <f t="shared" si="2"/>
        <v>3.043333333333333E-2</v>
      </c>
      <c r="F63" s="608" t="s">
        <v>36</v>
      </c>
      <c r="G63" s="616">
        <v>1591</v>
      </c>
      <c r="I63" s="605"/>
    </row>
    <row r="64" spans="1:9" ht="15.75">
      <c r="A64" s="605" t="s">
        <v>542</v>
      </c>
      <c r="B64" s="605">
        <f t="shared" si="1"/>
        <v>1.6400000000000001E-2</v>
      </c>
      <c r="D64" s="613">
        <v>1.67E-2</v>
      </c>
      <c r="E64" s="605">
        <f t="shared" si="2"/>
        <v>1.66E-2</v>
      </c>
      <c r="F64" s="608" t="s">
        <v>36</v>
      </c>
      <c r="G64" s="616">
        <v>8843</v>
      </c>
      <c r="I64" s="605"/>
    </row>
    <row r="65" spans="1:9" ht="15.75">
      <c r="A65" s="605" t="s">
        <v>543</v>
      </c>
      <c r="B65" s="605">
        <f t="shared" si="1"/>
        <v>3.2208999999999999</v>
      </c>
      <c r="D65" s="613">
        <v>3.2789000000000001</v>
      </c>
      <c r="E65" s="605">
        <f t="shared" si="2"/>
        <v>3.2595666666666667</v>
      </c>
      <c r="F65" s="608" t="s">
        <v>37</v>
      </c>
      <c r="G65" s="616">
        <v>1062</v>
      </c>
      <c r="I65" s="605"/>
    </row>
    <row r="66" spans="1:9" ht="15.75">
      <c r="A66" s="605" t="s">
        <v>544</v>
      </c>
      <c r="B66" s="605">
        <f t="shared" si="1"/>
        <v>2.0407000000000002</v>
      </c>
      <c r="D66" s="614">
        <v>2.0773999999999999</v>
      </c>
      <c r="E66" s="605">
        <f t="shared" si="2"/>
        <v>2.0651666666666668</v>
      </c>
      <c r="F66" s="608" t="s">
        <v>37</v>
      </c>
      <c r="G66" s="616">
        <v>5</v>
      </c>
      <c r="I66" s="605"/>
    </row>
    <row r="67" spans="1:9" ht="15.75">
      <c r="A67" s="605" t="s">
        <v>545</v>
      </c>
      <c r="B67" s="605">
        <f t="shared" si="1"/>
        <v>2.8738999999999999</v>
      </c>
      <c r="D67" s="614">
        <v>2.9256000000000002</v>
      </c>
      <c r="E67" s="605">
        <f t="shared" si="2"/>
        <v>2.9083666666666672</v>
      </c>
      <c r="F67" s="608" t="s">
        <v>37</v>
      </c>
      <c r="G67" s="616">
        <v>3</v>
      </c>
      <c r="I67" s="605"/>
    </row>
    <row r="68" spans="1:9" ht="15">
      <c r="A68" s="610"/>
      <c r="B68" s="610"/>
      <c r="C68" s="610"/>
      <c r="D68" s="610"/>
      <c r="E68" s="610"/>
      <c r="F68" s="610"/>
      <c r="G68" s="610"/>
      <c r="H68" s="610"/>
      <c r="I68" s="610"/>
    </row>
    <row r="69" spans="1:9" ht="15">
      <c r="A69" s="617" t="s">
        <v>552</v>
      </c>
      <c r="B69" s="607"/>
      <c r="C69" s="612"/>
      <c r="D69" s="607"/>
      <c r="E69" s="607"/>
      <c r="F69" s="618"/>
      <c r="G69" s="618"/>
      <c r="H69" s="610"/>
      <c r="I69" s="610"/>
    </row>
    <row r="70" spans="1:9" ht="15">
      <c r="A70" s="610"/>
      <c r="B70" s="610"/>
      <c r="C70" s="610"/>
      <c r="D70" s="610"/>
      <c r="E70" s="610"/>
      <c r="F70" s="610"/>
      <c r="G70" s="610"/>
      <c r="H70" s="610"/>
      <c r="I70" s="610"/>
    </row>
    <row r="71" spans="1:9" ht="59.1" customHeight="1">
      <c r="A71" s="610" t="s">
        <v>523</v>
      </c>
      <c r="B71" s="692" t="s">
        <v>553</v>
      </c>
      <c r="C71" s="692"/>
      <c r="D71" s="692"/>
      <c r="E71" s="692"/>
      <c r="F71" s="692"/>
      <c r="G71" s="692"/>
      <c r="H71" s="692"/>
      <c r="I71" s="692"/>
    </row>
    <row r="72" spans="1:9" ht="15">
      <c r="A72" s="610"/>
      <c r="B72" s="610"/>
      <c r="C72" s="610"/>
      <c r="D72" s="610"/>
      <c r="E72" s="610"/>
      <c r="F72" s="610"/>
      <c r="G72" s="610"/>
      <c r="H72" s="610"/>
      <c r="I72" s="610"/>
    </row>
    <row r="73" spans="1:9" ht="15" hidden="1"/>
    <row r="74" spans="1:9" ht="15" hidden="1"/>
    <row r="75" spans="1:9" ht="15" hidden="1"/>
    <row r="76" spans="1:9" ht="15" hidden="1"/>
  </sheetData>
  <mergeCells count="30">
    <mergeCell ref="B71:I71"/>
    <mergeCell ref="A1:I1"/>
    <mergeCell ref="B51:F51"/>
    <mergeCell ref="G51:G52"/>
    <mergeCell ref="H51:H52"/>
    <mergeCell ref="I51:I52"/>
    <mergeCell ref="E52:F52"/>
    <mergeCell ref="B60:F60"/>
    <mergeCell ref="G60:G61"/>
    <mergeCell ref="H60:H61"/>
    <mergeCell ref="I60:I61"/>
    <mergeCell ref="E61:F61"/>
    <mergeCell ref="B36:F36"/>
    <mergeCell ref="G36:G37"/>
    <mergeCell ref="H36:H37"/>
    <mergeCell ref="I36:I37"/>
    <mergeCell ref="E37:F37"/>
    <mergeCell ref="E44:F44"/>
    <mergeCell ref="B19:F19"/>
    <mergeCell ref="G19:G20"/>
    <mergeCell ref="H19:H20"/>
    <mergeCell ref="I19:I20"/>
    <mergeCell ref="E20:F20"/>
    <mergeCell ref="E27:F27"/>
    <mergeCell ref="B2:F2"/>
    <mergeCell ref="G2:G3"/>
    <mergeCell ref="H2:H3"/>
    <mergeCell ref="I2:I3"/>
    <mergeCell ref="E3:F3"/>
    <mergeCell ref="E10:F10"/>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26"/>
  <sheetViews>
    <sheetView showZeros="0" topLeftCell="A270" zoomScale="90" zoomScaleNormal="90" zoomScaleSheetLayoutView="80" zoomScalePageLayoutView="90" workbookViewId="0">
      <selection activeCell="C6" sqref="C6"/>
    </sheetView>
  </sheetViews>
  <sheetFormatPr defaultColWidth="8.85546875" defaultRowHeight="15.75" outlineLevelRow="1"/>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9" width="12.7109375" style="26" customWidth="1"/>
    <col min="20" max="20" width="3.140625" style="26" customWidth="1"/>
    <col min="21" max="21" width="14.85546875" style="26" customWidth="1"/>
    <col min="22" max="22" width="14" style="26" customWidth="1"/>
    <col min="23" max="23" width="9.7109375" style="26" customWidth="1"/>
    <col min="24" max="24" width="11.140625" style="26" customWidth="1"/>
    <col min="25" max="25" width="12.140625" style="26" customWidth="1"/>
    <col min="26" max="26" width="6.42578125" style="26" bestFit="1" customWidth="1"/>
    <col min="27" max="31" width="8.85546875" style="26"/>
    <col min="32" max="32" width="6.42578125" style="26" bestFit="1" customWidth="1"/>
    <col min="33" max="16384" width="8.85546875" style="26"/>
  </cols>
  <sheetData>
    <row r="1" spans="1:19" ht="164.25" customHeight="1"/>
    <row r="2" spans="1:19" ht="23.25" customHeight="1"/>
    <row r="3" spans="1:19" ht="20.25">
      <c r="A3" s="63"/>
      <c r="B3" s="660" t="s">
        <v>347</v>
      </c>
      <c r="C3" s="660"/>
      <c r="D3" s="660"/>
      <c r="E3" s="660"/>
      <c r="F3" s="660"/>
      <c r="G3" s="660"/>
      <c r="H3" s="660"/>
      <c r="I3" s="660"/>
      <c r="J3" s="660"/>
      <c r="K3" s="660"/>
      <c r="L3" s="660"/>
      <c r="M3" s="660"/>
      <c r="N3" s="660"/>
      <c r="O3" s="660"/>
      <c r="P3" s="660"/>
      <c r="Q3" s="660"/>
      <c r="R3" s="660"/>
      <c r="S3" s="660"/>
    </row>
    <row r="4" spans="1:19" ht="18.75" customHeight="1" outlineLevel="1">
      <c r="A4" s="63"/>
      <c r="B4" s="126"/>
      <c r="C4" s="230"/>
      <c r="D4" s="367"/>
      <c r="E4" s="230"/>
      <c r="F4" s="126"/>
      <c r="G4" s="126"/>
      <c r="H4" s="126"/>
      <c r="I4" s="126"/>
      <c r="J4" s="126"/>
      <c r="K4" s="126"/>
      <c r="L4" s="126"/>
      <c r="M4" s="126"/>
      <c r="N4" s="126"/>
      <c r="O4" s="126"/>
      <c r="P4" s="596"/>
      <c r="Q4" s="596"/>
      <c r="R4" s="596"/>
      <c r="S4" s="126"/>
    </row>
    <row r="5" spans="1:19" outlineLevel="1">
      <c r="A5" s="63"/>
      <c r="C5" s="365" t="s">
        <v>396</v>
      </c>
      <c r="D5" s="368" t="s">
        <v>411</v>
      </c>
      <c r="E5" s="301"/>
    </row>
    <row r="6" spans="1:19" outlineLevel="1">
      <c r="A6" s="63"/>
      <c r="C6" s="301"/>
      <c r="D6" s="368" t="s">
        <v>480</v>
      </c>
      <c r="E6" s="301"/>
    </row>
    <row r="7" spans="1:19" s="65" customFormat="1" ht="15" outlineLevel="1">
      <c r="A7" s="125"/>
      <c r="B7" s="68"/>
      <c r="C7" s="69"/>
      <c r="D7" s="368" t="s">
        <v>348</v>
      </c>
      <c r="E7" s="369"/>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67" t="s">
        <v>334</v>
      </c>
      <c r="D12" s="164"/>
      <c r="E12" s="47"/>
    </row>
    <row r="13" spans="1:19" outlineLevel="1">
      <c r="A13" s="63"/>
      <c r="C13" s="667"/>
      <c r="D13" s="679" t="s">
        <v>360</v>
      </c>
      <c r="E13" s="679"/>
    </row>
    <row r="14" spans="1:19" outlineLevel="1">
      <c r="A14" s="63"/>
      <c r="C14" s="667"/>
      <c r="D14" s="680" t="s">
        <v>335</v>
      </c>
      <c r="E14" s="680"/>
    </row>
    <row r="15" spans="1:19" outlineLevel="1">
      <c r="A15" s="63"/>
      <c r="C15" s="83"/>
      <c r="D15" s="68"/>
      <c r="E15" s="47"/>
    </row>
    <row r="16" spans="1:19">
      <c r="A16" s="63"/>
      <c r="C16" s="83"/>
      <c r="D16" s="250"/>
      <c r="E16" s="47"/>
    </row>
    <row r="17" spans="1:20">
      <c r="B17" s="706" t="s">
        <v>349</v>
      </c>
      <c r="C17" s="706"/>
      <c r="D17" s="706"/>
      <c r="E17" s="706"/>
      <c r="F17" s="706"/>
      <c r="G17" s="706"/>
      <c r="H17" s="706"/>
      <c r="I17" s="706"/>
      <c r="J17" s="706"/>
      <c r="K17" s="706"/>
      <c r="L17" s="706"/>
      <c r="M17" s="706"/>
      <c r="N17" s="706"/>
      <c r="O17" s="706"/>
      <c r="P17" s="706"/>
      <c r="Q17" s="706"/>
      <c r="R17" s="706"/>
      <c r="S17" s="706"/>
    </row>
    <row r="18" spans="1:20" ht="18.75">
      <c r="B18" s="19"/>
      <c r="C18" s="20"/>
      <c r="D18" s="19"/>
      <c r="E18" s="19"/>
      <c r="F18" s="19"/>
      <c r="G18" s="19"/>
      <c r="H18" s="19"/>
      <c r="I18" s="19"/>
      <c r="J18" s="19"/>
      <c r="K18" s="19"/>
      <c r="L18" s="19"/>
      <c r="M18" s="19"/>
      <c r="N18" s="19"/>
      <c r="O18" s="19"/>
      <c r="P18" s="19"/>
      <c r="Q18" s="19"/>
      <c r="R18" s="19"/>
      <c r="S18" s="19"/>
    </row>
    <row r="19" spans="1:20" s="27" customFormat="1" ht="50.25" customHeight="1">
      <c r="A19" s="45"/>
      <c r="B19" s="694" t="s">
        <v>59</v>
      </c>
      <c r="C19" s="696" t="s">
        <v>0</v>
      </c>
      <c r="D19" s="696" t="s">
        <v>45</v>
      </c>
      <c r="E19" s="696" t="s">
        <v>202</v>
      </c>
      <c r="F19" s="268" t="s">
        <v>46</v>
      </c>
      <c r="G19" s="268" t="s">
        <v>199</v>
      </c>
      <c r="H19" s="708" t="s">
        <v>60</v>
      </c>
      <c r="I19" s="709"/>
      <c r="J19" s="709"/>
      <c r="K19" s="709"/>
      <c r="L19" s="709"/>
      <c r="M19" s="709"/>
      <c r="N19" s="709"/>
      <c r="O19" s="709"/>
      <c r="P19" s="709"/>
      <c r="Q19" s="709"/>
      <c r="R19" s="709"/>
      <c r="S19" s="710"/>
      <c r="T19" s="4"/>
    </row>
    <row r="20" spans="1:20" s="27" customFormat="1" ht="62.1" customHeight="1">
      <c r="A20" s="267"/>
      <c r="B20" s="713"/>
      <c r="C20" s="714"/>
      <c r="D20" s="714"/>
      <c r="E20" s="714"/>
      <c r="F20" s="211" t="s">
        <v>47</v>
      </c>
      <c r="G20" s="211" t="s">
        <v>48</v>
      </c>
      <c r="H20" s="211" t="str">
        <f>'1.  LRAMVA Summary'!C21</f>
        <v>Residential</v>
      </c>
      <c r="I20" s="211" t="str">
        <f>'1.  LRAMVA Summary'!D21</f>
        <v>GS &lt; 50 kW</v>
      </c>
      <c r="J20" s="211" t="str">
        <f>'1.  LRAMVA Summary'!E21</f>
        <v>GS 50 to 2,999 kW</v>
      </c>
      <c r="K20" s="211" t="str">
        <f>'1.  LRAMVA Summary'!F21</f>
        <v>GS 50 to 2,999 kW with owned transformer</v>
      </c>
      <c r="L20" s="211" t="str">
        <f>'1.  LRAMVA Summary'!G21</f>
        <v>GS 3,000 to 4,999 kW</v>
      </c>
      <c r="M20" s="211" t="str">
        <f>'1.  LRAMVA Summary'!H21</f>
        <v>GS 3,000 to 4,999 kW with owned transformer</v>
      </c>
      <c r="N20" s="211" t="str">
        <f>'1.  LRAMVA Summary'!I21</f>
        <v>Large Use</v>
      </c>
      <c r="O20" s="211" t="str">
        <f>'1.  LRAMVA Summary'!J21</f>
        <v>Large Use with owned transformer</v>
      </c>
      <c r="P20" s="211" t="str">
        <f>'1.  LRAMVA Summary'!K21</f>
        <v>Unmetered Scattered Load</v>
      </c>
      <c r="Q20" s="211" t="str">
        <f>'1.  LRAMVA Summary'!L21</f>
        <v>Sentinel Lighting</v>
      </c>
      <c r="R20" s="211" t="str">
        <f>'1.  LRAMVA Summary'!M21</f>
        <v>Street Lighting</v>
      </c>
      <c r="S20" s="269" t="str">
        <f>'1.  LRAMVA Summary'!N21</f>
        <v>Total</v>
      </c>
      <c r="T20" s="4"/>
    </row>
    <row r="21" spans="1:20" s="21" customFormat="1" ht="21" customHeight="1" outlineLevel="1">
      <c r="A21" s="705">
        <v>2011</v>
      </c>
      <c r="B21" s="244"/>
      <c r="C21" s="704" t="s">
        <v>1</v>
      </c>
      <c r="D21" s="704"/>
      <c r="E21" s="245"/>
      <c r="F21" s="246"/>
      <c r="G21" s="246"/>
      <c r="H21" s="211" t="str">
        <f>'2.  CDM Allocation'!C25</f>
        <v>kWh</v>
      </c>
      <c r="I21" s="211" t="str">
        <f>'2.  CDM Allocation'!D25</f>
        <v>kWh</v>
      </c>
      <c r="J21" s="211" t="str">
        <f>'2.  CDM Allocation'!E25</f>
        <v>kW</v>
      </c>
      <c r="K21" s="211" t="str">
        <f>'2.  CDM Allocation'!F25</f>
        <v>kW</v>
      </c>
      <c r="L21" s="211" t="str">
        <f>'2.  CDM Allocation'!G25</f>
        <v>kW</v>
      </c>
      <c r="M21" s="211" t="str">
        <f>'2.  CDM Allocation'!H25</f>
        <v>kW</v>
      </c>
      <c r="N21" s="211" t="str">
        <f>'2.  CDM Allocation'!I25</f>
        <v>kW</v>
      </c>
      <c r="O21" s="211" t="str">
        <f>'2.  CDM Allocation'!J25</f>
        <v>kW</v>
      </c>
      <c r="P21" s="211" t="str">
        <f>'2.  CDM Allocation'!K25</f>
        <v>kWh</v>
      </c>
      <c r="Q21" s="211" t="str">
        <f>'2.  CDM Allocation'!L25</f>
        <v>kW</v>
      </c>
      <c r="R21" s="211" t="str">
        <f>'2.  CDM Allocation'!M25</f>
        <v>kW</v>
      </c>
      <c r="S21" s="247"/>
      <c r="T21" s="137"/>
    </row>
    <row r="22" spans="1:20" s="27" customFormat="1" ht="14.25" outlineLevel="1">
      <c r="A22" s="705"/>
      <c r="B22" s="270">
        <v>1</v>
      </c>
      <c r="C22" s="251" t="s">
        <v>2</v>
      </c>
      <c r="D22" s="249" t="s">
        <v>34</v>
      </c>
      <c r="E22" s="249">
        <v>12</v>
      </c>
      <c r="F22" s="294">
        <v>52.703000000000003</v>
      </c>
      <c r="G22" s="294">
        <v>373331.18</v>
      </c>
      <c r="H22" s="293">
        <v>1</v>
      </c>
      <c r="I22" s="293">
        <v>0</v>
      </c>
      <c r="J22" s="293">
        <v>0</v>
      </c>
      <c r="K22" s="293">
        <v>0</v>
      </c>
      <c r="L22" s="293">
        <v>0</v>
      </c>
      <c r="M22" s="293">
        <v>0</v>
      </c>
      <c r="N22" s="293">
        <v>0</v>
      </c>
      <c r="O22" s="293">
        <v>0</v>
      </c>
      <c r="P22" s="293">
        <v>0</v>
      </c>
      <c r="Q22" s="293">
        <v>0</v>
      </c>
      <c r="R22" s="293">
        <v>0</v>
      </c>
      <c r="S22" s="248">
        <f>SUM(H22:R22)</f>
        <v>1</v>
      </c>
      <c r="T22" s="4"/>
    </row>
    <row r="23" spans="1:20" s="27" customFormat="1" ht="14.25" outlineLevel="1">
      <c r="A23" s="705"/>
      <c r="B23" s="270">
        <v>2</v>
      </c>
      <c r="C23" s="251" t="s">
        <v>3</v>
      </c>
      <c r="D23" s="249" t="s">
        <v>34</v>
      </c>
      <c r="E23" s="249">
        <v>12</v>
      </c>
      <c r="F23" s="255">
        <v>6.5259999999999998</v>
      </c>
      <c r="G23" s="294">
        <v>8087.9390000000003</v>
      </c>
      <c r="H23" s="293">
        <v>1</v>
      </c>
      <c r="I23" s="293">
        <v>0</v>
      </c>
      <c r="J23" s="293">
        <v>0</v>
      </c>
      <c r="K23" s="293">
        <v>0</v>
      </c>
      <c r="L23" s="293">
        <v>0</v>
      </c>
      <c r="M23" s="293">
        <v>0</v>
      </c>
      <c r="N23" s="293">
        <v>0</v>
      </c>
      <c r="O23" s="293">
        <v>0</v>
      </c>
      <c r="P23" s="293">
        <v>0</v>
      </c>
      <c r="Q23" s="293">
        <v>0</v>
      </c>
      <c r="R23" s="293">
        <v>0</v>
      </c>
      <c r="S23" s="248">
        <f t="shared" ref="S23:S32" si="0">SUM(H23:R23)</f>
        <v>1</v>
      </c>
      <c r="T23" s="4"/>
    </row>
    <row r="24" spans="1:20" s="27" customFormat="1" ht="14.25" outlineLevel="1">
      <c r="A24" s="705"/>
      <c r="B24" s="270">
        <v>3</v>
      </c>
      <c r="C24" s="251" t="s">
        <v>4</v>
      </c>
      <c r="D24" s="249" t="s">
        <v>34</v>
      </c>
      <c r="E24" s="249">
        <v>12</v>
      </c>
      <c r="F24" s="255">
        <v>808.90899999999999</v>
      </c>
      <c r="G24" s="294">
        <v>1507824.8019999999</v>
      </c>
      <c r="H24" s="293">
        <v>1</v>
      </c>
      <c r="I24" s="293">
        <v>0</v>
      </c>
      <c r="J24" s="293">
        <v>0</v>
      </c>
      <c r="K24" s="293">
        <v>0</v>
      </c>
      <c r="L24" s="293">
        <v>0</v>
      </c>
      <c r="M24" s="293">
        <v>0</v>
      </c>
      <c r="N24" s="293">
        <v>0</v>
      </c>
      <c r="O24" s="293">
        <v>0</v>
      </c>
      <c r="P24" s="293">
        <v>0</v>
      </c>
      <c r="Q24" s="293">
        <v>0</v>
      </c>
      <c r="R24" s="293">
        <v>0</v>
      </c>
      <c r="S24" s="248">
        <f t="shared" si="0"/>
        <v>1</v>
      </c>
      <c r="T24" s="4"/>
    </row>
    <row r="25" spans="1:20" s="27" customFormat="1" ht="14.25" outlineLevel="1">
      <c r="A25" s="705"/>
      <c r="B25" s="270">
        <v>4</v>
      </c>
      <c r="C25" s="251" t="s">
        <v>5</v>
      </c>
      <c r="D25" s="249" t="s">
        <v>34</v>
      </c>
      <c r="E25" s="249">
        <v>12</v>
      </c>
      <c r="F25" s="255">
        <v>27.643000000000001</v>
      </c>
      <c r="G25" s="294">
        <v>447750.47200000001</v>
      </c>
      <c r="H25" s="293">
        <v>1</v>
      </c>
      <c r="I25" s="293">
        <v>0</v>
      </c>
      <c r="J25" s="293">
        <v>0</v>
      </c>
      <c r="K25" s="293">
        <v>0</v>
      </c>
      <c r="L25" s="293">
        <v>0</v>
      </c>
      <c r="M25" s="293">
        <v>0</v>
      </c>
      <c r="N25" s="293">
        <v>0</v>
      </c>
      <c r="O25" s="293">
        <v>0</v>
      </c>
      <c r="P25" s="293">
        <v>0</v>
      </c>
      <c r="Q25" s="293">
        <v>0</v>
      </c>
      <c r="R25" s="293">
        <v>0</v>
      </c>
      <c r="S25" s="248">
        <f t="shared" si="0"/>
        <v>1</v>
      </c>
      <c r="T25" s="4"/>
    </row>
    <row r="26" spans="1:20" s="27" customFormat="1" ht="14.25" outlineLevel="1">
      <c r="A26" s="705"/>
      <c r="B26" s="270">
        <v>5</v>
      </c>
      <c r="C26" s="251" t="s">
        <v>6</v>
      </c>
      <c r="D26" s="249" t="s">
        <v>34</v>
      </c>
      <c r="E26" s="249">
        <v>12</v>
      </c>
      <c r="F26" s="255">
        <v>39.557000000000002</v>
      </c>
      <c r="G26" s="294">
        <v>691340.76100000006</v>
      </c>
      <c r="H26" s="293">
        <v>1</v>
      </c>
      <c r="I26" s="293">
        <v>0</v>
      </c>
      <c r="J26" s="293">
        <v>0</v>
      </c>
      <c r="K26" s="293">
        <v>0</v>
      </c>
      <c r="L26" s="293">
        <v>0</v>
      </c>
      <c r="M26" s="293">
        <v>0</v>
      </c>
      <c r="N26" s="293">
        <v>0</v>
      </c>
      <c r="O26" s="293">
        <v>0</v>
      </c>
      <c r="P26" s="293">
        <v>0</v>
      </c>
      <c r="Q26" s="293">
        <v>0</v>
      </c>
      <c r="R26" s="293">
        <v>0</v>
      </c>
      <c r="S26" s="248">
        <f t="shared" si="0"/>
        <v>1</v>
      </c>
      <c r="T26" s="4"/>
    </row>
    <row r="27" spans="1:20" s="27" customFormat="1" ht="14.25" outlineLevel="1">
      <c r="A27" s="705"/>
      <c r="B27" s="270">
        <v>6</v>
      </c>
      <c r="C27" s="251" t="s">
        <v>7</v>
      </c>
      <c r="D27" s="249" t="s">
        <v>34</v>
      </c>
      <c r="E27" s="249">
        <v>12</v>
      </c>
      <c r="F27" s="255">
        <v>0</v>
      </c>
      <c r="G27" s="294">
        <v>0</v>
      </c>
      <c r="H27" s="293">
        <v>1</v>
      </c>
      <c r="I27" s="293">
        <v>0</v>
      </c>
      <c r="J27" s="293">
        <v>0</v>
      </c>
      <c r="K27" s="293">
        <v>0</v>
      </c>
      <c r="L27" s="293">
        <v>0</v>
      </c>
      <c r="M27" s="293">
        <v>0</v>
      </c>
      <c r="N27" s="293">
        <v>0</v>
      </c>
      <c r="O27" s="293">
        <v>0</v>
      </c>
      <c r="P27" s="293">
        <v>0</v>
      </c>
      <c r="Q27" s="293">
        <v>0</v>
      </c>
      <c r="R27" s="293">
        <v>0</v>
      </c>
      <c r="S27" s="248">
        <f t="shared" si="0"/>
        <v>1</v>
      </c>
      <c r="T27" s="4"/>
    </row>
    <row r="28" spans="1:20" s="27" customFormat="1" ht="14.25" outlineLevel="1">
      <c r="A28" s="705"/>
      <c r="B28" s="270">
        <v>7</v>
      </c>
      <c r="C28" s="251" t="s">
        <v>61</v>
      </c>
      <c r="D28" s="249" t="s">
        <v>34</v>
      </c>
      <c r="E28" s="249">
        <v>0</v>
      </c>
      <c r="F28" s="255">
        <v>565.6</v>
      </c>
      <c r="G28" s="294">
        <v>1464.5</v>
      </c>
      <c r="H28" s="293">
        <v>1</v>
      </c>
      <c r="I28" s="293">
        <v>0</v>
      </c>
      <c r="J28" s="293">
        <v>0</v>
      </c>
      <c r="K28" s="293">
        <v>0</v>
      </c>
      <c r="L28" s="293">
        <v>0</v>
      </c>
      <c r="M28" s="293">
        <v>0</v>
      </c>
      <c r="N28" s="293">
        <v>0</v>
      </c>
      <c r="O28" s="293">
        <v>0</v>
      </c>
      <c r="P28" s="293">
        <v>0</v>
      </c>
      <c r="Q28" s="293">
        <v>0</v>
      </c>
      <c r="R28" s="293">
        <v>0</v>
      </c>
      <c r="S28" s="248">
        <f t="shared" si="0"/>
        <v>1</v>
      </c>
      <c r="T28" s="4"/>
    </row>
    <row r="29" spans="1:20" s="27" customFormat="1" ht="14.25" outlineLevel="1">
      <c r="A29" s="705"/>
      <c r="B29" s="270">
        <v>8</v>
      </c>
      <c r="C29" s="251" t="s">
        <v>8</v>
      </c>
      <c r="D29" s="249" t="s">
        <v>34</v>
      </c>
      <c r="E29" s="249">
        <v>12</v>
      </c>
      <c r="F29" s="255">
        <v>0</v>
      </c>
      <c r="G29" s="294">
        <v>0</v>
      </c>
      <c r="H29" s="293">
        <v>1</v>
      </c>
      <c r="I29" s="293">
        <v>0</v>
      </c>
      <c r="J29" s="293">
        <v>0</v>
      </c>
      <c r="K29" s="293">
        <v>0</v>
      </c>
      <c r="L29" s="293">
        <v>0</v>
      </c>
      <c r="M29" s="293">
        <v>0</v>
      </c>
      <c r="N29" s="293">
        <v>0</v>
      </c>
      <c r="O29" s="293">
        <v>0</v>
      </c>
      <c r="P29" s="293">
        <v>0</v>
      </c>
      <c r="Q29" s="293">
        <v>0</v>
      </c>
      <c r="R29" s="293">
        <v>0</v>
      </c>
      <c r="S29" s="248">
        <f t="shared" si="0"/>
        <v>1</v>
      </c>
      <c r="T29" s="4"/>
    </row>
    <row r="30" spans="1:20" s="27" customFormat="1" ht="15" outlineLevel="1">
      <c r="A30" s="705"/>
      <c r="B30" s="270"/>
      <c r="C30" s="491" t="s">
        <v>251</v>
      </c>
      <c r="D30" s="249" t="s">
        <v>250</v>
      </c>
      <c r="E30" s="249">
        <v>12</v>
      </c>
      <c r="F30" s="255">
        <v>-146.864</v>
      </c>
      <c r="G30" s="294">
        <v>-222421.73699999996</v>
      </c>
      <c r="H30" s="291">
        <v>1</v>
      </c>
      <c r="I30" s="291">
        <v>0</v>
      </c>
      <c r="J30" s="291">
        <v>0</v>
      </c>
      <c r="K30" s="291">
        <v>0</v>
      </c>
      <c r="L30" s="291">
        <v>0</v>
      </c>
      <c r="M30" s="291">
        <v>0</v>
      </c>
      <c r="N30" s="291">
        <v>0</v>
      </c>
      <c r="O30" s="291">
        <v>0</v>
      </c>
      <c r="P30" s="291">
        <v>0</v>
      </c>
      <c r="Q30" s="291">
        <v>0</v>
      </c>
      <c r="R30" s="291">
        <v>0</v>
      </c>
      <c r="S30" s="248">
        <f t="shared" si="0"/>
        <v>1</v>
      </c>
      <c r="T30" s="4"/>
    </row>
    <row r="31" spans="1:20" s="27" customFormat="1" ht="15" outlineLevel="1">
      <c r="A31" s="705"/>
      <c r="B31" s="270"/>
      <c r="C31" s="700"/>
      <c r="D31" s="700"/>
      <c r="E31" s="264"/>
      <c r="F31" s="255"/>
      <c r="G31" s="255"/>
      <c r="H31" s="291"/>
      <c r="I31" s="292"/>
      <c r="J31" s="292"/>
      <c r="K31" s="292"/>
      <c r="L31" s="292"/>
      <c r="M31" s="292"/>
      <c r="N31" s="292"/>
      <c r="O31" s="292"/>
      <c r="P31" s="292"/>
      <c r="Q31" s="292"/>
      <c r="R31" s="292"/>
      <c r="S31" s="248">
        <f t="shared" si="0"/>
        <v>0</v>
      </c>
      <c r="T31" s="4"/>
    </row>
    <row r="32" spans="1:20" s="27" customFormat="1" ht="15" outlineLevel="1">
      <c r="A32" s="705"/>
      <c r="B32" s="270"/>
      <c r="C32" s="700"/>
      <c r="D32" s="700"/>
      <c r="E32" s="264"/>
      <c r="F32" s="295"/>
      <c r="G32" s="295"/>
      <c r="H32" s="291"/>
      <c r="I32" s="292"/>
      <c r="J32" s="292"/>
      <c r="K32" s="292"/>
      <c r="L32" s="292"/>
      <c r="M32" s="292"/>
      <c r="N32" s="292"/>
      <c r="O32" s="292"/>
      <c r="P32" s="292"/>
      <c r="Q32" s="292"/>
      <c r="R32" s="292"/>
      <c r="S32" s="248">
        <f t="shared" si="0"/>
        <v>0</v>
      </c>
      <c r="T32" s="4"/>
    </row>
    <row r="33" spans="1:22" s="21" customFormat="1" ht="20.25" customHeight="1" outlineLevel="1">
      <c r="A33" s="705"/>
      <c r="B33" s="244"/>
      <c r="C33" s="704" t="s">
        <v>9</v>
      </c>
      <c r="D33" s="704"/>
      <c r="E33" s="245"/>
      <c r="F33" s="246"/>
      <c r="G33" s="246"/>
      <c r="H33" s="246"/>
      <c r="I33" s="246"/>
      <c r="J33" s="246"/>
      <c r="K33" s="246"/>
      <c r="L33" s="246"/>
      <c r="M33" s="246"/>
      <c r="N33" s="246"/>
      <c r="O33" s="246"/>
      <c r="P33" s="246"/>
      <c r="Q33" s="246"/>
      <c r="R33" s="246"/>
      <c r="S33" s="247"/>
      <c r="T33" s="137"/>
      <c r="U33" s="27"/>
      <c r="V33" s="27"/>
    </row>
    <row r="34" spans="1:22" s="27" customFormat="1" ht="14.25" outlineLevel="1">
      <c r="A34" s="705"/>
      <c r="B34" s="146">
        <v>9</v>
      </c>
      <c r="C34" s="253" t="s">
        <v>27</v>
      </c>
      <c r="D34" s="249" t="s">
        <v>34</v>
      </c>
      <c r="E34" s="249">
        <v>12</v>
      </c>
      <c r="F34" s="294">
        <v>456.75700000000001</v>
      </c>
      <c r="G34" s="294">
        <v>2463617.5660000001</v>
      </c>
      <c r="H34" s="291">
        <v>0</v>
      </c>
      <c r="I34" s="293">
        <v>0.14059523250122999</v>
      </c>
      <c r="J34" s="293">
        <v>0.37903225806451613</v>
      </c>
      <c r="K34" s="293">
        <v>0.45737327188940091</v>
      </c>
      <c r="L34" s="292">
        <v>0</v>
      </c>
      <c r="M34" s="292">
        <v>0</v>
      </c>
      <c r="N34" s="292">
        <v>0</v>
      </c>
      <c r="O34" s="292">
        <v>2.3041474654377881E-2</v>
      </c>
      <c r="P34" s="292">
        <v>0</v>
      </c>
      <c r="Q34" s="292">
        <v>0</v>
      </c>
      <c r="R34" s="292">
        <v>0</v>
      </c>
      <c r="S34" s="248">
        <f t="shared" ref="S34:S43" si="1">SUM(H34:R34)</f>
        <v>1.0000422371095248</v>
      </c>
      <c r="T34" s="4"/>
    </row>
    <row r="35" spans="1:22" s="27" customFormat="1" ht="14.25" outlineLevel="1">
      <c r="A35" s="705"/>
      <c r="B35" s="146">
        <v>10</v>
      </c>
      <c r="C35" s="251" t="s">
        <v>25</v>
      </c>
      <c r="D35" s="249" t="s">
        <v>34</v>
      </c>
      <c r="E35" s="249">
        <v>12</v>
      </c>
      <c r="F35" s="255">
        <v>84.977000000000004</v>
      </c>
      <c r="G35" s="255">
        <v>212589.886</v>
      </c>
      <c r="H35" s="291">
        <v>0</v>
      </c>
      <c r="I35" s="293">
        <v>1</v>
      </c>
      <c r="J35" s="293">
        <v>0</v>
      </c>
      <c r="K35" s="293">
        <v>0</v>
      </c>
      <c r="L35" s="292">
        <v>0</v>
      </c>
      <c r="M35" s="292">
        <v>0</v>
      </c>
      <c r="N35" s="292">
        <v>0</v>
      </c>
      <c r="O35" s="292">
        <v>0</v>
      </c>
      <c r="P35" s="292">
        <v>0</v>
      </c>
      <c r="Q35" s="292">
        <v>0</v>
      </c>
      <c r="R35" s="292">
        <v>0</v>
      </c>
      <c r="S35" s="248">
        <f t="shared" si="1"/>
        <v>1</v>
      </c>
      <c r="T35" s="4"/>
    </row>
    <row r="36" spans="1:22" s="27" customFormat="1" ht="15" customHeight="1" outlineLevel="1">
      <c r="A36" s="705"/>
      <c r="B36" s="146">
        <v>11</v>
      </c>
      <c r="C36" s="251" t="s">
        <v>28</v>
      </c>
      <c r="D36" s="249" t="s">
        <v>34</v>
      </c>
      <c r="E36" s="254">
        <v>3</v>
      </c>
      <c r="F36" s="255">
        <v>0</v>
      </c>
      <c r="G36" s="255">
        <v>0</v>
      </c>
      <c r="H36" s="291">
        <v>0</v>
      </c>
      <c r="I36" s="293">
        <v>0</v>
      </c>
      <c r="J36" s="293">
        <v>0</v>
      </c>
      <c r="K36" s="293">
        <v>0</v>
      </c>
      <c r="L36" s="292">
        <v>0</v>
      </c>
      <c r="M36" s="292">
        <v>0</v>
      </c>
      <c r="N36" s="292">
        <v>0</v>
      </c>
      <c r="O36" s="292">
        <v>0</v>
      </c>
      <c r="P36" s="292">
        <v>0</v>
      </c>
      <c r="Q36" s="292">
        <v>0</v>
      </c>
      <c r="R36" s="292">
        <v>0</v>
      </c>
      <c r="S36" s="248">
        <f t="shared" si="1"/>
        <v>0</v>
      </c>
      <c r="T36" s="4"/>
    </row>
    <row r="37" spans="1:22" s="27" customFormat="1" ht="14.25" outlineLevel="1">
      <c r="A37" s="705"/>
      <c r="B37" s="146">
        <v>12</v>
      </c>
      <c r="C37" s="251" t="s">
        <v>29</v>
      </c>
      <c r="D37" s="249" t="s">
        <v>34</v>
      </c>
      <c r="E37" s="249">
        <v>12</v>
      </c>
      <c r="F37" s="255">
        <v>0</v>
      </c>
      <c r="G37" s="255">
        <v>0</v>
      </c>
      <c r="H37" s="291">
        <v>0</v>
      </c>
      <c r="I37" s="293">
        <v>0</v>
      </c>
      <c r="J37" s="293">
        <v>0</v>
      </c>
      <c r="K37" s="293">
        <v>0</v>
      </c>
      <c r="L37" s="292">
        <v>0</v>
      </c>
      <c r="M37" s="292">
        <v>0</v>
      </c>
      <c r="N37" s="292">
        <v>0</v>
      </c>
      <c r="O37" s="292">
        <v>0</v>
      </c>
      <c r="P37" s="292">
        <v>0</v>
      </c>
      <c r="Q37" s="292">
        <v>0</v>
      </c>
      <c r="R37" s="292">
        <v>0</v>
      </c>
      <c r="S37" s="248">
        <f t="shared" si="1"/>
        <v>0</v>
      </c>
      <c r="T37" s="4"/>
    </row>
    <row r="38" spans="1:22" s="27" customFormat="1" ht="14.25" outlineLevel="1">
      <c r="A38" s="705"/>
      <c r="B38" s="146">
        <v>13</v>
      </c>
      <c r="C38" s="251" t="s">
        <v>23</v>
      </c>
      <c r="D38" s="249" t="s">
        <v>34</v>
      </c>
      <c r="E38" s="249">
        <v>12</v>
      </c>
      <c r="F38" s="255">
        <v>0</v>
      </c>
      <c r="G38" s="255">
        <v>0</v>
      </c>
      <c r="H38" s="291">
        <v>0</v>
      </c>
      <c r="I38" s="293">
        <v>1</v>
      </c>
      <c r="J38" s="293">
        <v>0</v>
      </c>
      <c r="K38" s="293">
        <v>0</v>
      </c>
      <c r="L38" s="292">
        <v>0</v>
      </c>
      <c r="M38" s="292">
        <v>0</v>
      </c>
      <c r="N38" s="292">
        <v>0</v>
      </c>
      <c r="O38" s="292">
        <v>0</v>
      </c>
      <c r="P38" s="292">
        <v>0</v>
      </c>
      <c r="Q38" s="292">
        <v>0</v>
      </c>
      <c r="R38" s="292">
        <v>0</v>
      </c>
      <c r="S38" s="248">
        <f t="shared" si="1"/>
        <v>1</v>
      </c>
      <c r="T38" s="4"/>
    </row>
    <row r="39" spans="1:22" s="27" customFormat="1" ht="28.5" outlineLevel="1">
      <c r="A39" s="705"/>
      <c r="B39" s="146">
        <v>14</v>
      </c>
      <c r="C39" s="251" t="s">
        <v>62</v>
      </c>
      <c r="D39" s="249" t="s">
        <v>34</v>
      </c>
      <c r="E39" s="249">
        <v>0</v>
      </c>
      <c r="F39" s="255">
        <v>0</v>
      </c>
      <c r="G39" s="255">
        <v>0</v>
      </c>
      <c r="H39" s="291">
        <v>0</v>
      </c>
      <c r="I39" s="293">
        <v>0</v>
      </c>
      <c r="J39" s="293">
        <v>0</v>
      </c>
      <c r="K39" s="293">
        <v>0</v>
      </c>
      <c r="L39" s="292">
        <v>0</v>
      </c>
      <c r="M39" s="292">
        <v>0</v>
      </c>
      <c r="N39" s="292">
        <v>0</v>
      </c>
      <c r="O39" s="292">
        <v>0</v>
      </c>
      <c r="P39" s="292">
        <v>0</v>
      </c>
      <c r="Q39" s="292">
        <v>0</v>
      </c>
      <c r="R39" s="292">
        <v>0</v>
      </c>
      <c r="S39" s="248">
        <f t="shared" si="1"/>
        <v>0</v>
      </c>
      <c r="T39" s="4"/>
    </row>
    <row r="40" spans="1:22" s="27" customFormat="1" ht="14.25" outlineLevel="1">
      <c r="A40" s="705"/>
      <c r="B40" s="270">
        <v>15</v>
      </c>
      <c r="C40" s="251" t="s">
        <v>10</v>
      </c>
      <c r="D40" s="249" t="s">
        <v>34</v>
      </c>
      <c r="E40" s="249">
        <v>0</v>
      </c>
      <c r="F40" s="255">
        <v>108.461</v>
      </c>
      <c r="G40" s="255">
        <v>4234.6490000000003</v>
      </c>
      <c r="H40" s="291">
        <v>0</v>
      </c>
      <c r="I40" s="291">
        <v>1</v>
      </c>
      <c r="J40" s="291">
        <v>0</v>
      </c>
      <c r="K40" s="291">
        <v>0</v>
      </c>
      <c r="L40" s="291">
        <v>0</v>
      </c>
      <c r="M40" s="291">
        <v>0</v>
      </c>
      <c r="N40" s="291">
        <v>0</v>
      </c>
      <c r="O40" s="291">
        <v>0</v>
      </c>
      <c r="P40" s="291">
        <v>0</v>
      </c>
      <c r="Q40" s="291">
        <v>0</v>
      </c>
      <c r="R40" s="291">
        <v>0</v>
      </c>
      <c r="S40" s="248">
        <f t="shared" si="1"/>
        <v>1</v>
      </c>
      <c r="T40" s="4"/>
    </row>
    <row r="41" spans="1:22" s="27" customFormat="1" ht="15" outlineLevel="1">
      <c r="A41" s="705"/>
      <c r="B41" s="270"/>
      <c r="C41" s="252" t="s">
        <v>251</v>
      </c>
      <c r="D41" s="249" t="s">
        <v>250</v>
      </c>
      <c r="E41" s="249">
        <v>12</v>
      </c>
      <c r="F41" s="255">
        <v>17.190000000000001</v>
      </c>
      <c r="G41" s="255">
        <v>42107.561000000002</v>
      </c>
      <c r="H41" s="291">
        <v>0</v>
      </c>
      <c r="I41" s="291">
        <v>0.67937781781503948</v>
      </c>
      <c r="J41" s="291">
        <v>0.25943534312897593</v>
      </c>
      <c r="K41" s="291">
        <v>0.31305723775745725</v>
      </c>
      <c r="L41" s="291">
        <v>0</v>
      </c>
      <c r="M41" s="291">
        <v>0</v>
      </c>
      <c r="N41" s="291">
        <v>0</v>
      </c>
      <c r="O41" s="291">
        <v>1.5771145478965104E-2</v>
      </c>
      <c r="P41" s="291">
        <v>0</v>
      </c>
      <c r="Q41" s="291">
        <v>0</v>
      </c>
      <c r="R41" s="291">
        <v>0</v>
      </c>
      <c r="S41" s="248">
        <f t="shared" si="1"/>
        <v>1.2676415441804376</v>
      </c>
      <c r="T41" s="4"/>
    </row>
    <row r="42" spans="1:22" s="27" customFormat="1" ht="15" outlineLevel="1">
      <c r="A42" s="705"/>
      <c r="B42" s="270"/>
      <c r="C42" s="700"/>
      <c r="D42" s="700"/>
      <c r="E42" s="264"/>
      <c r="F42" s="255"/>
      <c r="G42" s="255"/>
      <c r="H42" s="291"/>
      <c r="I42" s="292"/>
      <c r="J42" s="292"/>
      <c r="K42" s="292"/>
      <c r="L42" s="292"/>
      <c r="M42" s="292"/>
      <c r="N42" s="292"/>
      <c r="O42" s="292"/>
      <c r="P42" s="292"/>
      <c r="Q42" s="292"/>
      <c r="R42" s="292"/>
      <c r="S42" s="248">
        <f t="shared" si="1"/>
        <v>0</v>
      </c>
      <c r="T42" s="4"/>
    </row>
    <row r="43" spans="1:22" s="27" customFormat="1" ht="15" outlineLevel="1">
      <c r="A43" s="705"/>
      <c r="B43" s="270"/>
      <c r="C43" s="700"/>
      <c r="D43" s="700"/>
      <c r="E43" s="264"/>
      <c r="F43" s="295"/>
      <c r="G43" s="295"/>
      <c r="H43" s="291"/>
      <c r="I43" s="292"/>
      <c r="J43" s="292"/>
      <c r="K43" s="292"/>
      <c r="L43" s="292"/>
      <c r="M43" s="292"/>
      <c r="N43" s="292"/>
      <c r="O43" s="292"/>
      <c r="P43" s="292"/>
      <c r="Q43" s="292"/>
      <c r="R43" s="292"/>
      <c r="S43" s="248">
        <f t="shared" si="1"/>
        <v>0</v>
      </c>
      <c r="T43" s="4"/>
    </row>
    <row r="44" spans="1:22" s="21" customFormat="1" ht="18" customHeight="1" outlineLevel="1">
      <c r="A44" s="705"/>
      <c r="B44" s="244"/>
      <c r="C44" s="704" t="s">
        <v>11</v>
      </c>
      <c r="D44" s="704"/>
      <c r="E44" s="245"/>
      <c r="F44" s="246"/>
      <c r="G44" s="246"/>
      <c r="H44" s="246"/>
      <c r="I44" s="246"/>
      <c r="J44" s="246"/>
      <c r="K44" s="246"/>
      <c r="L44" s="246"/>
      <c r="M44" s="246"/>
      <c r="N44" s="246"/>
      <c r="O44" s="246"/>
      <c r="P44" s="246"/>
      <c r="Q44" s="246"/>
      <c r="R44" s="246"/>
      <c r="S44" s="247"/>
      <c r="T44" s="137"/>
    </row>
    <row r="45" spans="1:22" s="27" customFormat="1" ht="14.25" outlineLevel="1">
      <c r="A45" s="705"/>
      <c r="B45" s="146">
        <v>16</v>
      </c>
      <c r="C45" s="251" t="s">
        <v>12</v>
      </c>
      <c r="D45" s="249" t="s">
        <v>34</v>
      </c>
      <c r="E45" s="249">
        <v>12</v>
      </c>
      <c r="F45" s="294">
        <v>0</v>
      </c>
      <c r="G45" s="294">
        <v>0</v>
      </c>
      <c r="H45" s="291">
        <v>0</v>
      </c>
      <c r="I45" s="291">
        <v>0</v>
      </c>
      <c r="J45" s="291">
        <v>0</v>
      </c>
      <c r="K45" s="291">
        <v>0</v>
      </c>
      <c r="L45" s="291">
        <v>0</v>
      </c>
      <c r="M45" s="291">
        <v>0</v>
      </c>
      <c r="N45" s="291">
        <v>0</v>
      </c>
      <c r="O45" s="291">
        <v>0</v>
      </c>
      <c r="P45" s="291">
        <v>0</v>
      </c>
      <c r="Q45" s="291">
        <v>0</v>
      </c>
      <c r="R45" s="291">
        <v>0</v>
      </c>
      <c r="S45" s="248">
        <f t="shared" ref="S45:S52" si="2">SUM(H45:R45)</f>
        <v>0</v>
      </c>
      <c r="T45" s="4"/>
    </row>
    <row r="46" spans="1:22" s="27" customFormat="1" ht="14.25" outlineLevel="1">
      <c r="A46" s="705"/>
      <c r="B46" s="146">
        <v>17</v>
      </c>
      <c r="C46" s="251" t="s">
        <v>13</v>
      </c>
      <c r="D46" s="249" t="s">
        <v>34</v>
      </c>
      <c r="E46" s="249">
        <v>12</v>
      </c>
      <c r="F46" s="255">
        <v>0</v>
      </c>
      <c r="G46" s="255">
        <v>0</v>
      </c>
      <c r="H46" s="291">
        <v>0</v>
      </c>
      <c r="I46" s="291">
        <v>0</v>
      </c>
      <c r="J46" s="291">
        <v>0</v>
      </c>
      <c r="K46" s="291">
        <v>0</v>
      </c>
      <c r="L46" s="291">
        <v>0</v>
      </c>
      <c r="M46" s="291">
        <v>0</v>
      </c>
      <c r="N46" s="291">
        <v>0</v>
      </c>
      <c r="O46" s="291">
        <v>0</v>
      </c>
      <c r="P46" s="291">
        <v>0</v>
      </c>
      <c r="Q46" s="291">
        <v>0</v>
      </c>
      <c r="R46" s="291">
        <v>0</v>
      </c>
      <c r="S46" s="248">
        <f t="shared" si="2"/>
        <v>0</v>
      </c>
      <c r="T46" s="4"/>
    </row>
    <row r="47" spans="1:22" s="27" customFormat="1" ht="14.25" outlineLevel="1">
      <c r="A47" s="705"/>
      <c r="B47" s="146">
        <v>18</v>
      </c>
      <c r="C47" s="251" t="s">
        <v>14</v>
      </c>
      <c r="D47" s="249" t="s">
        <v>34</v>
      </c>
      <c r="E47" s="249">
        <v>12</v>
      </c>
      <c r="F47" s="255">
        <v>0</v>
      </c>
      <c r="G47" s="255">
        <v>0</v>
      </c>
      <c r="H47" s="291">
        <v>0</v>
      </c>
      <c r="I47" s="291">
        <v>0</v>
      </c>
      <c r="J47" s="291">
        <v>0</v>
      </c>
      <c r="K47" s="291">
        <v>0</v>
      </c>
      <c r="L47" s="291">
        <v>0</v>
      </c>
      <c r="M47" s="291">
        <v>0</v>
      </c>
      <c r="N47" s="291">
        <v>0</v>
      </c>
      <c r="O47" s="291">
        <v>0</v>
      </c>
      <c r="P47" s="291">
        <v>0</v>
      </c>
      <c r="Q47" s="291">
        <v>0</v>
      </c>
      <c r="R47" s="291">
        <v>0</v>
      </c>
      <c r="S47" s="248">
        <f t="shared" si="2"/>
        <v>0</v>
      </c>
      <c r="T47" s="4"/>
    </row>
    <row r="48" spans="1:22" s="27" customFormat="1" ht="14.25" outlineLevel="1">
      <c r="A48" s="705"/>
      <c r="B48" s="146">
        <v>19</v>
      </c>
      <c r="C48" s="253" t="s">
        <v>27</v>
      </c>
      <c r="D48" s="249" t="s">
        <v>34</v>
      </c>
      <c r="E48" s="249">
        <v>12</v>
      </c>
      <c r="F48" s="255">
        <v>58.411999999999999</v>
      </c>
      <c r="G48" s="255">
        <v>381325.033</v>
      </c>
      <c r="H48" s="291">
        <v>0</v>
      </c>
      <c r="I48" s="291">
        <v>0.14059523250122999</v>
      </c>
      <c r="J48" s="291">
        <v>0.37903225806451613</v>
      </c>
      <c r="K48" s="291">
        <v>0.45737327188940091</v>
      </c>
      <c r="L48" s="291">
        <v>0</v>
      </c>
      <c r="M48" s="291">
        <v>0</v>
      </c>
      <c r="N48" s="291">
        <v>0</v>
      </c>
      <c r="O48" s="291">
        <v>2.3041474654377881E-2</v>
      </c>
      <c r="P48" s="291">
        <v>0</v>
      </c>
      <c r="Q48" s="291">
        <v>0</v>
      </c>
      <c r="R48" s="291">
        <v>0</v>
      </c>
      <c r="S48" s="248">
        <f t="shared" si="2"/>
        <v>1.0000422371095248</v>
      </c>
      <c r="T48" s="4"/>
    </row>
    <row r="49" spans="1:20" s="27" customFormat="1" ht="14.25" outlineLevel="1">
      <c r="A49" s="705"/>
      <c r="B49" s="146">
        <v>20</v>
      </c>
      <c r="C49" s="251" t="s">
        <v>10</v>
      </c>
      <c r="D49" s="249" t="s">
        <v>34</v>
      </c>
      <c r="E49" s="249">
        <v>0</v>
      </c>
      <c r="F49" s="255">
        <v>313.50700000000001</v>
      </c>
      <c r="G49" s="255">
        <v>18402.509999999998</v>
      </c>
      <c r="H49" s="291">
        <v>0</v>
      </c>
      <c r="I49" s="291">
        <v>0</v>
      </c>
      <c r="J49" s="291">
        <v>1</v>
      </c>
      <c r="K49" s="291">
        <v>0</v>
      </c>
      <c r="L49" s="291">
        <v>0</v>
      </c>
      <c r="M49" s="291">
        <v>0</v>
      </c>
      <c r="N49" s="291">
        <v>0</v>
      </c>
      <c r="O49" s="291">
        <v>0</v>
      </c>
      <c r="P49" s="291">
        <v>0</v>
      </c>
      <c r="Q49" s="291">
        <v>0</v>
      </c>
      <c r="R49" s="291">
        <v>0</v>
      </c>
      <c r="S49" s="248">
        <f t="shared" si="2"/>
        <v>1</v>
      </c>
      <c r="T49" s="4"/>
    </row>
    <row r="50" spans="1:20" s="27" customFormat="1" ht="15" outlineLevel="1">
      <c r="A50" s="705"/>
      <c r="B50" s="146"/>
      <c r="C50" s="252" t="s">
        <v>251</v>
      </c>
      <c r="D50" s="249" t="s">
        <v>250</v>
      </c>
      <c r="E50" s="249">
        <v>12</v>
      </c>
      <c r="F50" s="255">
        <v>0</v>
      </c>
      <c r="G50" s="255">
        <v>0</v>
      </c>
      <c r="H50" s="291">
        <v>0</v>
      </c>
      <c r="I50" s="291">
        <v>0</v>
      </c>
      <c r="J50" s="291">
        <v>0</v>
      </c>
      <c r="K50" s="291">
        <v>0</v>
      </c>
      <c r="L50" s="291">
        <v>0</v>
      </c>
      <c r="M50" s="291">
        <v>0</v>
      </c>
      <c r="N50" s="291">
        <v>0</v>
      </c>
      <c r="O50" s="291">
        <v>0</v>
      </c>
      <c r="P50" s="291">
        <v>0</v>
      </c>
      <c r="Q50" s="291">
        <v>0</v>
      </c>
      <c r="R50" s="291">
        <v>0</v>
      </c>
      <c r="S50" s="248">
        <f t="shared" si="2"/>
        <v>0</v>
      </c>
      <c r="T50" s="4"/>
    </row>
    <row r="51" spans="1:20" s="27" customFormat="1" ht="15" outlineLevel="1">
      <c r="A51" s="705"/>
      <c r="B51" s="146"/>
      <c r="C51" s="700"/>
      <c r="D51" s="700"/>
      <c r="E51" s="264"/>
      <c r="F51" s="255"/>
      <c r="G51" s="255"/>
      <c r="H51" s="291"/>
      <c r="I51" s="292"/>
      <c r="J51" s="292"/>
      <c r="K51" s="292"/>
      <c r="L51" s="292"/>
      <c r="M51" s="292"/>
      <c r="N51" s="292"/>
      <c r="O51" s="292"/>
      <c r="P51" s="292"/>
      <c r="Q51" s="292"/>
      <c r="R51" s="292"/>
      <c r="S51" s="248">
        <f t="shared" si="2"/>
        <v>0</v>
      </c>
      <c r="T51" s="4"/>
    </row>
    <row r="52" spans="1:20" s="27" customFormat="1" ht="15" outlineLevel="1">
      <c r="A52" s="705"/>
      <c r="B52" s="146"/>
      <c r="C52" s="700"/>
      <c r="D52" s="700"/>
      <c r="E52" s="264"/>
      <c r="F52" s="295"/>
      <c r="G52" s="295"/>
      <c r="H52" s="291"/>
      <c r="I52" s="292"/>
      <c r="J52" s="292"/>
      <c r="K52" s="292"/>
      <c r="L52" s="292"/>
      <c r="M52" s="292"/>
      <c r="N52" s="292"/>
      <c r="O52" s="292"/>
      <c r="P52" s="292"/>
      <c r="Q52" s="292"/>
      <c r="R52" s="292"/>
      <c r="S52" s="248">
        <f t="shared" si="2"/>
        <v>0</v>
      </c>
      <c r="T52" s="4"/>
    </row>
    <row r="53" spans="1:20" s="21" customFormat="1" ht="20.25" customHeight="1" outlineLevel="1">
      <c r="A53" s="705"/>
      <c r="B53" s="244"/>
      <c r="C53" s="704" t="s">
        <v>15</v>
      </c>
      <c r="D53" s="704"/>
      <c r="E53" s="245"/>
      <c r="F53" s="246"/>
      <c r="G53" s="246"/>
      <c r="H53" s="246"/>
      <c r="I53" s="246"/>
      <c r="J53" s="246"/>
      <c r="K53" s="246"/>
      <c r="L53" s="246"/>
      <c r="M53" s="246"/>
      <c r="N53" s="246"/>
      <c r="O53" s="246"/>
      <c r="P53" s="246"/>
      <c r="Q53" s="246"/>
      <c r="R53" s="246"/>
      <c r="S53" s="247"/>
      <c r="T53" s="137"/>
    </row>
    <row r="54" spans="1:20" s="27" customFormat="1" ht="14.25" outlineLevel="1">
      <c r="A54" s="705"/>
      <c r="B54" s="270">
        <v>21</v>
      </c>
      <c r="C54" s="251" t="s">
        <v>15</v>
      </c>
      <c r="D54" s="249" t="s">
        <v>34</v>
      </c>
      <c r="E54" s="249">
        <v>12</v>
      </c>
      <c r="F54" s="294">
        <v>0</v>
      </c>
      <c r="G54" s="294">
        <v>0</v>
      </c>
      <c r="H54" s="293">
        <v>1</v>
      </c>
      <c r="I54" s="293">
        <v>0</v>
      </c>
      <c r="J54" s="293">
        <v>0</v>
      </c>
      <c r="K54" s="293">
        <v>0</v>
      </c>
      <c r="L54" s="293">
        <v>0</v>
      </c>
      <c r="M54" s="293">
        <v>0</v>
      </c>
      <c r="N54" s="293">
        <v>0</v>
      </c>
      <c r="O54" s="293">
        <v>0</v>
      </c>
      <c r="P54" s="293">
        <v>0</v>
      </c>
      <c r="Q54" s="293">
        <v>0</v>
      </c>
      <c r="R54" s="293">
        <v>0</v>
      </c>
      <c r="S54" s="248">
        <f t="shared" ref="S54:S57" si="3">SUM(H54:R54)</f>
        <v>1</v>
      </c>
      <c r="T54" s="4"/>
    </row>
    <row r="55" spans="1:20" s="27" customFormat="1" ht="15" outlineLevel="1">
      <c r="A55" s="705"/>
      <c r="B55" s="270"/>
      <c r="C55" s="252" t="s">
        <v>251</v>
      </c>
      <c r="D55" s="249" t="s">
        <v>250</v>
      </c>
      <c r="E55" s="249">
        <v>12</v>
      </c>
      <c r="F55" s="255">
        <v>0</v>
      </c>
      <c r="G55" s="255">
        <v>4.4999999999999998E-2</v>
      </c>
      <c r="H55" s="291">
        <v>0</v>
      </c>
      <c r="I55" s="291">
        <v>0</v>
      </c>
      <c r="J55" s="291">
        <v>0</v>
      </c>
      <c r="K55" s="291">
        <v>0</v>
      </c>
      <c r="L55" s="291">
        <v>0</v>
      </c>
      <c r="M55" s="291">
        <v>0</v>
      </c>
      <c r="N55" s="291">
        <v>0</v>
      </c>
      <c r="O55" s="291">
        <v>0</v>
      </c>
      <c r="P55" s="291">
        <v>0</v>
      </c>
      <c r="Q55" s="291">
        <v>0</v>
      </c>
      <c r="R55" s="291">
        <v>0</v>
      </c>
      <c r="S55" s="248">
        <f t="shared" si="3"/>
        <v>0</v>
      </c>
      <c r="T55" s="4"/>
    </row>
    <row r="56" spans="1:20" s="27" customFormat="1" ht="15" outlineLevel="1">
      <c r="A56" s="705"/>
      <c r="B56" s="270"/>
      <c r="C56" s="700"/>
      <c r="D56" s="700"/>
      <c r="E56" s="264"/>
      <c r="F56" s="255"/>
      <c r="G56" s="255"/>
      <c r="H56" s="291"/>
      <c r="I56" s="292"/>
      <c r="J56" s="292"/>
      <c r="K56" s="292"/>
      <c r="L56" s="292"/>
      <c r="M56" s="292"/>
      <c r="N56" s="292"/>
      <c r="O56" s="292"/>
      <c r="P56" s="292"/>
      <c r="Q56" s="292"/>
      <c r="R56" s="292"/>
      <c r="S56" s="248">
        <f t="shared" si="3"/>
        <v>0</v>
      </c>
      <c r="T56" s="4"/>
    </row>
    <row r="57" spans="1:20" s="27" customFormat="1" ht="15" outlineLevel="1">
      <c r="A57" s="705"/>
      <c r="B57" s="270"/>
      <c r="C57" s="700"/>
      <c r="D57" s="700"/>
      <c r="E57" s="264"/>
      <c r="F57" s="295"/>
      <c r="G57" s="295"/>
      <c r="H57" s="291"/>
      <c r="I57" s="292"/>
      <c r="J57" s="292"/>
      <c r="K57" s="292"/>
      <c r="L57" s="292"/>
      <c r="M57" s="292"/>
      <c r="N57" s="292"/>
      <c r="O57" s="292"/>
      <c r="P57" s="292"/>
      <c r="Q57" s="292"/>
      <c r="R57" s="292"/>
      <c r="S57" s="248">
        <f t="shared" si="3"/>
        <v>0</v>
      </c>
      <c r="T57" s="4"/>
    </row>
    <row r="58" spans="1:20" s="21" customFormat="1" ht="18.75" customHeight="1" outlineLevel="1">
      <c r="A58" s="705"/>
      <c r="B58" s="244"/>
      <c r="C58" s="704" t="s">
        <v>16</v>
      </c>
      <c r="D58" s="704"/>
      <c r="E58" s="245"/>
      <c r="F58" s="246"/>
      <c r="G58" s="246"/>
      <c r="H58" s="246"/>
      <c r="I58" s="246"/>
      <c r="J58" s="246"/>
      <c r="K58" s="246"/>
      <c r="L58" s="246"/>
      <c r="M58" s="246"/>
      <c r="N58" s="246"/>
      <c r="O58" s="246"/>
      <c r="P58" s="246"/>
      <c r="Q58" s="246"/>
      <c r="R58" s="246"/>
      <c r="S58" s="247"/>
      <c r="T58" s="137"/>
    </row>
    <row r="59" spans="1:20" s="27" customFormat="1" ht="14.25" outlineLevel="1">
      <c r="A59" s="705"/>
      <c r="B59" s="270">
        <v>22</v>
      </c>
      <c r="C59" s="251" t="s">
        <v>17</v>
      </c>
      <c r="D59" s="249" t="s">
        <v>34</v>
      </c>
      <c r="E59" s="249">
        <v>12</v>
      </c>
      <c r="F59" s="294">
        <v>340.95100000000002</v>
      </c>
      <c r="G59" s="294">
        <v>1799947.6170000001</v>
      </c>
      <c r="H59" s="291">
        <v>0</v>
      </c>
      <c r="I59" s="291">
        <v>0.14059523250122999</v>
      </c>
      <c r="J59" s="291">
        <v>0.37903225806451613</v>
      </c>
      <c r="K59" s="291">
        <v>0.45737327188940091</v>
      </c>
      <c r="L59" s="291">
        <v>0</v>
      </c>
      <c r="M59" s="291">
        <v>0</v>
      </c>
      <c r="N59" s="291">
        <v>0</v>
      </c>
      <c r="O59" s="291">
        <v>2.3041474654377881E-2</v>
      </c>
      <c r="P59" s="291">
        <v>0</v>
      </c>
      <c r="Q59" s="291">
        <v>0</v>
      </c>
      <c r="R59" s="291">
        <v>0</v>
      </c>
      <c r="S59" s="248">
        <f t="shared" ref="S59:S66" si="4">SUM(H59:R59)</f>
        <v>1.0000422371095248</v>
      </c>
      <c r="T59" s="4"/>
    </row>
    <row r="60" spans="1:20" s="27" customFormat="1" ht="14.25" outlineLevel="1">
      <c r="A60" s="705"/>
      <c r="B60" s="270">
        <v>23</v>
      </c>
      <c r="C60" s="251" t="s">
        <v>18</v>
      </c>
      <c r="D60" s="249" t="s">
        <v>34</v>
      </c>
      <c r="E60" s="249">
        <v>12</v>
      </c>
      <c r="F60" s="255">
        <v>278.262</v>
      </c>
      <c r="G60" s="255">
        <v>1429152.3459999999</v>
      </c>
      <c r="H60" s="291">
        <v>0</v>
      </c>
      <c r="I60" s="291">
        <v>0</v>
      </c>
      <c r="J60" s="291">
        <v>1</v>
      </c>
      <c r="K60" s="291">
        <v>0</v>
      </c>
      <c r="L60" s="291">
        <v>0</v>
      </c>
      <c r="M60" s="291">
        <v>0</v>
      </c>
      <c r="N60" s="291">
        <v>0</v>
      </c>
      <c r="O60" s="291">
        <v>0</v>
      </c>
      <c r="P60" s="291">
        <v>0</v>
      </c>
      <c r="Q60" s="291">
        <v>0</v>
      </c>
      <c r="R60" s="291">
        <v>0</v>
      </c>
      <c r="S60" s="248">
        <f t="shared" si="4"/>
        <v>1</v>
      </c>
      <c r="T60" s="4"/>
    </row>
    <row r="61" spans="1:20" s="27" customFormat="1" ht="14.25" outlineLevel="1">
      <c r="A61" s="705"/>
      <c r="B61" s="270">
        <v>24</v>
      </c>
      <c r="C61" s="251" t="s">
        <v>19</v>
      </c>
      <c r="D61" s="249" t="s">
        <v>34</v>
      </c>
      <c r="E61" s="249">
        <v>12</v>
      </c>
      <c r="F61" s="255">
        <v>0</v>
      </c>
      <c r="G61" s="255">
        <v>0</v>
      </c>
      <c r="H61" s="291">
        <v>0</v>
      </c>
      <c r="I61" s="291">
        <v>0</v>
      </c>
      <c r="J61" s="291">
        <v>0</v>
      </c>
      <c r="K61" s="291">
        <v>0</v>
      </c>
      <c r="L61" s="291">
        <v>0</v>
      </c>
      <c r="M61" s="291">
        <v>0</v>
      </c>
      <c r="N61" s="291">
        <v>0</v>
      </c>
      <c r="O61" s="291">
        <v>0</v>
      </c>
      <c r="P61" s="291">
        <v>0</v>
      </c>
      <c r="Q61" s="291">
        <v>0</v>
      </c>
      <c r="R61" s="291">
        <v>0</v>
      </c>
      <c r="S61" s="248">
        <f t="shared" si="4"/>
        <v>0</v>
      </c>
      <c r="T61" s="4"/>
    </row>
    <row r="62" spans="1:20" s="27" customFormat="1" ht="14.25" outlineLevel="1">
      <c r="A62" s="705"/>
      <c r="B62" s="270">
        <v>25</v>
      </c>
      <c r="C62" s="251" t="s">
        <v>20</v>
      </c>
      <c r="D62" s="249" t="s">
        <v>34</v>
      </c>
      <c r="E62" s="249">
        <v>12</v>
      </c>
      <c r="F62" s="255">
        <v>0</v>
      </c>
      <c r="G62" s="255">
        <v>0</v>
      </c>
      <c r="H62" s="291">
        <v>0</v>
      </c>
      <c r="I62" s="291">
        <v>0</v>
      </c>
      <c r="J62" s="291">
        <v>0</v>
      </c>
      <c r="K62" s="291">
        <v>0</v>
      </c>
      <c r="L62" s="291">
        <v>0</v>
      </c>
      <c r="M62" s="291">
        <v>0</v>
      </c>
      <c r="N62" s="291">
        <v>0</v>
      </c>
      <c r="O62" s="291">
        <v>0</v>
      </c>
      <c r="P62" s="291">
        <v>0</v>
      </c>
      <c r="Q62" s="291">
        <v>0</v>
      </c>
      <c r="R62" s="291">
        <v>0</v>
      </c>
      <c r="S62" s="248">
        <f t="shared" si="4"/>
        <v>0</v>
      </c>
      <c r="T62" s="4"/>
    </row>
    <row r="63" spans="1:20" s="27" customFormat="1" ht="15" outlineLevel="1">
      <c r="A63" s="705"/>
      <c r="B63" s="270"/>
      <c r="C63" s="252" t="s">
        <v>251</v>
      </c>
      <c r="D63" s="249" t="s">
        <v>250</v>
      </c>
      <c r="E63" s="249">
        <v>12</v>
      </c>
      <c r="F63" s="255">
        <v>21.143000000000001</v>
      </c>
      <c r="G63" s="255">
        <v>-603133.33400000003</v>
      </c>
      <c r="H63" s="291">
        <v>0</v>
      </c>
      <c r="I63" s="291">
        <v>0</v>
      </c>
      <c r="J63" s="291">
        <v>1</v>
      </c>
      <c r="K63" s="291">
        <v>0</v>
      </c>
      <c r="L63" s="291">
        <v>0</v>
      </c>
      <c r="M63" s="291">
        <v>0</v>
      </c>
      <c r="N63" s="291">
        <v>0</v>
      </c>
      <c r="O63" s="291">
        <v>0</v>
      </c>
      <c r="P63" s="291">
        <v>0</v>
      </c>
      <c r="Q63" s="291">
        <v>0</v>
      </c>
      <c r="R63" s="291">
        <v>0</v>
      </c>
      <c r="S63" s="248">
        <f t="shared" si="4"/>
        <v>1</v>
      </c>
      <c r="T63" s="4"/>
    </row>
    <row r="64" spans="1:20" s="27" customFormat="1" ht="15" outlineLevel="1">
      <c r="A64" s="705"/>
      <c r="B64" s="270"/>
      <c r="C64" s="700"/>
      <c r="D64" s="700"/>
      <c r="E64" s="264"/>
      <c r="F64" s="255"/>
      <c r="G64" s="255"/>
      <c r="H64" s="291"/>
      <c r="I64" s="292"/>
      <c r="J64" s="292"/>
      <c r="K64" s="292"/>
      <c r="L64" s="292"/>
      <c r="M64" s="292"/>
      <c r="N64" s="292"/>
      <c r="O64" s="292"/>
      <c r="P64" s="292"/>
      <c r="Q64" s="292"/>
      <c r="R64" s="292"/>
      <c r="S64" s="248">
        <f t="shared" si="4"/>
        <v>0</v>
      </c>
      <c r="T64" s="4"/>
    </row>
    <row r="65" spans="1:20" s="27" customFormat="1" ht="15" outlineLevel="1">
      <c r="A65" s="705"/>
      <c r="B65" s="270"/>
      <c r="C65" s="700"/>
      <c r="D65" s="700"/>
      <c r="E65" s="264"/>
      <c r="F65" s="255"/>
      <c r="G65" s="255"/>
      <c r="H65" s="291"/>
      <c r="I65" s="292"/>
      <c r="J65" s="292"/>
      <c r="K65" s="292"/>
      <c r="L65" s="292"/>
      <c r="M65" s="292"/>
      <c r="N65" s="292"/>
      <c r="O65" s="292"/>
      <c r="P65" s="292"/>
      <c r="Q65" s="292"/>
      <c r="R65" s="292"/>
      <c r="S65" s="248">
        <f t="shared" si="4"/>
        <v>0</v>
      </c>
      <c r="T65" s="4"/>
    </row>
    <row r="66" spans="1:20" s="27" customFormat="1" ht="15" outlineLevel="1">
      <c r="A66" s="705"/>
      <c r="B66" s="270"/>
      <c r="C66" s="702"/>
      <c r="D66" s="702"/>
      <c r="E66" s="349"/>
      <c r="F66" s="295"/>
      <c r="G66" s="295"/>
      <c r="H66" s="291"/>
      <c r="I66" s="292"/>
      <c r="J66" s="292"/>
      <c r="K66" s="292"/>
      <c r="L66" s="292"/>
      <c r="M66" s="292"/>
      <c r="N66" s="292"/>
      <c r="O66" s="292"/>
      <c r="P66" s="292"/>
      <c r="Q66" s="292"/>
      <c r="R66" s="292"/>
      <c r="S66" s="248">
        <f t="shared" si="4"/>
        <v>0</v>
      </c>
      <c r="T66" s="4"/>
    </row>
    <row r="67" spans="1:20" s="27" customFormat="1" ht="15">
      <c r="A67" s="705"/>
      <c r="B67" s="350"/>
      <c r="C67" s="701" t="s">
        <v>218</v>
      </c>
      <c r="D67" s="701"/>
      <c r="E67" s="351"/>
      <c r="F67" s="352"/>
      <c r="G67" s="352"/>
      <c r="H67" s="353">
        <f>IF(H21="kWh",SUMPRODUCT(H22:H63,$G$22:$G$63),)</f>
        <v>2807377.9169999994</v>
      </c>
      <c r="I67" s="353">
        <f t="shared" ref="I67:R67" si="5">IF(I21="kWh",SUMPRODUCT(I22:I63,$G$22:$G$63),)</f>
        <v>898480.897766902</v>
      </c>
      <c r="J67" s="353">
        <f t="shared" si="5"/>
        <v>0</v>
      </c>
      <c r="K67" s="353">
        <f t="shared" si="5"/>
        <v>0</v>
      </c>
      <c r="L67" s="353">
        <f t="shared" si="5"/>
        <v>0</v>
      </c>
      <c r="M67" s="353">
        <f t="shared" si="5"/>
        <v>0</v>
      </c>
      <c r="N67" s="353">
        <f t="shared" si="5"/>
        <v>0</v>
      </c>
      <c r="O67" s="353">
        <f t="shared" si="5"/>
        <v>0</v>
      </c>
      <c r="P67" s="353">
        <f t="shared" si="5"/>
        <v>0</v>
      </c>
      <c r="Q67" s="353">
        <f t="shared" si="5"/>
        <v>0</v>
      </c>
      <c r="R67" s="353">
        <f t="shared" si="5"/>
        <v>0</v>
      </c>
      <c r="S67" s="355">
        <f>SUM(H67:R67)</f>
        <v>3705858.8147669015</v>
      </c>
      <c r="T67" s="4"/>
    </row>
    <row r="68" spans="1:20" s="27" customFormat="1" ht="15">
      <c r="A68" s="705"/>
      <c r="B68" s="486"/>
      <c r="C68" s="487" t="s">
        <v>498</v>
      </c>
      <c r="D68" s="487"/>
      <c r="E68" s="488"/>
      <c r="F68" s="489"/>
      <c r="G68" s="489"/>
      <c r="H68" s="490">
        <f>IF(H21="kWh",H67-(G28*H28),)</f>
        <v>2805913.4169999994</v>
      </c>
      <c r="I68" s="490">
        <f t="shared" ref="I68:R68" si="6">IF(I21="kWh",I67-(H28*I28),)</f>
        <v>898480.897766902</v>
      </c>
      <c r="J68" s="490">
        <f t="shared" si="6"/>
        <v>0</v>
      </c>
      <c r="K68" s="490">
        <f t="shared" si="6"/>
        <v>0</v>
      </c>
      <c r="L68" s="490">
        <f t="shared" si="6"/>
        <v>0</v>
      </c>
      <c r="M68" s="490">
        <f t="shared" si="6"/>
        <v>0</v>
      </c>
      <c r="N68" s="490">
        <f t="shared" si="6"/>
        <v>0</v>
      </c>
      <c r="O68" s="490">
        <f t="shared" si="6"/>
        <v>0</v>
      </c>
      <c r="P68" s="490">
        <f t="shared" si="6"/>
        <v>0</v>
      </c>
      <c r="Q68" s="490">
        <f t="shared" si="6"/>
        <v>0</v>
      </c>
      <c r="R68" s="490">
        <f t="shared" si="6"/>
        <v>0</v>
      </c>
      <c r="S68" s="355">
        <f t="shared" ref="S68:S70" si="7">SUM(H68:R68)</f>
        <v>3704394.3147669015</v>
      </c>
      <c r="T68" s="4"/>
    </row>
    <row r="69" spans="1:20" s="27" customFormat="1" ht="15">
      <c r="A69" s="705"/>
      <c r="B69" s="271"/>
      <c r="C69" s="700" t="s">
        <v>315</v>
      </c>
      <c r="D69" s="700"/>
      <c r="E69" s="265"/>
      <c r="F69" s="263"/>
      <c r="G69" s="263"/>
      <c r="H69" s="266">
        <f t="shared" ref="H69:I69" si="8">IF(H21="kW",SUMPRODUCT(H22:H66,$F22:$F66,$E22:$E66),)</f>
        <v>0</v>
      </c>
      <c r="I69" s="266">
        <f t="shared" si="8"/>
        <v>0</v>
      </c>
      <c r="J69" s="266">
        <f>IF(J21="kW",SUMPRODUCT(J22:J66,$F22:$F66,$E22:$E66),)</f>
        <v>7540.3414838709687</v>
      </c>
      <c r="K69" s="266">
        <f t="shared" ref="K69:R69" si="9">IF(K21="kW",SUMPRODUCT(K22:K66,$F22:$F66,$E22:$E66),)</f>
        <v>4763.3743133640546</v>
      </c>
      <c r="L69" s="266">
        <f t="shared" si="9"/>
        <v>0</v>
      </c>
      <c r="M69" s="266">
        <f t="shared" si="9"/>
        <v>0</v>
      </c>
      <c r="N69" s="266">
        <f t="shared" si="9"/>
        <v>0</v>
      </c>
      <c r="O69" s="266">
        <f t="shared" si="9"/>
        <v>239.96847926267284</v>
      </c>
      <c r="P69" s="266">
        <f t="shared" si="9"/>
        <v>0</v>
      </c>
      <c r="Q69" s="266">
        <f t="shared" si="9"/>
        <v>0</v>
      </c>
      <c r="R69" s="266">
        <f t="shared" si="9"/>
        <v>0</v>
      </c>
      <c r="S69" s="355">
        <f t="shared" si="7"/>
        <v>12543.684276497695</v>
      </c>
      <c r="T69" s="4"/>
    </row>
    <row r="70" spans="1:20" s="27" customFormat="1" ht="15">
      <c r="A70" s="705"/>
      <c r="B70" s="271"/>
      <c r="C70" s="700" t="s">
        <v>494</v>
      </c>
      <c r="D70" s="700"/>
      <c r="E70" s="265"/>
      <c r="F70" s="263"/>
      <c r="G70" s="263"/>
      <c r="H70" s="266">
        <f t="shared" ref="H70:I70" si="10">IF(H21="kW",H69-($E$36*$F$36*H36),)</f>
        <v>0</v>
      </c>
      <c r="I70" s="266">
        <f t="shared" si="10"/>
        <v>0</v>
      </c>
      <c r="J70" s="266">
        <f>IF(J21="kW",J69-($E$36*$F$36*J36),)</f>
        <v>7540.3414838709687</v>
      </c>
      <c r="K70" s="266">
        <f t="shared" ref="K70:R70" si="11">IF(K21="kW",K69-($E$36*$F$36*K36),)</f>
        <v>4763.3743133640546</v>
      </c>
      <c r="L70" s="266">
        <f t="shared" si="11"/>
        <v>0</v>
      </c>
      <c r="M70" s="266">
        <f t="shared" si="11"/>
        <v>0</v>
      </c>
      <c r="N70" s="266">
        <f t="shared" si="11"/>
        <v>0</v>
      </c>
      <c r="O70" s="266">
        <f t="shared" si="11"/>
        <v>239.96847926267284</v>
      </c>
      <c r="P70" s="266">
        <f t="shared" si="11"/>
        <v>0</v>
      </c>
      <c r="Q70" s="266">
        <f t="shared" si="11"/>
        <v>0</v>
      </c>
      <c r="R70" s="266">
        <f t="shared" si="11"/>
        <v>0</v>
      </c>
      <c r="S70" s="355">
        <f t="shared" si="7"/>
        <v>12543.684276497695</v>
      </c>
      <c r="T70" s="4"/>
    </row>
    <row r="71" spans="1:20" s="27" customFormat="1" ht="15">
      <c r="A71" s="705"/>
      <c r="B71" s="273"/>
      <c r="C71" s="707"/>
      <c r="D71" s="707"/>
      <c r="E71" s="258"/>
      <c r="F71" s="256"/>
      <c r="G71" s="256"/>
      <c r="H71" s="256"/>
      <c r="I71" s="256"/>
      <c r="J71" s="256"/>
      <c r="K71" s="258"/>
      <c r="L71" s="258"/>
      <c r="M71" s="258"/>
      <c r="N71" s="258"/>
      <c r="O71" s="258"/>
      <c r="P71" s="258"/>
      <c r="Q71" s="258"/>
      <c r="R71" s="258"/>
      <c r="S71" s="274"/>
      <c r="T71" s="4"/>
    </row>
    <row r="72" spans="1:20" s="6" customFormat="1" ht="15">
      <c r="A72" s="705"/>
      <c r="B72" s="273"/>
      <c r="C72" s="698" t="s">
        <v>317</v>
      </c>
      <c r="D72" s="698"/>
      <c r="E72" s="249"/>
      <c r="F72" s="260"/>
      <c r="G72" s="249"/>
      <c r="H72" s="261">
        <f>'3.  Distribution Rates'!E36</f>
        <v>0</v>
      </c>
      <c r="I72" s="261">
        <f>'3.  Distribution Rates'!E37</f>
        <v>0</v>
      </c>
      <c r="J72" s="261">
        <f>'3.  Distribution Rates'!E38</f>
        <v>0</v>
      </c>
      <c r="K72" s="261">
        <f>'3.  Distribution Rates'!E39</f>
        <v>0</v>
      </c>
      <c r="L72" s="261">
        <f>'3.  Distribution Rates'!E40</f>
        <v>0</v>
      </c>
      <c r="M72" s="261">
        <f>'3.  Distribution Rates'!E41</f>
        <v>0</v>
      </c>
      <c r="N72" s="261">
        <f>'3.  Distribution Rates'!E42</f>
        <v>0</v>
      </c>
      <c r="O72" s="261">
        <f>'3.  Distribution Rates'!E43</f>
        <v>0</v>
      </c>
      <c r="P72" s="261">
        <f>'3.  Distribution Rates'!E44</f>
        <v>0</v>
      </c>
      <c r="Q72" s="261">
        <f>'3.  Distribution Rates'!E45</f>
        <v>0</v>
      </c>
      <c r="R72" s="261">
        <f>'3.  Distribution Rates'!E46</f>
        <v>0</v>
      </c>
      <c r="S72" s="275"/>
      <c r="T72" s="138"/>
    </row>
    <row r="73" spans="1:20" s="27" customFormat="1" ht="15">
      <c r="A73" s="705"/>
      <c r="B73" s="273"/>
      <c r="C73" s="707" t="s">
        <v>63</v>
      </c>
      <c r="D73" s="707"/>
      <c r="E73" s="258"/>
      <c r="F73" s="260"/>
      <c r="G73" s="249"/>
      <c r="H73" s="262">
        <f>IF(H21="kWh",H67,H69)*H72</f>
        <v>0</v>
      </c>
      <c r="I73" s="262">
        <f t="shared" ref="I73:R73" si="12">IF(I21="kWh",I67,I69)*I72</f>
        <v>0</v>
      </c>
      <c r="J73" s="262">
        <f t="shared" si="12"/>
        <v>0</v>
      </c>
      <c r="K73" s="262">
        <f t="shared" si="12"/>
        <v>0</v>
      </c>
      <c r="L73" s="262">
        <f t="shared" si="12"/>
        <v>0</v>
      </c>
      <c r="M73" s="262">
        <f t="shared" si="12"/>
        <v>0</v>
      </c>
      <c r="N73" s="262">
        <f t="shared" si="12"/>
        <v>0</v>
      </c>
      <c r="O73" s="262">
        <f t="shared" si="12"/>
        <v>0</v>
      </c>
      <c r="P73" s="262">
        <f t="shared" si="12"/>
        <v>0</v>
      </c>
      <c r="Q73" s="262">
        <f t="shared" si="12"/>
        <v>0</v>
      </c>
      <c r="R73" s="262">
        <f t="shared" si="12"/>
        <v>0</v>
      </c>
      <c r="S73" s="276">
        <f>SUM(H73:R73)</f>
        <v>0</v>
      </c>
      <c r="T73" s="4"/>
    </row>
    <row r="74" spans="1:20" s="27" customFormat="1" ht="15">
      <c r="A74" s="705"/>
      <c r="B74" s="273"/>
      <c r="C74" s="698" t="s">
        <v>64</v>
      </c>
      <c r="D74" s="698"/>
      <c r="E74" s="258"/>
      <c r="F74" s="256"/>
      <c r="G74" s="256"/>
      <c r="H74" s="249">
        <f>'6.  Persistence Rates'!D314</f>
        <v>2805913.4184206403</v>
      </c>
      <c r="I74" s="249">
        <f>'6.  Persistence Rates'!E314</f>
        <v>893024.20853267983</v>
      </c>
      <c r="J74" s="249">
        <f>'6.  Persistence Rates'!F314</f>
        <v>7540.3356483795515</v>
      </c>
      <c r="K74" s="249">
        <f>'6.  Persistence Rates'!G314</f>
        <v>4763.3745118744146</v>
      </c>
      <c r="L74" s="249">
        <f>'6.  Persistence Rates'!H314</f>
        <v>0</v>
      </c>
      <c r="M74" s="249">
        <f>'6.  Persistence Rates'!I314</f>
        <v>0</v>
      </c>
      <c r="N74" s="249">
        <f>'6.  Persistence Rates'!J314</f>
        <v>0</v>
      </c>
      <c r="O74" s="249">
        <f>'6.  Persistence Rates'!K314</f>
        <v>239.9684892631947</v>
      </c>
      <c r="P74" s="249">
        <f>'6.  Persistence Rates'!L314</f>
        <v>0</v>
      </c>
      <c r="Q74" s="249">
        <f>'6.  Persistence Rates'!M314</f>
        <v>0</v>
      </c>
      <c r="R74" s="249">
        <f>'6.  Persistence Rates'!N314</f>
        <v>0</v>
      </c>
      <c r="S74" s="274"/>
      <c r="T74" s="4"/>
    </row>
    <row r="75" spans="1:20" s="27" customFormat="1" ht="15">
      <c r="A75" s="705"/>
      <c r="B75" s="273"/>
      <c r="C75" s="698" t="s">
        <v>65</v>
      </c>
      <c r="D75" s="698"/>
      <c r="E75" s="258"/>
      <c r="F75" s="256"/>
      <c r="G75" s="256"/>
      <c r="H75" s="249">
        <f>'6.  Persistence Rates'!D315</f>
        <v>2805913.4184206403</v>
      </c>
      <c r="I75" s="249">
        <f>'6.  Persistence Rates'!E315</f>
        <v>877487.66483169806</v>
      </c>
      <c r="J75" s="249">
        <f>'6.  Persistence Rates'!F315</f>
        <v>7540.3356483795515</v>
      </c>
      <c r="K75" s="249">
        <f>'6.  Persistence Rates'!G315</f>
        <v>4763.3745118744146</v>
      </c>
      <c r="L75" s="249">
        <f>'6.  Persistence Rates'!H315</f>
        <v>0</v>
      </c>
      <c r="M75" s="249">
        <f>'6.  Persistence Rates'!I315</f>
        <v>0</v>
      </c>
      <c r="N75" s="249">
        <f>'6.  Persistence Rates'!J315</f>
        <v>0</v>
      </c>
      <c r="O75" s="249">
        <f>'6.  Persistence Rates'!K315</f>
        <v>239.9684892631947</v>
      </c>
      <c r="P75" s="249">
        <f>'6.  Persistence Rates'!L315</f>
        <v>0</v>
      </c>
      <c r="Q75" s="249">
        <f>'6.  Persistence Rates'!M315</f>
        <v>0</v>
      </c>
      <c r="R75" s="249">
        <f>'6.  Persistence Rates'!N315</f>
        <v>0</v>
      </c>
      <c r="S75" s="274"/>
      <c r="T75" s="4"/>
    </row>
    <row r="76" spans="1:20" s="27" customFormat="1" ht="15">
      <c r="A76" s="705"/>
      <c r="B76" s="273"/>
      <c r="C76" s="698" t="s">
        <v>66</v>
      </c>
      <c r="D76" s="698"/>
      <c r="E76" s="258"/>
      <c r="F76" s="256"/>
      <c r="G76" s="256"/>
      <c r="H76" s="249">
        <f>'6.  Persistence Rates'!D316</f>
        <v>2800421.8227039366</v>
      </c>
      <c r="I76" s="249">
        <f>'6.  Persistence Rates'!E316</f>
        <v>788630.83042288315</v>
      </c>
      <c r="J76" s="249">
        <f>'6.  Persistence Rates'!F316</f>
        <v>7540.3356483795515</v>
      </c>
      <c r="K76" s="249">
        <f>'6.  Persistence Rates'!G316</f>
        <v>4763.3745118744146</v>
      </c>
      <c r="L76" s="249">
        <f>'6.  Persistence Rates'!H316</f>
        <v>0</v>
      </c>
      <c r="M76" s="249">
        <f>'6.  Persistence Rates'!I316</f>
        <v>0</v>
      </c>
      <c r="N76" s="249">
        <f>'6.  Persistence Rates'!J316</f>
        <v>0</v>
      </c>
      <c r="O76" s="249">
        <f>'6.  Persistence Rates'!K316</f>
        <v>239.9684892631947</v>
      </c>
      <c r="P76" s="249">
        <f>'6.  Persistence Rates'!L316</f>
        <v>0</v>
      </c>
      <c r="Q76" s="249">
        <f>'6.  Persistence Rates'!M316</f>
        <v>0</v>
      </c>
      <c r="R76" s="249">
        <f>'6.  Persistence Rates'!N316</f>
        <v>0</v>
      </c>
      <c r="S76" s="274"/>
      <c r="T76" s="4"/>
    </row>
    <row r="77" spans="1:20" s="27" customFormat="1" ht="15">
      <c r="A77" s="243"/>
      <c r="B77" s="277"/>
      <c r="C77" s="567" t="s">
        <v>413</v>
      </c>
      <c r="D77" s="567"/>
      <c r="E77" s="278"/>
      <c r="F77" s="279"/>
      <c r="G77" s="279"/>
      <c r="H77" s="515">
        <f>'6.  Persistence Rates'!D317</f>
        <v>2225022.4860024005</v>
      </c>
      <c r="I77" s="515">
        <f>'6.  Persistence Rates'!E317</f>
        <v>788036.34299526107</v>
      </c>
      <c r="J77" s="515">
        <f>'6.  Persistence Rates'!F317</f>
        <v>7540.3356483795515</v>
      </c>
      <c r="K77" s="515">
        <f>'6.  Persistence Rates'!G317</f>
        <v>4763.3745118744146</v>
      </c>
      <c r="L77" s="515">
        <f>'6.  Persistence Rates'!H317</f>
        <v>0</v>
      </c>
      <c r="M77" s="515">
        <f>'6.  Persistence Rates'!I317</f>
        <v>0</v>
      </c>
      <c r="N77" s="515">
        <f>'6.  Persistence Rates'!J317</f>
        <v>0</v>
      </c>
      <c r="O77" s="515">
        <f>'6.  Persistence Rates'!K317</f>
        <v>239.9684892631947</v>
      </c>
      <c r="P77" s="515">
        <f>'6.  Persistence Rates'!L317</f>
        <v>0</v>
      </c>
      <c r="Q77" s="515">
        <f>'6.  Persistence Rates'!M317</f>
        <v>0</v>
      </c>
      <c r="R77" s="515">
        <f>'6.  Persistence Rates'!N317</f>
        <v>0</v>
      </c>
      <c r="S77" s="280"/>
      <c r="T77" s="4"/>
    </row>
    <row r="78" spans="1:20" s="27" customFormat="1" ht="15" hidden="1">
      <c r="A78" s="243"/>
      <c r="B78" s="273"/>
      <c r="C78" s="507" t="s">
        <v>414</v>
      </c>
      <c r="D78" s="507"/>
      <c r="E78" s="258"/>
      <c r="F78" s="256"/>
      <c r="G78" s="256"/>
      <c r="H78" s="249"/>
      <c r="I78" s="249"/>
      <c r="J78" s="249"/>
      <c r="K78" s="249"/>
      <c r="L78" s="249"/>
      <c r="M78" s="249"/>
      <c r="N78" s="249"/>
      <c r="O78" s="249"/>
      <c r="P78" s="249"/>
      <c r="Q78" s="249"/>
      <c r="R78" s="249"/>
      <c r="S78" s="274"/>
      <c r="T78" s="4"/>
    </row>
    <row r="79" spans="1:20" s="27" customFormat="1" ht="15" hidden="1">
      <c r="A79" s="243"/>
      <c r="B79" s="273"/>
      <c r="C79" s="507" t="s">
        <v>415</v>
      </c>
      <c r="D79" s="507"/>
      <c r="E79" s="258"/>
      <c r="F79" s="256"/>
      <c r="G79" s="256"/>
      <c r="H79" s="249"/>
      <c r="I79" s="249"/>
      <c r="J79" s="249"/>
      <c r="K79" s="249"/>
      <c r="L79" s="249"/>
      <c r="M79" s="249"/>
      <c r="N79" s="249"/>
      <c r="O79" s="258"/>
      <c r="P79" s="249"/>
      <c r="Q79" s="249"/>
      <c r="R79" s="258"/>
      <c r="S79" s="274"/>
      <c r="T79" s="4"/>
    </row>
    <row r="80" spans="1:20" s="27" customFormat="1" ht="15" hidden="1">
      <c r="A80" s="243"/>
      <c r="B80" s="273"/>
      <c r="C80" s="507" t="s">
        <v>416</v>
      </c>
      <c r="D80" s="507"/>
      <c r="E80" s="258"/>
      <c r="F80" s="256"/>
      <c r="G80" s="256"/>
      <c r="H80" s="249"/>
      <c r="I80" s="249"/>
      <c r="J80" s="249"/>
      <c r="K80" s="249"/>
      <c r="L80" s="249"/>
      <c r="M80" s="249"/>
      <c r="N80" s="249"/>
      <c r="O80" s="258"/>
      <c r="P80" s="249"/>
      <c r="Q80" s="249"/>
      <c r="R80" s="258"/>
      <c r="S80" s="274"/>
      <c r="T80" s="4"/>
    </row>
    <row r="81" spans="1:20" s="27" customFormat="1" ht="15" hidden="1">
      <c r="A81" s="243"/>
      <c r="B81" s="273"/>
      <c r="C81" s="507" t="s">
        <v>417</v>
      </c>
      <c r="D81" s="507"/>
      <c r="E81" s="258"/>
      <c r="F81" s="256"/>
      <c r="G81" s="256"/>
      <c r="H81" s="249"/>
      <c r="I81" s="249"/>
      <c r="J81" s="249"/>
      <c r="K81" s="249"/>
      <c r="L81" s="249"/>
      <c r="M81" s="249"/>
      <c r="N81" s="249"/>
      <c r="O81" s="258"/>
      <c r="P81" s="249"/>
      <c r="Q81" s="249"/>
      <c r="R81" s="258"/>
      <c r="S81" s="274"/>
      <c r="T81" s="4"/>
    </row>
    <row r="82" spans="1:20" hidden="1">
      <c r="B82" s="389"/>
      <c r="C82" s="508" t="s">
        <v>418</v>
      </c>
      <c r="D82" s="390"/>
      <c r="E82" s="390"/>
      <c r="F82" s="391"/>
      <c r="G82" s="391"/>
      <c r="H82" s="515"/>
      <c r="I82" s="515"/>
      <c r="J82" s="515"/>
      <c r="K82" s="515"/>
      <c r="L82" s="515"/>
      <c r="M82" s="515"/>
      <c r="N82" s="515"/>
      <c r="O82" s="328"/>
      <c r="P82" s="515"/>
      <c r="Q82" s="515"/>
      <c r="R82" s="328"/>
      <c r="S82" s="392"/>
      <c r="T82" s="142"/>
    </row>
    <row r="83" spans="1:20">
      <c r="B83" s="68"/>
      <c r="C83" s="259"/>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706" t="s">
        <v>350</v>
      </c>
      <c r="C85" s="706"/>
      <c r="D85" s="706"/>
      <c r="E85" s="706"/>
      <c r="F85" s="706"/>
      <c r="G85" s="706"/>
      <c r="H85" s="706"/>
      <c r="I85" s="706"/>
      <c r="J85" s="706"/>
      <c r="K85" s="706"/>
      <c r="L85" s="706"/>
      <c r="M85" s="706"/>
      <c r="N85" s="706"/>
      <c r="O85" s="706"/>
      <c r="P85" s="706"/>
      <c r="Q85" s="706"/>
      <c r="R85" s="706"/>
      <c r="S85" s="706"/>
      <c r="T85" s="65"/>
    </row>
    <row r="86" spans="1:20" ht="18">
      <c r="B86" s="143"/>
      <c r="C86" s="144"/>
      <c r="D86" s="143"/>
      <c r="E86" s="143"/>
      <c r="F86" s="100"/>
      <c r="G86" s="143"/>
      <c r="H86" s="143"/>
      <c r="I86" s="143"/>
      <c r="J86" s="143"/>
      <c r="K86" s="143"/>
      <c r="L86" s="143"/>
      <c r="M86" s="143"/>
      <c r="N86" s="143"/>
      <c r="O86" s="143"/>
      <c r="P86" s="143"/>
      <c r="Q86" s="143"/>
      <c r="R86" s="143"/>
      <c r="S86" s="143"/>
      <c r="T86" s="65"/>
    </row>
    <row r="87" spans="1:20" ht="45">
      <c r="B87" s="694" t="s">
        <v>59</v>
      </c>
      <c r="C87" s="696" t="s">
        <v>0</v>
      </c>
      <c r="D87" s="696" t="s">
        <v>45</v>
      </c>
      <c r="E87" s="696" t="s">
        <v>202</v>
      </c>
      <c r="F87" s="268" t="s">
        <v>46</v>
      </c>
      <c r="G87" s="268" t="s">
        <v>199</v>
      </c>
      <c r="H87" s="708" t="s">
        <v>60</v>
      </c>
      <c r="I87" s="709"/>
      <c r="J87" s="709"/>
      <c r="K87" s="709"/>
      <c r="L87" s="709"/>
      <c r="M87" s="709"/>
      <c r="N87" s="709"/>
      <c r="O87" s="709"/>
      <c r="P87" s="709"/>
      <c r="Q87" s="709"/>
      <c r="R87" s="709"/>
      <c r="S87" s="710"/>
      <c r="T87" s="65"/>
    </row>
    <row r="88" spans="1:20" ht="60.95" customHeight="1">
      <c r="B88" s="695"/>
      <c r="C88" s="697"/>
      <c r="D88" s="697"/>
      <c r="E88" s="697"/>
      <c r="F88" s="135" t="s">
        <v>94</v>
      </c>
      <c r="G88" s="135" t="s">
        <v>95</v>
      </c>
      <c r="H88" s="135" t="str">
        <f>H20</f>
        <v>Residential</v>
      </c>
      <c r="I88" s="135" t="str">
        <f t="shared" ref="I88:O88" si="13">I20</f>
        <v>GS &lt; 50 kW</v>
      </c>
      <c r="J88" s="135" t="str">
        <f t="shared" si="13"/>
        <v>GS 50 to 2,999 kW</v>
      </c>
      <c r="K88" s="135" t="str">
        <f t="shared" si="13"/>
        <v>GS 50 to 2,999 kW with owned transformer</v>
      </c>
      <c r="L88" s="135" t="str">
        <f t="shared" si="13"/>
        <v>GS 3,000 to 4,999 kW</v>
      </c>
      <c r="M88" s="135" t="str">
        <f t="shared" si="13"/>
        <v>GS 3,000 to 4,999 kW with owned transformer</v>
      </c>
      <c r="N88" s="135" t="str">
        <f t="shared" si="13"/>
        <v>Large Use</v>
      </c>
      <c r="O88" s="135" t="str">
        <f t="shared" si="13"/>
        <v>Large Use with owned transformer</v>
      </c>
      <c r="P88" s="135" t="str">
        <f t="shared" ref="P88:R88" si="14">P20</f>
        <v>Unmetered Scattered Load</v>
      </c>
      <c r="Q88" s="135" t="str">
        <f t="shared" si="14"/>
        <v>Sentinel Lighting</v>
      </c>
      <c r="R88" s="135" t="str">
        <f t="shared" si="14"/>
        <v>Street Lighting</v>
      </c>
      <c r="S88" s="376" t="s">
        <v>35</v>
      </c>
      <c r="T88" s="65"/>
    </row>
    <row r="89" spans="1:20" s="21" customFormat="1" ht="19.5" customHeight="1" outlineLevel="1">
      <c r="A89" s="45"/>
      <c r="B89" s="370"/>
      <c r="C89" s="715" t="s">
        <v>1</v>
      </c>
      <c r="D89" s="715"/>
      <c r="E89" s="371"/>
      <c r="F89" s="372"/>
      <c r="G89" s="372"/>
      <c r="H89" s="211" t="str">
        <f>H$21</f>
        <v>kWh</v>
      </c>
      <c r="I89" s="211" t="str">
        <f t="shared" ref="I89:R89" si="15">I$21</f>
        <v>kWh</v>
      </c>
      <c r="J89" s="211" t="str">
        <f t="shared" si="15"/>
        <v>kW</v>
      </c>
      <c r="K89" s="211" t="str">
        <f t="shared" si="15"/>
        <v>kW</v>
      </c>
      <c r="L89" s="211" t="str">
        <f t="shared" si="15"/>
        <v>kW</v>
      </c>
      <c r="M89" s="211" t="str">
        <f t="shared" si="15"/>
        <v>kW</v>
      </c>
      <c r="N89" s="211" t="str">
        <f t="shared" si="15"/>
        <v>kW</v>
      </c>
      <c r="O89" s="211" t="str">
        <f t="shared" si="15"/>
        <v>kW</v>
      </c>
      <c r="P89" s="211" t="str">
        <f t="shared" si="15"/>
        <v>kWh</v>
      </c>
      <c r="Q89" s="211" t="str">
        <f t="shared" si="15"/>
        <v>kW</v>
      </c>
      <c r="R89" s="211" t="str">
        <f t="shared" si="15"/>
        <v>kW</v>
      </c>
      <c r="S89" s="373"/>
      <c r="T89" s="137"/>
    </row>
    <row r="90" spans="1:20" ht="15" outlineLevel="1">
      <c r="A90" s="705">
        <v>2012</v>
      </c>
      <c r="B90" s="270">
        <v>1</v>
      </c>
      <c r="C90" s="251" t="s">
        <v>2</v>
      </c>
      <c r="D90" s="249" t="s">
        <v>34</v>
      </c>
      <c r="E90" s="249">
        <v>12</v>
      </c>
      <c r="F90" s="294">
        <v>27.004999999999999</v>
      </c>
      <c r="G90" s="294">
        <v>177849.65900000001</v>
      </c>
      <c r="H90" s="293">
        <v>1</v>
      </c>
      <c r="I90" s="293">
        <v>0</v>
      </c>
      <c r="J90" s="293">
        <v>0</v>
      </c>
      <c r="K90" s="293">
        <v>0</v>
      </c>
      <c r="L90" s="293">
        <v>0</v>
      </c>
      <c r="M90" s="293">
        <v>0</v>
      </c>
      <c r="N90" s="293">
        <v>0</v>
      </c>
      <c r="O90" s="293">
        <v>0</v>
      </c>
      <c r="P90" s="293">
        <v>0</v>
      </c>
      <c r="Q90" s="293">
        <v>0</v>
      </c>
      <c r="R90" s="293">
        <v>0</v>
      </c>
      <c r="S90" s="248">
        <f t="shared" ref="S90:S99" si="16">SUM(H90:R90)</f>
        <v>1</v>
      </c>
      <c r="T90" s="65"/>
    </row>
    <row r="91" spans="1:20" ht="15" outlineLevel="1">
      <c r="A91" s="705"/>
      <c r="B91" s="270">
        <v>2</v>
      </c>
      <c r="C91" s="251" t="s">
        <v>3</v>
      </c>
      <c r="D91" s="249" t="s">
        <v>34</v>
      </c>
      <c r="E91" s="249">
        <v>12</v>
      </c>
      <c r="F91" s="294">
        <v>11.872</v>
      </c>
      <c r="G91" s="294">
        <v>20973.197</v>
      </c>
      <c r="H91" s="293">
        <v>1</v>
      </c>
      <c r="I91" s="293">
        <v>0</v>
      </c>
      <c r="J91" s="293">
        <v>0</v>
      </c>
      <c r="K91" s="293">
        <v>0</v>
      </c>
      <c r="L91" s="293">
        <v>0</v>
      </c>
      <c r="M91" s="293">
        <v>0</v>
      </c>
      <c r="N91" s="293">
        <v>0</v>
      </c>
      <c r="O91" s="293">
        <v>0</v>
      </c>
      <c r="P91" s="293">
        <v>0</v>
      </c>
      <c r="Q91" s="293">
        <v>0</v>
      </c>
      <c r="R91" s="293">
        <v>0</v>
      </c>
      <c r="S91" s="248">
        <f t="shared" si="16"/>
        <v>1</v>
      </c>
      <c r="T91" s="65"/>
    </row>
    <row r="92" spans="1:20" ht="15" outlineLevel="1">
      <c r="A92" s="705"/>
      <c r="B92" s="270">
        <v>3</v>
      </c>
      <c r="C92" s="251" t="s">
        <v>4</v>
      </c>
      <c r="D92" s="249" t="s">
        <v>34</v>
      </c>
      <c r="E92" s="249">
        <v>12</v>
      </c>
      <c r="F92" s="294">
        <v>542.476</v>
      </c>
      <c r="G92" s="294">
        <v>934123.68900000001</v>
      </c>
      <c r="H92" s="293">
        <v>1</v>
      </c>
      <c r="I92" s="293">
        <v>0</v>
      </c>
      <c r="J92" s="293">
        <v>0</v>
      </c>
      <c r="K92" s="293">
        <v>0</v>
      </c>
      <c r="L92" s="293">
        <v>0</v>
      </c>
      <c r="M92" s="293">
        <v>0</v>
      </c>
      <c r="N92" s="293">
        <v>0</v>
      </c>
      <c r="O92" s="293">
        <v>0</v>
      </c>
      <c r="P92" s="293">
        <v>0</v>
      </c>
      <c r="Q92" s="293">
        <v>0</v>
      </c>
      <c r="R92" s="293">
        <v>0</v>
      </c>
      <c r="S92" s="248">
        <f t="shared" si="16"/>
        <v>1</v>
      </c>
      <c r="T92" s="65"/>
    </row>
    <row r="93" spans="1:20" ht="15" outlineLevel="1">
      <c r="A93" s="705"/>
      <c r="B93" s="270">
        <v>4</v>
      </c>
      <c r="C93" s="251" t="s">
        <v>5</v>
      </c>
      <c r="D93" s="249" t="s">
        <v>34</v>
      </c>
      <c r="E93" s="249">
        <v>12</v>
      </c>
      <c r="F93" s="294">
        <v>5.4210000000000003</v>
      </c>
      <c r="G93" s="294">
        <v>32892.726000000002</v>
      </c>
      <c r="H93" s="293">
        <v>1</v>
      </c>
      <c r="I93" s="293">
        <v>0</v>
      </c>
      <c r="J93" s="293">
        <v>0</v>
      </c>
      <c r="K93" s="293">
        <v>0</v>
      </c>
      <c r="L93" s="293">
        <v>0</v>
      </c>
      <c r="M93" s="293">
        <v>0</v>
      </c>
      <c r="N93" s="293">
        <v>0</v>
      </c>
      <c r="O93" s="293">
        <v>0</v>
      </c>
      <c r="P93" s="293">
        <v>0</v>
      </c>
      <c r="Q93" s="293">
        <v>0</v>
      </c>
      <c r="R93" s="293">
        <v>0</v>
      </c>
      <c r="S93" s="248">
        <f t="shared" si="16"/>
        <v>1</v>
      </c>
      <c r="T93" s="65"/>
    </row>
    <row r="94" spans="1:20" ht="15" outlineLevel="1">
      <c r="A94" s="705"/>
      <c r="B94" s="270">
        <v>5</v>
      </c>
      <c r="C94" s="251" t="s">
        <v>6</v>
      </c>
      <c r="D94" s="249" t="s">
        <v>34</v>
      </c>
      <c r="E94" s="249">
        <v>12</v>
      </c>
      <c r="F94" s="294">
        <v>34.817</v>
      </c>
      <c r="G94" s="294">
        <v>630039.402</v>
      </c>
      <c r="H94" s="293">
        <v>1</v>
      </c>
      <c r="I94" s="293">
        <v>0</v>
      </c>
      <c r="J94" s="293">
        <v>0</v>
      </c>
      <c r="K94" s="293">
        <v>0</v>
      </c>
      <c r="L94" s="293">
        <v>0</v>
      </c>
      <c r="M94" s="293">
        <v>0</v>
      </c>
      <c r="N94" s="293">
        <v>0</v>
      </c>
      <c r="O94" s="293">
        <v>0</v>
      </c>
      <c r="P94" s="293">
        <v>0</v>
      </c>
      <c r="Q94" s="293">
        <v>0</v>
      </c>
      <c r="R94" s="293">
        <v>0</v>
      </c>
      <c r="S94" s="248">
        <f t="shared" si="16"/>
        <v>1</v>
      </c>
      <c r="T94" s="65"/>
    </row>
    <row r="95" spans="1:20" ht="15" outlineLevel="1">
      <c r="A95" s="705"/>
      <c r="B95" s="270">
        <v>6</v>
      </c>
      <c r="C95" s="251" t="s">
        <v>7</v>
      </c>
      <c r="D95" s="249" t="s">
        <v>34</v>
      </c>
      <c r="E95" s="249">
        <v>12</v>
      </c>
      <c r="F95" s="294">
        <v>0</v>
      </c>
      <c r="G95" s="294">
        <v>0</v>
      </c>
      <c r="H95" s="293">
        <v>1</v>
      </c>
      <c r="I95" s="293">
        <v>0</v>
      </c>
      <c r="J95" s="293">
        <v>0</v>
      </c>
      <c r="K95" s="293">
        <v>0</v>
      </c>
      <c r="L95" s="293">
        <v>0</v>
      </c>
      <c r="M95" s="293">
        <v>0</v>
      </c>
      <c r="N95" s="293">
        <v>0</v>
      </c>
      <c r="O95" s="293">
        <v>0</v>
      </c>
      <c r="P95" s="293">
        <v>0</v>
      </c>
      <c r="Q95" s="293">
        <v>0</v>
      </c>
      <c r="R95" s="293">
        <v>0</v>
      </c>
      <c r="S95" s="248">
        <f t="shared" si="16"/>
        <v>1</v>
      </c>
      <c r="T95" s="65"/>
    </row>
    <row r="96" spans="1:20" ht="28.5" outlineLevel="1">
      <c r="A96" s="705"/>
      <c r="B96" s="270">
        <v>7</v>
      </c>
      <c r="C96" s="251" t="s">
        <v>33</v>
      </c>
      <c r="D96" s="249" t="s">
        <v>34</v>
      </c>
      <c r="E96" s="249">
        <v>0</v>
      </c>
      <c r="F96" s="294">
        <v>1630.664</v>
      </c>
      <c r="G96" s="294">
        <v>14113.375</v>
      </c>
      <c r="H96" s="293">
        <v>1</v>
      </c>
      <c r="I96" s="293">
        <v>0</v>
      </c>
      <c r="J96" s="293">
        <v>0</v>
      </c>
      <c r="K96" s="293">
        <v>0</v>
      </c>
      <c r="L96" s="293">
        <v>0</v>
      </c>
      <c r="M96" s="293">
        <v>0</v>
      </c>
      <c r="N96" s="293">
        <v>0</v>
      </c>
      <c r="O96" s="293">
        <v>0</v>
      </c>
      <c r="P96" s="293">
        <v>0</v>
      </c>
      <c r="Q96" s="293">
        <v>0</v>
      </c>
      <c r="R96" s="293">
        <v>0</v>
      </c>
      <c r="S96" s="248">
        <f t="shared" si="16"/>
        <v>1</v>
      </c>
      <c r="T96" s="65"/>
    </row>
    <row r="97" spans="1:22" ht="15" outlineLevel="1">
      <c r="A97" s="705"/>
      <c r="B97" s="270">
        <v>8</v>
      </c>
      <c r="C97" s="251" t="s">
        <v>26</v>
      </c>
      <c r="D97" s="249" t="s">
        <v>34</v>
      </c>
      <c r="E97" s="249">
        <v>0</v>
      </c>
      <c r="F97" s="294">
        <v>0</v>
      </c>
      <c r="G97" s="294">
        <v>0</v>
      </c>
      <c r="H97" s="293">
        <v>1</v>
      </c>
      <c r="I97" s="293">
        <v>0</v>
      </c>
      <c r="J97" s="293">
        <v>0</v>
      </c>
      <c r="K97" s="293">
        <v>0</v>
      </c>
      <c r="L97" s="293">
        <v>0</v>
      </c>
      <c r="M97" s="293">
        <v>0</v>
      </c>
      <c r="N97" s="293">
        <v>0</v>
      </c>
      <c r="O97" s="293">
        <v>0</v>
      </c>
      <c r="P97" s="293">
        <v>0</v>
      </c>
      <c r="Q97" s="293">
        <v>0</v>
      </c>
      <c r="R97" s="293">
        <v>0</v>
      </c>
      <c r="S97" s="248">
        <f t="shared" si="16"/>
        <v>1</v>
      </c>
      <c r="T97" s="65"/>
    </row>
    <row r="98" spans="1:22" ht="15" outlineLevel="1">
      <c r="A98" s="705"/>
      <c r="B98" s="270">
        <v>9</v>
      </c>
      <c r="C98" s="251" t="s">
        <v>8</v>
      </c>
      <c r="D98" s="249" t="s">
        <v>34</v>
      </c>
      <c r="E98" s="249">
        <v>12</v>
      </c>
      <c r="F98" s="294">
        <v>0</v>
      </c>
      <c r="G98" s="294">
        <v>0</v>
      </c>
      <c r="H98" s="293">
        <v>1</v>
      </c>
      <c r="I98" s="293">
        <v>0</v>
      </c>
      <c r="J98" s="293">
        <v>0</v>
      </c>
      <c r="K98" s="293">
        <v>0</v>
      </c>
      <c r="L98" s="293">
        <v>0</v>
      </c>
      <c r="M98" s="293">
        <v>0</v>
      </c>
      <c r="N98" s="293">
        <v>0</v>
      </c>
      <c r="O98" s="293">
        <v>0</v>
      </c>
      <c r="P98" s="293">
        <v>0</v>
      </c>
      <c r="Q98" s="293">
        <v>0</v>
      </c>
      <c r="R98" s="293">
        <v>0</v>
      </c>
      <c r="S98" s="248">
        <f t="shared" si="16"/>
        <v>1</v>
      </c>
      <c r="T98" s="65"/>
    </row>
    <row r="99" spans="1:22" ht="15" outlineLevel="1">
      <c r="A99" s="705"/>
      <c r="B99" s="270"/>
      <c r="C99" s="252" t="s">
        <v>252</v>
      </c>
      <c r="D99" s="249" t="s">
        <v>250</v>
      </c>
      <c r="E99" s="249">
        <v>12</v>
      </c>
      <c r="F99" s="294">
        <v>15.566000000000001</v>
      </c>
      <c r="G99" s="294">
        <v>30567.161</v>
      </c>
      <c r="H99" s="291">
        <v>1</v>
      </c>
      <c r="I99" s="291">
        <v>0</v>
      </c>
      <c r="J99" s="291">
        <v>0</v>
      </c>
      <c r="K99" s="291">
        <v>0</v>
      </c>
      <c r="L99" s="291">
        <v>0</v>
      </c>
      <c r="M99" s="291">
        <v>0</v>
      </c>
      <c r="N99" s="291">
        <v>0</v>
      </c>
      <c r="O99" s="291">
        <v>0</v>
      </c>
      <c r="P99" s="291">
        <v>0</v>
      </c>
      <c r="Q99" s="291">
        <v>0</v>
      </c>
      <c r="R99" s="291">
        <v>0</v>
      </c>
      <c r="S99" s="248">
        <f t="shared" si="16"/>
        <v>1</v>
      </c>
      <c r="T99" s="65"/>
    </row>
    <row r="100" spans="1:22" ht="15" hidden="1" outlineLevel="1">
      <c r="A100" s="705"/>
      <c r="B100" s="270"/>
      <c r="C100" s="700"/>
      <c r="D100" s="700"/>
      <c r="E100" s="264"/>
      <c r="F100" s="294"/>
      <c r="G100" s="294"/>
      <c r="H100" s="291"/>
      <c r="I100" s="292"/>
      <c r="J100" s="292"/>
      <c r="K100" s="292"/>
      <c r="L100" s="292"/>
      <c r="M100" s="292"/>
      <c r="N100" s="292"/>
      <c r="O100" s="292"/>
      <c r="P100" s="292"/>
      <c r="Q100" s="292"/>
      <c r="R100" s="292"/>
      <c r="S100" s="248"/>
      <c r="T100" s="65"/>
    </row>
    <row r="101" spans="1:22" ht="15" hidden="1" outlineLevel="1">
      <c r="A101" s="705"/>
      <c r="B101" s="270"/>
      <c r="C101" s="700"/>
      <c r="D101" s="700"/>
      <c r="E101" s="264"/>
      <c r="F101" s="294"/>
      <c r="G101" s="294"/>
      <c r="H101" s="291"/>
      <c r="I101" s="292"/>
      <c r="J101" s="292"/>
      <c r="K101" s="292"/>
      <c r="L101" s="292"/>
      <c r="M101" s="292"/>
      <c r="N101" s="292"/>
      <c r="O101" s="292"/>
      <c r="P101" s="292"/>
      <c r="Q101" s="292"/>
      <c r="R101" s="292"/>
      <c r="S101" s="248"/>
      <c r="T101" s="65"/>
    </row>
    <row r="102" spans="1:22" s="21" customFormat="1" ht="18.75" customHeight="1" outlineLevel="1">
      <c r="A102" s="705"/>
      <c r="B102" s="244"/>
      <c r="C102" s="704" t="s">
        <v>9</v>
      </c>
      <c r="D102" s="704"/>
      <c r="E102" s="245"/>
      <c r="F102" s="246"/>
      <c r="G102" s="246"/>
      <c r="H102" s="246"/>
      <c r="I102" s="246"/>
      <c r="J102" s="246"/>
      <c r="K102" s="246"/>
      <c r="L102" s="246"/>
      <c r="M102" s="246"/>
      <c r="N102" s="246"/>
      <c r="O102" s="246"/>
      <c r="P102" s="246"/>
      <c r="Q102" s="246"/>
      <c r="R102" s="246"/>
      <c r="S102" s="247"/>
      <c r="T102" s="137"/>
      <c r="U102" s="27"/>
      <c r="V102" s="27"/>
    </row>
    <row r="103" spans="1:22" ht="15" outlineLevel="1">
      <c r="A103" s="705"/>
      <c r="B103" s="146">
        <v>10</v>
      </c>
      <c r="C103" s="253" t="s">
        <v>27</v>
      </c>
      <c r="D103" s="249" t="s">
        <v>34</v>
      </c>
      <c r="E103" s="249">
        <v>12</v>
      </c>
      <c r="F103" s="294">
        <v>1213.192</v>
      </c>
      <c r="G103" s="294">
        <v>6472559.0379999997</v>
      </c>
      <c r="H103" s="291">
        <v>0</v>
      </c>
      <c r="I103" s="291">
        <v>9.6957632985655282E-2</v>
      </c>
      <c r="J103" s="291">
        <v>0.52761747732893649</v>
      </c>
      <c r="K103" s="291">
        <v>0.35201978565539982</v>
      </c>
      <c r="L103" s="291">
        <v>0</v>
      </c>
      <c r="M103" s="291">
        <v>2.4732069249793899E-3</v>
      </c>
      <c r="N103" s="291">
        <v>0</v>
      </c>
      <c r="O103" s="291">
        <v>2.0610057708161583E-2</v>
      </c>
      <c r="P103" s="291">
        <v>0</v>
      </c>
      <c r="Q103" s="291">
        <v>0</v>
      </c>
      <c r="R103" s="291">
        <v>0</v>
      </c>
      <c r="S103" s="248">
        <f t="shared" ref="S103:S111" si="17">SUM(H103:R103)</f>
        <v>0.99967816060313264</v>
      </c>
      <c r="T103" s="65"/>
    </row>
    <row r="104" spans="1:22" ht="15" outlineLevel="1">
      <c r="A104" s="705"/>
      <c r="B104" s="146">
        <v>11</v>
      </c>
      <c r="C104" s="251" t="s">
        <v>25</v>
      </c>
      <c r="D104" s="249" t="s">
        <v>34</v>
      </c>
      <c r="E104" s="249">
        <v>12</v>
      </c>
      <c r="F104" s="294">
        <v>158.68199999999999</v>
      </c>
      <c r="G104" s="294">
        <v>606683.33200000005</v>
      </c>
      <c r="H104" s="291">
        <v>0</v>
      </c>
      <c r="I104" s="291">
        <v>1</v>
      </c>
      <c r="J104" s="291">
        <v>0</v>
      </c>
      <c r="K104" s="291">
        <v>0</v>
      </c>
      <c r="L104" s="291">
        <v>0</v>
      </c>
      <c r="M104" s="291">
        <v>0</v>
      </c>
      <c r="N104" s="291">
        <v>0</v>
      </c>
      <c r="O104" s="291">
        <v>0</v>
      </c>
      <c r="P104" s="291">
        <v>0</v>
      </c>
      <c r="Q104" s="291">
        <v>0</v>
      </c>
      <c r="R104" s="291">
        <v>0</v>
      </c>
      <c r="S104" s="248">
        <f t="shared" si="17"/>
        <v>1</v>
      </c>
      <c r="T104" s="65"/>
    </row>
    <row r="105" spans="1:22" ht="15" outlineLevel="1">
      <c r="A105" s="705"/>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91">
        <v>0</v>
      </c>
      <c r="Q105" s="291">
        <v>0</v>
      </c>
      <c r="R105" s="291">
        <v>0</v>
      </c>
      <c r="S105" s="248">
        <f t="shared" si="17"/>
        <v>0</v>
      </c>
      <c r="T105" s="65"/>
    </row>
    <row r="106" spans="1:22" ht="15" outlineLevel="1">
      <c r="A106" s="705"/>
      <c r="B106" s="146">
        <v>13</v>
      </c>
      <c r="C106" s="251" t="s">
        <v>29</v>
      </c>
      <c r="D106" s="249" t="s">
        <v>34</v>
      </c>
      <c r="E106" s="249">
        <v>12</v>
      </c>
      <c r="F106" s="294">
        <v>0</v>
      </c>
      <c r="G106" s="294">
        <v>0</v>
      </c>
      <c r="H106" s="291">
        <v>0</v>
      </c>
      <c r="I106" s="291">
        <v>0</v>
      </c>
      <c r="J106" s="291">
        <v>1</v>
      </c>
      <c r="K106" s="291">
        <v>0</v>
      </c>
      <c r="L106" s="291">
        <v>0</v>
      </c>
      <c r="M106" s="291">
        <v>0</v>
      </c>
      <c r="N106" s="291">
        <v>0</v>
      </c>
      <c r="O106" s="291">
        <v>0</v>
      </c>
      <c r="P106" s="291">
        <v>0</v>
      </c>
      <c r="Q106" s="291">
        <v>0</v>
      </c>
      <c r="R106" s="291">
        <v>0</v>
      </c>
      <c r="S106" s="248">
        <f t="shared" si="17"/>
        <v>1</v>
      </c>
      <c r="T106" s="65"/>
    </row>
    <row r="107" spans="1:22" ht="15" outlineLevel="1">
      <c r="A107" s="705"/>
      <c r="B107" s="146">
        <v>14</v>
      </c>
      <c r="C107" s="251" t="s">
        <v>23</v>
      </c>
      <c r="D107" s="249" t="s">
        <v>34</v>
      </c>
      <c r="E107" s="249">
        <v>12</v>
      </c>
      <c r="F107" s="294">
        <v>67.302999999999997</v>
      </c>
      <c r="G107" s="294">
        <v>327291.30800000002</v>
      </c>
      <c r="H107" s="291">
        <v>0</v>
      </c>
      <c r="I107" s="291">
        <v>1</v>
      </c>
      <c r="J107" s="291">
        <v>0</v>
      </c>
      <c r="K107" s="291">
        <v>0</v>
      </c>
      <c r="L107" s="291">
        <v>0</v>
      </c>
      <c r="M107" s="291">
        <v>0</v>
      </c>
      <c r="N107" s="291">
        <v>0</v>
      </c>
      <c r="O107" s="291">
        <v>0</v>
      </c>
      <c r="P107" s="291">
        <v>0</v>
      </c>
      <c r="Q107" s="291">
        <v>0</v>
      </c>
      <c r="R107" s="291">
        <v>0</v>
      </c>
      <c r="S107" s="248">
        <f t="shared" si="17"/>
        <v>1</v>
      </c>
      <c r="T107" s="65"/>
    </row>
    <row r="108" spans="1:22" ht="28.5" outlineLevel="1">
      <c r="A108" s="705"/>
      <c r="B108" s="270">
        <v>15</v>
      </c>
      <c r="C108" s="251" t="s">
        <v>30</v>
      </c>
      <c r="D108" s="249" t="s">
        <v>34</v>
      </c>
      <c r="E108" s="249">
        <v>0</v>
      </c>
      <c r="F108" s="294">
        <v>51.84</v>
      </c>
      <c r="G108" s="294">
        <v>294.83999999999997</v>
      </c>
      <c r="H108" s="291">
        <v>0</v>
      </c>
      <c r="I108" s="291">
        <v>1</v>
      </c>
      <c r="J108" s="291">
        <v>0</v>
      </c>
      <c r="K108" s="291">
        <v>0</v>
      </c>
      <c r="L108" s="291">
        <v>0</v>
      </c>
      <c r="M108" s="291">
        <v>0</v>
      </c>
      <c r="N108" s="291">
        <v>0</v>
      </c>
      <c r="O108" s="291">
        <v>0</v>
      </c>
      <c r="P108" s="291">
        <v>0</v>
      </c>
      <c r="Q108" s="291">
        <v>0</v>
      </c>
      <c r="R108" s="291">
        <v>0</v>
      </c>
      <c r="S108" s="248">
        <f t="shared" si="17"/>
        <v>1</v>
      </c>
      <c r="T108" s="65"/>
    </row>
    <row r="109" spans="1:22" ht="28.5" outlineLevel="1">
      <c r="A109" s="705"/>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91">
        <v>0</v>
      </c>
      <c r="Q109" s="291">
        <v>0</v>
      </c>
      <c r="R109" s="291">
        <v>0</v>
      </c>
      <c r="S109" s="248">
        <f t="shared" si="17"/>
        <v>0</v>
      </c>
      <c r="T109" s="65"/>
    </row>
    <row r="110" spans="1:22" ht="15" outlineLevel="1">
      <c r="A110" s="705"/>
      <c r="B110" s="270">
        <v>17</v>
      </c>
      <c r="C110" s="251" t="s">
        <v>10</v>
      </c>
      <c r="D110" s="249" t="s">
        <v>34</v>
      </c>
      <c r="E110" s="249">
        <v>0</v>
      </c>
      <c r="F110" s="294">
        <v>108.78100000000001</v>
      </c>
      <c r="G110" s="294">
        <v>1581.165</v>
      </c>
      <c r="H110" s="291">
        <v>0</v>
      </c>
      <c r="I110" s="291">
        <v>1</v>
      </c>
      <c r="J110" s="291">
        <v>0</v>
      </c>
      <c r="K110" s="291">
        <v>0</v>
      </c>
      <c r="L110" s="291">
        <v>0</v>
      </c>
      <c r="M110" s="291">
        <v>0</v>
      </c>
      <c r="N110" s="291">
        <v>0</v>
      </c>
      <c r="O110" s="291">
        <v>0</v>
      </c>
      <c r="P110" s="291">
        <v>0</v>
      </c>
      <c r="Q110" s="291">
        <v>0</v>
      </c>
      <c r="R110" s="291">
        <v>0</v>
      </c>
      <c r="S110" s="248">
        <f t="shared" si="17"/>
        <v>1</v>
      </c>
      <c r="T110" s="65"/>
    </row>
    <row r="111" spans="1:22" ht="15" outlineLevel="1">
      <c r="A111" s="705"/>
      <c r="B111" s="270"/>
      <c r="C111" s="252" t="s">
        <v>252</v>
      </c>
      <c r="D111" s="249" t="s">
        <v>250</v>
      </c>
      <c r="E111" s="249">
        <v>12</v>
      </c>
      <c r="F111" s="294">
        <v>245.238</v>
      </c>
      <c r="G111" s="294">
        <v>1410297.89</v>
      </c>
      <c r="H111" s="291">
        <v>0</v>
      </c>
      <c r="I111" s="291">
        <v>0.13612587814754074</v>
      </c>
      <c r="J111" s="291">
        <v>0.50814112995147731</v>
      </c>
      <c r="K111" s="291">
        <v>0.32720996835437827</v>
      </c>
      <c r="L111" s="291">
        <v>0</v>
      </c>
      <c r="M111" s="291">
        <v>2.2988990750893086E-3</v>
      </c>
      <c r="N111" s="291">
        <v>0</v>
      </c>
      <c r="O111" s="291">
        <v>1.9157492292410903E-2</v>
      </c>
      <c r="P111" s="291">
        <v>0</v>
      </c>
      <c r="Q111" s="291">
        <v>0</v>
      </c>
      <c r="R111" s="291">
        <v>0</v>
      </c>
      <c r="S111" s="248">
        <f t="shared" si="17"/>
        <v>0.99293336782089658</v>
      </c>
      <c r="T111" s="65"/>
    </row>
    <row r="112" spans="1:22" ht="15" hidden="1" outlineLevel="1">
      <c r="A112" s="705"/>
      <c r="B112" s="270"/>
      <c r="C112" s="700"/>
      <c r="D112" s="700"/>
      <c r="E112" s="264"/>
      <c r="F112" s="294"/>
      <c r="G112" s="294"/>
      <c r="H112" s="291"/>
      <c r="I112" s="293"/>
      <c r="J112" s="293"/>
      <c r="K112" s="292"/>
      <c r="L112" s="292"/>
      <c r="M112" s="292"/>
      <c r="N112" s="292"/>
      <c r="O112" s="292"/>
      <c r="P112" s="292"/>
      <c r="Q112" s="292"/>
      <c r="R112" s="292"/>
      <c r="S112" s="248"/>
      <c r="T112" s="65"/>
    </row>
    <row r="113" spans="1:20" ht="15" hidden="1" outlineLevel="1">
      <c r="A113" s="705"/>
      <c r="B113" s="270"/>
      <c r="C113" s="700"/>
      <c r="D113" s="700"/>
      <c r="E113" s="264"/>
      <c r="F113" s="294"/>
      <c r="G113" s="294"/>
      <c r="H113" s="291"/>
      <c r="I113" s="293"/>
      <c r="J113" s="293"/>
      <c r="K113" s="292"/>
      <c r="L113" s="292"/>
      <c r="M113" s="292"/>
      <c r="N113" s="292"/>
      <c r="O113" s="292"/>
      <c r="P113" s="292"/>
      <c r="Q113" s="292"/>
      <c r="R113" s="292"/>
      <c r="S113" s="248"/>
      <c r="T113" s="65"/>
    </row>
    <row r="114" spans="1:20" s="21" customFormat="1" ht="18" customHeight="1" outlineLevel="1">
      <c r="A114" s="705"/>
      <c r="B114" s="244"/>
      <c r="C114" s="704" t="s">
        <v>11</v>
      </c>
      <c r="D114" s="704"/>
      <c r="E114" s="245"/>
      <c r="F114" s="246"/>
      <c r="G114" s="246"/>
      <c r="H114" s="246"/>
      <c r="I114" s="246"/>
      <c r="J114" s="246"/>
      <c r="K114" s="246"/>
      <c r="L114" s="246"/>
      <c r="M114" s="246"/>
      <c r="N114" s="246"/>
      <c r="O114" s="246"/>
      <c r="P114" s="246"/>
      <c r="Q114" s="246"/>
      <c r="R114" s="246"/>
      <c r="S114" s="247"/>
      <c r="T114" s="137"/>
    </row>
    <row r="115" spans="1:20" ht="15" outlineLevel="1">
      <c r="A115" s="705"/>
      <c r="B115" s="146">
        <v>18</v>
      </c>
      <c r="C115" s="251" t="s">
        <v>12</v>
      </c>
      <c r="D115" s="249" t="s">
        <v>34</v>
      </c>
      <c r="E115" s="249">
        <v>12</v>
      </c>
      <c r="F115" s="294">
        <v>0</v>
      </c>
      <c r="G115" s="294">
        <v>0</v>
      </c>
      <c r="H115" s="291">
        <v>0</v>
      </c>
      <c r="I115" s="291">
        <v>0</v>
      </c>
      <c r="J115" s="291">
        <v>0</v>
      </c>
      <c r="K115" s="291">
        <v>0</v>
      </c>
      <c r="L115" s="291">
        <v>0</v>
      </c>
      <c r="M115" s="291">
        <v>0</v>
      </c>
      <c r="N115" s="291">
        <v>0</v>
      </c>
      <c r="O115" s="291">
        <v>0</v>
      </c>
      <c r="P115" s="291">
        <v>0</v>
      </c>
      <c r="Q115" s="291">
        <v>0</v>
      </c>
      <c r="R115" s="291">
        <v>0</v>
      </c>
      <c r="S115" s="248">
        <f t="shared" ref="S115:S120" si="18">SUM(H115:R115)</f>
        <v>0</v>
      </c>
      <c r="T115" s="65"/>
    </row>
    <row r="116" spans="1:20" ht="15" outlineLevel="1">
      <c r="A116" s="705"/>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91">
        <v>0</v>
      </c>
      <c r="Q116" s="291">
        <v>0</v>
      </c>
      <c r="R116" s="291">
        <v>0</v>
      </c>
      <c r="S116" s="248">
        <f t="shared" si="18"/>
        <v>0</v>
      </c>
      <c r="T116" s="65"/>
    </row>
    <row r="117" spans="1:20" ht="15" outlineLevel="1">
      <c r="A117" s="705"/>
      <c r="B117" s="146">
        <v>20</v>
      </c>
      <c r="C117" s="251" t="s">
        <v>14</v>
      </c>
      <c r="D117" s="249" t="s">
        <v>34</v>
      </c>
      <c r="E117" s="249">
        <v>12</v>
      </c>
      <c r="F117" s="294">
        <v>0</v>
      </c>
      <c r="G117" s="294">
        <v>0</v>
      </c>
      <c r="H117" s="291">
        <v>0</v>
      </c>
      <c r="I117" s="291">
        <v>0</v>
      </c>
      <c r="J117" s="291">
        <v>0</v>
      </c>
      <c r="K117" s="291">
        <v>0</v>
      </c>
      <c r="L117" s="291">
        <v>0</v>
      </c>
      <c r="M117" s="291">
        <v>0</v>
      </c>
      <c r="N117" s="291">
        <v>0</v>
      </c>
      <c r="O117" s="291">
        <v>0</v>
      </c>
      <c r="P117" s="291">
        <v>0</v>
      </c>
      <c r="Q117" s="291">
        <v>0</v>
      </c>
      <c r="R117" s="291">
        <v>0</v>
      </c>
      <c r="S117" s="248">
        <f t="shared" si="18"/>
        <v>0</v>
      </c>
      <c r="T117" s="65"/>
    </row>
    <row r="118" spans="1:20" ht="15" outlineLevel="1">
      <c r="A118" s="705"/>
      <c r="B118" s="146">
        <v>21</v>
      </c>
      <c r="C118" s="253" t="s">
        <v>27</v>
      </c>
      <c r="D118" s="249" t="s">
        <v>34</v>
      </c>
      <c r="E118" s="249">
        <v>12</v>
      </c>
      <c r="F118" s="294">
        <v>0</v>
      </c>
      <c r="G118" s="294">
        <v>0</v>
      </c>
      <c r="H118" s="291">
        <v>0</v>
      </c>
      <c r="I118" s="291">
        <v>0</v>
      </c>
      <c r="J118" s="291">
        <v>0</v>
      </c>
      <c r="K118" s="291">
        <v>0</v>
      </c>
      <c r="L118" s="291">
        <v>0</v>
      </c>
      <c r="M118" s="291">
        <v>0</v>
      </c>
      <c r="N118" s="291">
        <v>0</v>
      </c>
      <c r="O118" s="291">
        <v>0</v>
      </c>
      <c r="P118" s="291">
        <v>0</v>
      </c>
      <c r="Q118" s="291">
        <v>0</v>
      </c>
      <c r="R118" s="291">
        <v>0</v>
      </c>
      <c r="S118" s="248">
        <f t="shared" si="18"/>
        <v>0</v>
      </c>
      <c r="T118" s="65"/>
    </row>
    <row r="119" spans="1:20" ht="15" outlineLevel="1">
      <c r="A119" s="705"/>
      <c r="B119" s="146">
        <v>22</v>
      </c>
      <c r="C119" s="251" t="s">
        <v>10</v>
      </c>
      <c r="D119" s="249" t="s">
        <v>34</v>
      </c>
      <c r="E119" s="249">
        <v>0</v>
      </c>
      <c r="F119" s="294">
        <v>717.61500000000001</v>
      </c>
      <c r="G119" s="294">
        <v>17294.21</v>
      </c>
      <c r="H119" s="291">
        <v>0</v>
      </c>
      <c r="I119" s="291">
        <v>0</v>
      </c>
      <c r="J119" s="291">
        <v>1</v>
      </c>
      <c r="K119" s="291">
        <v>0</v>
      </c>
      <c r="L119" s="291">
        <v>0</v>
      </c>
      <c r="M119" s="291">
        <v>0</v>
      </c>
      <c r="N119" s="291">
        <v>0</v>
      </c>
      <c r="O119" s="291">
        <v>0</v>
      </c>
      <c r="P119" s="291">
        <v>0</v>
      </c>
      <c r="Q119" s="291">
        <v>0</v>
      </c>
      <c r="R119" s="291">
        <v>0</v>
      </c>
      <c r="S119" s="248">
        <f t="shared" si="18"/>
        <v>1</v>
      </c>
      <c r="T119" s="65"/>
    </row>
    <row r="120" spans="1:20" ht="15" outlineLevel="1">
      <c r="A120" s="705"/>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91">
        <v>0</v>
      </c>
      <c r="Q120" s="291">
        <v>0</v>
      </c>
      <c r="R120" s="291">
        <v>0</v>
      </c>
      <c r="S120" s="248">
        <f t="shared" si="18"/>
        <v>0</v>
      </c>
      <c r="T120" s="65"/>
    </row>
    <row r="121" spans="1:20" ht="15" hidden="1" outlineLevel="1">
      <c r="A121" s="705"/>
      <c r="B121" s="146"/>
      <c r="C121" s="700"/>
      <c r="D121" s="700"/>
      <c r="E121" s="264"/>
      <c r="F121" s="294"/>
      <c r="G121" s="294"/>
      <c r="H121" s="291"/>
      <c r="I121" s="292"/>
      <c r="J121" s="292"/>
      <c r="K121" s="292"/>
      <c r="L121" s="292"/>
      <c r="M121" s="292"/>
      <c r="N121" s="292"/>
      <c r="O121" s="292"/>
      <c r="P121" s="292"/>
      <c r="Q121" s="292"/>
      <c r="R121" s="292"/>
      <c r="S121" s="248"/>
      <c r="T121" s="65"/>
    </row>
    <row r="122" spans="1:20" ht="15" hidden="1" outlineLevel="1">
      <c r="A122" s="705"/>
      <c r="B122" s="146"/>
      <c r="C122" s="700"/>
      <c r="D122" s="700"/>
      <c r="E122" s="264"/>
      <c r="F122" s="294"/>
      <c r="G122" s="294"/>
      <c r="H122" s="291"/>
      <c r="I122" s="292"/>
      <c r="J122" s="292"/>
      <c r="K122" s="292"/>
      <c r="L122" s="292"/>
      <c r="M122" s="292"/>
      <c r="N122" s="292"/>
      <c r="O122" s="292"/>
      <c r="P122" s="292"/>
      <c r="Q122" s="292"/>
      <c r="R122" s="292"/>
      <c r="S122" s="248"/>
      <c r="T122" s="65"/>
    </row>
    <row r="123" spans="1:20" ht="15" hidden="1" outlineLevel="1">
      <c r="A123" s="705"/>
      <c r="B123" s="146"/>
      <c r="C123" s="700"/>
      <c r="D123" s="700"/>
      <c r="E123" s="264"/>
      <c r="F123" s="294"/>
      <c r="G123" s="294"/>
      <c r="H123" s="291"/>
      <c r="I123" s="292"/>
      <c r="J123" s="292"/>
      <c r="K123" s="292"/>
      <c r="L123" s="292"/>
      <c r="M123" s="292"/>
      <c r="N123" s="292"/>
      <c r="O123" s="292"/>
      <c r="P123" s="292"/>
      <c r="Q123" s="292"/>
      <c r="R123" s="292"/>
      <c r="S123" s="248"/>
      <c r="T123" s="65"/>
    </row>
    <row r="124" spans="1:20" s="42" customFormat="1" ht="15" outlineLevel="1">
      <c r="A124" s="705"/>
      <c r="B124" s="244"/>
      <c r="C124" s="704" t="s">
        <v>15</v>
      </c>
      <c r="D124" s="704"/>
      <c r="E124" s="245"/>
      <c r="F124" s="246"/>
      <c r="G124" s="246"/>
      <c r="H124" s="246"/>
      <c r="I124" s="246"/>
      <c r="J124" s="246"/>
      <c r="K124" s="246"/>
      <c r="L124" s="246"/>
      <c r="M124" s="246"/>
      <c r="N124" s="246"/>
      <c r="O124" s="246"/>
      <c r="P124" s="246"/>
      <c r="Q124" s="246"/>
      <c r="R124" s="246"/>
      <c r="S124" s="247"/>
      <c r="T124" s="145"/>
    </row>
    <row r="125" spans="1:20" ht="15" outlineLevel="1">
      <c r="A125" s="705"/>
      <c r="B125" s="270">
        <v>23</v>
      </c>
      <c r="C125" s="251" t="s">
        <v>15</v>
      </c>
      <c r="D125" s="249" t="s">
        <v>34</v>
      </c>
      <c r="E125" s="249">
        <v>12</v>
      </c>
      <c r="F125" s="294">
        <v>0.42199999999999999</v>
      </c>
      <c r="G125" s="294">
        <v>5138.7309999999998</v>
      </c>
      <c r="H125" s="293">
        <v>1</v>
      </c>
      <c r="I125" s="293">
        <v>0</v>
      </c>
      <c r="J125" s="293">
        <v>0</v>
      </c>
      <c r="K125" s="293">
        <v>0</v>
      </c>
      <c r="L125" s="293">
        <v>0</v>
      </c>
      <c r="M125" s="293">
        <v>0</v>
      </c>
      <c r="N125" s="293">
        <v>0</v>
      </c>
      <c r="O125" s="293">
        <v>0</v>
      </c>
      <c r="P125" s="293">
        <v>0</v>
      </c>
      <c r="Q125" s="293">
        <v>0</v>
      </c>
      <c r="R125" s="293">
        <v>0</v>
      </c>
      <c r="S125" s="248">
        <f t="shared" ref="S125:S126" si="19">SUM(H125:R125)</f>
        <v>1</v>
      </c>
      <c r="T125" s="65"/>
    </row>
    <row r="126" spans="1:20" ht="15" outlineLevel="1">
      <c r="A126" s="705"/>
      <c r="B126" s="270"/>
      <c r="C126" s="252" t="s">
        <v>252</v>
      </c>
      <c r="D126" s="249" t="s">
        <v>250</v>
      </c>
      <c r="E126" s="249">
        <v>12</v>
      </c>
      <c r="F126" s="294">
        <v>4.4999999999999998E-2</v>
      </c>
      <c r="G126" s="294">
        <v>658</v>
      </c>
      <c r="H126" s="291">
        <v>1</v>
      </c>
      <c r="I126" s="291">
        <v>0</v>
      </c>
      <c r="J126" s="291">
        <v>0</v>
      </c>
      <c r="K126" s="291">
        <v>0</v>
      </c>
      <c r="L126" s="291">
        <v>0</v>
      </c>
      <c r="M126" s="291">
        <v>0</v>
      </c>
      <c r="N126" s="291">
        <v>0</v>
      </c>
      <c r="O126" s="291">
        <v>0</v>
      </c>
      <c r="P126" s="291">
        <v>0</v>
      </c>
      <c r="Q126" s="291">
        <v>0</v>
      </c>
      <c r="R126" s="291">
        <v>0</v>
      </c>
      <c r="S126" s="248">
        <f t="shared" si="19"/>
        <v>1</v>
      </c>
      <c r="T126" s="65"/>
    </row>
    <row r="127" spans="1:20" ht="15" hidden="1" outlineLevel="1">
      <c r="A127" s="705"/>
      <c r="B127" s="270"/>
      <c r="C127" s="700"/>
      <c r="D127" s="700"/>
      <c r="E127" s="264"/>
      <c r="F127" s="294"/>
      <c r="G127" s="294"/>
      <c r="H127" s="291"/>
      <c r="I127" s="292"/>
      <c r="J127" s="292"/>
      <c r="K127" s="292"/>
      <c r="L127" s="292"/>
      <c r="M127" s="292"/>
      <c r="N127" s="292"/>
      <c r="O127" s="292"/>
      <c r="P127" s="292"/>
      <c r="Q127" s="292"/>
      <c r="R127" s="292"/>
      <c r="S127" s="248"/>
      <c r="T127" s="65"/>
    </row>
    <row r="128" spans="1:20" ht="15" hidden="1" outlineLevel="1">
      <c r="A128" s="705"/>
      <c r="B128" s="270"/>
      <c r="C128" s="700"/>
      <c r="D128" s="700"/>
      <c r="E128" s="264"/>
      <c r="F128" s="294"/>
      <c r="G128" s="294"/>
      <c r="H128" s="291"/>
      <c r="I128" s="292"/>
      <c r="J128" s="292"/>
      <c r="K128" s="292"/>
      <c r="L128" s="292"/>
      <c r="M128" s="292"/>
      <c r="N128" s="292"/>
      <c r="O128" s="292"/>
      <c r="P128" s="292"/>
      <c r="Q128" s="292"/>
      <c r="R128" s="292"/>
      <c r="S128" s="248"/>
      <c r="T128" s="65"/>
    </row>
    <row r="129" spans="1:20" s="42" customFormat="1" ht="15" outlineLevel="1">
      <c r="A129" s="705"/>
      <c r="B129" s="244"/>
      <c r="C129" s="704" t="s">
        <v>16</v>
      </c>
      <c r="D129" s="704"/>
      <c r="E129" s="245"/>
      <c r="F129" s="246"/>
      <c r="G129" s="246"/>
      <c r="H129" s="246"/>
      <c r="I129" s="246"/>
      <c r="J129" s="246"/>
      <c r="K129" s="246"/>
      <c r="L129" s="246"/>
      <c r="M129" s="246"/>
      <c r="N129" s="246"/>
      <c r="O129" s="246"/>
      <c r="P129" s="246"/>
      <c r="Q129" s="246"/>
      <c r="R129" s="246"/>
      <c r="S129" s="247"/>
      <c r="T129" s="145"/>
    </row>
    <row r="130" spans="1:20" ht="15" outlineLevel="1">
      <c r="A130" s="705"/>
      <c r="B130" s="270">
        <v>24</v>
      </c>
      <c r="C130" s="251" t="s">
        <v>17</v>
      </c>
      <c r="D130" s="249" t="s">
        <v>34</v>
      </c>
      <c r="E130" s="249">
        <v>12</v>
      </c>
      <c r="F130" s="294">
        <v>0</v>
      </c>
      <c r="G130" s="294">
        <v>0</v>
      </c>
      <c r="H130" s="291">
        <v>0</v>
      </c>
      <c r="I130" s="291">
        <v>0</v>
      </c>
      <c r="J130" s="291">
        <v>0</v>
      </c>
      <c r="K130" s="291">
        <v>0</v>
      </c>
      <c r="L130" s="291">
        <v>0</v>
      </c>
      <c r="M130" s="291">
        <v>0</v>
      </c>
      <c r="N130" s="291">
        <v>0</v>
      </c>
      <c r="O130" s="291">
        <v>0</v>
      </c>
      <c r="P130" s="291">
        <v>0</v>
      </c>
      <c r="Q130" s="291">
        <v>0</v>
      </c>
      <c r="R130" s="291">
        <v>0</v>
      </c>
      <c r="S130" s="248">
        <f t="shared" ref="S130:S135" si="20">SUM(H130:R130)</f>
        <v>0</v>
      </c>
      <c r="T130" s="65"/>
    </row>
    <row r="131" spans="1:20" ht="15" outlineLevel="1">
      <c r="A131" s="705"/>
      <c r="B131" s="270">
        <v>25</v>
      </c>
      <c r="C131" s="251" t="s">
        <v>18</v>
      </c>
      <c r="D131" s="249" t="s">
        <v>34</v>
      </c>
      <c r="E131" s="249">
        <v>12</v>
      </c>
      <c r="F131" s="294">
        <v>2.6579999999999999</v>
      </c>
      <c r="G131" s="294">
        <v>2575.4839999999999</v>
      </c>
      <c r="H131" s="291">
        <v>0</v>
      </c>
      <c r="I131" s="291">
        <v>0</v>
      </c>
      <c r="J131" s="291">
        <v>1</v>
      </c>
      <c r="K131" s="291">
        <v>0</v>
      </c>
      <c r="L131" s="291">
        <v>0</v>
      </c>
      <c r="M131" s="291">
        <v>0</v>
      </c>
      <c r="N131" s="291">
        <v>0</v>
      </c>
      <c r="O131" s="291">
        <v>0</v>
      </c>
      <c r="P131" s="291">
        <v>0</v>
      </c>
      <c r="Q131" s="291">
        <v>0</v>
      </c>
      <c r="R131" s="291">
        <v>0</v>
      </c>
      <c r="S131" s="248">
        <f t="shared" si="20"/>
        <v>1</v>
      </c>
      <c r="T131" s="65"/>
    </row>
    <row r="132" spans="1:20" ht="15" outlineLevel="1">
      <c r="A132" s="705"/>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91">
        <v>0</v>
      </c>
      <c r="Q132" s="291">
        <v>0</v>
      </c>
      <c r="R132" s="291">
        <v>0</v>
      </c>
      <c r="S132" s="248">
        <f t="shared" si="20"/>
        <v>0</v>
      </c>
      <c r="T132" s="65"/>
    </row>
    <row r="133" spans="1:20" ht="15" outlineLevel="1">
      <c r="A133" s="705"/>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91">
        <v>0</v>
      </c>
      <c r="Q133" s="291">
        <v>0</v>
      </c>
      <c r="R133" s="291">
        <v>0</v>
      </c>
      <c r="S133" s="248">
        <f t="shared" si="20"/>
        <v>0</v>
      </c>
      <c r="T133" s="65"/>
    </row>
    <row r="134" spans="1:20" ht="15" outlineLevel="1">
      <c r="A134" s="705"/>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91">
        <v>0</v>
      </c>
      <c r="Q134" s="291">
        <v>0</v>
      </c>
      <c r="R134" s="291">
        <v>0</v>
      </c>
      <c r="S134" s="248">
        <f t="shared" si="20"/>
        <v>0</v>
      </c>
      <c r="T134" s="65"/>
    </row>
    <row r="135" spans="1:20" ht="15" outlineLevel="1">
      <c r="A135" s="705"/>
      <c r="B135" s="270"/>
      <c r="C135" s="252" t="s">
        <v>252</v>
      </c>
      <c r="D135" s="249" t="s">
        <v>250</v>
      </c>
      <c r="E135" s="249">
        <v>12</v>
      </c>
      <c r="F135" s="294">
        <v>0</v>
      </c>
      <c r="G135" s="294">
        <v>0</v>
      </c>
      <c r="H135" s="291">
        <v>0</v>
      </c>
      <c r="I135" s="291">
        <v>0</v>
      </c>
      <c r="J135" s="291">
        <v>0</v>
      </c>
      <c r="K135" s="291">
        <v>0</v>
      </c>
      <c r="L135" s="291">
        <v>0</v>
      </c>
      <c r="M135" s="291">
        <v>0</v>
      </c>
      <c r="N135" s="291">
        <v>0</v>
      </c>
      <c r="O135" s="291">
        <v>0</v>
      </c>
      <c r="P135" s="291">
        <v>0</v>
      </c>
      <c r="Q135" s="291">
        <v>0</v>
      </c>
      <c r="R135" s="291">
        <v>0</v>
      </c>
      <c r="S135" s="248">
        <f t="shared" si="20"/>
        <v>0</v>
      </c>
      <c r="T135" s="65"/>
    </row>
    <row r="136" spans="1:20" ht="15" hidden="1" outlineLevel="1">
      <c r="A136" s="705"/>
      <c r="B136" s="270"/>
      <c r="C136" s="700"/>
      <c r="D136" s="700"/>
      <c r="E136" s="264"/>
      <c r="F136" s="294"/>
      <c r="G136" s="294"/>
      <c r="H136" s="291"/>
      <c r="I136" s="292"/>
      <c r="J136" s="293"/>
      <c r="K136" s="292"/>
      <c r="L136" s="292"/>
      <c r="M136" s="292"/>
      <c r="N136" s="292"/>
      <c r="O136" s="292"/>
      <c r="P136" s="292"/>
      <c r="Q136" s="292"/>
      <c r="R136" s="292"/>
      <c r="S136" s="248"/>
      <c r="T136" s="65"/>
    </row>
    <row r="137" spans="1:20" ht="15" hidden="1" outlineLevel="1">
      <c r="A137" s="705"/>
      <c r="B137" s="270"/>
      <c r="C137" s="700"/>
      <c r="D137" s="700"/>
      <c r="E137" s="264"/>
      <c r="F137" s="294"/>
      <c r="G137" s="294"/>
      <c r="H137" s="291"/>
      <c r="I137" s="292"/>
      <c r="J137" s="293"/>
      <c r="K137" s="292"/>
      <c r="L137" s="292"/>
      <c r="M137" s="292"/>
      <c r="N137" s="292"/>
      <c r="O137" s="292"/>
      <c r="P137" s="292"/>
      <c r="Q137" s="292"/>
      <c r="R137" s="292"/>
      <c r="S137" s="248"/>
      <c r="T137" s="65"/>
    </row>
    <row r="138" spans="1:20" ht="15" hidden="1" outlineLevel="1">
      <c r="A138" s="705"/>
      <c r="B138" s="270"/>
      <c r="C138" s="700"/>
      <c r="D138" s="700"/>
      <c r="E138" s="264"/>
      <c r="F138" s="294"/>
      <c r="G138" s="294"/>
      <c r="H138" s="291"/>
      <c r="I138" s="292"/>
      <c r="J138" s="293"/>
      <c r="K138" s="292"/>
      <c r="L138" s="292"/>
      <c r="M138" s="292"/>
      <c r="N138" s="292"/>
      <c r="O138" s="292"/>
      <c r="P138" s="292"/>
      <c r="Q138" s="292"/>
      <c r="R138" s="292"/>
      <c r="S138" s="248"/>
      <c r="T138" s="65"/>
    </row>
    <row r="139" spans="1:20" s="42" customFormat="1" ht="15" outlineLevel="1">
      <c r="A139" s="705"/>
      <c r="B139" s="244"/>
      <c r="C139" s="704" t="s">
        <v>106</v>
      </c>
      <c r="D139" s="704"/>
      <c r="E139" s="245"/>
      <c r="F139" s="246"/>
      <c r="G139" s="246"/>
      <c r="H139" s="246"/>
      <c r="I139" s="246"/>
      <c r="J139" s="246"/>
      <c r="K139" s="246"/>
      <c r="L139" s="246"/>
      <c r="M139" s="246"/>
      <c r="N139" s="246"/>
      <c r="O139" s="246"/>
      <c r="P139" s="246"/>
      <c r="Q139" s="246"/>
      <c r="R139" s="246"/>
      <c r="S139" s="247"/>
      <c r="T139" s="145"/>
    </row>
    <row r="140" spans="1:20" ht="15" outlineLevel="1">
      <c r="A140" s="705"/>
      <c r="B140" s="146">
        <v>29</v>
      </c>
      <c r="C140" s="251" t="s">
        <v>108</v>
      </c>
      <c r="D140" s="249" t="s">
        <v>34</v>
      </c>
      <c r="E140" s="249">
        <v>12</v>
      </c>
      <c r="F140" s="294">
        <v>0</v>
      </c>
      <c r="G140" s="294">
        <v>0</v>
      </c>
      <c r="H140" s="291">
        <v>0</v>
      </c>
      <c r="I140" s="291">
        <v>0</v>
      </c>
      <c r="J140" s="291">
        <v>0</v>
      </c>
      <c r="K140" s="291">
        <v>0</v>
      </c>
      <c r="L140" s="291">
        <v>0</v>
      </c>
      <c r="M140" s="291">
        <v>0</v>
      </c>
      <c r="N140" s="291">
        <v>0</v>
      </c>
      <c r="O140" s="291">
        <v>0</v>
      </c>
      <c r="P140" s="291">
        <v>0</v>
      </c>
      <c r="Q140" s="291">
        <v>0</v>
      </c>
      <c r="R140" s="291">
        <v>0</v>
      </c>
      <c r="S140" s="248">
        <f t="shared" ref="S140:S142" si="21">SUM(H140:R140)</f>
        <v>0</v>
      </c>
      <c r="T140" s="65"/>
    </row>
    <row r="141" spans="1:20" ht="15" outlineLevel="1">
      <c r="A141" s="705"/>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91">
        <v>0</v>
      </c>
      <c r="Q141" s="291">
        <v>0</v>
      </c>
      <c r="R141" s="291">
        <v>0</v>
      </c>
      <c r="S141" s="248">
        <f t="shared" si="21"/>
        <v>0</v>
      </c>
      <c r="T141" s="65"/>
    </row>
    <row r="142" spans="1:20" ht="15" outlineLevel="1">
      <c r="A142" s="705"/>
      <c r="B142" s="146"/>
      <c r="C142" s="252" t="s">
        <v>252</v>
      </c>
      <c r="D142" s="249" t="s">
        <v>250</v>
      </c>
      <c r="E142" s="249">
        <v>12</v>
      </c>
      <c r="F142" s="294">
        <v>0</v>
      </c>
      <c r="G142" s="294">
        <v>0</v>
      </c>
      <c r="H142" s="291">
        <v>0</v>
      </c>
      <c r="I142" s="291">
        <v>0</v>
      </c>
      <c r="J142" s="291">
        <v>0</v>
      </c>
      <c r="K142" s="291">
        <v>0</v>
      </c>
      <c r="L142" s="291">
        <v>0</v>
      </c>
      <c r="M142" s="291">
        <v>0</v>
      </c>
      <c r="N142" s="291">
        <v>0</v>
      </c>
      <c r="O142" s="291">
        <v>0</v>
      </c>
      <c r="P142" s="291">
        <v>0</v>
      </c>
      <c r="Q142" s="291">
        <v>0</v>
      </c>
      <c r="R142" s="291">
        <v>0</v>
      </c>
      <c r="S142" s="248">
        <f t="shared" si="21"/>
        <v>0</v>
      </c>
      <c r="T142" s="65"/>
    </row>
    <row r="143" spans="1:20" ht="15" hidden="1" outlineLevel="1">
      <c r="A143" s="705"/>
      <c r="B143" s="146"/>
      <c r="C143" s="700"/>
      <c r="D143" s="700"/>
      <c r="E143" s="264"/>
      <c r="F143" s="294"/>
      <c r="G143" s="294"/>
      <c r="H143" s="291"/>
      <c r="I143" s="292"/>
      <c r="J143" s="292"/>
      <c r="K143" s="292"/>
      <c r="L143" s="292"/>
      <c r="M143" s="292"/>
      <c r="N143" s="292"/>
      <c r="O143" s="292"/>
      <c r="P143" s="292"/>
      <c r="Q143" s="292"/>
      <c r="R143" s="292"/>
      <c r="S143" s="248"/>
      <c r="T143" s="65"/>
    </row>
    <row r="144" spans="1:20" ht="15" hidden="1" outlineLevel="1">
      <c r="A144" s="705"/>
      <c r="B144" s="146"/>
      <c r="C144" s="702"/>
      <c r="D144" s="702"/>
      <c r="E144" s="349"/>
      <c r="F144" s="393"/>
      <c r="G144" s="393"/>
      <c r="H144" s="291"/>
      <c r="I144" s="292"/>
      <c r="J144" s="292"/>
      <c r="K144" s="292"/>
      <c r="L144" s="292"/>
      <c r="M144" s="292"/>
      <c r="N144" s="292"/>
      <c r="O144" s="292"/>
      <c r="P144" s="292"/>
      <c r="Q144" s="292"/>
      <c r="R144" s="292"/>
      <c r="S144" s="248"/>
      <c r="T144" s="65"/>
    </row>
    <row r="145" spans="1:20" ht="15" collapsed="1">
      <c r="A145" s="705"/>
      <c r="B145" s="350"/>
      <c r="C145" s="701" t="s">
        <v>218</v>
      </c>
      <c r="D145" s="701"/>
      <c r="E145" s="351"/>
      <c r="F145" s="352"/>
      <c r="G145" s="352"/>
      <c r="H145" s="353">
        <f>IF(H89="kWh",SUMPRODUCT(H90:H142,$G$90:$G$142),)</f>
        <v>1846355.94</v>
      </c>
      <c r="I145" s="353">
        <f t="shared" ref="I145:R145" si="22">IF(I89="kWh",SUMPRODUCT(I90:I142,$G$90:$G$142),)</f>
        <v>1755392.6874102638</v>
      </c>
      <c r="J145" s="353">
        <f t="shared" si="22"/>
        <v>0</v>
      </c>
      <c r="K145" s="353">
        <f t="shared" si="22"/>
        <v>0</v>
      </c>
      <c r="L145" s="353">
        <f t="shared" si="22"/>
        <v>0</v>
      </c>
      <c r="M145" s="353">
        <f t="shared" si="22"/>
        <v>0</v>
      </c>
      <c r="N145" s="353">
        <f t="shared" si="22"/>
        <v>0</v>
      </c>
      <c r="O145" s="353">
        <f t="shared" si="22"/>
        <v>0</v>
      </c>
      <c r="P145" s="353">
        <f t="shared" si="22"/>
        <v>0</v>
      </c>
      <c r="Q145" s="353">
        <f t="shared" si="22"/>
        <v>0</v>
      </c>
      <c r="R145" s="353">
        <f t="shared" si="22"/>
        <v>0</v>
      </c>
      <c r="S145" s="355">
        <f>SUM(H145:R145)</f>
        <v>3601748.6274102638</v>
      </c>
      <c r="T145" s="65"/>
    </row>
    <row r="146" spans="1:20" ht="15">
      <c r="A146" s="705"/>
      <c r="B146" s="486"/>
      <c r="C146" s="487" t="s">
        <v>498</v>
      </c>
      <c r="D146" s="487"/>
      <c r="E146" s="488"/>
      <c r="F146" s="489"/>
      <c r="G146" s="489"/>
      <c r="H146" s="490">
        <f>IF(H89="kWh",H145-SUM(G96*H96,G97*H97),)</f>
        <v>1832242.5649999999</v>
      </c>
      <c r="I146" s="490">
        <f t="shared" ref="I146:R146" si="23">IF(I89="kWh",I145-SUM(H96*I96,H97*I97),)</f>
        <v>1755392.6874102638</v>
      </c>
      <c r="J146" s="490">
        <f t="shared" si="23"/>
        <v>0</v>
      </c>
      <c r="K146" s="490">
        <f t="shared" si="23"/>
        <v>0</v>
      </c>
      <c r="L146" s="490">
        <f t="shared" si="23"/>
        <v>0</v>
      </c>
      <c r="M146" s="490">
        <f t="shared" si="23"/>
        <v>0</v>
      </c>
      <c r="N146" s="490">
        <f t="shared" si="23"/>
        <v>0</v>
      </c>
      <c r="O146" s="490">
        <f t="shared" si="23"/>
        <v>0</v>
      </c>
      <c r="P146" s="490">
        <f t="shared" si="23"/>
        <v>0</v>
      </c>
      <c r="Q146" s="490">
        <f t="shared" si="23"/>
        <v>0</v>
      </c>
      <c r="R146" s="490">
        <f t="shared" si="23"/>
        <v>0</v>
      </c>
      <c r="S146" s="355">
        <f t="shared" ref="S146:S148" si="24">SUM(H146:R146)</f>
        <v>3587635.2524102638</v>
      </c>
      <c r="T146" s="65"/>
    </row>
    <row r="147" spans="1:20" ht="15">
      <c r="A147" s="705"/>
      <c r="B147" s="271"/>
      <c r="C147" s="700" t="s">
        <v>315</v>
      </c>
      <c r="D147" s="700"/>
      <c r="E147" s="265"/>
      <c r="F147" s="263"/>
      <c r="G147" s="263"/>
      <c r="H147" s="266">
        <f t="shared" ref="H147:I147" si="25">IF(H89="kW",SUMPRODUCT(H90:H142,$E$90:$E$142,$F$90:$F$142),)</f>
        <v>0</v>
      </c>
      <c r="I147" s="266">
        <f t="shared" si="25"/>
        <v>0</v>
      </c>
      <c r="J147" s="266">
        <f>IF(J89="kW",SUMPRODUCT(J90:J142,$E$90:$E$142,$F$90:$F$142),)</f>
        <v>9208.4978037922501</v>
      </c>
      <c r="K147" s="266">
        <f t="shared" ref="K147:R147" si="26">IF(K89="kW",SUMPRODUCT(K90:K142,$E$90:$E$142,$F$90:$F$142),)</f>
        <v>6087.7428722176428</v>
      </c>
      <c r="L147" s="266">
        <f t="shared" si="26"/>
        <v>0</v>
      </c>
      <c r="M147" s="266">
        <f t="shared" si="26"/>
        <v>42.77102720527617</v>
      </c>
      <c r="N147" s="266">
        <f t="shared" si="26"/>
        <v>0</v>
      </c>
      <c r="O147" s="266">
        <f t="shared" si="26"/>
        <v>356.42522671063477</v>
      </c>
      <c r="P147" s="266">
        <f t="shared" si="26"/>
        <v>0</v>
      </c>
      <c r="Q147" s="266">
        <f t="shared" si="26"/>
        <v>0</v>
      </c>
      <c r="R147" s="266">
        <f t="shared" si="26"/>
        <v>0</v>
      </c>
      <c r="S147" s="355">
        <f t="shared" si="24"/>
        <v>15695.436929925803</v>
      </c>
      <c r="T147" s="65"/>
    </row>
    <row r="148" spans="1:20" ht="15">
      <c r="A148" s="705"/>
      <c r="B148" s="271"/>
      <c r="C148" s="700" t="s">
        <v>494</v>
      </c>
      <c r="D148" s="700"/>
      <c r="E148" s="265"/>
      <c r="F148" s="263"/>
      <c r="G148" s="263"/>
      <c r="H148" s="266">
        <f t="shared" ref="H148:I148" si="27">IF(H89="kW",H147-($E$105*$F$105*H105),)</f>
        <v>0</v>
      </c>
      <c r="I148" s="266">
        <f t="shared" si="27"/>
        <v>0</v>
      </c>
      <c r="J148" s="266">
        <f>IF(J89="kW",J147-($E$105*$F$105*J105),)</f>
        <v>9208.4978037922501</v>
      </c>
      <c r="K148" s="266">
        <f t="shared" ref="K148:R148" si="28">IF(K89="kW",K147-($E$105*$F$105*K105),)</f>
        <v>6087.7428722176428</v>
      </c>
      <c r="L148" s="266">
        <f t="shared" si="28"/>
        <v>0</v>
      </c>
      <c r="M148" s="266">
        <f t="shared" si="28"/>
        <v>42.77102720527617</v>
      </c>
      <c r="N148" s="266">
        <f t="shared" si="28"/>
        <v>0</v>
      </c>
      <c r="O148" s="266">
        <f t="shared" si="28"/>
        <v>356.42522671063477</v>
      </c>
      <c r="P148" s="266">
        <f t="shared" si="28"/>
        <v>0</v>
      </c>
      <c r="Q148" s="266">
        <f t="shared" si="28"/>
        <v>0</v>
      </c>
      <c r="R148" s="266">
        <f t="shared" si="28"/>
        <v>0</v>
      </c>
      <c r="S148" s="355">
        <f t="shared" si="24"/>
        <v>15695.436929925803</v>
      </c>
      <c r="T148" s="65"/>
    </row>
    <row r="149" spans="1:20" ht="15">
      <c r="A149" s="705"/>
      <c r="B149" s="273"/>
      <c r="C149" s="707"/>
      <c r="D149" s="707"/>
      <c r="E149" s="258"/>
      <c r="F149" s="256"/>
      <c r="G149" s="256"/>
      <c r="H149" s="258"/>
      <c r="I149" s="258"/>
      <c r="J149" s="258"/>
      <c r="K149" s="258"/>
      <c r="L149" s="258"/>
      <c r="M149" s="258"/>
      <c r="N149" s="258"/>
      <c r="O149" s="258"/>
      <c r="P149" s="258"/>
      <c r="Q149" s="258"/>
      <c r="R149" s="258"/>
      <c r="S149" s="274"/>
      <c r="T149" s="65"/>
    </row>
    <row r="150" spans="1:20" ht="15">
      <c r="A150" s="705"/>
      <c r="B150" s="377"/>
      <c r="C150" s="698" t="s">
        <v>318</v>
      </c>
      <c r="D150" s="698"/>
      <c r="E150" s="249"/>
      <c r="F150" s="260"/>
      <c r="G150" s="249"/>
      <c r="H150" s="261">
        <f>'3.  Distribution Rates'!F36</f>
        <v>0</v>
      </c>
      <c r="I150" s="261">
        <f>'3.  Distribution Rates'!F37</f>
        <v>0</v>
      </c>
      <c r="J150" s="261">
        <f>'3.  Distribution Rates'!F38</f>
        <v>0</v>
      </c>
      <c r="K150" s="261">
        <f>'3.  Distribution Rates'!F39</f>
        <v>0</v>
      </c>
      <c r="L150" s="261">
        <f>'3.  Distribution Rates'!F40</f>
        <v>0</v>
      </c>
      <c r="M150" s="261">
        <f>'3.  Distribution Rates'!F41</f>
        <v>0</v>
      </c>
      <c r="N150" s="261">
        <f>'3.  Distribution Rates'!F42</f>
        <v>0</v>
      </c>
      <c r="O150" s="261">
        <f>'3.  Distribution Rates'!F43</f>
        <v>0</v>
      </c>
      <c r="P150" s="261">
        <f>'3.  Distribution Rates'!F44</f>
        <v>0</v>
      </c>
      <c r="Q150" s="261">
        <f>'3.  Distribution Rates'!F45</f>
        <v>0</v>
      </c>
      <c r="R150" s="261">
        <f>'3.  Distribution Rates'!F46</f>
        <v>0</v>
      </c>
      <c r="S150" s="378"/>
      <c r="T150" s="65"/>
    </row>
    <row r="151" spans="1:20" ht="15">
      <c r="A151" s="705"/>
      <c r="B151" s="377"/>
      <c r="C151" s="698" t="s">
        <v>230</v>
      </c>
      <c r="D151" s="698"/>
      <c r="E151" s="258"/>
      <c r="F151" s="260"/>
      <c r="G151" s="260"/>
      <c r="H151" s="374">
        <f>H$150*'6.  Persistence Rates'!D314</f>
        <v>0</v>
      </c>
      <c r="I151" s="374">
        <f>I$150*'6.  Persistence Rates'!E314</f>
        <v>0</v>
      </c>
      <c r="J151" s="374">
        <f>J$150*'6.  Persistence Rates'!F314</f>
        <v>0</v>
      </c>
      <c r="K151" s="374">
        <f>K$150*'6.  Persistence Rates'!G314</f>
        <v>0</v>
      </c>
      <c r="L151" s="374">
        <f>L$150*'6.  Persistence Rates'!H314</f>
        <v>0</v>
      </c>
      <c r="M151" s="374">
        <f>M$150*'6.  Persistence Rates'!I314</f>
        <v>0</v>
      </c>
      <c r="N151" s="374">
        <f>N$150*'6.  Persistence Rates'!J314</f>
        <v>0</v>
      </c>
      <c r="O151" s="374">
        <f>O$150*'6.  Persistence Rates'!K314</f>
        <v>0</v>
      </c>
      <c r="P151" s="374">
        <f>P$150*'6.  Persistence Rates'!L314</f>
        <v>0</v>
      </c>
      <c r="Q151" s="374">
        <f>Q$150*'6.  Persistence Rates'!M314</f>
        <v>0</v>
      </c>
      <c r="R151" s="374">
        <f>R$150*'6.  Persistence Rates'!N314</f>
        <v>0</v>
      </c>
      <c r="S151" s="275">
        <f>SUM(H151:R151)</f>
        <v>0</v>
      </c>
      <c r="T151" s="65"/>
    </row>
    <row r="152" spans="1:20" ht="15">
      <c r="A152" s="705"/>
      <c r="B152" s="377"/>
      <c r="C152" s="698" t="s">
        <v>231</v>
      </c>
      <c r="D152" s="698"/>
      <c r="E152" s="258"/>
      <c r="F152" s="260"/>
      <c r="G152" s="260"/>
      <c r="H152" s="374">
        <f>IF(H89="kWh",H145,H147)*H150</f>
        <v>0</v>
      </c>
      <c r="I152" s="374">
        <f t="shared" ref="I152:R152" si="29">IF(I89="kWh",I145,I147)*I150</f>
        <v>0</v>
      </c>
      <c r="J152" s="374">
        <f t="shared" si="29"/>
        <v>0</v>
      </c>
      <c r="K152" s="374">
        <f t="shared" si="29"/>
        <v>0</v>
      </c>
      <c r="L152" s="374">
        <f t="shared" si="29"/>
        <v>0</v>
      </c>
      <c r="M152" s="374">
        <f t="shared" si="29"/>
        <v>0</v>
      </c>
      <c r="N152" s="374">
        <f t="shared" si="29"/>
        <v>0</v>
      </c>
      <c r="O152" s="374">
        <f t="shared" si="29"/>
        <v>0</v>
      </c>
      <c r="P152" s="374">
        <f t="shared" si="29"/>
        <v>0</v>
      </c>
      <c r="Q152" s="374">
        <f t="shared" si="29"/>
        <v>0</v>
      </c>
      <c r="R152" s="374">
        <f t="shared" si="29"/>
        <v>0</v>
      </c>
      <c r="S152" s="275">
        <f>SUM(H152:R152)</f>
        <v>0</v>
      </c>
      <c r="T152" s="65"/>
    </row>
    <row r="153" spans="1:20" ht="15">
      <c r="A153" s="705"/>
      <c r="B153" s="273"/>
      <c r="C153" s="375" t="s">
        <v>98</v>
      </c>
      <c r="D153" s="258"/>
      <c r="E153" s="258"/>
      <c r="F153" s="256"/>
      <c r="G153" s="256"/>
      <c r="H153" s="262">
        <f>SUM(H151:H152)</f>
        <v>0</v>
      </c>
      <c r="I153" s="262">
        <f>SUM(I151:I152)</f>
        <v>0</v>
      </c>
      <c r="J153" s="262">
        <f>SUM(J151:J152)</f>
        <v>0</v>
      </c>
      <c r="K153" s="262">
        <f t="shared" ref="K153:M153" si="30">SUM(K151:K152)</f>
        <v>0</v>
      </c>
      <c r="L153" s="262">
        <f t="shared" si="30"/>
        <v>0</v>
      </c>
      <c r="M153" s="262">
        <f t="shared" si="30"/>
        <v>0</v>
      </c>
      <c r="N153" s="262">
        <f>SUM(N151:N152)</f>
        <v>0</v>
      </c>
      <c r="O153" s="262">
        <f>SUM(O151:O152)</f>
        <v>0</v>
      </c>
      <c r="P153" s="262">
        <f t="shared" ref="P153" si="31">SUM(P151:P152)</f>
        <v>0</v>
      </c>
      <c r="Q153" s="262">
        <f>SUM(Q151:Q152)</f>
        <v>0</v>
      </c>
      <c r="R153" s="262">
        <f>SUM(R151:R152)</f>
        <v>0</v>
      </c>
      <c r="S153" s="276">
        <f>SUM(S151:S152)</f>
        <v>0</v>
      </c>
      <c r="T153" s="65"/>
    </row>
    <row r="154" spans="1:20" s="23" customFormat="1" ht="15">
      <c r="A154" s="705"/>
      <c r="B154" s="377"/>
      <c r="C154" s="698" t="s">
        <v>96</v>
      </c>
      <c r="D154" s="698"/>
      <c r="E154" s="249"/>
      <c r="F154" s="260"/>
      <c r="G154" s="260"/>
      <c r="H154" s="249">
        <f>'6.  Persistence Rates'!D320</f>
        <v>1832242.565111083</v>
      </c>
      <c r="I154" s="249">
        <f>'6.  Persistence Rates'!E320</f>
        <v>1753516.682611756</v>
      </c>
      <c r="J154" s="249">
        <f>'6.  Persistence Rates'!F320</f>
        <v>9208.4936736883592</v>
      </c>
      <c r="K154" s="249">
        <f>'6.  Persistence Rates'!G320</f>
        <v>6087.7397149793223</v>
      </c>
      <c r="L154" s="249">
        <f>'6.  Persistence Rates'!H320</f>
        <v>0</v>
      </c>
      <c r="M154" s="249">
        <f>'6.  Persistence Rates'!I320</f>
        <v>42.771005023273929</v>
      </c>
      <c r="N154" s="249">
        <f>'6.  Persistence Rates'!J320</f>
        <v>0</v>
      </c>
      <c r="O154" s="249">
        <f>'6.  Persistence Rates'!K320</f>
        <v>356.42504186061609</v>
      </c>
      <c r="P154" s="249">
        <f>'6.  Persistence Rates'!L320</f>
        <v>0</v>
      </c>
      <c r="Q154" s="249">
        <f>'6.  Persistence Rates'!M320</f>
        <v>0</v>
      </c>
      <c r="R154" s="249">
        <f>'6.  Persistence Rates'!N320</f>
        <v>0</v>
      </c>
      <c r="S154" s="378"/>
      <c r="T154" s="65"/>
    </row>
    <row r="155" spans="1:20" s="23" customFormat="1" ht="15">
      <c r="A155" s="705"/>
      <c r="B155" s="377"/>
      <c r="C155" s="698" t="s">
        <v>97</v>
      </c>
      <c r="D155" s="698"/>
      <c r="E155" s="249"/>
      <c r="F155" s="260"/>
      <c r="G155" s="260"/>
      <c r="H155" s="249">
        <f>'6.  Persistence Rates'!D321</f>
        <v>1832242.565111083</v>
      </c>
      <c r="I155" s="249">
        <f>'6.  Persistence Rates'!E321</f>
        <v>1735862.6022528668</v>
      </c>
      <c r="J155" s="249">
        <f>'6.  Persistence Rates'!F321</f>
        <v>9189.3292581682781</v>
      </c>
      <c r="K155" s="249">
        <f>'6.  Persistence Rates'!G321</f>
        <v>6074.9534564995174</v>
      </c>
      <c r="L155" s="249">
        <f>'6.  Persistence Rates'!H321</f>
        <v>0</v>
      </c>
      <c r="M155" s="249">
        <f>'6.  Persistence Rates'!I321</f>
        <v>42.681171825523542</v>
      </c>
      <c r="N155" s="249">
        <f>'6.  Persistence Rates'!J321</f>
        <v>0</v>
      </c>
      <c r="O155" s="249">
        <f>'6.  Persistence Rates'!K321</f>
        <v>355.67643187936284</v>
      </c>
      <c r="P155" s="249">
        <f>'6.  Persistence Rates'!L321</f>
        <v>0</v>
      </c>
      <c r="Q155" s="249">
        <f>'6.  Persistence Rates'!M321</f>
        <v>0</v>
      </c>
      <c r="R155" s="249">
        <f>'6.  Persistence Rates'!N321</f>
        <v>0</v>
      </c>
      <c r="S155" s="378"/>
      <c r="T155" s="65"/>
    </row>
    <row r="156" spans="1:20" s="23" customFormat="1" ht="15">
      <c r="A156" s="243"/>
      <c r="B156" s="574"/>
      <c r="C156" s="567" t="s">
        <v>419</v>
      </c>
      <c r="D156" s="567"/>
      <c r="E156" s="515"/>
      <c r="F156" s="575"/>
      <c r="G156" s="575"/>
      <c r="H156" s="515">
        <f>'6.  Persistence Rates'!D322</f>
        <v>1830157.0233379309</v>
      </c>
      <c r="I156" s="515">
        <f>'6.  Persistence Rates'!E322</f>
        <v>1574003.045885222</v>
      </c>
      <c r="J156" s="515">
        <f>'6.  Persistence Rates'!F322</f>
        <v>8942.9842464912235</v>
      </c>
      <c r="K156" s="515">
        <f>'6.  Persistence Rates'!G322</f>
        <v>5910.595144021233</v>
      </c>
      <c r="L156" s="515">
        <f>'6.  Persistence Rates'!H322</f>
        <v>0</v>
      </c>
      <c r="M156" s="515">
        <f>'6.  Persistence Rates'!I322</f>
        <v>41.526429583287353</v>
      </c>
      <c r="N156" s="515">
        <f>'6.  Persistence Rates'!J322</f>
        <v>0</v>
      </c>
      <c r="O156" s="515">
        <f>'6.  Persistence Rates'!K322</f>
        <v>346.05357986072795</v>
      </c>
      <c r="P156" s="515">
        <f>'6.  Persistence Rates'!L322</f>
        <v>0</v>
      </c>
      <c r="Q156" s="515">
        <f>'6.  Persistence Rates'!M322</f>
        <v>0</v>
      </c>
      <c r="R156" s="515">
        <f>'6.  Persistence Rates'!N322</f>
        <v>0</v>
      </c>
      <c r="S156" s="576"/>
      <c r="T156" s="65"/>
    </row>
    <row r="157" spans="1:20" s="23" customFormat="1" ht="15" hidden="1">
      <c r="A157" s="243"/>
      <c r="B157" s="377"/>
      <c r="C157" s="259" t="s">
        <v>420</v>
      </c>
      <c r="D157" s="259"/>
      <c r="E157" s="249"/>
      <c r="F157" s="260"/>
      <c r="G157" s="260"/>
      <c r="H157" s="249">
        <f>'6.  Persistence Rates'!D323</f>
        <v>1675835.0700406742</v>
      </c>
      <c r="I157" s="249">
        <f>'6.  Persistence Rates'!E323</f>
        <v>1183548.3325017761</v>
      </c>
      <c r="J157" s="249">
        <f>'6.  Persistence Rates'!F323</f>
        <v>8909.2083504912243</v>
      </c>
      <c r="K157" s="249">
        <f>'6.  Persistence Rates'!G323</f>
        <v>5910.595144021233</v>
      </c>
      <c r="L157" s="249">
        <f>'6.  Persistence Rates'!H323</f>
        <v>0</v>
      </c>
      <c r="M157" s="249">
        <f>'6.  Persistence Rates'!I323</f>
        <v>41.526429583287353</v>
      </c>
      <c r="N157" s="249">
        <f>'6.  Persistence Rates'!J323</f>
        <v>0</v>
      </c>
      <c r="O157" s="249">
        <f>'6.  Persistence Rates'!K323</f>
        <v>346.05357986072795</v>
      </c>
      <c r="P157" s="249">
        <f>'6.  Persistence Rates'!L323</f>
        <v>0</v>
      </c>
      <c r="Q157" s="249">
        <f>'6.  Persistence Rates'!M323</f>
        <v>0</v>
      </c>
      <c r="R157" s="249">
        <f>'6.  Persistence Rates'!N323</f>
        <v>0</v>
      </c>
      <c r="S157" s="378"/>
      <c r="T157" s="65"/>
    </row>
    <row r="158" spans="1:20" s="23" customFormat="1" ht="15" hidden="1">
      <c r="A158" s="243"/>
      <c r="B158" s="377"/>
      <c r="C158" s="259" t="s">
        <v>421</v>
      </c>
      <c r="D158" s="259"/>
      <c r="E158" s="249"/>
      <c r="F158" s="260"/>
      <c r="G158" s="260"/>
      <c r="H158" s="249"/>
      <c r="I158" s="249"/>
      <c r="J158" s="249"/>
      <c r="K158" s="249"/>
      <c r="L158" s="249"/>
      <c r="M158" s="249"/>
      <c r="N158" s="249"/>
      <c r="O158" s="249"/>
      <c r="P158" s="249"/>
      <c r="Q158" s="249"/>
      <c r="R158" s="249"/>
      <c r="S158" s="378"/>
      <c r="T158" s="65"/>
    </row>
    <row r="159" spans="1:20" s="23" customFormat="1" ht="15" hidden="1">
      <c r="A159" s="243"/>
      <c r="B159" s="377"/>
      <c r="C159" s="259" t="s">
        <v>422</v>
      </c>
      <c r="D159" s="259"/>
      <c r="E159" s="249"/>
      <c r="F159" s="260"/>
      <c r="G159" s="260"/>
      <c r="H159" s="249"/>
      <c r="I159" s="249"/>
      <c r="J159" s="249"/>
      <c r="K159" s="249"/>
      <c r="L159" s="249"/>
      <c r="M159" s="249"/>
      <c r="N159" s="249"/>
      <c r="O159" s="249"/>
      <c r="P159" s="249"/>
      <c r="Q159" s="249"/>
      <c r="R159" s="249"/>
      <c r="S159" s="378"/>
      <c r="T159" s="65"/>
    </row>
    <row r="160" spans="1:20" s="23" customFormat="1" ht="15" hidden="1">
      <c r="A160" s="243"/>
      <c r="B160" s="377"/>
      <c r="C160" s="503" t="s">
        <v>423</v>
      </c>
      <c r="D160" s="503"/>
      <c r="E160" s="249"/>
      <c r="F160" s="260"/>
      <c r="G160" s="260"/>
      <c r="H160" s="249"/>
      <c r="I160" s="249"/>
      <c r="J160" s="249"/>
      <c r="K160" s="249"/>
      <c r="L160" s="249"/>
      <c r="M160" s="249"/>
      <c r="N160" s="249"/>
      <c r="O160" s="249"/>
      <c r="P160" s="249"/>
      <c r="Q160" s="249"/>
      <c r="R160" s="249"/>
      <c r="S160" s="378"/>
      <c r="T160" s="65"/>
    </row>
    <row r="161" spans="1:20" hidden="1">
      <c r="B161" s="389"/>
      <c r="C161" s="504" t="s">
        <v>424</v>
      </c>
      <c r="D161" s="390"/>
      <c r="E161" s="390"/>
      <c r="F161" s="391"/>
      <c r="G161" s="391"/>
      <c r="H161" s="515"/>
      <c r="I161" s="515"/>
      <c r="J161" s="515"/>
      <c r="K161" s="515"/>
      <c r="L161" s="515"/>
      <c r="M161" s="515"/>
      <c r="N161" s="515"/>
      <c r="O161" s="328"/>
      <c r="P161" s="515"/>
      <c r="Q161" s="515"/>
      <c r="R161" s="328"/>
      <c r="S161" s="392"/>
      <c r="T161" s="65"/>
    </row>
    <row r="162" spans="1:20">
      <c r="B162" s="565"/>
      <c r="C162" s="566"/>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706" t="s">
        <v>351</v>
      </c>
      <c r="C164" s="706"/>
      <c r="D164" s="706"/>
      <c r="E164" s="706"/>
      <c r="F164" s="706"/>
      <c r="G164" s="706"/>
      <c r="H164" s="706"/>
      <c r="I164" s="706"/>
      <c r="J164" s="706"/>
      <c r="K164" s="706"/>
      <c r="L164" s="706"/>
      <c r="M164" s="706"/>
      <c r="N164" s="706"/>
      <c r="O164" s="706"/>
      <c r="P164" s="706"/>
      <c r="Q164" s="706"/>
      <c r="R164" s="706"/>
      <c r="S164" s="706"/>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5">
      <c r="B166" s="694" t="s">
        <v>59</v>
      </c>
      <c r="C166" s="696" t="s">
        <v>0</v>
      </c>
      <c r="D166" s="696" t="s">
        <v>45</v>
      </c>
      <c r="E166" s="696" t="s">
        <v>202</v>
      </c>
      <c r="F166" s="268" t="s">
        <v>46</v>
      </c>
      <c r="G166" s="268" t="s">
        <v>199</v>
      </c>
      <c r="H166" s="708" t="s">
        <v>60</v>
      </c>
      <c r="I166" s="709"/>
      <c r="J166" s="709"/>
      <c r="K166" s="709"/>
      <c r="L166" s="709"/>
      <c r="M166" s="709"/>
      <c r="N166" s="709"/>
      <c r="O166" s="709"/>
      <c r="P166" s="709"/>
      <c r="Q166" s="709"/>
      <c r="R166" s="709"/>
      <c r="S166" s="710"/>
      <c r="T166" s="65"/>
    </row>
    <row r="167" spans="1:20" ht="57.95" customHeight="1">
      <c r="B167" s="695"/>
      <c r="C167" s="697"/>
      <c r="D167" s="697"/>
      <c r="E167" s="697"/>
      <c r="F167" s="135" t="s">
        <v>100</v>
      </c>
      <c r="G167" s="135" t="s">
        <v>101</v>
      </c>
      <c r="H167" s="135" t="str">
        <f>H88</f>
        <v>Residential</v>
      </c>
      <c r="I167" s="135" t="str">
        <f t="shared" ref="I167:O167" si="32">I88</f>
        <v>GS &lt; 50 kW</v>
      </c>
      <c r="J167" s="135" t="str">
        <f t="shared" si="32"/>
        <v>GS 50 to 2,999 kW</v>
      </c>
      <c r="K167" s="135" t="str">
        <f t="shared" si="32"/>
        <v>GS 50 to 2,999 kW with owned transformer</v>
      </c>
      <c r="L167" s="135" t="str">
        <f t="shared" si="32"/>
        <v>GS 3,000 to 4,999 kW</v>
      </c>
      <c r="M167" s="135" t="str">
        <f t="shared" si="32"/>
        <v>GS 3,000 to 4,999 kW with owned transformer</v>
      </c>
      <c r="N167" s="135" t="str">
        <f t="shared" si="32"/>
        <v>Large Use</v>
      </c>
      <c r="O167" s="135" t="str">
        <f t="shared" si="32"/>
        <v>Large Use with owned transformer</v>
      </c>
      <c r="P167" s="135" t="str">
        <f t="shared" ref="P167:R167" si="33">P88</f>
        <v>Unmetered Scattered Load</v>
      </c>
      <c r="Q167" s="135" t="str">
        <f t="shared" si="33"/>
        <v>Sentinel Lighting</v>
      </c>
      <c r="R167" s="135" t="str">
        <f t="shared" si="33"/>
        <v>Street Lighting</v>
      </c>
      <c r="S167" s="376" t="s">
        <v>35</v>
      </c>
      <c r="T167" s="65"/>
    </row>
    <row r="168" spans="1:20" s="42" customFormat="1" ht="15" customHeight="1" outlineLevel="1">
      <c r="A168" s="703">
        <v>2013</v>
      </c>
      <c r="B168" s="244"/>
      <c r="C168" s="704" t="s">
        <v>1</v>
      </c>
      <c r="D168" s="704"/>
      <c r="E168" s="245"/>
      <c r="F168" s="246"/>
      <c r="G168" s="246"/>
      <c r="H168" s="211" t="str">
        <f>H$21</f>
        <v>kWh</v>
      </c>
      <c r="I168" s="211" t="str">
        <f t="shared" ref="I168:R168" si="34">I$21</f>
        <v>kWh</v>
      </c>
      <c r="J168" s="211" t="str">
        <f t="shared" si="34"/>
        <v>kW</v>
      </c>
      <c r="K168" s="211" t="str">
        <f t="shared" si="34"/>
        <v>kW</v>
      </c>
      <c r="L168" s="211" t="str">
        <f t="shared" si="34"/>
        <v>kW</v>
      </c>
      <c r="M168" s="211" t="str">
        <f t="shared" si="34"/>
        <v>kW</v>
      </c>
      <c r="N168" s="211" t="str">
        <f t="shared" si="34"/>
        <v>kW</v>
      </c>
      <c r="O168" s="211" t="str">
        <f t="shared" si="34"/>
        <v>kW</v>
      </c>
      <c r="P168" s="211" t="str">
        <f t="shared" si="34"/>
        <v>kWh</v>
      </c>
      <c r="Q168" s="211" t="str">
        <f t="shared" si="34"/>
        <v>kW</v>
      </c>
      <c r="R168" s="211" t="str">
        <f t="shared" si="34"/>
        <v>kW</v>
      </c>
      <c r="S168" s="247"/>
      <c r="T168" s="145"/>
    </row>
    <row r="169" spans="1:20" ht="15" outlineLevel="1">
      <c r="A169" s="703"/>
      <c r="B169" s="270">
        <v>1</v>
      </c>
      <c r="C169" s="251" t="s">
        <v>2</v>
      </c>
      <c r="D169" s="249" t="s">
        <v>34</v>
      </c>
      <c r="E169" s="249">
        <v>12</v>
      </c>
      <c r="F169" s="294">
        <v>17.768000000000001</v>
      </c>
      <c r="G169" s="294">
        <v>110847.754</v>
      </c>
      <c r="H169" s="558">
        <v>1</v>
      </c>
      <c r="I169" s="558">
        <v>0</v>
      </c>
      <c r="J169" s="558">
        <v>0</v>
      </c>
      <c r="K169" s="558">
        <v>0</v>
      </c>
      <c r="L169" s="558">
        <v>0</v>
      </c>
      <c r="M169" s="558">
        <v>0</v>
      </c>
      <c r="N169" s="558">
        <v>0</v>
      </c>
      <c r="O169" s="558">
        <v>0</v>
      </c>
      <c r="P169" s="558">
        <v>0</v>
      </c>
      <c r="Q169" s="558">
        <v>0</v>
      </c>
      <c r="R169" s="558">
        <v>0</v>
      </c>
      <c r="S169" s="248">
        <f t="shared" ref="S169:S178" si="35">SUM(H169:R169)</f>
        <v>1</v>
      </c>
      <c r="T169" s="65"/>
    </row>
    <row r="170" spans="1:20" ht="15" outlineLevel="1">
      <c r="A170" s="703"/>
      <c r="B170" s="270">
        <v>2</v>
      </c>
      <c r="C170" s="251" t="s">
        <v>3</v>
      </c>
      <c r="D170" s="249" t="s">
        <v>34</v>
      </c>
      <c r="E170" s="249">
        <v>12</v>
      </c>
      <c r="F170" s="294">
        <v>30.25</v>
      </c>
      <c r="G170" s="294">
        <v>53938.222000000002</v>
      </c>
      <c r="H170" s="558">
        <v>1</v>
      </c>
      <c r="I170" s="558">
        <v>0</v>
      </c>
      <c r="J170" s="558">
        <v>0</v>
      </c>
      <c r="K170" s="558">
        <v>0</v>
      </c>
      <c r="L170" s="558">
        <v>0</v>
      </c>
      <c r="M170" s="558">
        <v>0</v>
      </c>
      <c r="N170" s="558">
        <v>0</v>
      </c>
      <c r="O170" s="558">
        <v>0</v>
      </c>
      <c r="P170" s="558">
        <v>0</v>
      </c>
      <c r="Q170" s="558">
        <v>0</v>
      </c>
      <c r="R170" s="558">
        <v>0</v>
      </c>
      <c r="S170" s="248">
        <f t="shared" si="35"/>
        <v>1</v>
      </c>
      <c r="T170" s="65"/>
    </row>
    <row r="171" spans="1:20" ht="15" outlineLevel="1">
      <c r="A171" s="703"/>
      <c r="B171" s="270">
        <v>3</v>
      </c>
      <c r="C171" s="251" t="s">
        <v>4</v>
      </c>
      <c r="D171" s="249" t="s">
        <v>34</v>
      </c>
      <c r="E171" s="249">
        <v>12</v>
      </c>
      <c r="F171" s="294">
        <v>519.79700000000003</v>
      </c>
      <c r="G171" s="294">
        <v>899719.01399999997</v>
      </c>
      <c r="H171" s="558">
        <v>1</v>
      </c>
      <c r="I171" s="558">
        <v>0</v>
      </c>
      <c r="J171" s="558">
        <v>0</v>
      </c>
      <c r="K171" s="558">
        <v>0</v>
      </c>
      <c r="L171" s="558">
        <v>0</v>
      </c>
      <c r="M171" s="558">
        <v>0</v>
      </c>
      <c r="N171" s="558">
        <v>0</v>
      </c>
      <c r="O171" s="558">
        <v>0</v>
      </c>
      <c r="P171" s="558">
        <v>0</v>
      </c>
      <c r="Q171" s="558">
        <v>0</v>
      </c>
      <c r="R171" s="558">
        <v>0</v>
      </c>
      <c r="S171" s="248">
        <f t="shared" si="35"/>
        <v>1</v>
      </c>
      <c r="T171" s="65"/>
    </row>
    <row r="172" spans="1:20" ht="15" outlineLevel="1">
      <c r="A172" s="703"/>
      <c r="B172" s="270">
        <v>4</v>
      </c>
      <c r="C172" s="251" t="s">
        <v>5</v>
      </c>
      <c r="D172" s="249" t="s">
        <v>34</v>
      </c>
      <c r="E172" s="249">
        <v>12</v>
      </c>
      <c r="F172" s="294">
        <v>12.153</v>
      </c>
      <c r="G172" s="294">
        <v>181320.802</v>
      </c>
      <c r="H172" s="558">
        <v>1</v>
      </c>
      <c r="I172" s="558">
        <v>0</v>
      </c>
      <c r="J172" s="558">
        <v>0</v>
      </c>
      <c r="K172" s="558">
        <v>0</v>
      </c>
      <c r="L172" s="558">
        <v>0</v>
      </c>
      <c r="M172" s="558">
        <v>0</v>
      </c>
      <c r="N172" s="558">
        <v>0</v>
      </c>
      <c r="O172" s="558">
        <v>0</v>
      </c>
      <c r="P172" s="558">
        <v>0</v>
      </c>
      <c r="Q172" s="558">
        <v>0</v>
      </c>
      <c r="R172" s="558">
        <v>0</v>
      </c>
      <c r="S172" s="248">
        <f t="shared" si="35"/>
        <v>1</v>
      </c>
      <c r="T172" s="65"/>
    </row>
    <row r="173" spans="1:20" ht="15" outlineLevel="1">
      <c r="A173" s="703"/>
      <c r="B173" s="270">
        <v>5</v>
      </c>
      <c r="C173" s="251" t="s">
        <v>6</v>
      </c>
      <c r="D173" s="249" t="s">
        <v>34</v>
      </c>
      <c r="E173" s="249">
        <v>12</v>
      </c>
      <c r="F173" s="294">
        <v>27.846</v>
      </c>
      <c r="G173" s="294">
        <v>404156.08899999998</v>
      </c>
      <c r="H173" s="558">
        <v>1</v>
      </c>
      <c r="I173" s="558">
        <v>0</v>
      </c>
      <c r="J173" s="558">
        <v>0</v>
      </c>
      <c r="K173" s="558">
        <v>0</v>
      </c>
      <c r="L173" s="558">
        <v>0</v>
      </c>
      <c r="M173" s="558">
        <v>0</v>
      </c>
      <c r="N173" s="558">
        <v>0</v>
      </c>
      <c r="O173" s="558">
        <v>0</v>
      </c>
      <c r="P173" s="558">
        <v>0</v>
      </c>
      <c r="Q173" s="558">
        <v>0</v>
      </c>
      <c r="R173" s="558">
        <v>0</v>
      </c>
      <c r="S173" s="248">
        <f t="shared" si="35"/>
        <v>1</v>
      </c>
      <c r="T173" s="65"/>
    </row>
    <row r="174" spans="1:20" ht="15" outlineLevel="1">
      <c r="A174" s="703"/>
      <c r="B174" s="270">
        <v>6</v>
      </c>
      <c r="C174" s="251" t="s">
        <v>7</v>
      </c>
      <c r="D174" s="249" t="s">
        <v>34</v>
      </c>
      <c r="E174" s="249">
        <v>12</v>
      </c>
      <c r="F174" s="294">
        <v>0</v>
      </c>
      <c r="G174" s="294">
        <v>0</v>
      </c>
      <c r="H174" s="558">
        <v>1</v>
      </c>
      <c r="I174" s="558">
        <v>0</v>
      </c>
      <c r="J174" s="558">
        <v>0</v>
      </c>
      <c r="K174" s="558">
        <v>0</v>
      </c>
      <c r="L174" s="558">
        <v>0</v>
      </c>
      <c r="M174" s="558">
        <v>0</v>
      </c>
      <c r="N174" s="558">
        <v>0</v>
      </c>
      <c r="O174" s="558">
        <v>0</v>
      </c>
      <c r="P174" s="558">
        <v>0</v>
      </c>
      <c r="Q174" s="558">
        <v>0</v>
      </c>
      <c r="R174" s="558">
        <v>0</v>
      </c>
      <c r="S174" s="248">
        <f t="shared" si="35"/>
        <v>1</v>
      </c>
      <c r="T174" s="65"/>
    </row>
    <row r="175" spans="1:20" ht="28.5" outlineLevel="1">
      <c r="A175" s="703"/>
      <c r="B175" s="270">
        <v>7</v>
      </c>
      <c r="C175" s="251" t="s">
        <v>33</v>
      </c>
      <c r="D175" s="249" t="s">
        <v>34</v>
      </c>
      <c r="E175" s="249">
        <v>0</v>
      </c>
      <c r="F175" s="294">
        <v>3262.5520000000001</v>
      </c>
      <c r="G175" s="294">
        <v>9430.6200000000008</v>
      </c>
      <c r="H175" s="558">
        <v>1</v>
      </c>
      <c r="I175" s="558">
        <v>0</v>
      </c>
      <c r="J175" s="558">
        <v>0</v>
      </c>
      <c r="K175" s="558">
        <v>0</v>
      </c>
      <c r="L175" s="558">
        <v>0</v>
      </c>
      <c r="M175" s="558">
        <v>0</v>
      </c>
      <c r="N175" s="558">
        <v>0</v>
      </c>
      <c r="O175" s="558">
        <v>0</v>
      </c>
      <c r="P175" s="558">
        <v>0</v>
      </c>
      <c r="Q175" s="558">
        <v>0</v>
      </c>
      <c r="R175" s="558">
        <v>0</v>
      </c>
      <c r="S175" s="248">
        <f t="shared" si="35"/>
        <v>1</v>
      </c>
      <c r="T175" s="65"/>
    </row>
    <row r="176" spans="1:20" ht="15" outlineLevel="1">
      <c r="A176" s="703"/>
      <c r="B176" s="270">
        <v>8</v>
      </c>
      <c r="C176" s="251" t="s">
        <v>26</v>
      </c>
      <c r="D176" s="249" t="s">
        <v>34</v>
      </c>
      <c r="E176" s="249">
        <v>0</v>
      </c>
      <c r="F176" s="294">
        <v>0</v>
      </c>
      <c r="G176" s="294">
        <v>0</v>
      </c>
      <c r="H176" s="558">
        <v>1</v>
      </c>
      <c r="I176" s="558">
        <v>0</v>
      </c>
      <c r="J176" s="558">
        <v>0</v>
      </c>
      <c r="K176" s="558">
        <v>0</v>
      </c>
      <c r="L176" s="558">
        <v>0</v>
      </c>
      <c r="M176" s="558">
        <v>0</v>
      </c>
      <c r="N176" s="558">
        <v>0</v>
      </c>
      <c r="O176" s="558">
        <v>0</v>
      </c>
      <c r="P176" s="558">
        <v>0</v>
      </c>
      <c r="Q176" s="558">
        <v>0</v>
      </c>
      <c r="R176" s="558">
        <v>0</v>
      </c>
      <c r="S176" s="248">
        <f t="shared" si="35"/>
        <v>1</v>
      </c>
      <c r="T176" s="65"/>
    </row>
    <row r="177" spans="1:20" ht="15" outlineLevel="1">
      <c r="A177" s="703"/>
      <c r="B177" s="270">
        <v>9</v>
      </c>
      <c r="C177" s="251" t="s">
        <v>8</v>
      </c>
      <c r="D177" s="249" t="s">
        <v>34</v>
      </c>
      <c r="E177" s="249">
        <v>12</v>
      </c>
      <c r="F177" s="294">
        <v>0</v>
      </c>
      <c r="G177" s="294">
        <v>0</v>
      </c>
      <c r="H177" s="558">
        <v>1</v>
      </c>
      <c r="I177" s="558">
        <v>0</v>
      </c>
      <c r="J177" s="558">
        <v>0</v>
      </c>
      <c r="K177" s="558">
        <v>0</v>
      </c>
      <c r="L177" s="558">
        <v>0</v>
      </c>
      <c r="M177" s="558">
        <v>0</v>
      </c>
      <c r="N177" s="558">
        <v>0</v>
      </c>
      <c r="O177" s="558">
        <v>0</v>
      </c>
      <c r="P177" s="558">
        <v>0</v>
      </c>
      <c r="Q177" s="558">
        <v>0</v>
      </c>
      <c r="R177" s="558">
        <v>0</v>
      </c>
      <c r="S177" s="248">
        <f t="shared" si="35"/>
        <v>1</v>
      </c>
      <c r="T177" s="65"/>
    </row>
    <row r="178" spans="1:20" ht="15" outlineLevel="1">
      <c r="A178" s="703"/>
      <c r="B178" s="270"/>
      <c r="C178" s="252" t="s">
        <v>253</v>
      </c>
      <c r="D178" s="249" t="s">
        <v>250</v>
      </c>
      <c r="E178" s="249">
        <v>12</v>
      </c>
      <c r="F178" s="294">
        <v>25.754000000000001</v>
      </c>
      <c r="G178" s="294">
        <v>48532.358770399995</v>
      </c>
      <c r="H178" s="291">
        <v>1</v>
      </c>
      <c r="I178" s="291">
        <v>0</v>
      </c>
      <c r="J178" s="291">
        <v>0</v>
      </c>
      <c r="K178" s="291">
        <v>0</v>
      </c>
      <c r="L178" s="291">
        <v>0</v>
      </c>
      <c r="M178" s="291">
        <v>0</v>
      </c>
      <c r="N178" s="291">
        <v>0</v>
      </c>
      <c r="O178" s="291">
        <v>0</v>
      </c>
      <c r="P178" s="291">
        <v>0</v>
      </c>
      <c r="Q178" s="291">
        <v>0</v>
      </c>
      <c r="R178" s="291">
        <v>0</v>
      </c>
      <c r="S178" s="248">
        <f t="shared" si="35"/>
        <v>1</v>
      </c>
      <c r="T178" s="65"/>
    </row>
    <row r="179" spans="1:20" ht="14.1" hidden="1" customHeight="1" outlineLevel="1">
      <c r="A179" s="703"/>
      <c r="B179" s="270"/>
      <c r="C179" s="700"/>
      <c r="D179" s="700"/>
      <c r="E179" s="264"/>
      <c r="F179" s="294"/>
      <c r="G179" s="294"/>
      <c r="H179" s="291"/>
      <c r="I179" s="292"/>
      <c r="J179" s="292"/>
      <c r="K179" s="292"/>
      <c r="L179" s="292"/>
      <c r="M179" s="292"/>
      <c r="N179" s="292"/>
      <c r="O179" s="292"/>
      <c r="P179" s="292"/>
      <c r="Q179" s="292"/>
      <c r="R179" s="292"/>
      <c r="S179" s="248"/>
      <c r="T179" s="65"/>
    </row>
    <row r="180" spans="1:20" ht="14.1" hidden="1" customHeight="1" outlineLevel="1">
      <c r="A180" s="703"/>
      <c r="B180" s="270"/>
      <c r="C180" s="700"/>
      <c r="D180" s="700"/>
      <c r="E180" s="264"/>
      <c r="F180" s="294"/>
      <c r="G180" s="294"/>
      <c r="H180" s="291"/>
      <c r="I180" s="292"/>
      <c r="J180" s="292"/>
      <c r="K180" s="292"/>
      <c r="L180" s="292"/>
      <c r="M180" s="292"/>
      <c r="N180" s="292"/>
      <c r="O180" s="292"/>
      <c r="P180" s="292"/>
      <c r="Q180" s="292"/>
      <c r="R180" s="292"/>
      <c r="S180" s="248"/>
      <c r="T180" s="65"/>
    </row>
    <row r="181" spans="1:20" ht="14.1" hidden="1" customHeight="1" outlineLevel="1">
      <c r="A181" s="703"/>
      <c r="B181" s="270"/>
      <c r="C181" s="700"/>
      <c r="D181" s="700"/>
      <c r="E181" s="264"/>
      <c r="F181" s="294"/>
      <c r="G181" s="294"/>
      <c r="H181" s="291"/>
      <c r="I181" s="292"/>
      <c r="J181" s="292"/>
      <c r="K181" s="292"/>
      <c r="L181" s="292"/>
      <c r="M181" s="292"/>
      <c r="N181" s="292"/>
      <c r="O181" s="292"/>
      <c r="P181" s="292"/>
      <c r="Q181" s="292"/>
      <c r="R181" s="292"/>
      <c r="S181" s="248"/>
      <c r="T181" s="65"/>
    </row>
    <row r="182" spans="1:20" s="42" customFormat="1" ht="15" outlineLevel="1">
      <c r="A182" s="703"/>
      <c r="B182" s="244"/>
      <c r="C182" s="704" t="s">
        <v>9</v>
      </c>
      <c r="D182" s="704"/>
      <c r="E182" s="245"/>
      <c r="F182" s="246"/>
      <c r="G182" s="246"/>
      <c r="H182" s="246"/>
      <c r="I182" s="246"/>
      <c r="J182" s="246"/>
      <c r="K182" s="246"/>
      <c r="L182" s="246"/>
      <c r="M182" s="246"/>
      <c r="N182" s="246"/>
      <c r="O182" s="246"/>
      <c r="P182" s="246"/>
      <c r="Q182" s="246"/>
      <c r="R182" s="246"/>
      <c r="S182" s="247"/>
      <c r="T182" s="145"/>
    </row>
    <row r="183" spans="1:20" ht="15" outlineLevel="1">
      <c r="A183" s="703"/>
      <c r="B183" s="146">
        <v>10</v>
      </c>
      <c r="C183" s="253" t="s">
        <v>27</v>
      </c>
      <c r="D183" s="249" t="s">
        <v>34</v>
      </c>
      <c r="E183" s="249">
        <v>12</v>
      </c>
      <c r="F183" s="294">
        <v>878.25300000000004</v>
      </c>
      <c r="G183" s="294">
        <v>4822005.0259999996</v>
      </c>
      <c r="H183" s="558">
        <v>2.5815234363651962E-4</v>
      </c>
      <c r="I183" s="558">
        <v>0.19497916128556475</v>
      </c>
      <c r="J183" s="558">
        <v>0.48518990300238118</v>
      </c>
      <c r="K183" s="558">
        <v>0.22814001023904665</v>
      </c>
      <c r="L183" s="558">
        <v>0</v>
      </c>
      <c r="M183" s="558">
        <v>2.7146675437811456E-2</v>
      </c>
      <c r="N183" s="558">
        <v>0</v>
      </c>
      <c r="O183" s="558">
        <v>8.1892470904064554E-2</v>
      </c>
      <c r="P183" s="558">
        <v>0</v>
      </c>
      <c r="Q183" s="558">
        <v>0</v>
      </c>
      <c r="R183" s="558">
        <v>0</v>
      </c>
      <c r="S183" s="248">
        <f t="shared" ref="S183:S191" si="36">SUM(H183:R183)</f>
        <v>1.0176063732125051</v>
      </c>
      <c r="T183" s="65"/>
    </row>
    <row r="184" spans="1:20" ht="15" outlineLevel="1">
      <c r="A184" s="703"/>
      <c r="B184" s="146">
        <v>11</v>
      </c>
      <c r="C184" s="251" t="s">
        <v>25</v>
      </c>
      <c r="D184" s="249" t="s">
        <v>34</v>
      </c>
      <c r="E184" s="249">
        <v>12</v>
      </c>
      <c r="F184" s="294">
        <v>181.11500000000001</v>
      </c>
      <c r="G184" s="294">
        <v>628825.66500000004</v>
      </c>
      <c r="H184" s="558">
        <v>0</v>
      </c>
      <c r="I184" s="558">
        <v>0.96524983699074762</v>
      </c>
      <c r="J184" s="558">
        <v>3.2400211862567183E-2</v>
      </c>
      <c r="K184" s="558">
        <v>0</v>
      </c>
      <c r="L184" s="558">
        <v>0</v>
      </c>
      <c r="M184" s="558">
        <v>0</v>
      </c>
      <c r="N184" s="558">
        <v>0</v>
      </c>
      <c r="O184" s="558">
        <v>0</v>
      </c>
      <c r="P184" s="558">
        <v>0</v>
      </c>
      <c r="Q184" s="558">
        <v>0</v>
      </c>
      <c r="R184" s="558">
        <v>0</v>
      </c>
      <c r="S184" s="248">
        <f t="shared" si="36"/>
        <v>0.99765004885331476</v>
      </c>
      <c r="T184" s="65"/>
    </row>
    <row r="185" spans="1:20" ht="15" outlineLevel="1">
      <c r="A185" s="703"/>
      <c r="B185" s="146">
        <v>12</v>
      </c>
      <c r="C185" s="251" t="s">
        <v>28</v>
      </c>
      <c r="D185" s="249" t="s">
        <v>34</v>
      </c>
      <c r="E185" s="249">
        <v>3</v>
      </c>
      <c r="F185" s="294">
        <v>0</v>
      </c>
      <c r="G185" s="294">
        <v>0</v>
      </c>
      <c r="H185" s="558">
        <v>0</v>
      </c>
      <c r="I185" s="558">
        <v>0</v>
      </c>
      <c r="J185" s="558">
        <v>0</v>
      </c>
      <c r="K185" s="558">
        <v>0</v>
      </c>
      <c r="L185" s="558">
        <v>0</v>
      </c>
      <c r="M185" s="558">
        <v>0</v>
      </c>
      <c r="N185" s="558">
        <v>0</v>
      </c>
      <c r="O185" s="558">
        <v>0</v>
      </c>
      <c r="P185" s="558">
        <v>0</v>
      </c>
      <c r="Q185" s="558">
        <v>0</v>
      </c>
      <c r="R185" s="558">
        <v>0</v>
      </c>
      <c r="S185" s="248">
        <f t="shared" si="36"/>
        <v>0</v>
      </c>
      <c r="T185" s="65"/>
    </row>
    <row r="186" spans="1:20" ht="15" outlineLevel="1">
      <c r="A186" s="703"/>
      <c r="B186" s="146">
        <v>13</v>
      </c>
      <c r="C186" s="251" t="s">
        <v>29</v>
      </c>
      <c r="D186" s="249" t="s">
        <v>34</v>
      </c>
      <c r="E186" s="249">
        <v>12</v>
      </c>
      <c r="F186" s="294">
        <v>0</v>
      </c>
      <c r="G186" s="294">
        <v>0</v>
      </c>
      <c r="H186" s="558">
        <v>0</v>
      </c>
      <c r="I186" s="558">
        <v>1</v>
      </c>
      <c r="J186" s="558">
        <v>0</v>
      </c>
      <c r="K186" s="558">
        <v>0</v>
      </c>
      <c r="L186" s="558">
        <v>0</v>
      </c>
      <c r="M186" s="558">
        <v>0</v>
      </c>
      <c r="N186" s="558">
        <v>0</v>
      </c>
      <c r="O186" s="558">
        <v>0</v>
      </c>
      <c r="P186" s="558">
        <v>0</v>
      </c>
      <c r="Q186" s="558">
        <v>0</v>
      </c>
      <c r="R186" s="558">
        <v>0</v>
      </c>
      <c r="S186" s="248">
        <f t="shared" si="36"/>
        <v>1</v>
      </c>
      <c r="T186" s="65"/>
    </row>
    <row r="187" spans="1:20" ht="15" outlineLevel="1">
      <c r="A187" s="703"/>
      <c r="B187" s="146">
        <v>14</v>
      </c>
      <c r="C187" s="251" t="s">
        <v>23</v>
      </c>
      <c r="D187" s="249" t="s">
        <v>34</v>
      </c>
      <c r="E187" s="249">
        <v>12</v>
      </c>
      <c r="F187" s="294">
        <v>17.625</v>
      </c>
      <c r="G187" s="294">
        <v>96901.535999999993</v>
      </c>
      <c r="H187" s="558">
        <v>0</v>
      </c>
      <c r="I187" s="558">
        <v>0</v>
      </c>
      <c r="J187" s="558">
        <v>1</v>
      </c>
      <c r="K187" s="558">
        <v>0</v>
      </c>
      <c r="L187" s="558">
        <v>0</v>
      </c>
      <c r="M187" s="558">
        <v>0</v>
      </c>
      <c r="N187" s="558">
        <v>0</v>
      </c>
      <c r="O187" s="558">
        <v>0</v>
      </c>
      <c r="P187" s="558">
        <v>0</v>
      </c>
      <c r="Q187" s="558">
        <v>0</v>
      </c>
      <c r="R187" s="558">
        <v>0</v>
      </c>
      <c r="S187" s="248">
        <f t="shared" si="36"/>
        <v>1</v>
      </c>
      <c r="T187" s="65"/>
    </row>
    <row r="188" spans="1:20" ht="28.5" outlineLevel="1">
      <c r="A188" s="703"/>
      <c r="B188" s="270">
        <v>15</v>
      </c>
      <c r="C188" s="251" t="s">
        <v>30</v>
      </c>
      <c r="D188" s="249" t="s">
        <v>34</v>
      </c>
      <c r="E188" s="249">
        <v>0</v>
      </c>
      <c r="F188" s="294">
        <v>53.76</v>
      </c>
      <c r="G188" s="294">
        <v>85.759</v>
      </c>
      <c r="H188" s="558">
        <v>0</v>
      </c>
      <c r="I188" s="558">
        <v>1</v>
      </c>
      <c r="J188" s="558">
        <v>0</v>
      </c>
      <c r="K188" s="558">
        <v>0</v>
      </c>
      <c r="L188" s="558">
        <v>0</v>
      </c>
      <c r="M188" s="558">
        <v>0</v>
      </c>
      <c r="N188" s="558">
        <v>0</v>
      </c>
      <c r="O188" s="558">
        <v>0</v>
      </c>
      <c r="P188" s="558">
        <v>0</v>
      </c>
      <c r="Q188" s="558">
        <v>0</v>
      </c>
      <c r="R188" s="558">
        <v>0</v>
      </c>
      <c r="S188" s="248">
        <f t="shared" si="36"/>
        <v>1</v>
      </c>
      <c r="T188" s="65"/>
    </row>
    <row r="189" spans="1:20" ht="28.5" outlineLevel="1">
      <c r="A189" s="703"/>
      <c r="B189" s="270">
        <v>16</v>
      </c>
      <c r="C189" s="251" t="s">
        <v>31</v>
      </c>
      <c r="D189" s="249" t="s">
        <v>34</v>
      </c>
      <c r="E189" s="249">
        <v>0</v>
      </c>
      <c r="F189" s="294">
        <v>0</v>
      </c>
      <c r="G189" s="294">
        <v>0</v>
      </c>
      <c r="H189" s="558">
        <v>0</v>
      </c>
      <c r="I189" s="558">
        <v>0</v>
      </c>
      <c r="J189" s="558">
        <v>0</v>
      </c>
      <c r="K189" s="558">
        <v>0</v>
      </c>
      <c r="L189" s="558">
        <v>0</v>
      </c>
      <c r="M189" s="558">
        <v>0</v>
      </c>
      <c r="N189" s="558">
        <v>0</v>
      </c>
      <c r="O189" s="558">
        <v>0</v>
      </c>
      <c r="P189" s="558">
        <v>0</v>
      </c>
      <c r="Q189" s="558">
        <v>0</v>
      </c>
      <c r="R189" s="558">
        <v>0</v>
      </c>
      <c r="S189" s="248">
        <f t="shared" si="36"/>
        <v>0</v>
      </c>
      <c r="T189" s="65"/>
    </row>
    <row r="190" spans="1:20" ht="15" outlineLevel="1">
      <c r="A190" s="703"/>
      <c r="B190" s="270">
        <v>17</v>
      </c>
      <c r="C190" s="251" t="s">
        <v>10</v>
      </c>
      <c r="D190" s="249" t="s">
        <v>34</v>
      </c>
      <c r="E190" s="249">
        <v>0</v>
      </c>
      <c r="F190" s="294">
        <v>110.322</v>
      </c>
      <c r="G190" s="294">
        <v>1473.1110000000001</v>
      </c>
      <c r="H190" s="558">
        <v>0</v>
      </c>
      <c r="I190" s="558">
        <v>0</v>
      </c>
      <c r="J190" s="558">
        <v>0</v>
      </c>
      <c r="K190" s="558">
        <v>0</v>
      </c>
      <c r="L190" s="558">
        <v>0</v>
      </c>
      <c r="M190" s="558">
        <v>0</v>
      </c>
      <c r="N190" s="558">
        <v>0</v>
      </c>
      <c r="O190" s="558">
        <v>0</v>
      </c>
      <c r="P190" s="558">
        <v>0</v>
      </c>
      <c r="Q190" s="558">
        <v>0</v>
      </c>
      <c r="R190" s="558">
        <v>0</v>
      </c>
      <c r="S190" s="248">
        <f t="shared" si="36"/>
        <v>0</v>
      </c>
      <c r="T190" s="65"/>
    </row>
    <row r="191" spans="1:20" ht="15" outlineLevel="1">
      <c r="A191" s="703"/>
      <c r="B191" s="270"/>
      <c r="C191" s="252" t="s">
        <v>253</v>
      </c>
      <c r="D191" s="249" t="s">
        <v>250</v>
      </c>
      <c r="E191" s="249">
        <v>12</v>
      </c>
      <c r="F191" s="294">
        <v>259.17899999999997</v>
      </c>
      <c r="G191" s="294">
        <v>1742322.3858698101</v>
      </c>
      <c r="H191" s="291">
        <v>2.4742724548670143E-4</v>
      </c>
      <c r="I191" s="291">
        <v>0.228387360302378</v>
      </c>
      <c r="J191" s="291">
        <v>0.45208448939916041</v>
      </c>
      <c r="K191" s="291">
        <v>0.21255182045004647</v>
      </c>
      <c r="L191" s="291">
        <v>0</v>
      </c>
      <c r="M191" s="291">
        <v>2.5291816535939766E-2</v>
      </c>
      <c r="N191" s="291">
        <v>0</v>
      </c>
      <c r="O191" s="291">
        <v>7.6296979883418298E-2</v>
      </c>
      <c r="P191" s="291">
        <v>0</v>
      </c>
      <c r="Q191" s="291">
        <v>0</v>
      </c>
      <c r="R191" s="291">
        <v>0</v>
      </c>
      <c r="S191" s="248">
        <f t="shared" si="36"/>
        <v>0.99485989381642981</v>
      </c>
      <c r="T191" s="65"/>
    </row>
    <row r="192" spans="1:20" ht="14.1" hidden="1" customHeight="1" outlineLevel="1">
      <c r="A192" s="703"/>
      <c r="B192" s="270"/>
      <c r="C192" s="700"/>
      <c r="D192" s="700"/>
      <c r="E192" s="264"/>
      <c r="F192" s="294"/>
      <c r="G192" s="294"/>
      <c r="H192" s="291"/>
      <c r="I192" s="292"/>
      <c r="J192" s="292"/>
      <c r="K192" s="292"/>
      <c r="L192" s="292"/>
      <c r="M192" s="292"/>
      <c r="N192" s="292"/>
      <c r="O192" s="292"/>
      <c r="P192" s="292"/>
      <c r="Q192" s="292"/>
      <c r="R192" s="292"/>
      <c r="S192" s="248"/>
      <c r="T192" s="65"/>
    </row>
    <row r="193" spans="1:20" ht="14.1" hidden="1" customHeight="1" outlineLevel="1">
      <c r="A193" s="703"/>
      <c r="B193" s="270"/>
      <c r="C193" s="700"/>
      <c r="D193" s="700"/>
      <c r="E193" s="264"/>
      <c r="F193" s="294"/>
      <c r="G193" s="294"/>
      <c r="H193" s="291"/>
      <c r="I193" s="292"/>
      <c r="J193" s="292"/>
      <c r="K193" s="292"/>
      <c r="L193" s="292"/>
      <c r="M193" s="292"/>
      <c r="N193" s="292"/>
      <c r="O193" s="292"/>
      <c r="P193" s="292"/>
      <c r="Q193" s="292"/>
      <c r="R193" s="292"/>
      <c r="S193" s="248"/>
      <c r="T193" s="65"/>
    </row>
    <row r="194" spans="1:20" ht="14.1" hidden="1" customHeight="1" outlineLevel="1">
      <c r="A194" s="703"/>
      <c r="B194" s="270"/>
      <c r="C194" s="700"/>
      <c r="D194" s="700"/>
      <c r="E194" s="264"/>
      <c r="F194" s="294"/>
      <c r="G194" s="294"/>
      <c r="H194" s="291"/>
      <c r="I194" s="292"/>
      <c r="J194" s="292"/>
      <c r="K194" s="292"/>
      <c r="L194" s="292"/>
      <c r="M194" s="292"/>
      <c r="N194" s="292"/>
      <c r="O194" s="292"/>
      <c r="P194" s="292"/>
      <c r="Q194" s="292"/>
      <c r="R194" s="292"/>
      <c r="S194" s="248"/>
      <c r="T194" s="65"/>
    </row>
    <row r="195" spans="1:20" s="42" customFormat="1" ht="15" outlineLevel="1">
      <c r="A195" s="703"/>
      <c r="B195" s="244"/>
      <c r="C195" s="704" t="s">
        <v>11</v>
      </c>
      <c r="D195" s="704"/>
      <c r="E195" s="245"/>
      <c r="F195" s="246"/>
      <c r="G195" s="246"/>
      <c r="H195" s="246"/>
      <c r="I195" s="246"/>
      <c r="J195" s="246"/>
      <c r="K195" s="246"/>
      <c r="L195" s="246"/>
      <c r="M195" s="246"/>
      <c r="N195" s="246"/>
      <c r="O195" s="246"/>
      <c r="P195" s="246"/>
      <c r="Q195" s="246"/>
      <c r="R195" s="246"/>
      <c r="S195" s="247"/>
      <c r="T195" s="145"/>
    </row>
    <row r="196" spans="1:20" ht="15" outlineLevel="1">
      <c r="A196" s="703"/>
      <c r="B196" s="146">
        <v>18</v>
      </c>
      <c r="C196" s="251" t="s">
        <v>12</v>
      </c>
      <c r="D196" s="249" t="s">
        <v>34</v>
      </c>
      <c r="E196" s="249">
        <v>12</v>
      </c>
      <c r="F196" s="294">
        <v>0</v>
      </c>
      <c r="G196" s="294">
        <v>0</v>
      </c>
      <c r="H196" s="291">
        <v>0</v>
      </c>
      <c r="I196" s="291">
        <v>0</v>
      </c>
      <c r="J196" s="291">
        <v>0</v>
      </c>
      <c r="K196" s="291">
        <v>0</v>
      </c>
      <c r="L196" s="291">
        <v>0</v>
      </c>
      <c r="M196" s="291">
        <v>0</v>
      </c>
      <c r="N196" s="291">
        <v>0</v>
      </c>
      <c r="O196" s="291">
        <v>0</v>
      </c>
      <c r="P196" s="291">
        <v>0</v>
      </c>
      <c r="Q196" s="291">
        <v>0</v>
      </c>
      <c r="R196" s="291">
        <v>0</v>
      </c>
      <c r="S196" s="248">
        <f t="shared" ref="S196:S201" si="37">SUM(H196:R196)</f>
        <v>0</v>
      </c>
      <c r="T196" s="65"/>
    </row>
    <row r="197" spans="1:20" ht="15" outlineLevel="1">
      <c r="A197" s="703"/>
      <c r="B197" s="146">
        <v>19</v>
      </c>
      <c r="C197" s="251" t="s">
        <v>13</v>
      </c>
      <c r="D197" s="249" t="s">
        <v>34</v>
      </c>
      <c r="E197" s="249">
        <v>12</v>
      </c>
      <c r="F197" s="294">
        <v>0</v>
      </c>
      <c r="G197" s="294">
        <v>0</v>
      </c>
      <c r="H197" s="291">
        <v>0</v>
      </c>
      <c r="I197" s="291">
        <v>0</v>
      </c>
      <c r="J197" s="291">
        <v>0</v>
      </c>
      <c r="K197" s="291">
        <v>0</v>
      </c>
      <c r="L197" s="291">
        <v>0</v>
      </c>
      <c r="M197" s="291">
        <v>0</v>
      </c>
      <c r="N197" s="291">
        <v>0</v>
      </c>
      <c r="O197" s="291">
        <v>0</v>
      </c>
      <c r="P197" s="291">
        <v>0</v>
      </c>
      <c r="Q197" s="291">
        <v>0</v>
      </c>
      <c r="R197" s="291">
        <v>0</v>
      </c>
      <c r="S197" s="248">
        <f t="shared" si="37"/>
        <v>0</v>
      </c>
      <c r="T197" s="65"/>
    </row>
    <row r="198" spans="1:20" ht="15" outlineLevel="1">
      <c r="A198" s="703"/>
      <c r="B198" s="146">
        <v>20</v>
      </c>
      <c r="C198" s="251" t="s">
        <v>14</v>
      </c>
      <c r="D198" s="249" t="s">
        <v>34</v>
      </c>
      <c r="E198" s="249">
        <v>12</v>
      </c>
      <c r="F198" s="294">
        <v>21.381</v>
      </c>
      <c r="G198" s="294">
        <v>129083.609</v>
      </c>
      <c r="H198" s="291">
        <v>0</v>
      </c>
      <c r="I198" s="291">
        <v>0</v>
      </c>
      <c r="J198" s="291">
        <v>0.56733740814504496</v>
      </c>
      <c r="K198" s="291">
        <v>-0.17588840815267576</v>
      </c>
      <c r="L198" s="291">
        <v>0</v>
      </c>
      <c r="M198" s="291">
        <v>0</v>
      </c>
      <c r="N198" s="291">
        <v>0</v>
      </c>
      <c r="O198" s="291">
        <v>0.60855100000763074</v>
      </c>
      <c r="P198" s="291">
        <v>0</v>
      </c>
      <c r="Q198" s="291">
        <v>0</v>
      </c>
      <c r="R198" s="291">
        <v>0</v>
      </c>
      <c r="S198" s="248">
        <f t="shared" si="37"/>
        <v>1</v>
      </c>
      <c r="T198" s="65"/>
    </row>
    <row r="199" spans="1:20" ht="15" outlineLevel="1">
      <c r="A199" s="703"/>
      <c r="B199" s="146">
        <v>21</v>
      </c>
      <c r="C199" s="253" t="s">
        <v>27</v>
      </c>
      <c r="D199" s="249" t="s">
        <v>34</v>
      </c>
      <c r="E199" s="249">
        <v>12</v>
      </c>
      <c r="F199" s="294">
        <v>0</v>
      </c>
      <c r="G199" s="294">
        <v>0</v>
      </c>
      <c r="H199" s="291">
        <v>0</v>
      </c>
      <c r="I199" s="291">
        <v>0</v>
      </c>
      <c r="J199" s="291">
        <v>0</v>
      </c>
      <c r="K199" s="291">
        <v>0</v>
      </c>
      <c r="L199" s="291">
        <v>0</v>
      </c>
      <c r="M199" s="291">
        <v>0</v>
      </c>
      <c r="N199" s="291">
        <v>0</v>
      </c>
      <c r="O199" s="291">
        <v>0</v>
      </c>
      <c r="P199" s="291">
        <v>0</v>
      </c>
      <c r="Q199" s="291">
        <v>0</v>
      </c>
      <c r="R199" s="291">
        <v>0</v>
      </c>
      <c r="S199" s="248">
        <f t="shared" si="37"/>
        <v>0</v>
      </c>
      <c r="T199" s="65"/>
    </row>
    <row r="200" spans="1:20" ht="15" outlineLevel="1">
      <c r="A200" s="703"/>
      <c r="B200" s="146">
        <v>22</v>
      </c>
      <c r="C200" s="251" t="s">
        <v>10</v>
      </c>
      <c r="D200" s="249" t="s">
        <v>34</v>
      </c>
      <c r="E200" s="249">
        <v>0</v>
      </c>
      <c r="F200" s="294">
        <v>996.85900000000004</v>
      </c>
      <c r="G200" s="294">
        <v>22699.09</v>
      </c>
      <c r="H200" s="291">
        <v>0</v>
      </c>
      <c r="I200" s="291">
        <v>0</v>
      </c>
      <c r="J200" s="291">
        <v>0</v>
      </c>
      <c r="K200" s="291">
        <v>0</v>
      </c>
      <c r="L200" s="291">
        <v>0</v>
      </c>
      <c r="M200" s="291">
        <v>0</v>
      </c>
      <c r="N200" s="291">
        <v>0</v>
      </c>
      <c r="O200" s="291">
        <v>0</v>
      </c>
      <c r="P200" s="291">
        <v>0</v>
      </c>
      <c r="Q200" s="291">
        <v>0</v>
      </c>
      <c r="R200" s="291">
        <v>0</v>
      </c>
      <c r="S200" s="248">
        <f t="shared" si="37"/>
        <v>0</v>
      </c>
      <c r="T200" s="65"/>
    </row>
    <row r="201" spans="1:20" ht="15" outlineLevel="1">
      <c r="A201" s="703"/>
      <c r="B201" s="146"/>
      <c r="C201" s="252" t="s">
        <v>253</v>
      </c>
      <c r="D201" s="249" t="s">
        <v>250</v>
      </c>
      <c r="E201" s="249">
        <v>12</v>
      </c>
      <c r="F201" s="294">
        <v>24.617999999999999</v>
      </c>
      <c r="G201" s="294">
        <v>460826.54749999999</v>
      </c>
      <c r="H201" s="291">
        <v>0</v>
      </c>
      <c r="I201" s="291">
        <v>0</v>
      </c>
      <c r="J201" s="291">
        <v>0.56733740814504496</v>
      </c>
      <c r="K201" s="291">
        <v>-0.17588840815267578</v>
      </c>
      <c r="L201" s="291">
        <v>0</v>
      </c>
      <c r="M201" s="291">
        <v>0</v>
      </c>
      <c r="N201" s="291">
        <v>0</v>
      </c>
      <c r="O201" s="291">
        <v>0.60855100000763074</v>
      </c>
      <c r="P201" s="291">
        <v>0</v>
      </c>
      <c r="Q201" s="291">
        <v>0</v>
      </c>
      <c r="R201" s="291">
        <v>0</v>
      </c>
      <c r="S201" s="248">
        <f t="shared" si="37"/>
        <v>0.99999999999999989</v>
      </c>
      <c r="T201" s="65"/>
    </row>
    <row r="202" spans="1:20" ht="14.1" hidden="1" customHeight="1" outlineLevel="1">
      <c r="A202" s="703"/>
      <c r="B202" s="146"/>
      <c r="C202" s="700"/>
      <c r="D202" s="700"/>
      <c r="E202" s="264"/>
      <c r="F202" s="294"/>
      <c r="G202" s="294"/>
      <c r="H202" s="291"/>
      <c r="I202" s="292"/>
      <c r="J202" s="292"/>
      <c r="K202" s="292"/>
      <c r="L202" s="292"/>
      <c r="M202" s="292"/>
      <c r="N202" s="292"/>
      <c r="O202" s="292"/>
      <c r="P202" s="292"/>
      <c r="Q202" s="292"/>
      <c r="R202" s="292"/>
      <c r="S202" s="248"/>
      <c r="T202" s="65"/>
    </row>
    <row r="203" spans="1:20" ht="14.1" hidden="1" customHeight="1" outlineLevel="1">
      <c r="A203" s="703"/>
      <c r="B203" s="146"/>
      <c r="C203" s="700"/>
      <c r="D203" s="700"/>
      <c r="E203" s="264"/>
      <c r="F203" s="294"/>
      <c r="G203" s="294"/>
      <c r="H203" s="291"/>
      <c r="I203" s="292"/>
      <c r="J203" s="292"/>
      <c r="K203" s="292"/>
      <c r="L203" s="292"/>
      <c r="M203" s="292"/>
      <c r="N203" s="292"/>
      <c r="O203" s="292"/>
      <c r="P203" s="292"/>
      <c r="Q203" s="292"/>
      <c r="R203" s="292"/>
      <c r="S203" s="248"/>
      <c r="T203" s="65"/>
    </row>
    <row r="204" spans="1:20" ht="14.1" hidden="1" customHeight="1" outlineLevel="1">
      <c r="A204" s="703"/>
      <c r="B204" s="146"/>
      <c r="C204" s="700"/>
      <c r="D204" s="700"/>
      <c r="E204" s="264"/>
      <c r="F204" s="294"/>
      <c r="G204" s="294"/>
      <c r="H204" s="291"/>
      <c r="I204" s="292"/>
      <c r="J204" s="292"/>
      <c r="K204" s="292"/>
      <c r="L204" s="292"/>
      <c r="M204" s="292"/>
      <c r="N204" s="292"/>
      <c r="O204" s="292"/>
      <c r="P204" s="292"/>
      <c r="Q204" s="292"/>
      <c r="R204" s="292"/>
      <c r="S204" s="248"/>
      <c r="T204" s="65"/>
    </row>
    <row r="205" spans="1:20" s="42" customFormat="1" ht="15" outlineLevel="1">
      <c r="A205" s="703"/>
      <c r="B205" s="244"/>
      <c r="C205" s="704" t="s">
        <v>15</v>
      </c>
      <c r="D205" s="704"/>
      <c r="E205" s="245"/>
      <c r="F205" s="246"/>
      <c r="G205" s="246"/>
      <c r="H205" s="246"/>
      <c r="I205" s="246"/>
      <c r="J205" s="246"/>
      <c r="K205" s="246"/>
      <c r="L205" s="246"/>
      <c r="M205" s="246"/>
      <c r="N205" s="246"/>
      <c r="O205" s="246"/>
      <c r="P205" s="246"/>
      <c r="Q205" s="246"/>
      <c r="R205" s="246"/>
      <c r="S205" s="247"/>
      <c r="T205" s="145"/>
    </row>
    <row r="206" spans="1:20" ht="15" outlineLevel="1">
      <c r="A206" s="703"/>
      <c r="B206" s="270">
        <v>23</v>
      </c>
      <c r="C206" s="251" t="s">
        <v>15</v>
      </c>
      <c r="D206" s="249" t="s">
        <v>34</v>
      </c>
      <c r="E206" s="249">
        <v>12</v>
      </c>
      <c r="F206" s="294">
        <v>30.027999999999999</v>
      </c>
      <c r="G206" s="294">
        <v>326588.47200000001</v>
      </c>
      <c r="H206" s="293">
        <v>1</v>
      </c>
      <c r="I206" s="293">
        <v>0</v>
      </c>
      <c r="J206" s="293">
        <v>0</v>
      </c>
      <c r="K206" s="293">
        <v>0</v>
      </c>
      <c r="L206" s="293">
        <v>0</v>
      </c>
      <c r="M206" s="293">
        <v>0</v>
      </c>
      <c r="N206" s="293">
        <v>0</v>
      </c>
      <c r="O206" s="293">
        <v>0</v>
      </c>
      <c r="P206" s="293">
        <v>0</v>
      </c>
      <c r="Q206" s="293">
        <v>0</v>
      </c>
      <c r="R206" s="293">
        <v>0</v>
      </c>
      <c r="S206" s="248">
        <f t="shared" ref="S206:S207" si="38">SUM(H206:R206)</f>
        <v>1</v>
      </c>
      <c r="T206" s="65"/>
    </row>
    <row r="207" spans="1:20" ht="15" outlineLevel="1">
      <c r="A207" s="703"/>
      <c r="B207" s="270"/>
      <c r="C207" s="252" t="s">
        <v>253</v>
      </c>
      <c r="D207" s="249" t="s">
        <v>250</v>
      </c>
      <c r="E207" s="249">
        <v>12</v>
      </c>
      <c r="F207" s="294">
        <v>6.9290000000000003</v>
      </c>
      <c r="G207" s="294">
        <v>30603.450919999999</v>
      </c>
      <c r="H207" s="291">
        <f>H206</f>
        <v>1</v>
      </c>
      <c r="I207" s="291">
        <f t="shared" ref="I207:O207" si="39">I206</f>
        <v>0</v>
      </c>
      <c r="J207" s="291">
        <f t="shared" si="39"/>
        <v>0</v>
      </c>
      <c r="K207" s="291">
        <f t="shared" si="39"/>
        <v>0</v>
      </c>
      <c r="L207" s="291">
        <f t="shared" si="39"/>
        <v>0</v>
      </c>
      <c r="M207" s="291">
        <f t="shared" si="39"/>
        <v>0</v>
      </c>
      <c r="N207" s="291">
        <f t="shared" si="39"/>
        <v>0</v>
      </c>
      <c r="O207" s="291">
        <f t="shared" si="39"/>
        <v>0</v>
      </c>
      <c r="P207" s="291">
        <f t="shared" ref="P207:R207" si="40">P206</f>
        <v>0</v>
      </c>
      <c r="Q207" s="291">
        <f t="shared" si="40"/>
        <v>0</v>
      </c>
      <c r="R207" s="291">
        <f t="shared" si="40"/>
        <v>0</v>
      </c>
      <c r="S207" s="248">
        <f t="shared" si="38"/>
        <v>1</v>
      </c>
      <c r="T207" s="65"/>
    </row>
    <row r="208" spans="1:20" ht="14.1" hidden="1" customHeight="1" outlineLevel="1">
      <c r="A208" s="703"/>
      <c r="B208" s="270"/>
      <c r="C208" s="700"/>
      <c r="D208" s="700"/>
      <c r="E208" s="264"/>
      <c r="F208" s="294"/>
      <c r="G208" s="294"/>
      <c r="H208" s="291"/>
      <c r="I208" s="292"/>
      <c r="J208" s="292"/>
      <c r="K208" s="292"/>
      <c r="L208" s="292"/>
      <c r="M208" s="292"/>
      <c r="N208" s="292"/>
      <c r="O208" s="292"/>
      <c r="P208" s="292"/>
      <c r="Q208" s="292"/>
      <c r="R208" s="292"/>
      <c r="S208" s="248"/>
      <c r="T208" s="65"/>
    </row>
    <row r="209" spans="1:20" ht="14.1" hidden="1" customHeight="1" outlineLevel="1">
      <c r="A209" s="703"/>
      <c r="B209" s="270"/>
      <c r="C209" s="700"/>
      <c r="D209" s="700"/>
      <c r="E209" s="264"/>
      <c r="F209" s="294"/>
      <c r="G209" s="294"/>
      <c r="H209" s="291"/>
      <c r="I209" s="292"/>
      <c r="J209" s="292"/>
      <c r="K209" s="292"/>
      <c r="L209" s="292"/>
      <c r="M209" s="292"/>
      <c r="N209" s="292"/>
      <c r="O209" s="292"/>
      <c r="P209" s="292"/>
      <c r="Q209" s="292"/>
      <c r="R209" s="292"/>
      <c r="S209" s="248"/>
      <c r="T209" s="65"/>
    </row>
    <row r="210" spans="1:20" s="42" customFormat="1" ht="15" outlineLevel="1">
      <c r="A210" s="703"/>
      <c r="B210" s="244"/>
      <c r="C210" s="704" t="s">
        <v>16</v>
      </c>
      <c r="D210" s="704"/>
      <c r="E210" s="245"/>
      <c r="F210" s="246"/>
      <c r="G210" s="246"/>
      <c r="H210" s="246"/>
      <c r="I210" s="246"/>
      <c r="J210" s="246"/>
      <c r="K210" s="246"/>
      <c r="L210" s="246"/>
      <c r="M210" s="246"/>
      <c r="N210" s="246"/>
      <c r="O210" s="246"/>
      <c r="P210" s="246"/>
      <c r="Q210" s="246"/>
      <c r="R210" s="246"/>
      <c r="S210" s="247"/>
      <c r="T210" s="145"/>
    </row>
    <row r="211" spans="1:20" ht="15" outlineLevel="1">
      <c r="A211" s="703"/>
      <c r="B211" s="270">
        <v>24</v>
      </c>
      <c r="C211" s="251" t="s">
        <v>17</v>
      </c>
      <c r="D211" s="249" t="s">
        <v>34</v>
      </c>
      <c r="E211" s="249">
        <v>12</v>
      </c>
      <c r="F211" s="294">
        <v>0</v>
      </c>
      <c r="G211" s="294">
        <v>0</v>
      </c>
      <c r="H211" s="293">
        <v>0</v>
      </c>
      <c r="I211" s="293">
        <v>0</v>
      </c>
      <c r="J211" s="293">
        <v>0</v>
      </c>
      <c r="K211" s="293">
        <v>0</v>
      </c>
      <c r="L211" s="293">
        <v>0</v>
      </c>
      <c r="M211" s="293">
        <v>0</v>
      </c>
      <c r="N211" s="293">
        <v>0</v>
      </c>
      <c r="O211" s="293">
        <v>0</v>
      </c>
      <c r="P211" s="293">
        <v>0</v>
      </c>
      <c r="Q211" s="293">
        <v>0</v>
      </c>
      <c r="R211" s="293">
        <v>0</v>
      </c>
      <c r="S211" s="248">
        <f t="shared" ref="S211:S216" si="41">SUM(H211:R211)</f>
        <v>0</v>
      </c>
      <c r="T211" s="65"/>
    </row>
    <row r="212" spans="1:20" ht="15" outlineLevel="1">
      <c r="A212" s="703"/>
      <c r="B212" s="270">
        <v>25</v>
      </c>
      <c r="C212" s="251" t="s">
        <v>18</v>
      </c>
      <c r="D212" s="249" t="s">
        <v>34</v>
      </c>
      <c r="E212" s="249">
        <v>12</v>
      </c>
      <c r="F212" s="294">
        <v>0</v>
      </c>
      <c r="G212" s="294">
        <v>0</v>
      </c>
      <c r="H212" s="293">
        <v>0</v>
      </c>
      <c r="I212" s="293">
        <v>1</v>
      </c>
      <c r="J212" s="293">
        <v>0</v>
      </c>
      <c r="K212" s="293">
        <v>0</v>
      </c>
      <c r="L212" s="293">
        <v>0</v>
      </c>
      <c r="M212" s="293">
        <v>0</v>
      </c>
      <c r="N212" s="293">
        <v>0</v>
      </c>
      <c r="O212" s="293">
        <v>0</v>
      </c>
      <c r="P212" s="293">
        <v>0</v>
      </c>
      <c r="Q212" s="293">
        <v>0</v>
      </c>
      <c r="R212" s="293">
        <v>0</v>
      </c>
      <c r="S212" s="248">
        <f t="shared" si="41"/>
        <v>1</v>
      </c>
      <c r="T212" s="65"/>
    </row>
    <row r="213" spans="1:20" ht="15" outlineLevel="1">
      <c r="A213" s="703"/>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93">
        <v>0</v>
      </c>
      <c r="Q213" s="293">
        <v>0</v>
      </c>
      <c r="R213" s="293">
        <v>0</v>
      </c>
      <c r="S213" s="248">
        <f t="shared" si="41"/>
        <v>0</v>
      </c>
      <c r="T213" s="65"/>
    </row>
    <row r="214" spans="1:20" ht="15" outlineLevel="1">
      <c r="A214" s="703"/>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93">
        <v>0</v>
      </c>
      <c r="Q214" s="293">
        <v>0</v>
      </c>
      <c r="R214" s="293">
        <v>0</v>
      </c>
      <c r="S214" s="248">
        <f t="shared" si="41"/>
        <v>0</v>
      </c>
      <c r="T214" s="65"/>
    </row>
    <row r="215" spans="1:20" ht="15" outlineLevel="1">
      <c r="A215" s="703"/>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93">
        <v>0</v>
      </c>
      <c r="Q215" s="293">
        <v>0</v>
      </c>
      <c r="R215" s="293">
        <v>0</v>
      </c>
      <c r="S215" s="248">
        <f t="shared" si="41"/>
        <v>0</v>
      </c>
      <c r="T215" s="65"/>
    </row>
    <row r="216" spans="1:20" ht="15" outlineLevel="1">
      <c r="A216" s="703"/>
      <c r="B216" s="270"/>
      <c r="C216" s="252" t="s">
        <v>253</v>
      </c>
      <c r="D216" s="249" t="s">
        <v>250</v>
      </c>
      <c r="E216" s="249">
        <v>12</v>
      </c>
      <c r="F216" s="294">
        <v>25</v>
      </c>
      <c r="G216" s="294">
        <v>128400</v>
      </c>
      <c r="H216" s="291">
        <v>0</v>
      </c>
      <c r="I216" s="291">
        <v>1</v>
      </c>
      <c r="J216" s="291">
        <v>0</v>
      </c>
      <c r="K216" s="291">
        <v>0</v>
      </c>
      <c r="L216" s="291">
        <v>0</v>
      </c>
      <c r="M216" s="291">
        <v>0</v>
      </c>
      <c r="N216" s="291">
        <v>0</v>
      </c>
      <c r="O216" s="291">
        <v>0</v>
      </c>
      <c r="P216" s="291">
        <v>0</v>
      </c>
      <c r="Q216" s="291">
        <v>0</v>
      </c>
      <c r="R216" s="291">
        <v>0</v>
      </c>
      <c r="S216" s="248">
        <f t="shared" si="41"/>
        <v>1</v>
      </c>
      <c r="T216" s="65"/>
    </row>
    <row r="217" spans="1:20" ht="14.1" hidden="1" customHeight="1" outlineLevel="1">
      <c r="A217" s="703"/>
      <c r="B217" s="270"/>
      <c r="C217" s="700"/>
      <c r="D217" s="700"/>
      <c r="E217" s="264"/>
      <c r="F217" s="294"/>
      <c r="G217" s="294"/>
      <c r="H217" s="291"/>
      <c r="I217" s="292"/>
      <c r="J217" s="292"/>
      <c r="K217" s="292"/>
      <c r="L217" s="292"/>
      <c r="M217" s="292"/>
      <c r="N217" s="292"/>
      <c r="O217" s="292"/>
      <c r="P217" s="292"/>
      <c r="Q217" s="292"/>
      <c r="R217" s="292"/>
      <c r="S217" s="248"/>
      <c r="T217" s="65"/>
    </row>
    <row r="218" spans="1:20" ht="14.1" hidden="1" customHeight="1" outlineLevel="1">
      <c r="A218" s="703"/>
      <c r="B218" s="270"/>
      <c r="C218" s="700"/>
      <c r="D218" s="700"/>
      <c r="E218" s="264"/>
      <c r="F218" s="294"/>
      <c r="G218" s="294"/>
      <c r="H218" s="291"/>
      <c r="I218" s="292"/>
      <c r="J218" s="292"/>
      <c r="K218" s="292"/>
      <c r="L218" s="292"/>
      <c r="M218" s="292"/>
      <c r="N218" s="292"/>
      <c r="O218" s="292"/>
      <c r="P218" s="292"/>
      <c r="Q218" s="292"/>
      <c r="R218" s="292"/>
      <c r="S218" s="248"/>
      <c r="T218" s="65"/>
    </row>
    <row r="219" spans="1:20" s="42" customFormat="1" ht="15" outlineLevel="1">
      <c r="A219" s="703"/>
      <c r="B219" s="244"/>
      <c r="C219" s="704" t="s">
        <v>106</v>
      </c>
      <c r="D219" s="704"/>
      <c r="E219" s="245"/>
      <c r="F219" s="246"/>
      <c r="G219" s="246"/>
      <c r="H219" s="246"/>
      <c r="I219" s="246"/>
      <c r="J219" s="246"/>
      <c r="K219" s="246"/>
      <c r="L219" s="246"/>
      <c r="M219" s="246"/>
      <c r="N219" s="246"/>
      <c r="O219" s="246"/>
      <c r="P219" s="246"/>
      <c r="Q219" s="246"/>
      <c r="R219" s="246"/>
      <c r="S219" s="247"/>
      <c r="T219" s="145"/>
    </row>
    <row r="220" spans="1:20" ht="15" outlineLevel="1">
      <c r="A220" s="703"/>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93">
        <v>0</v>
      </c>
      <c r="Q220" s="293">
        <v>0</v>
      </c>
      <c r="R220" s="293">
        <v>0</v>
      </c>
      <c r="S220" s="248">
        <f t="shared" ref="S220:S222" si="42">SUM(H220:R220)</f>
        <v>0</v>
      </c>
      <c r="T220" s="65"/>
    </row>
    <row r="221" spans="1:20" ht="15" outlineLevel="1">
      <c r="A221" s="703"/>
      <c r="B221" s="146">
        <v>30</v>
      </c>
      <c r="C221" s="251" t="s">
        <v>107</v>
      </c>
      <c r="D221" s="249" t="s">
        <v>34</v>
      </c>
      <c r="E221" s="249">
        <v>12</v>
      </c>
      <c r="F221" s="294">
        <v>0</v>
      </c>
      <c r="G221" s="294">
        <v>0</v>
      </c>
      <c r="H221" s="293">
        <v>0</v>
      </c>
      <c r="I221" s="293">
        <v>0</v>
      </c>
      <c r="J221" s="293">
        <v>0</v>
      </c>
      <c r="K221" s="293">
        <v>0</v>
      </c>
      <c r="L221" s="293">
        <v>0</v>
      </c>
      <c r="M221" s="293">
        <v>0</v>
      </c>
      <c r="N221" s="293">
        <v>0</v>
      </c>
      <c r="O221" s="293">
        <v>0</v>
      </c>
      <c r="P221" s="293">
        <v>0</v>
      </c>
      <c r="Q221" s="293">
        <v>0</v>
      </c>
      <c r="R221" s="293">
        <v>0</v>
      </c>
      <c r="S221" s="248">
        <f t="shared" si="42"/>
        <v>0</v>
      </c>
      <c r="T221" s="65"/>
    </row>
    <row r="222" spans="1:20" ht="15" outlineLevel="1">
      <c r="A222" s="703"/>
      <c r="B222" s="146"/>
      <c r="C222" s="252" t="s">
        <v>253</v>
      </c>
      <c r="D222" s="249" t="s">
        <v>250</v>
      </c>
      <c r="E222" s="249">
        <v>12</v>
      </c>
      <c r="F222" s="294">
        <v>0</v>
      </c>
      <c r="G222" s="294">
        <v>0</v>
      </c>
      <c r="H222" s="291">
        <v>0</v>
      </c>
      <c r="I222" s="292"/>
      <c r="J222" s="292"/>
      <c r="K222" s="292"/>
      <c r="L222" s="292"/>
      <c r="M222" s="292"/>
      <c r="N222" s="292"/>
      <c r="O222" s="292"/>
      <c r="P222" s="292"/>
      <c r="Q222" s="292"/>
      <c r="R222" s="292"/>
      <c r="S222" s="248">
        <f t="shared" si="42"/>
        <v>0</v>
      </c>
      <c r="T222" s="65"/>
    </row>
    <row r="223" spans="1:20" ht="14.1" hidden="1" customHeight="1" outlineLevel="1">
      <c r="A223" s="703"/>
      <c r="B223" s="146"/>
      <c r="C223" s="700"/>
      <c r="D223" s="700"/>
      <c r="E223" s="264"/>
      <c r="F223" s="294"/>
      <c r="G223" s="294"/>
      <c r="H223" s="291"/>
      <c r="I223" s="292"/>
      <c r="J223" s="292"/>
      <c r="K223" s="292"/>
      <c r="L223" s="292"/>
      <c r="M223" s="292"/>
      <c r="N223" s="292"/>
      <c r="O223" s="292"/>
      <c r="P223" s="292"/>
      <c r="Q223" s="292"/>
      <c r="R223" s="292"/>
      <c r="S223" s="248"/>
      <c r="T223" s="65"/>
    </row>
    <row r="224" spans="1:20" s="42" customFormat="1" ht="14.1" hidden="1" customHeight="1" outlineLevel="1">
      <c r="A224" s="703"/>
      <c r="B224" s="147"/>
      <c r="C224" s="702"/>
      <c r="D224" s="702"/>
      <c r="E224" s="349"/>
      <c r="F224" s="294"/>
      <c r="G224" s="294"/>
      <c r="H224" s="394"/>
      <c r="I224" s="395"/>
      <c r="J224" s="395"/>
      <c r="K224" s="395"/>
      <c r="L224" s="395"/>
      <c r="M224" s="395"/>
      <c r="N224" s="395"/>
      <c r="O224" s="395"/>
      <c r="P224" s="395"/>
      <c r="Q224" s="395"/>
      <c r="R224" s="395"/>
      <c r="S224" s="379"/>
      <c r="T224" s="145"/>
    </row>
    <row r="225" spans="1:20" ht="15" collapsed="1">
      <c r="A225" s="703"/>
      <c r="B225" s="350"/>
      <c r="C225" s="701" t="s">
        <v>218</v>
      </c>
      <c r="D225" s="701"/>
      <c r="E225" s="351"/>
      <c r="F225" s="352"/>
      <c r="G225" s="352"/>
      <c r="H225" s="353">
        <f>IF(H168="kWh",SUMPRODUCT(H169:H222,$G$169:$G$222),)</f>
        <v>2066812.6926175747</v>
      </c>
      <c r="I225" s="353">
        <f t="shared" ref="I225:R225" si="43">IF(I168="kWh",SUMPRODUCT(I169:I222,$G$169:$G$222),)</f>
        <v>2073574.5358256537</v>
      </c>
      <c r="J225" s="353">
        <f t="shared" si="43"/>
        <v>0</v>
      </c>
      <c r="K225" s="353">
        <f t="shared" si="43"/>
        <v>0</v>
      </c>
      <c r="L225" s="353">
        <f t="shared" si="43"/>
        <v>0</v>
      </c>
      <c r="M225" s="353">
        <f t="shared" si="43"/>
        <v>0</v>
      </c>
      <c r="N225" s="353">
        <f t="shared" si="43"/>
        <v>0</v>
      </c>
      <c r="O225" s="353">
        <f t="shared" si="43"/>
        <v>0</v>
      </c>
      <c r="P225" s="353">
        <f t="shared" si="43"/>
        <v>0</v>
      </c>
      <c r="Q225" s="353">
        <f t="shared" si="43"/>
        <v>0</v>
      </c>
      <c r="R225" s="353">
        <f t="shared" si="43"/>
        <v>0</v>
      </c>
      <c r="S225" s="355">
        <f>SUM(H225:R225)</f>
        <v>4140387.2284432286</v>
      </c>
      <c r="T225" s="65"/>
    </row>
    <row r="226" spans="1:20" ht="15">
      <c r="A226" s="703"/>
      <c r="B226" s="486"/>
      <c r="C226" s="487" t="s">
        <v>498</v>
      </c>
      <c r="D226" s="487"/>
      <c r="E226" s="488"/>
      <c r="F226" s="489"/>
      <c r="G226" s="489"/>
      <c r="H226" s="490">
        <f>IF(H168="kWh",H225-SUM(G175*H175,G176*H176),)</f>
        <v>2057382.0726175746</v>
      </c>
      <c r="I226" s="490">
        <f t="shared" ref="I226:R226" si="44">IF(I168="kWh",I225-SUM(H175*I175,H176*I176),)</f>
        <v>2073574.5358256537</v>
      </c>
      <c r="J226" s="490">
        <f t="shared" si="44"/>
        <v>0</v>
      </c>
      <c r="K226" s="490">
        <f t="shared" si="44"/>
        <v>0</v>
      </c>
      <c r="L226" s="490">
        <f t="shared" si="44"/>
        <v>0</v>
      </c>
      <c r="M226" s="490">
        <f t="shared" si="44"/>
        <v>0</v>
      </c>
      <c r="N226" s="490">
        <f t="shared" si="44"/>
        <v>0</v>
      </c>
      <c r="O226" s="490">
        <f t="shared" si="44"/>
        <v>0</v>
      </c>
      <c r="P226" s="490">
        <f t="shared" si="44"/>
        <v>0</v>
      </c>
      <c r="Q226" s="490">
        <f t="shared" si="44"/>
        <v>0</v>
      </c>
      <c r="R226" s="490">
        <f t="shared" si="44"/>
        <v>0</v>
      </c>
      <c r="S226" s="355">
        <f t="shared" ref="S226:S228" si="45">SUM(H226:R226)</f>
        <v>4130956.6084432285</v>
      </c>
      <c r="T226" s="65"/>
    </row>
    <row r="227" spans="1:20" ht="15">
      <c r="A227" s="703"/>
      <c r="B227" s="271"/>
      <c r="C227" s="700" t="s">
        <v>315</v>
      </c>
      <c r="D227" s="700"/>
      <c r="E227" s="265"/>
      <c r="F227" s="263"/>
      <c r="G227" s="263"/>
      <c r="H227" s="266">
        <f t="shared" ref="H227:I227" si="46">IF(H168="kW",SUMPRODUCT(H169:H222,$E$169:$E$222,$F$169:$F$222),)</f>
        <v>0</v>
      </c>
      <c r="I227" s="266">
        <f t="shared" si="46"/>
        <v>0</v>
      </c>
      <c r="J227" s="266">
        <f>IF(J168="kW",SUMPRODUCT(J169:J222,$E$169:$E$222,$F$169:$F$222),)</f>
        <v>7114.5649388194579</v>
      </c>
      <c r="K227" s="266">
        <f t="shared" ref="K227:R227" si="47">IF(K168="kW",SUMPRODUCT(K169:K222,$E$169:$E$222,$F$169:$F$222),)</f>
        <v>2968.3551095793737</v>
      </c>
      <c r="L227" s="266">
        <f t="shared" si="47"/>
        <v>0</v>
      </c>
      <c r="M227" s="266">
        <f t="shared" si="47"/>
        <v>364.76108233503066</v>
      </c>
      <c r="N227" s="266">
        <f t="shared" si="47"/>
        <v>0</v>
      </c>
      <c r="O227" s="266">
        <f t="shared" si="47"/>
        <v>1436.2754477695548</v>
      </c>
      <c r="P227" s="266">
        <f t="shared" si="47"/>
        <v>0</v>
      </c>
      <c r="Q227" s="266">
        <f t="shared" si="47"/>
        <v>0</v>
      </c>
      <c r="R227" s="266">
        <f t="shared" si="47"/>
        <v>0</v>
      </c>
      <c r="S227" s="355">
        <f t="shared" si="45"/>
        <v>11883.956578503417</v>
      </c>
      <c r="T227" s="65"/>
    </row>
    <row r="228" spans="1:20" ht="15">
      <c r="A228" s="703"/>
      <c r="B228" s="271"/>
      <c r="C228" s="700" t="s">
        <v>494</v>
      </c>
      <c r="D228" s="700"/>
      <c r="E228" s="265"/>
      <c r="F228" s="263"/>
      <c r="G228" s="263"/>
      <c r="H228" s="266">
        <f t="shared" ref="H228:I228" si="48">IF(H168="kW",H227-($E$185*$F$185*H185),)</f>
        <v>0</v>
      </c>
      <c r="I228" s="266">
        <f t="shared" si="48"/>
        <v>0</v>
      </c>
      <c r="J228" s="266">
        <f>IF(J168="kW",J227-($E$185*$F$185*J185),)</f>
        <v>7114.5649388194579</v>
      </c>
      <c r="K228" s="266">
        <f t="shared" ref="K228:R228" si="49">IF(K168="kW",K227-($E$185*$F$185*K185),)</f>
        <v>2968.3551095793737</v>
      </c>
      <c r="L228" s="266">
        <f t="shared" si="49"/>
        <v>0</v>
      </c>
      <c r="M228" s="266">
        <f t="shared" si="49"/>
        <v>364.76108233503066</v>
      </c>
      <c r="N228" s="266">
        <f t="shared" si="49"/>
        <v>0</v>
      </c>
      <c r="O228" s="266">
        <f t="shared" si="49"/>
        <v>1436.2754477695548</v>
      </c>
      <c r="P228" s="266">
        <f t="shared" si="49"/>
        <v>0</v>
      </c>
      <c r="Q228" s="266">
        <f t="shared" si="49"/>
        <v>0</v>
      </c>
      <c r="R228" s="266">
        <f t="shared" si="49"/>
        <v>0</v>
      </c>
      <c r="S228" s="355">
        <f t="shared" si="45"/>
        <v>11883.956578503417</v>
      </c>
      <c r="T228" s="65"/>
    </row>
    <row r="229" spans="1:20" ht="15">
      <c r="A229" s="703"/>
      <c r="B229" s="273"/>
      <c r="C229" s="707"/>
      <c r="D229" s="707"/>
      <c r="E229" s="258"/>
      <c r="F229" s="256"/>
      <c r="G229" s="256"/>
      <c r="H229" s="258"/>
      <c r="I229" s="258"/>
      <c r="J229" s="258"/>
      <c r="K229" s="258"/>
      <c r="L229" s="258"/>
      <c r="M229" s="258"/>
      <c r="N229" s="258"/>
      <c r="O229" s="258"/>
      <c r="P229" s="258"/>
      <c r="Q229" s="258"/>
      <c r="R229" s="258"/>
      <c r="S229" s="274"/>
      <c r="T229" s="65"/>
    </row>
    <row r="230" spans="1:20" ht="15">
      <c r="A230" s="703"/>
      <c r="B230" s="377"/>
      <c r="C230" s="698" t="s">
        <v>319</v>
      </c>
      <c r="D230" s="698"/>
      <c r="E230" s="249"/>
      <c r="F230" s="260"/>
      <c r="G230" s="249"/>
      <c r="H230" s="261">
        <f>'3.  Distribution Rates'!G36</f>
        <v>1.5900000000000001E-2</v>
      </c>
      <c r="I230" s="261">
        <f>'3.  Distribution Rates'!G37</f>
        <v>1.6899999999999998E-2</v>
      </c>
      <c r="J230" s="261">
        <f>'3.  Distribution Rates'!G38</f>
        <v>3.0556000000000001</v>
      </c>
      <c r="K230" s="261">
        <f>'3.  Distribution Rates'!G39</f>
        <v>2.4556</v>
      </c>
      <c r="L230" s="261">
        <f>'3.  Distribution Rates'!G40</f>
        <v>1.4013</v>
      </c>
      <c r="M230" s="261">
        <f>'3.  Distribution Rates'!G41</f>
        <v>0.80130000000000001</v>
      </c>
      <c r="N230" s="261">
        <f>'3.  Distribution Rates'!G42</f>
        <v>1.6715</v>
      </c>
      <c r="O230" s="261">
        <f>'3.  Distribution Rates'!G43</f>
        <v>1.0714999999999999</v>
      </c>
      <c r="P230" s="261">
        <f>'3.  Distribution Rates'!G44</f>
        <v>1.84E-2</v>
      </c>
      <c r="Q230" s="261">
        <f>'3.  Distribution Rates'!G45</f>
        <v>10.862</v>
      </c>
      <c r="R230" s="261">
        <f>'3.  Distribution Rates'!G46</f>
        <v>3.6017999999999999</v>
      </c>
      <c r="S230" s="378"/>
      <c r="T230" s="65"/>
    </row>
    <row r="231" spans="1:20" ht="15">
      <c r="A231" s="703"/>
      <c r="B231" s="377"/>
      <c r="C231" s="698" t="s">
        <v>232</v>
      </c>
      <c r="D231" s="698"/>
      <c r="E231" s="258"/>
      <c r="F231" s="260"/>
      <c r="G231" s="260"/>
      <c r="H231" s="374">
        <f>H$230*'6.  Persistence Rates'!D315</f>
        <v>44614.02335288818</v>
      </c>
      <c r="I231" s="374">
        <f>I$230*'6.  Persistence Rates'!E315</f>
        <v>14829.541535655695</v>
      </c>
      <c r="J231" s="374">
        <f>J$230*'6.  Persistence Rates'!F315</f>
        <v>23040.249607188558</v>
      </c>
      <c r="K231" s="374">
        <f>K$230*'6.  Persistence Rates'!G315</f>
        <v>11696.942451358813</v>
      </c>
      <c r="L231" s="374">
        <f>L$230*'6.  Persistence Rates'!H315</f>
        <v>0</v>
      </c>
      <c r="M231" s="374">
        <f>M$230*'6.  Persistence Rates'!I315</f>
        <v>0</v>
      </c>
      <c r="N231" s="374">
        <f>N$230*'6.  Persistence Rates'!J315</f>
        <v>0</v>
      </c>
      <c r="O231" s="374">
        <f>O$230*'6.  Persistence Rates'!K315</f>
        <v>257.1262362455131</v>
      </c>
      <c r="P231" s="374">
        <f>P$230*'6.  Persistence Rates'!L315</f>
        <v>0</v>
      </c>
      <c r="Q231" s="374">
        <f>Q$230*'6.  Persistence Rates'!M315</f>
        <v>0</v>
      </c>
      <c r="R231" s="374">
        <f>R$230*'6.  Persistence Rates'!N315</f>
        <v>0</v>
      </c>
      <c r="S231" s="275">
        <f>SUM(H231:R231)</f>
        <v>94437.883183336759</v>
      </c>
      <c r="T231" s="65"/>
    </row>
    <row r="232" spans="1:20" ht="15">
      <c r="A232" s="703"/>
      <c r="B232" s="377"/>
      <c r="C232" s="698" t="s">
        <v>233</v>
      </c>
      <c r="D232" s="698"/>
      <c r="E232" s="258"/>
      <c r="F232" s="260"/>
      <c r="G232" s="260"/>
      <c r="H232" s="374">
        <f>H$230*'6.  Persistence Rates'!D320</f>
        <v>29132.656785266223</v>
      </c>
      <c r="I232" s="374">
        <f>I$230*'6.  Persistence Rates'!E320</f>
        <v>29634.431936138673</v>
      </c>
      <c r="J232" s="374">
        <f>J$230*'6.  Persistence Rates'!F320</f>
        <v>28137.473269322152</v>
      </c>
      <c r="K232" s="374">
        <f>K$230*'6.  Persistence Rates'!G320</f>
        <v>14949.053644103224</v>
      </c>
      <c r="L232" s="374">
        <f>L$230*'6.  Persistence Rates'!H320</f>
        <v>0</v>
      </c>
      <c r="M232" s="374">
        <f>M$230*'6.  Persistence Rates'!I320</f>
        <v>34.272406325149397</v>
      </c>
      <c r="N232" s="374">
        <f>N$230*'6.  Persistence Rates'!J320</f>
        <v>0</v>
      </c>
      <c r="O232" s="374">
        <f>O$230*'6.  Persistence Rates'!K320</f>
        <v>381.90943235365012</v>
      </c>
      <c r="P232" s="374">
        <f>P$230*'6.  Persistence Rates'!L320</f>
        <v>0</v>
      </c>
      <c r="Q232" s="374">
        <f>Q$230*'6.  Persistence Rates'!M320</f>
        <v>0</v>
      </c>
      <c r="R232" s="374">
        <f>R$230*'6.  Persistence Rates'!N320</f>
        <v>0</v>
      </c>
      <c r="S232" s="275">
        <f t="shared" ref="S232:S233" si="50">SUM(H232:R232)</f>
        <v>102269.7974735091</v>
      </c>
      <c r="T232" s="65"/>
    </row>
    <row r="233" spans="1:20" ht="15">
      <c r="A233" s="703"/>
      <c r="B233" s="377"/>
      <c r="C233" s="698" t="s">
        <v>234</v>
      </c>
      <c r="D233" s="698"/>
      <c r="E233" s="258"/>
      <c r="F233" s="260"/>
      <c r="G233" s="260"/>
      <c r="H233" s="374">
        <f>IF(H168="kWh",H225,H227)*H230</f>
        <v>32862.321812619441</v>
      </c>
      <c r="I233" s="374">
        <f t="shared" ref="I233:R233" si="51">IF(I168="kWh",I225,I227)*I230</f>
        <v>35043.409655453543</v>
      </c>
      <c r="J233" s="374">
        <f t="shared" si="51"/>
        <v>21739.264627056735</v>
      </c>
      <c r="K233" s="374">
        <f t="shared" si="51"/>
        <v>7289.0928070831096</v>
      </c>
      <c r="L233" s="374">
        <f t="shared" si="51"/>
        <v>0</v>
      </c>
      <c r="M233" s="374">
        <f t="shared" si="51"/>
        <v>292.28305527506006</v>
      </c>
      <c r="N233" s="374">
        <f t="shared" si="51"/>
        <v>0</v>
      </c>
      <c r="O233" s="374">
        <f t="shared" si="51"/>
        <v>1538.9691422850779</v>
      </c>
      <c r="P233" s="374">
        <f t="shared" si="51"/>
        <v>0</v>
      </c>
      <c r="Q233" s="374">
        <f t="shared" si="51"/>
        <v>0</v>
      </c>
      <c r="R233" s="374">
        <f t="shared" si="51"/>
        <v>0</v>
      </c>
      <c r="S233" s="275">
        <f t="shared" si="50"/>
        <v>98765.341099772952</v>
      </c>
      <c r="T233" s="65"/>
    </row>
    <row r="234" spans="1:20" ht="15">
      <c r="A234" s="703"/>
      <c r="B234" s="273"/>
      <c r="C234" s="375" t="s">
        <v>99</v>
      </c>
      <c r="D234" s="258"/>
      <c r="E234" s="258"/>
      <c r="F234" s="256"/>
      <c r="G234" s="256"/>
      <c r="H234" s="262">
        <f>SUM(H231:H233)</f>
        <v>106609.00195077385</v>
      </c>
      <c r="I234" s="262">
        <f>SUM(I231:I233)</f>
        <v>79507.383127247915</v>
      </c>
      <c r="J234" s="262">
        <f>SUM(J231:J233)</f>
        <v>72916.987503567449</v>
      </c>
      <c r="K234" s="262">
        <f>SUM(K231:K233)</f>
        <v>33935.088902545147</v>
      </c>
      <c r="L234" s="262">
        <f>SUM(L231:L233)</f>
        <v>0</v>
      </c>
      <c r="M234" s="262">
        <f t="shared" ref="M234:R234" si="52">SUM(M231:M233)</f>
        <v>326.55546160020947</v>
      </c>
      <c r="N234" s="262">
        <f t="shared" si="52"/>
        <v>0</v>
      </c>
      <c r="O234" s="262">
        <f t="shared" si="52"/>
        <v>2178.0048108842411</v>
      </c>
      <c r="P234" s="262">
        <f t="shared" si="52"/>
        <v>0</v>
      </c>
      <c r="Q234" s="262">
        <f t="shared" si="52"/>
        <v>0</v>
      </c>
      <c r="R234" s="262">
        <f t="shared" si="52"/>
        <v>0</v>
      </c>
      <c r="S234" s="276">
        <f>SUM(S231:S233)</f>
        <v>295473.02175661881</v>
      </c>
      <c r="T234" s="65"/>
    </row>
    <row r="235" spans="1:20" ht="15">
      <c r="A235" s="703"/>
      <c r="B235" s="273"/>
      <c r="C235" s="698" t="s">
        <v>102</v>
      </c>
      <c r="D235" s="698"/>
      <c r="E235" s="258"/>
      <c r="F235" s="256"/>
      <c r="G235" s="256"/>
      <c r="H235" s="249">
        <f>'6.  Persistence Rates'!D325</f>
        <v>2054098.2375918212</v>
      </c>
      <c r="I235" s="249">
        <f>'6.  Persistence Rates'!E325</f>
        <v>2070067.4747403529</v>
      </c>
      <c r="J235" s="249">
        <f>'6.  Persistence Rates'!F325</f>
        <v>7084.3178768447387</v>
      </c>
      <c r="K235" s="249">
        <f>'6.  Persistence Rates'!G325</f>
        <v>2954.1343383597341</v>
      </c>
      <c r="L235" s="249">
        <f>'6.  Persistence Rates'!H325</f>
        <v>0</v>
      </c>
      <c r="M235" s="249">
        <f>'6.  Persistence Rates'!I325</f>
        <v>363.06884844720798</v>
      </c>
      <c r="N235" s="249">
        <f>'6.  Persistence Rates'!J325</f>
        <v>0</v>
      </c>
      <c r="O235" s="249">
        <f>'6.  Persistence Rates'!K325</f>
        <v>1431.1680447146518</v>
      </c>
      <c r="P235" s="249">
        <f>'6.  Persistence Rates'!L325</f>
        <v>0</v>
      </c>
      <c r="Q235" s="249">
        <f>'6.  Persistence Rates'!M325</f>
        <v>0</v>
      </c>
      <c r="R235" s="249">
        <f>'6.  Persistence Rates'!N325</f>
        <v>0</v>
      </c>
      <c r="S235" s="274"/>
      <c r="T235" s="65"/>
    </row>
    <row r="236" spans="1:20" ht="15">
      <c r="A236" s="243"/>
      <c r="B236" s="277"/>
      <c r="C236" s="699" t="s">
        <v>425</v>
      </c>
      <c r="D236" s="699"/>
      <c r="E236" s="278"/>
      <c r="F236" s="279"/>
      <c r="G236" s="279"/>
      <c r="H236" s="515">
        <f>'6.  Persistence Rates'!D326</f>
        <v>2021755.351507908</v>
      </c>
      <c r="I236" s="515">
        <f>'6.  Persistence Rates'!E326</f>
        <v>2046423.0116458214</v>
      </c>
      <c r="J236" s="515">
        <f>'6.  Persistence Rates'!F326</f>
        <v>6879.9282955093695</v>
      </c>
      <c r="K236" s="515">
        <f>'6.  Persistence Rates'!G326</f>
        <v>2972.5136494166918</v>
      </c>
      <c r="L236" s="515">
        <f>'6.  Persistence Rates'!H326</f>
        <v>0</v>
      </c>
      <c r="M236" s="515">
        <f>'6.  Persistence Rates'!I326</f>
        <v>359.88748935331091</v>
      </c>
      <c r="N236" s="515">
        <f>'6.  Persistence Rates'!J326</f>
        <v>0</v>
      </c>
      <c r="O236" s="515">
        <f>'6.  Persistence Rates'!K326</f>
        <v>1265.4776132794386</v>
      </c>
      <c r="P236" s="515">
        <f>'6.  Persistence Rates'!L326</f>
        <v>0</v>
      </c>
      <c r="Q236" s="515">
        <f>'6.  Persistence Rates'!M326</f>
        <v>0</v>
      </c>
      <c r="R236" s="515">
        <f>'6.  Persistence Rates'!N326</f>
        <v>0</v>
      </c>
      <c r="S236" s="280"/>
      <c r="T236" s="65"/>
    </row>
    <row r="237" spans="1:20" ht="14.1" hidden="1" customHeight="1">
      <c r="A237" s="243"/>
      <c r="B237" s="273"/>
      <c r="C237" s="698" t="s">
        <v>426</v>
      </c>
      <c r="D237" s="698"/>
      <c r="E237" s="258"/>
      <c r="F237" s="256"/>
      <c r="G237" s="256"/>
      <c r="H237" s="249">
        <f>'6.  Persistence Rates'!D327</f>
        <v>1882399.6546858018</v>
      </c>
      <c r="I237" s="249">
        <f>'6.  Persistence Rates'!E327</f>
        <v>1928537.4289443535</v>
      </c>
      <c r="J237" s="249">
        <f>'6.  Persistence Rates'!F327</f>
        <v>6866.262672176993</v>
      </c>
      <c r="K237" s="249">
        <f>'6.  Persistence Rates'!G327</f>
        <v>2972.8882875047352</v>
      </c>
      <c r="L237" s="249">
        <f>'6.  Persistence Rates'!H327</f>
        <v>0</v>
      </c>
      <c r="M237" s="249">
        <f>'6.  Persistence Rates'!I327</f>
        <v>359.88748935331091</v>
      </c>
      <c r="N237" s="249">
        <f>'6.  Persistence Rates'!J327</f>
        <v>0</v>
      </c>
      <c r="O237" s="249">
        <f>'6.  Persistence Rates'!K327</f>
        <v>1264.1814142546464</v>
      </c>
      <c r="P237" s="249">
        <f>'6.  Persistence Rates'!L327</f>
        <v>0</v>
      </c>
      <c r="Q237" s="249">
        <f>'6.  Persistence Rates'!M327</f>
        <v>0</v>
      </c>
      <c r="R237" s="249">
        <f>'6.  Persistence Rates'!N327</f>
        <v>0</v>
      </c>
      <c r="S237" s="274"/>
      <c r="T237" s="65"/>
    </row>
    <row r="238" spans="1:20" ht="14.1" hidden="1" customHeight="1">
      <c r="A238" s="243"/>
      <c r="B238" s="273"/>
      <c r="C238" s="698" t="s">
        <v>427</v>
      </c>
      <c r="D238" s="698"/>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49" t="e">
        <f>$M$227*'6.  Persistence Rates'!$V$27</f>
        <v>#DIV/0!</v>
      </c>
      <c r="Q238" s="249" t="e">
        <f>$N$225*'6.  Persistence Rates'!$J$27</f>
        <v>#DIV/0!</v>
      </c>
      <c r="R238" s="258"/>
      <c r="S238" s="274"/>
      <c r="T238" s="65"/>
    </row>
    <row r="239" spans="1:20" ht="14.1" hidden="1" customHeight="1">
      <c r="A239" s="243"/>
      <c r="B239" s="273"/>
      <c r="C239" s="698" t="s">
        <v>428</v>
      </c>
      <c r="D239" s="698"/>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49" t="e">
        <f>$M$227*'6.  Persistence Rates'!$W$27</f>
        <v>#DIV/0!</v>
      </c>
      <c r="Q239" s="249" t="e">
        <f>$N$225*'6.  Persistence Rates'!$K$27</f>
        <v>#DIV/0!</v>
      </c>
      <c r="R239" s="258"/>
      <c r="S239" s="274"/>
      <c r="T239" s="65"/>
    </row>
    <row r="240" spans="1:20" ht="14.1" hidden="1" customHeight="1">
      <c r="A240" s="243"/>
      <c r="B240" s="273"/>
      <c r="C240" s="698" t="s">
        <v>429</v>
      </c>
      <c r="D240" s="698"/>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49" t="e">
        <f>$M$227*'6.  Persistence Rates'!$X$27</f>
        <v>#DIV/0!</v>
      </c>
      <c r="Q240" s="249" t="e">
        <f>$N$225*'6.  Persistence Rates'!$L$27</f>
        <v>#DIV/0!</v>
      </c>
      <c r="R240" s="258"/>
      <c r="S240" s="274"/>
      <c r="T240" s="65"/>
    </row>
    <row r="241" spans="1:20" ht="14.1" hidden="1" customHeight="1">
      <c r="A241" s="243"/>
      <c r="B241" s="277"/>
      <c r="C241" s="699" t="s">
        <v>430</v>
      </c>
      <c r="D241" s="699"/>
      <c r="E241" s="278"/>
      <c r="F241" s="279"/>
      <c r="G241" s="279"/>
      <c r="H241" s="515" t="e">
        <f>$H$226*'6.  Persistence Rates'!$M$27</f>
        <v>#DIV/0!</v>
      </c>
      <c r="I241" s="515" t="e">
        <f>$I$226*'6.  Persistence Rates'!$M$27</f>
        <v>#DIV/0!</v>
      </c>
      <c r="J241" s="515" t="e">
        <f>$J$228*'6.  Persistence Rates'!$Y$27</f>
        <v>#DIV/0!</v>
      </c>
      <c r="K241" s="515" t="e">
        <f>$K$228*'6.  Persistence Rates'!$Y$27</f>
        <v>#DIV/0!</v>
      </c>
      <c r="L241" s="515" t="e">
        <f>$L$227*'6.  Persistence Rates'!$Y$27</f>
        <v>#DIV/0!</v>
      </c>
      <c r="M241" s="515" t="e">
        <f>$M$227*'6.  Persistence Rates'!$Y$27</f>
        <v>#DIV/0!</v>
      </c>
      <c r="N241" s="515" t="e">
        <f>$N$225*'6.  Persistence Rates'!$M$27</f>
        <v>#DIV/0!</v>
      </c>
      <c r="O241" s="278"/>
      <c r="P241" s="515" t="e">
        <f>$M$227*'6.  Persistence Rates'!$Y$27</f>
        <v>#DIV/0!</v>
      </c>
      <c r="Q241" s="515" t="e">
        <f>$N$225*'6.  Persistence Rates'!$M$27</f>
        <v>#DIV/0!</v>
      </c>
      <c r="R241" s="278"/>
      <c r="S241" s="280"/>
      <c r="T241" s="65"/>
    </row>
    <row r="242" spans="1:20">
      <c r="B242" s="68"/>
      <c r="C242" s="139"/>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706" t="s">
        <v>352</v>
      </c>
      <c r="C244" s="706"/>
      <c r="D244" s="706"/>
      <c r="E244" s="706"/>
      <c r="F244" s="706"/>
      <c r="G244" s="706"/>
      <c r="H244" s="706"/>
      <c r="I244" s="706"/>
      <c r="J244" s="706"/>
      <c r="K244" s="706"/>
      <c r="L244" s="706"/>
      <c r="M244" s="706"/>
      <c r="N244" s="706"/>
      <c r="O244" s="706"/>
      <c r="P244" s="706"/>
      <c r="Q244" s="706"/>
      <c r="R244" s="706"/>
      <c r="S244" s="706"/>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94" t="s">
        <v>59</v>
      </c>
      <c r="C246" s="696" t="s">
        <v>0</v>
      </c>
      <c r="D246" s="696" t="s">
        <v>45</v>
      </c>
      <c r="E246" s="696" t="s">
        <v>202</v>
      </c>
      <c r="F246" s="268" t="s">
        <v>46</v>
      </c>
      <c r="G246" s="268" t="s">
        <v>199</v>
      </c>
      <c r="H246" s="708" t="s">
        <v>60</v>
      </c>
      <c r="I246" s="709"/>
      <c r="J246" s="709"/>
      <c r="K246" s="709"/>
      <c r="L246" s="709"/>
      <c r="M246" s="709"/>
      <c r="N246" s="709"/>
      <c r="O246" s="709"/>
      <c r="P246" s="709"/>
      <c r="Q246" s="709"/>
      <c r="R246" s="709"/>
      <c r="S246" s="710"/>
      <c r="T246" s="65"/>
    </row>
    <row r="247" spans="1:20" ht="57.95" customHeight="1">
      <c r="B247" s="695"/>
      <c r="C247" s="697"/>
      <c r="D247" s="697"/>
      <c r="E247" s="697"/>
      <c r="F247" s="135" t="s">
        <v>103</v>
      </c>
      <c r="G247" s="135" t="s">
        <v>104</v>
      </c>
      <c r="H247" s="135" t="str">
        <f>H167</f>
        <v>Residential</v>
      </c>
      <c r="I247" s="135" t="str">
        <f t="shared" ref="I247:O247" si="53">I167</f>
        <v>GS &lt; 50 kW</v>
      </c>
      <c r="J247" s="135" t="str">
        <f t="shared" si="53"/>
        <v>GS 50 to 2,999 kW</v>
      </c>
      <c r="K247" s="135" t="str">
        <f t="shared" si="53"/>
        <v>GS 50 to 2,999 kW with owned transformer</v>
      </c>
      <c r="L247" s="135" t="str">
        <f t="shared" si="53"/>
        <v>GS 3,000 to 4,999 kW</v>
      </c>
      <c r="M247" s="135" t="str">
        <f t="shared" si="53"/>
        <v>GS 3,000 to 4,999 kW with owned transformer</v>
      </c>
      <c r="N247" s="135" t="str">
        <f t="shared" si="53"/>
        <v>Large Use</v>
      </c>
      <c r="O247" s="135" t="str">
        <f t="shared" si="53"/>
        <v>Large Use with owned transformer</v>
      </c>
      <c r="P247" s="135" t="str">
        <f t="shared" ref="P247:R247" si="54">P167</f>
        <v>Unmetered Scattered Load</v>
      </c>
      <c r="Q247" s="135" t="str">
        <f t="shared" si="54"/>
        <v>Sentinel Lighting</v>
      </c>
      <c r="R247" s="135" t="str">
        <f t="shared" si="54"/>
        <v>Street Lighting</v>
      </c>
      <c r="S247" s="376" t="s">
        <v>35</v>
      </c>
      <c r="T247" s="65"/>
    </row>
    <row r="248" spans="1:20" s="42" customFormat="1" ht="15" customHeight="1" outlineLevel="1">
      <c r="A248" s="705">
        <v>2014</v>
      </c>
      <c r="B248" s="244"/>
      <c r="C248" s="704" t="s">
        <v>1</v>
      </c>
      <c r="D248" s="704"/>
      <c r="E248" s="245"/>
      <c r="F248" s="246"/>
      <c r="G248" s="246"/>
      <c r="H248" s="211" t="str">
        <f>H$21</f>
        <v>kWh</v>
      </c>
      <c r="I248" s="211" t="str">
        <f t="shared" ref="I248:R248" si="55">I$21</f>
        <v>kWh</v>
      </c>
      <c r="J248" s="211" t="str">
        <f t="shared" si="55"/>
        <v>kW</v>
      </c>
      <c r="K248" s="211" t="str">
        <f t="shared" si="55"/>
        <v>kW</v>
      </c>
      <c r="L248" s="211" t="str">
        <f t="shared" si="55"/>
        <v>kW</v>
      </c>
      <c r="M248" s="211" t="str">
        <f t="shared" si="55"/>
        <v>kW</v>
      </c>
      <c r="N248" s="211" t="str">
        <f t="shared" si="55"/>
        <v>kW</v>
      </c>
      <c r="O248" s="211" t="str">
        <f t="shared" si="55"/>
        <v>kW</v>
      </c>
      <c r="P248" s="211" t="str">
        <f t="shared" si="55"/>
        <v>kWh</v>
      </c>
      <c r="Q248" s="211" t="str">
        <f t="shared" si="55"/>
        <v>kW</v>
      </c>
      <c r="R248" s="211" t="str">
        <f t="shared" si="55"/>
        <v>kW</v>
      </c>
      <c r="S248" s="247"/>
      <c r="T248" s="145"/>
    </row>
    <row r="249" spans="1:20" ht="15" outlineLevel="1">
      <c r="A249" s="705"/>
      <c r="B249" s="270">
        <v>1</v>
      </c>
      <c r="C249" s="251" t="s">
        <v>2</v>
      </c>
      <c r="D249" s="249" t="s">
        <v>34</v>
      </c>
      <c r="E249" s="249">
        <v>12</v>
      </c>
      <c r="F249" s="294">
        <v>17.477</v>
      </c>
      <c r="G249" s="294">
        <v>118339.781</v>
      </c>
      <c r="H249" s="293">
        <v>1</v>
      </c>
      <c r="I249" s="293">
        <v>0</v>
      </c>
      <c r="J249" s="293">
        <v>0</v>
      </c>
      <c r="K249" s="293">
        <v>0</v>
      </c>
      <c r="L249" s="293">
        <v>0</v>
      </c>
      <c r="M249" s="293">
        <v>0</v>
      </c>
      <c r="N249" s="293">
        <v>0</v>
      </c>
      <c r="O249" s="293">
        <v>0</v>
      </c>
      <c r="P249" s="293">
        <v>0</v>
      </c>
      <c r="Q249" s="293">
        <v>0</v>
      </c>
      <c r="R249" s="293">
        <v>0</v>
      </c>
      <c r="S249" s="248">
        <f t="shared" ref="S249:S258" si="56">SUM(H249:R249)</f>
        <v>1</v>
      </c>
      <c r="T249" s="65"/>
    </row>
    <row r="250" spans="1:20" ht="15" outlineLevel="1">
      <c r="A250" s="705"/>
      <c r="B250" s="270">
        <v>2</v>
      </c>
      <c r="C250" s="251" t="s">
        <v>3</v>
      </c>
      <c r="D250" s="249" t="s">
        <v>34</v>
      </c>
      <c r="E250" s="249">
        <v>12</v>
      </c>
      <c r="F250" s="294">
        <v>28.8</v>
      </c>
      <c r="G250" s="294">
        <v>51352.142999999996</v>
      </c>
      <c r="H250" s="293">
        <v>1</v>
      </c>
      <c r="I250" s="293">
        <v>0</v>
      </c>
      <c r="J250" s="293">
        <v>0</v>
      </c>
      <c r="K250" s="293">
        <v>0</v>
      </c>
      <c r="L250" s="293">
        <v>0</v>
      </c>
      <c r="M250" s="293">
        <v>0</v>
      </c>
      <c r="N250" s="293">
        <v>0</v>
      </c>
      <c r="O250" s="293">
        <v>0</v>
      </c>
      <c r="P250" s="293">
        <v>0</v>
      </c>
      <c r="Q250" s="293">
        <v>0</v>
      </c>
      <c r="R250" s="293">
        <v>0</v>
      </c>
      <c r="S250" s="248">
        <f t="shared" si="56"/>
        <v>1</v>
      </c>
      <c r="T250" s="65"/>
    </row>
    <row r="251" spans="1:20" ht="15" outlineLevel="1">
      <c r="A251" s="705"/>
      <c r="B251" s="270">
        <v>3</v>
      </c>
      <c r="C251" s="251" t="s">
        <v>4</v>
      </c>
      <c r="D251" s="249" t="s">
        <v>34</v>
      </c>
      <c r="E251" s="249">
        <v>12</v>
      </c>
      <c r="F251" s="294">
        <v>604.07299999999998</v>
      </c>
      <c r="G251" s="294">
        <v>1119473.753</v>
      </c>
      <c r="H251" s="293">
        <v>1</v>
      </c>
      <c r="I251" s="293">
        <v>0</v>
      </c>
      <c r="J251" s="293">
        <v>0</v>
      </c>
      <c r="K251" s="293">
        <v>0</v>
      </c>
      <c r="L251" s="293">
        <v>0</v>
      </c>
      <c r="M251" s="293">
        <v>0</v>
      </c>
      <c r="N251" s="293">
        <v>0</v>
      </c>
      <c r="O251" s="293">
        <v>0</v>
      </c>
      <c r="P251" s="293">
        <v>0</v>
      </c>
      <c r="Q251" s="293">
        <v>0</v>
      </c>
      <c r="R251" s="293">
        <v>0</v>
      </c>
      <c r="S251" s="248">
        <f t="shared" si="56"/>
        <v>1</v>
      </c>
      <c r="T251" s="65"/>
    </row>
    <row r="252" spans="1:20" ht="15" outlineLevel="1">
      <c r="A252" s="705"/>
      <c r="B252" s="270">
        <v>4</v>
      </c>
      <c r="C252" s="251" t="s">
        <v>5</v>
      </c>
      <c r="D252" s="249" t="s">
        <v>34</v>
      </c>
      <c r="E252" s="249">
        <v>12</v>
      </c>
      <c r="F252" s="294">
        <v>52.279000000000003</v>
      </c>
      <c r="G252" s="294">
        <v>708044.59199999995</v>
      </c>
      <c r="H252" s="293">
        <v>1</v>
      </c>
      <c r="I252" s="293">
        <v>0</v>
      </c>
      <c r="J252" s="293">
        <v>0</v>
      </c>
      <c r="K252" s="293">
        <v>0</v>
      </c>
      <c r="L252" s="293">
        <v>0</v>
      </c>
      <c r="M252" s="293">
        <v>0</v>
      </c>
      <c r="N252" s="293">
        <v>0</v>
      </c>
      <c r="O252" s="293">
        <v>0</v>
      </c>
      <c r="P252" s="293">
        <v>0</v>
      </c>
      <c r="Q252" s="293">
        <v>0</v>
      </c>
      <c r="R252" s="293">
        <v>0</v>
      </c>
      <c r="S252" s="248">
        <f t="shared" si="56"/>
        <v>1</v>
      </c>
      <c r="T252" s="65"/>
    </row>
    <row r="253" spans="1:20" ht="15" outlineLevel="1">
      <c r="A253" s="705"/>
      <c r="B253" s="270">
        <v>5</v>
      </c>
      <c r="C253" s="251" t="s">
        <v>6</v>
      </c>
      <c r="D253" s="249" t="s">
        <v>34</v>
      </c>
      <c r="E253" s="249">
        <v>12</v>
      </c>
      <c r="F253" s="294">
        <v>189.221</v>
      </c>
      <c r="G253" s="294">
        <v>2891290.0040000002</v>
      </c>
      <c r="H253" s="293">
        <v>1</v>
      </c>
      <c r="I253" s="293">
        <v>0</v>
      </c>
      <c r="J253" s="293">
        <v>0</v>
      </c>
      <c r="K253" s="293">
        <v>0</v>
      </c>
      <c r="L253" s="293">
        <v>0</v>
      </c>
      <c r="M253" s="293">
        <v>0</v>
      </c>
      <c r="N253" s="293">
        <v>0</v>
      </c>
      <c r="O253" s="293">
        <v>0</v>
      </c>
      <c r="P253" s="293">
        <v>0</v>
      </c>
      <c r="Q253" s="293">
        <v>0</v>
      </c>
      <c r="R253" s="293">
        <v>0</v>
      </c>
      <c r="S253" s="248">
        <f t="shared" si="56"/>
        <v>1</v>
      </c>
      <c r="T253" s="65"/>
    </row>
    <row r="254" spans="1:20" ht="15" outlineLevel="1">
      <c r="A254" s="705"/>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293">
        <v>0</v>
      </c>
      <c r="Q254" s="293">
        <v>0</v>
      </c>
      <c r="R254" s="293">
        <v>0</v>
      </c>
      <c r="S254" s="248">
        <f t="shared" si="56"/>
        <v>1</v>
      </c>
      <c r="T254" s="65"/>
    </row>
    <row r="255" spans="1:20" ht="28.5" outlineLevel="1">
      <c r="A255" s="705"/>
      <c r="B255" s="270">
        <v>7</v>
      </c>
      <c r="C255" s="251" t="s">
        <v>33</v>
      </c>
      <c r="D255" s="249" t="s">
        <v>34</v>
      </c>
      <c r="E255" s="249">
        <v>0</v>
      </c>
      <c r="F255" s="294">
        <v>3935.9369999999999</v>
      </c>
      <c r="G255" s="294">
        <v>1064.5920000000001</v>
      </c>
      <c r="H255" s="293">
        <v>1</v>
      </c>
      <c r="I255" s="293">
        <v>0</v>
      </c>
      <c r="J255" s="293">
        <v>0</v>
      </c>
      <c r="K255" s="293">
        <v>0</v>
      </c>
      <c r="L255" s="293">
        <v>0</v>
      </c>
      <c r="M255" s="293">
        <v>0</v>
      </c>
      <c r="N255" s="293">
        <v>0</v>
      </c>
      <c r="O255" s="293">
        <v>0</v>
      </c>
      <c r="P255" s="293">
        <v>0</v>
      </c>
      <c r="Q255" s="293">
        <v>0</v>
      </c>
      <c r="R255" s="293">
        <v>0</v>
      </c>
      <c r="S255" s="248">
        <f t="shared" si="56"/>
        <v>1</v>
      </c>
      <c r="T255" s="65"/>
    </row>
    <row r="256" spans="1:20" ht="15" outlineLevel="1">
      <c r="A256" s="705"/>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293">
        <v>0</v>
      </c>
      <c r="Q256" s="293">
        <v>0</v>
      </c>
      <c r="R256" s="293">
        <v>0</v>
      </c>
      <c r="S256" s="248">
        <f t="shared" si="56"/>
        <v>1</v>
      </c>
      <c r="T256" s="65"/>
    </row>
    <row r="257" spans="1:20" ht="15" outlineLevel="1">
      <c r="A257" s="705"/>
      <c r="B257" s="270">
        <v>9</v>
      </c>
      <c r="C257" s="251" t="s">
        <v>8</v>
      </c>
      <c r="D257" s="249" t="s">
        <v>34</v>
      </c>
      <c r="E257" s="249">
        <v>12</v>
      </c>
      <c r="F257" s="294">
        <v>1.5229999999999999</v>
      </c>
      <c r="G257" s="294">
        <v>8242.2810000000009</v>
      </c>
      <c r="H257" s="293">
        <v>1</v>
      </c>
      <c r="I257" s="293">
        <v>0</v>
      </c>
      <c r="J257" s="293">
        <v>0</v>
      </c>
      <c r="K257" s="293">
        <v>0</v>
      </c>
      <c r="L257" s="293">
        <v>0</v>
      </c>
      <c r="M257" s="293">
        <v>0</v>
      </c>
      <c r="N257" s="293">
        <v>0</v>
      </c>
      <c r="O257" s="293">
        <v>0</v>
      </c>
      <c r="P257" s="293">
        <v>0</v>
      </c>
      <c r="Q257" s="293">
        <v>0</v>
      </c>
      <c r="R257" s="293">
        <v>0</v>
      </c>
      <c r="S257" s="248">
        <f t="shared" si="56"/>
        <v>1</v>
      </c>
      <c r="T257" s="65"/>
    </row>
    <row r="258" spans="1:20" ht="15" outlineLevel="1">
      <c r="A258" s="705"/>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291">
        <v>0</v>
      </c>
      <c r="R258" s="291">
        <v>0</v>
      </c>
      <c r="S258" s="248">
        <f t="shared" si="56"/>
        <v>0</v>
      </c>
      <c r="T258" s="65"/>
    </row>
    <row r="259" spans="1:20" ht="15" hidden="1" outlineLevel="1">
      <c r="A259" s="705"/>
      <c r="B259" s="270"/>
      <c r="C259" s="700"/>
      <c r="D259" s="700"/>
      <c r="E259" s="264"/>
      <c r="F259" s="294"/>
      <c r="G259" s="294"/>
      <c r="H259" s="291"/>
      <c r="I259" s="292"/>
      <c r="J259" s="292"/>
      <c r="K259" s="292"/>
      <c r="L259" s="292"/>
      <c r="M259" s="292"/>
      <c r="N259" s="292"/>
      <c r="O259" s="292"/>
      <c r="P259" s="292"/>
      <c r="Q259" s="292"/>
      <c r="R259" s="292"/>
      <c r="S259" s="397"/>
      <c r="T259" s="65"/>
    </row>
    <row r="260" spans="1:20" ht="15" hidden="1" outlineLevel="1">
      <c r="A260" s="705"/>
      <c r="B260" s="270"/>
      <c r="C260" s="700"/>
      <c r="D260" s="700"/>
      <c r="E260" s="264"/>
      <c r="F260" s="294"/>
      <c r="G260" s="294"/>
      <c r="H260" s="291"/>
      <c r="I260" s="292"/>
      <c r="J260" s="292"/>
      <c r="K260" s="292"/>
      <c r="L260" s="292"/>
      <c r="M260" s="292"/>
      <c r="N260" s="292"/>
      <c r="O260" s="292"/>
      <c r="P260" s="292"/>
      <c r="Q260" s="292"/>
      <c r="R260" s="292"/>
      <c r="S260" s="397"/>
      <c r="T260" s="65"/>
    </row>
    <row r="261" spans="1:20" ht="15" hidden="1" outlineLevel="1">
      <c r="A261" s="705"/>
      <c r="B261" s="270"/>
      <c r="C261" s="700"/>
      <c r="D261" s="700"/>
      <c r="E261" s="264"/>
      <c r="F261" s="294"/>
      <c r="G261" s="294"/>
      <c r="H261" s="291"/>
      <c r="I261" s="292"/>
      <c r="J261" s="292"/>
      <c r="K261" s="292"/>
      <c r="L261" s="292"/>
      <c r="M261" s="292"/>
      <c r="N261" s="292"/>
      <c r="O261" s="292"/>
      <c r="P261" s="292"/>
      <c r="Q261" s="292"/>
      <c r="R261" s="292"/>
      <c r="S261" s="397"/>
      <c r="T261" s="65"/>
    </row>
    <row r="262" spans="1:20" s="42" customFormat="1" ht="15" outlineLevel="1">
      <c r="A262" s="705"/>
      <c r="B262" s="244"/>
      <c r="C262" s="704" t="s">
        <v>9</v>
      </c>
      <c r="D262" s="704"/>
      <c r="E262" s="245"/>
      <c r="F262" s="246"/>
      <c r="G262" s="246"/>
      <c r="H262" s="246"/>
      <c r="I262" s="246"/>
      <c r="J262" s="246"/>
      <c r="K262" s="246"/>
      <c r="L262" s="246"/>
      <c r="M262" s="246"/>
      <c r="N262" s="246"/>
      <c r="O262" s="246"/>
      <c r="P262" s="246"/>
      <c r="Q262" s="246"/>
      <c r="R262" s="246"/>
      <c r="S262" s="247"/>
      <c r="T262" s="145"/>
    </row>
    <row r="263" spans="1:20" ht="15" outlineLevel="1">
      <c r="A263" s="705"/>
      <c r="B263" s="146">
        <v>10</v>
      </c>
      <c r="C263" s="253" t="s">
        <v>27</v>
      </c>
      <c r="D263" s="249" t="s">
        <v>34</v>
      </c>
      <c r="E263" s="249">
        <v>12</v>
      </c>
      <c r="F263" s="294">
        <v>1550.1279999999999</v>
      </c>
      <c r="G263" s="294">
        <f>11007832.2-'8. Street lighting'!D6</f>
        <v>10467952.439999999</v>
      </c>
      <c r="H263" s="291">
        <v>1.057299926197422E-3</v>
      </c>
      <c r="I263" s="291">
        <v>0.1015152612083883</v>
      </c>
      <c r="J263" s="291">
        <v>0.35795074011682126</v>
      </c>
      <c r="K263" s="291">
        <v>0.5012145274909714</v>
      </c>
      <c r="L263" s="291">
        <v>0</v>
      </c>
      <c r="M263" s="291">
        <v>7.9968888294411171E-4</v>
      </c>
      <c r="N263" s="291">
        <v>0</v>
      </c>
      <c r="O263" s="291">
        <v>2.293012670784747E-2</v>
      </c>
      <c r="P263" s="291">
        <v>0</v>
      </c>
      <c r="Q263" s="291">
        <v>0</v>
      </c>
      <c r="R263" s="291">
        <v>0</v>
      </c>
      <c r="S263" s="248">
        <f t="shared" ref="S263:S271" si="57">SUM(H263:R263)</f>
        <v>0.98546764433316991</v>
      </c>
      <c r="T263" s="65"/>
    </row>
    <row r="264" spans="1:20" ht="15" outlineLevel="1">
      <c r="A264" s="705"/>
      <c r="B264" s="146">
        <v>11</v>
      </c>
      <c r="C264" s="251" t="s">
        <v>25</v>
      </c>
      <c r="D264" s="249" t="s">
        <v>34</v>
      </c>
      <c r="E264" s="249">
        <v>12</v>
      </c>
      <c r="F264" s="294">
        <v>415.42899999999997</v>
      </c>
      <c r="G264" s="294">
        <v>1512614.33</v>
      </c>
      <c r="H264" s="291">
        <v>0</v>
      </c>
      <c r="I264" s="291">
        <v>0.89063841321991966</v>
      </c>
      <c r="J264" s="291">
        <v>0.10850150231013787</v>
      </c>
      <c r="K264" s="291">
        <v>0</v>
      </c>
      <c r="L264" s="291">
        <v>0</v>
      </c>
      <c r="M264" s="291">
        <v>0</v>
      </c>
      <c r="N264" s="291">
        <v>0</v>
      </c>
      <c r="O264" s="291">
        <v>0</v>
      </c>
      <c r="P264" s="291">
        <v>0</v>
      </c>
      <c r="Q264" s="291">
        <v>0</v>
      </c>
      <c r="R264" s="291">
        <v>0</v>
      </c>
      <c r="S264" s="248">
        <f t="shared" si="57"/>
        <v>0.99913991553005754</v>
      </c>
      <c r="T264" s="65"/>
    </row>
    <row r="265" spans="1:20" ht="15" outlineLevel="1">
      <c r="A265" s="705"/>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291">
        <v>0</v>
      </c>
      <c r="Q265" s="291">
        <v>0</v>
      </c>
      <c r="R265" s="291">
        <v>0</v>
      </c>
      <c r="S265" s="248">
        <f t="shared" si="57"/>
        <v>0</v>
      </c>
      <c r="T265" s="65"/>
    </row>
    <row r="266" spans="1:20" ht="15" outlineLevel="1">
      <c r="A266" s="705"/>
      <c r="B266" s="146">
        <v>13</v>
      </c>
      <c r="C266" s="251" t="s">
        <v>29</v>
      </c>
      <c r="D266" s="249" t="s">
        <v>34</v>
      </c>
      <c r="E266" s="249">
        <v>12</v>
      </c>
      <c r="F266" s="294">
        <v>3.3519999999999999</v>
      </c>
      <c r="G266" s="294">
        <v>16509.951000000001</v>
      </c>
      <c r="H266" s="291">
        <v>0</v>
      </c>
      <c r="I266" s="291">
        <v>0.24227053677782681</v>
      </c>
      <c r="J266" s="291">
        <v>0</v>
      </c>
      <c r="K266" s="291">
        <v>0.58812615955473091</v>
      </c>
      <c r="L266" s="291">
        <v>0</v>
      </c>
      <c r="M266" s="291">
        <v>0</v>
      </c>
      <c r="N266" s="291">
        <v>0</v>
      </c>
      <c r="O266" s="291">
        <v>0</v>
      </c>
      <c r="P266" s="291">
        <v>0</v>
      </c>
      <c r="Q266" s="291">
        <v>0</v>
      </c>
      <c r="R266" s="291">
        <v>0</v>
      </c>
      <c r="S266" s="248">
        <f t="shared" si="57"/>
        <v>0.83039669633255775</v>
      </c>
      <c r="T266" s="65"/>
    </row>
    <row r="267" spans="1:20" ht="15" outlineLevel="1">
      <c r="A267" s="705"/>
      <c r="B267" s="146">
        <v>14</v>
      </c>
      <c r="C267" s="251" t="s">
        <v>23</v>
      </c>
      <c r="D267" s="249" t="s">
        <v>34</v>
      </c>
      <c r="E267" s="249">
        <v>12</v>
      </c>
      <c r="F267" s="294">
        <v>120.30200000000001</v>
      </c>
      <c r="G267" s="294">
        <v>587462.13100000005</v>
      </c>
      <c r="H267" s="291">
        <v>0</v>
      </c>
      <c r="I267" s="291">
        <v>0.12499999999999999</v>
      </c>
      <c r="J267" s="291">
        <v>0.375</v>
      </c>
      <c r="K267" s="291">
        <v>0.375</v>
      </c>
      <c r="L267" s="291">
        <v>0</v>
      </c>
      <c r="M267" s="291">
        <v>0</v>
      </c>
      <c r="N267" s="291">
        <v>0</v>
      </c>
      <c r="O267" s="291">
        <v>0.12499999999999999</v>
      </c>
      <c r="P267" s="291">
        <v>0</v>
      </c>
      <c r="Q267" s="291">
        <v>0</v>
      </c>
      <c r="R267" s="291">
        <v>0</v>
      </c>
      <c r="S267" s="248">
        <f t="shared" si="57"/>
        <v>1</v>
      </c>
      <c r="T267" s="65"/>
    </row>
    <row r="268" spans="1:20" ht="28.5" outlineLevel="1">
      <c r="A268" s="705"/>
      <c r="B268" s="270">
        <v>15</v>
      </c>
      <c r="C268" s="251" t="s">
        <v>30</v>
      </c>
      <c r="D268" s="249" t="s">
        <v>34</v>
      </c>
      <c r="E268" s="249">
        <v>0</v>
      </c>
      <c r="F268" s="294">
        <v>58.497</v>
      </c>
      <c r="G268" s="294">
        <v>0</v>
      </c>
      <c r="H268" s="291">
        <v>0</v>
      </c>
      <c r="I268" s="291">
        <v>1</v>
      </c>
      <c r="J268" s="291">
        <v>0</v>
      </c>
      <c r="K268" s="291">
        <v>0</v>
      </c>
      <c r="L268" s="291">
        <v>0</v>
      </c>
      <c r="M268" s="291">
        <v>0</v>
      </c>
      <c r="N268" s="291">
        <v>0</v>
      </c>
      <c r="O268" s="291">
        <v>0</v>
      </c>
      <c r="P268" s="291">
        <v>0</v>
      </c>
      <c r="Q268" s="291">
        <v>0</v>
      </c>
      <c r="R268" s="291">
        <v>0</v>
      </c>
      <c r="S268" s="248">
        <f t="shared" si="57"/>
        <v>1</v>
      </c>
      <c r="T268" s="65"/>
    </row>
    <row r="269" spans="1:20" ht="28.5" outlineLevel="1">
      <c r="A269" s="705"/>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291">
        <v>0</v>
      </c>
      <c r="Q269" s="291">
        <v>0</v>
      </c>
      <c r="R269" s="291">
        <v>0</v>
      </c>
      <c r="S269" s="248">
        <f t="shared" si="57"/>
        <v>0</v>
      </c>
      <c r="T269" s="65"/>
    </row>
    <row r="270" spans="1:20" ht="15" outlineLevel="1">
      <c r="A270" s="705"/>
      <c r="B270" s="270">
        <v>17</v>
      </c>
      <c r="C270" s="251" t="s">
        <v>10</v>
      </c>
      <c r="D270" s="249" t="s">
        <v>34</v>
      </c>
      <c r="E270" s="249">
        <v>0</v>
      </c>
      <c r="F270" s="294">
        <v>65.575999999999993</v>
      </c>
      <c r="G270" s="294">
        <v>0</v>
      </c>
      <c r="H270" s="291">
        <v>0</v>
      </c>
      <c r="I270" s="291">
        <v>0</v>
      </c>
      <c r="J270" s="291">
        <v>0</v>
      </c>
      <c r="K270" s="291">
        <v>0</v>
      </c>
      <c r="L270" s="291">
        <v>0</v>
      </c>
      <c r="M270" s="291">
        <v>0</v>
      </c>
      <c r="N270" s="291">
        <v>0</v>
      </c>
      <c r="O270" s="291">
        <v>0</v>
      </c>
      <c r="P270" s="291">
        <v>0</v>
      </c>
      <c r="Q270" s="291">
        <v>0</v>
      </c>
      <c r="R270" s="291">
        <v>0</v>
      </c>
      <c r="S270" s="248">
        <f t="shared" si="57"/>
        <v>0</v>
      </c>
      <c r="T270" s="65"/>
    </row>
    <row r="271" spans="1:20" ht="15" outlineLevel="1">
      <c r="A271" s="705"/>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291">
        <v>0</v>
      </c>
      <c r="Q271" s="291">
        <v>0</v>
      </c>
      <c r="R271" s="291">
        <v>0</v>
      </c>
      <c r="S271" s="248">
        <f t="shared" si="57"/>
        <v>0</v>
      </c>
      <c r="T271" s="65"/>
    </row>
    <row r="272" spans="1:20" ht="15" hidden="1" outlineLevel="1">
      <c r="A272" s="705"/>
      <c r="B272" s="270"/>
      <c r="C272" s="700"/>
      <c r="D272" s="700"/>
      <c r="E272" s="264"/>
      <c r="F272" s="294"/>
      <c r="G272" s="294"/>
      <c r="H272" s="291"/>
      <c r="I272" s="292"/>
      <c r="J272" s="292"/>
      <c r="K272" s="292"/>
      <c r="L272" s="292"/>
      <c r="M272" s="292"/>
      <c r="N272" s="292"/>
      <c r="O272" s="292"/>
      <c r="P272" s="292"/>
      <c r="Q272" s="292"/>
      <c r="R272" s="292"/>
      <c r="S272" s="397"/>
      <c r="T272" s="65"/>
    </row>
    <row r="273" spans="1:20" ht="15" hidden="1" outlineLevel="1">
      <c r="A273" s="705"/>
      <c r="B273" s="270"/>
      <c r="C273" s="700"/>
      <c r="D273" s="700"/>
      <c r="E273" s="264"/>
      <c r="F273" s="294"/>
      <c r="G273" s="294"/>
      <c r="H273" s="291"/>
      <c r="I273" s="292"/>
      <c r="J273" s="292"/>
      <c r="K273" s="292"/>
      <c r="L273" s="292"/>
      <c r="M273" s="292"/>
      <c r="N273" s="292"/>
      <c r="O273" s="292"/>
      <c r="P273" s="292"/>
      <c r="Q273" s="292"/>
      <c r="R273" s="292"/>
      <c r="S273" s="397"/>
      <c r="T273" s="65"/>
    </row>
    <row r="274" spans="1:20" ht="15" hidden="1" outlineLevel="1">
      <c r="A274" s="705"/>
      <c r="B274" s="270"/>
      <c r="C274" s="700"/>
      <c r="D274" s="700"/>
      <c r="E274" s="264"/>
      <c r="F274" s="294"/>
      <c r="G274" s="294"/>
      <c r="H274" s="291"/>
      <c r="I274" s="292"/>
      <c r="J274" s="292"/>
      <c r="K274" s="292"/>
      <c r="L274" s="292"/>
      <c r="M274" s="292"/>
      <c r="N274" s="292"/>
      <c r="O274" s="292"/>
      <c r="P274" s="292"/>
      <c r="Q274" s="292"/>
      <c r="R274" s="292"/>
      <c r="S274" s="397"/>
      <c r="T274" s="65"/>
    </row>
    <row r="275" spans="1:20" s="42" customFormat="1" ht="15" outlineLevel="1">
      <c r="A275" s="705"/>
      <c r="B275" s="244"/>
      <c r="C275" s="704" t="s">
        <v>11</v>
      </c>
      <c r="D275" s="704"/>
      <c r="E275" s="245"/>
      <c r="F275" s="246"/>
      <c r="G275" s="246"/>
      <c r="H275" s="246"/>
      <c r="I275" s="246"/>
      <c r="J275" s="246"/>
      <c r="K275" s="246"/>
      <c r="L275" s="246"/>
      <c r="M275" s="246"/>
      <c r="N275" s="246"/>
      <c r="O275" s="246"/>
      <c r="P275" s="246"/>
      <c r="Q275" s="246"/>
      <c r="R275" s="246"/>
      <c r="S275" s="247"/>
      <c r="T275" s="145"/>
    </row>
    <row r="276" spans="1:20" ht="15" outlineLevel="1">
      <c r="A276" s="705"/>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291">
        <v>0</v>
      </c>
      <c r="Q276" s="291">
        <v>0</v>
      </c>
      <c r="R276" s="291">
        <v>0</v>
      </c>
      <c r="S276" s="248">
        <f t="shared" ref="S276:S281" si="58">SUM(H276:R276)</f>
        <v>0</v>
      </c>
      <c r="T276" s="65"/>
    </row>
    <row r="277" spans="1:20" ht="15" outlineLevel="1">
      <c r="A277" s="705"/>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291">
        <v>0</v>
      </c>
      <c r="Q277" s="291">
        <v>0</v>
      </c>
      <c r="R277" s="291">
        <v>0</v>
      </c>
      <c r="S277" s="248">
        <f t="shared" si="58"/>
        <v>0</v>
      </c>
      <c r="T277" s="65"/>
    </row>
    <row r="278" spans="1:20" ht="15" outlineLevel="1">
      <c r="A278" s="705"/>
      <c r="B278" s="146">
        <v>20</v>
      </c>
      <c r="C278" s="251" t="s">
        <v>14</v>
      </c>
      <c r="D278" s="249" t="s">
        <v>34</v>
      </c>
      <c r="E278" s="249">
        <v>12</v>
      </c>
      <c r="F278" s="294">
        <v>430.505</v>
      </c>
      <c r="G278" s="294">
        <v>1829891.568</v>
      </c>
      <c r="H278" s="291">
        <v>0</v>
      </c>
      <c r="I278" s="291">
        <v>0</v>
      </c>
      <c r="J278" s="291">
        <v>0</v>
      </c>
      <c r="K278" s="291">
        <v>0.12746206291451329</v>
      </c>
      <c r="L278" s="291">
        <v>0</v>
      </c>
      <c r="M278" s="291">
        <v>0</v>
      </c>
      <c r="N278" s="291">
        <v>0</v>
      </c>
      <c r="O278" s="291">
        <v>0.87104130417660841</v>
      </c>
      <c r="P278" s="291">
        <v>0</v>
      </c>
      <c r="Q278" s="291">
        <v>0</v>
      </c>
      <c r="R278" s="291">
        <v>0</v>
      </c>
      <c r="S278" s="248">
        <f t="shared" si="58"/>
        <v>0.99850336709112164</v>
      </c>
      <c r="T278" s="65"/>
    </row>
    <row r="279" spans="1:20" ht="15" outlineLevel="1">
      <c r="A279" s="705"/>
      <c r="B279" s="146">
        <v>21</v>
      </c>
      <c r="C279" s="253" t="s">
        <v>27</v>
      </c>
      <c r="D279" s="249" t="s">
        <v>34</v>
      </c>
      <c r="E279" s="249">
        <v>12</v>
      </c>
      <c r="F279" s="294">
        <v>0</v>
      </c>
      <c r="G279" s="294">
        <v>0</v>
      </c>
      <c r="H279" s="291">
        <v>0</v>
      </c>
      <c r="I279" s="291">
        <v>0</v>
      </c>
      <c r="J279" s="291">
        <v>0</v>
      </c>
      <c r="K279" s="291">
        <v>0</v>
      </c>
      <c r="L279" s="291">
        <v>0</v>
      </c>
      <c r="M279" s="291">
        <v>0</v>
      </c>
      <c r="N279" s="291">
        <v>0</v>
      </c>
      <c r="O279" s="291">
        <v>0</v>
      </c>
      <c r="P279" s="291">
        <v>0</v>
      </c>
      <c r="Q279" s="291">
        <v>0</v>
      </c>
      <c r="R279" s="291">
        <v>0</v>
      </c>
      <c r="S279" s="248">
        <f t="shared" si="58"/>
        <v>0</v>
      </c>
      <c r="T279" s="65"/>
    </row>
    <row r="280" spans="1:20" ht="15" outlineLevel="1">
      <c r="A280" s="705"/>
      <c r="B280" s="146">
        <v>22</v>
      </c>
      <c r="C280" s="251" t="s">
        <v>10</v>
      </c>
      <c r="D280" s="249" t="s">
        <v>34</v>
      </c>
      <c r="E280" s="249">
        <v>0</v>
      </c>
      <c r="F280" s="294">
        <v>884.78899999999999</v>
      </c>
      <c r="G280" s="294">
        <v>0</v>
      </c>
      <c r="H280" s="291">
        <v>0</v>
      </c>
      <c r="I280" s="291">
        <v>0</v>
      </c>
      <c r="J280" s="291">
        <v>0</v>
      </c>
      <c r="K280" s="291">
        <v>0</v>
      </c>
      <c r="L280" s="291">
        <v>0</v>
      </c>
      <c r="M280" s="291">
        <v>0</v>
      </c>
      <c r="N280" s="291">
        <v>0</v>
      </c>
      <c r="O280" s="291">
        <v>0</v>
      </c>
      <c r="P280" s="291">
        <v>0</v>
      </c>
      <c r="Q280" s="291">
        <v>0</v>
      </c>
      <c r="R280" s="291">
        <v>0</v>
      </c>
      <c r="S280" s="248">
        <f t="shared" si="58"/>
        <v>0</v>
      </c>
      <c r="T280" s="65"/>
    </row>
    <row r="281" spans="1:20" ht="15" outlineLevel="1">
      <c r="A281" s="705"/>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291">
        <v>0</v>
      </c>
      <c r="Q281" s="291">
        <v>0</v>
      </c>
      <c r="R281" s="291">
        <v>0</v>
      </c>
      <c r="S281" s="248">
        <f t="shared" si="58"/>
        <v>0</v>
      </c>
      <c r="T281" s="65"/>
    </row>
    <row r="282" spans="1:20" ht="15" hidden="1" outlineLevel="1">
      <c r="A282" s="705"/>
      <c r="B282" s="146"/>
      <c r="C282" s="700"/>
      <c r="D282" s="700"/>
      <c r="E282" s="264"/>
      <c r="F282" s="294"/>
      <c r="G282" s="294"/>
      <c r="H282" s="291"/>
      <c r="I282" s="292"/>
      <c r="J282" s="292"/>
      <c r="K282" s="292"/>
      <c r="L282" s="292"/>
      <c r="M282" s="292"/>
      <c r="N282" s="292"/>
      <c r="O282" s="292"/>
      <c r="P282" s="292"/>
      <c r="Q282" s="292"/>
      <c r="R282" s="292"/>
      <c r="S282" s="397"/>
      <c r="T282" s="65"/>
    </row>
    <row r="283" spans="1:20" ht="15" hidden="1" outlineLevel="1">
      <c r="A283" s="705"/>
      <c r="B283" s="146"/>
      <c r="C283" s="700"/>
      <c r="D283" s="700"/>
      <c r="E283" s="264"/>
      <c r="F283" s="294"/>
      <c r="G283" s="294"/>
      <c r="H283" s="291"/>
      <c r="I283" s="292"/>
      <c r="J283" s="292"/>
      <c r="K283" s="292"/>
      <c r="L283" s="292"/>
      <c r="M283" s="292"/>
      <c r="N283" s="292"/>
      <c r="O283" s="292"/>
      <c r="P283" s="292"/>
      <c r="Q283" s="292"/>
      <c r="R283" s="292"/>
      <c r="S283" s="397"/>
      <c r="T283" s="65"/>
    </row>
    <row r="284" spans="1:20" ht="15" hidden="1" outlineLevel="1">
      <c r="A284" s="705"/>
      <c r="B284" s="146"/>
      <c r="C284" s="700"/>
      <c r="D284" s="700"/>
      <c r="E284" s="264"/>
      <c r="F284" s="294"/>
      <c r="G284" s="294"/>
      <c r="H284" s="291"/>
      <c r="I284" s="292"/>
      <c r="J284" s="292"/>
      <c r="K284" s="292"/>
      <c r="L284" s="292"/>
      <c r="M284" s="292"/>
      <c r="N284" s="292"/>
      <c r="O284" s="292"/>
      <c r="P284" s="292"/>
      <c r="Q284" s="292"/>
      <c r="R284" s="292"/>
      <c r="S284" s="397"/>
      <c r="T284" s="65"/>
    </row>
    <row r="285" spans="1:20" s="42" customFormat="1" ht="15" outlineLevel="1">
      <c r="A285" s="705"/>
      <c r="B285" s="244"/>
      <c r="C285" s="704" t="s">
        <v>15</v>
      </c>
      <c r="D285" s="704"/>
      <c r="E285" s="245"/>
      <c r="F285" s="246"/>
      <c r="G285" s="246"/>
      <c r="H285" s="246"/>
      <c r="I285" s="246"/>
      <c r="J285" s="246"/>
      <c r="K285" s="246"/>
      <c r="L285" s="246"/>
      <c r="M285" s="246"/>
      <c r="N285" s="246"/>
      <c r="O285" s="246"/>
      <c r="P285" s="246"/>
      <c r="Q285" s="246"/>
      <c r="R285" s="246"/>
      <c r="S285" s="247"/>
      <c r="T285" s="145"/>
    </row>
    <row r="286" spans="1:20" ht="15" outlineLevel="1">
      <c r="A286" s="705"/>
      <c r="B286" s="270">
        <v>23</v>
      </c>
      <c r="C286" s="251" t="s">
        <v>15</v>
      </c>
      <c r="D286" s="249" t="s">
        <v>34</v>
      </c>
      <c r="E286" s="249">
        <v>12</v>
      </c>
      <c r="F286" s="294">
        <v>39.735999999999997</v>
      </c>
      <c r="G286" s="294">
        <v>405156.69900000002</v>
      </c>
      <c r="H286" s="293">
        <v>1</v>
      </c>
      <c r="I286" s="293">
        <v>0</v>
      </c>
      <c r="J286" s="293">
        <v>0</v>
      </c>
      <c r="K286" s="293">
        <v>0</v>
      </c>
      <c r="L286" s="293">
        <v>0</v>
      </c>
      <c r="M286" s="293">
        <v>0</v>
      </c>
      <c r="N286" s="293">
        <v>0</v>
      </c>
      <c r="O286" s="293">
        <v>0</v>
      </c>
      <c r="P286" s="293">
        <v>0</v>
      </c>
      <c r="Q286" s="293">
        <v>0</v>
      </c>
      <c r="R286" s="293">
        <v>0</v>
      </c>
      <c r="S286" s="248">
        <f t="shared" ref="S286:S287" si="59">SUM(H286:R286)</f>
        <v>1</v>
      </c>
      <c r="T286" s="65"/>
    </row>
    <row r="287" spans="1:20" ht="15" outlineLevel="1">
      <c r="A287" s="705"/>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291">
        <v>0</v>
      </c>
      <c r="Q287" s="291">
        <v>0</v>
      </c>
      <c r="R287" s="291">
        <v>0</v>
      </c>
      <c r="S287" s="248">
        <f t="shared" si="59"/>
        <v>0</v>
      </c>
      <c r="T287" s="65"/>
    </row>
    <row r="288" spans="1:20" ht="15" hidden="1" outlineLevel="1">
      <c r="A288" s="705"/>
      <c r="B288" s="270"/>
      <c r="C288" s="700"/>
      <c r="D288" s="700"/>
      <c r="E288" s="264"/>
      <c r="F288" s="294"/>
      <c r="G288" s="294"/>
      <c r="H288" s="291"/>
      <c r="I288" s="292"/>
      <c r="J288" s="292"/>
      <c r="K288" s="292"/>
      <c r="L288" s="292"/>
      <c r="M288" s="292"/>
      <c r="N288" s="292"/>
      <c r="O288" s="292"/>
      <c r="P288" s="292"/>
      <c r="Q288" s="292"/>
      <c r="R288" s="292"/>
      <c r="S288" s="397"/>
      <c r="T288" s="65"/>
    </row>
    <row r="289" spans="1:20" ht="15" hidden="1" outlineLevel="1">
      <c r="A289" s="705"/>
      <c r="B289" s="270"/>
      <c r="C289" s="700"/>
      <c r="D289" s="700"/>
      <c r="E289" s="264"/>
      <c r="F289" s="294"/>
      <c r="G289" s="294"/>
      <c r="H289" s="291"/>
      <c r="I289" s="292"/>
      <c r="J289" s="292"/>
      <c r="K289" s="292"/>
      <c r="L289" s="292"/>
      <c r="M289" s="292"/>
      <c r="N289" s="292"/>
      <c r="O289" s="292"/>
      <c r="P289" s="292"/>
      <c r="Q289" s="292"/>
      <c r="R289" s="292"/>
      <c r="S289" s="397"/>
      <c r="T289" s="65"/>
    </row>
    <row r="290" spans="1:20" s="42" customFormat="1" ht="15" outlineLevel="1">
      <c r="A290" s="705"/>
      <c r="B290" s="244"/>
      <c r="C290" s="704" t="s">
        <v>16</v>
      </c>
      <c r="D290" s="704"/>
      <c r="E290" s="245"/>
      <c r="F290" s="246"/>
      <c r="G290" s="246"/>
      <c r="H290" s="246"/>
      <c r="I290" s="246"/>
      <c r="J290" s="246"/>
      <c r="K290" s="246"/>
      <c r="L290" s="246"/>
      <c r="M290" s="246"/>
      <c r="N290" s="246"/>
      <c r="O290" s="246"/>
      <c r="P290" s="246"/>
      <c r="Q290" s="246"/>
      <c r="R290" s="246"/>
      <c r="S290" s="247"/>
      <c r="T290" s="145"/>
    </row>
    <row r="291" spans="1:20" ht="15" outlineLevel="1">
      <c r="A291" s="705"/>
      <c r="B291" s="270">
        <v>24</v>
      </c>
      <c r="C291" s="251" t="s">
        <v>17</v>
      </c>
      <c r="D291" s="249" t="s">
        <v>34</v>
      </c>
      <c r="E291" s="249">
        <v>12</v>
      </c>
      <c r="F291" s="294"/>
      <c r="G291" s="294"/>
      <c r="H291" s="291">
        <v>0</v>
      </c>
      <c r="I291" s="291">
        <v>0</v>
      </c>
      <c r="J291" s="291">
        <v>0</v>
      </c>
      <c r="K291" s="291">
        <v>0</v>
      </c>
      <c r="L291" s="291">
        <v>0</v>
      </c>
      <c r="M291" s="291">
        <v>0</v>
      </c>
      <c r="N291" s="291">
        <v>0</v>
      </c>
      <c r="O291" s="291">
        <v>0</v>
      </c>
      <c r="P291" s="291">
        <v>0</v>
      </c>
      <c r="Q291" s="291">
        <v>0</v>
      </c>
      <c r="R291" s="291">
        <v>0</v>
      </c>
      <c r="S291" s="248">
        <f t="shared" ref="S291:S296" si="60">SUM(H291:R291)</f>
        <v>0</v>
      </c>
      <c r="T291" s="65"/>
    </row>
    <row r="292" spans="1:20" ht="15" outlineLevel="1">
      <c r="A292" s="705"/>
      <c r="B292" s="270">
        <v>25</v>
      </c>
      <c r="C292" s="251" t="s">
        <v>18</v>
      </c>
      <c r="D292" s="249" t="s">
        <v>34</v>
      </c>
      <c r="E292" s="249">
        <v>12</v>
      </c>
      <c r="F292" s="294"/>
      <c r="G292" s="294"/>
      <c r="H292" s="291">
        <v>0</v>
      </c>
      <c r="I292" s="291">
        <v>0</v>
      </c>
      <c r="J292" s="291">
        <v>0</v>
      </c>
      <c r="K292" s="291">
        <v>0</v>
      </c>
      <c r="L292" s="291">
        <v>0</v>
      </c>
      <c r="M292" s="291">
        <v>0</v>
      </c>
      <c r="N292" s="291">
        <v>0</v>
      </c>
      <c r="O292" s="291">
        <v>0</v>
      </c>
      <c r="P292" s="291">
        <v>0</v>
      </c>
      <c r="Q292" s="291">
        <v>0</v>
      </c>
      <c r="R292" s="291">
        <v>0</v>
      </c>
      <c r="S292" s="248">
        <f t="shared" si="60"/>
        <v>0</v>
      </c>
      <c r="T292" s="65"/>
    </row>
    <row r="293" spans="1:20" ht="15" outlineLevel="1">
      <c r="A293" s="705"/>
      <c r="B293" s="270">
        <v>26</v>
      </c>
      <c r="C293" s="251" t="s">
        <v>19</v>
      </c>
      <c r="D293" s="249" t="s">
        <v>34</v>
      </c>
      <c r="E293" s="249">
        <v>12</v>
      </c>
      <c r="F293" s="294"/>
      <c r="G293" s="294"/>
      <c r="H293" s="291">
        <v>0</v>
      </c>
      <c r="I293" s="291">
        <v>0</v>
      </c>
      <c r="J293" s="291">
        <v>0</v>
      </c>
      <c r="K293" s="291">
        <v>0</v>
      </c>
      <c r="L293" s="291">
        <v>0</v>
      </c>
      <c r="M293" s="291">
        <v>0</v>
      </c>
      <c r="N293" s="291">
        <v>0</v>
      </c>
      <c r="O293" s="291">
        <v>0</v>
      </c>
      <c r="P293" s="291">
        <v>0</v>
      </c>
      <c r="Q293" s="291">
        <v>0</v>
      </c>
      <c r="R293" s="291">
        <v>0</v>
      </c>
      <c r="S293" s="248">
        <f t="shared" si="60"/>
        <v>0</v>
      </c>
      <c r="T293" s="65"/>
    </row>
    <row r="294" spans="1:20" ht="15" outlineLevel="1">
      <c r="A294" s="705"/>
      <c r="B294" s="270">
        <v>27</v>
      </c>
      <c r="C294" s="251" t="s">
        <v>20</v>
      </c>
      <c r="D294" s="249" t="s">
        <v>34</v>
      </c>
      <c r="E294" s="249">
        <v>12</v>
      </c>
      <c r="F294" s="294"/>
      <c r="G294" s="294"/>
      <c r="H294" s="291">
        <v>0</v>
      </c>
      <c r="I294" s="291">
        <v>0</v>
      </c>
      <c r="J294" s="291">
        <v>0</v>
      </c>
      <c r="K294" s="291">
        <v>0</v>
      </c>
      <c r="L294" s="291">
        <v>0</v>
      </c>
      <c r="M294" s="291">
        <v>0</v>
      </c>
      <c r="N294" s="291">
        <v>0</v>
      </c>
      <c r="O294" s="291">
        <v>0</v>
      </c>
      <c r="P294" s="291">
        <v>0</v>
      </c>
      <c r="Q294" s="291">
        <v>0</v>
      </c>
      <c r="R294" s="291">
        <v>0</v>
      </c>
      <c r="S294" s="248">
        <f t="shared" si="60"/>
        <v>0</v>
      </c>
      <c r="T294" s="65"/>
    </row>
    <row r="295" spans="1:20" ht="15" outlineLevel="1">
      <c r="A295" s="705"/>
      <c r="B295" s="270">
        <v>28</v>
      </c>
      <c r="C295" s="251" t="s">
        <v>105</v>
      </c>
      <c r="D295" s="249" t="s">
        <v>34</v>
      </c>
      <c r="E295" s="249">
        <v>12</v>
      </c>
      <c r="F295" s="294"/>
      <c r="G295" s="294"/>
      <c r="H295" s="291">
        <v>0</v>
      </c>
      <c r="I295" s="291">
        <v>0</v>
      </c>
      <c r="J295" s="291">
        <v>0</v>
      </c>
      <c r="K295" s="291">
        <v>0</v>
      </c>
      <c r="L295" s="291">
        <v>0</v>
      </c>
      <c r="M295" s="291">
        <v>0</v>
      </c>
      <c r="N295" s="291">
        <v>0</v>
      </c>
      <c r="O295" s="291">
        <v>0</v>
      </c>
      <c r="P295" s="291">
        <v>0</v>
      </c>
      <c r="Q295" s="291">
        <v>0</v>
      </c>
      <c r="R295" s="291">
        <v>0</v>
      </c>
      <c r="S295" s="248">
        <f t="shared" si="60"/>
        <v>0</v>
      </c>
      <c r="T295" s="65"/>
    </row>
    <row r="296" spans="1:20" ht="15" outlineLevel="1">
      <c r="A296" s="705"/>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291">
        <v>0</v>
      </c>
      <c r="Q296" s="291">
        <v>0</v>
      </c>
      <c r="R296" s="291">
        <v>0</v>
      </c>
      <c r="S296" s="248">
        <f t="shared" si="60"/>
        <v>0</v>
      </c>
      <c r="T296" s="65"/>
    </row>
    <row r="297" spans="1:20" ht="15" hidden="1" outlineLevel="1">
      <c r="A297" s="705"/>
      <c r="B297" s="270"/>
      <c r="C297" s="700"/>
      <c r="D297" s="700"/>
      <c r="E297" s="264"/>
      <c r="F297" s="294"/>
      <c r="G297" s="294"/>
      <c r="H297" s="291"/>
      <c r="I297" s="292"/>
      <c r="J297" s="292"/>
      <c r="K297" s="292"/>
      <c r="L297" s="292"/>
      <c r="M297" s="292"/>
      <c r="N297" s="292"/>
      <c r="O297" s="292"/>
      <c r="P297" s="292"/>
      <c r="Q297" s="292"/>
      <c r="R297" s="292"/>
      <c r="S297" s="397"/>
      <c r="T297" s="65"/>
    </row>
    <row r="298" spans="1:20" ht="15" hidden="1" outlineLevel="1">
      <c r="A298" s="705"/>
      <c r="B298" s="270"/>
      <c r="C298" s="700"/>
      <c r="D298" s="700"/>
      <c r="E298" s="264"/>
      <c r="F298" s="294"/>
      <c r="G298" s="294"/>
      <c r="H298" s="291"/>
      <c r="I298" s="292"/>
      <c r="J298" s="292"/>
      <c r="K298" s="292"/>
      <c r="L298" s="292"/>
      <c r="M298" s="292"/>
      <c r="N298" s="292"/>
      <c r="O298" s="292"/>
      <c r="P298" s="292"/>
      <c r="Q298" s="292"/>
      <c r="R298" s="292"/>
      <c r="S298" s="397"/>
      <c r="T298" s="65"/>
    </row>
    <row r="299" spans="1:20" ht="15" hidden="1" outlineLevel="1">
      <c r="A299" s="705"/>
      <c r="B299" s="270"/>
      <c r="C299" s="700"/>
      <c r="D299" s="700"/>
      <c r="E299" s="264"/>
      <c r="F299" s="294"/>
      <c r="G299" s="294"/>
      <c r="H299" s="291"/>
      <c r="I299" s="292"/>
      <c r="J299" s="292"/>
      <c r="K299" s="292"/>
      <c r="L299" s="292"/>
      <c r="M299" s="292"/>
      <c r="N299" s="292"/>
      <c r="O299" s="292"/>
      <c r="P299" s="292"/>
      <c r="Q299" s="292"/>
      <c r="R299" s="292"/>
      <c r="S299" s="397"/>
      <c r="T299" s="65"/>
    </row>
    <row r="300" spans="1:20" s="42" customFormat="1" ht="15" outlineLevel="1">
      <c r="A300" s="705"/>
      <c r="B300" s="244"/>
      <c r="C300" s="704" t="s">
        <v>106</v>
      </c>
      <c r="D300" s="704"/>
      <c r="E300" s="245"/>
      <c r="F300" s="246"/>
      <c r="G300" s="246"/>
      <c r="H300" s="246"/>
      <c r="I300" s="246"/>
      <c r="J300" s="246"/>
      <c r="K300" s="246"/>
      <c r="L300" s="246"/>
      <c r="M300" s="246"/>
      <c r="N300" s="246"/>
      <c r="O300" s="246"/>
      <c r="P300" s="246"/>
      <c r="Q300" s="246"/>
      <c r="R300" s="246"/>
      <c r="S300" s="247"/>
      <c r="T300" s="145"/>
    </row>
    <row r="301" spans="1:20" ht="15" outlineLevel="1">
      <c r="A301" s="705"/>
      <c r="B301" s="146">
        <v>29</v>
      </c>
      <c r="C301" s="251" t="s">
        <v>108</v>
      </c>
      <c r="D301" s="249" t="s">
        <v>34</v>
      </c>
      <c r="E301" s="249">
        <v>12</v>
      </c>
      <c r="F301" s="294">
        <v>0</v>
      </c>
      <c r="G301" s="294">
        <v>0</v>
      </c>
      <c r="H301" s="291">
        <v>0</v>
      </c>
      <c r="I301" s="291">
        <v>0</v>
      </c>
      <c r="J301" s="291">
        <v>0</v>
      </c>
      <c r="K301" s="291">
        <v>0</v>
      </c>
      <c r="L301" s="291">
        <v>0</v>
      </c>
      <c r="M301" s="291">
        <v>0</v>
      </c>
      <c r="N301" s="291">
        <v>0</v>
      </c>
      <c r="O301" s="291">
        <v>0</v>
      </c>
      <c r="P301" s="291">
        <v>0</v>
      </c>
      <c r="Q301" s="291">
        <v>0</v>
      </c>
      <c r="R301" s="291">
        <v>0</v>
      </c>
      <c r="S301" s="248">
        <f t="shared" ref="S301:S303" si="61">SUM(H301:R301)</f>
        <v>0</v>
      </c>
      <c r="T301" s="65"/>
    </row>
    <row r="302" spans="1:20" ht="15" outlineLevel="1">
      <c r="A302" s="705"/>
      <c r="B302" s="146">
        <v>30</v>
      </c>
      <c r="C302" s="251" t="s">
        <v>107</v>
      </c>
      <c r="D302" s="249" t="s">
        <v>34</v>
      </c>
      <c r="E302" s="249">
        <v>12</v>
      </c>
      <c r="F302" s="294">
        <v>1196.8109999999999</v>
      </c>
      <c r="G302" s="294">
        <v>0</v>
      </c>
      <c r="H302" s="291">
        <v>0</v>
      </c>
      <c r="I302" s="291">
        <v>0</v>
      </c>
      <c r="J302" s="291">
        <v>0</v>
      </c>
      <c r="K302" s="291">
        <v>0</v>
      </c>
      <c r="L302" s="291">
        <v>0</v>
      </c>
      <c r="M302" s="291">
        <v>0</v>
      </c>
      <c r="N302" s="291">
        <v>0</v>
      </c>
      <c r="O302" s="291">
        <v>0</v>
      </c>
      <c r="P302" s="291">
        <v>0</v>
      </c>
      <c r="Q302" s="291">
        <v>0</v>
      </c>
      <c r="R302" s="291">
        <v>0</v>
      </c>
      <c r="S302" s="248">
        <f t="shared" si="61"/>
        <v>0</v>
      </c>
      <c r="T302" s="65"/>
    </row>
    <row r="303" spans="1:20" ht="15" outlineLevel="1">
      <c r="A303" s="705"/>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291">
        <v>0</v>
      </c>
      <c r="Q303" s="291">
        <v>0</v>
      </c>
      <c r="R303" s="291">
        <v>0</v>
      </c>
      <c r="S303" s="248">
        <f t="shared" si="61"/>
        <v>0</v>
      </c>
      <c r="T303" s="65"/>
    </row>
    <row r="304" spans="1:20" ht="15" hidden="1" outlineLevel="1">
      <c r="A304" s="705"/>
      <c r="B304" s="146"/>
      <c r="C304" s="700"/>
      <c r="D304" s="700"/>
      <c r="E304" s="264"/>
      <c r="F304" s="294"/>
      <c r="G304" s="294"/>
      <c r="H304" s="291"/>
      <c r="I304" s="292"/>
      <c r="J304" s="292"/>
      <c r="K304" s="292"/>
      <c r="L304" s="292"/>
      <c r="M304" s="292"/>
      <c r="N304" s="292"/>
      <c r="O304" s="292"/>
      <c r="P304" s="292"/>
      <c r="Q304" s="292"/>
      <c r="R304" s="292"/>
      <c r="S304" s="397"/>
      <c r="T304" s="65"/>
    </row>
    <row r="305" spans="1:20" s="42" customFormat="1" ht="15" hidden="1" outlineLevel="1">
      <c r="A305" s="705"/>
      <c r="B305" s="147"/>
      <c r="C305" s="700"/>
      <c r="D305" s="700"/>
      <c r="E305" s="264"/>
      <c r="F305" s="294"/>
      <c r="G305" s="294"/>
      <c r="H305" s="394"/>
      <c r="I305" s="395"/>
      <c r="J305" s="395"/>
      <c r="K305" s="395"/>
      <c r="L305" s="395"/>
      <c r="M305" s="395"/>
      <c r="N305" s="395"/>
      <c r="O305" s="395"/>
      <c r="P305" s="395"/>
      <c r="Q305" s="395"/>
      <c r="R305" s="395"/>
      <c r="S305" s="398"/>
      <c r="T305" s="145"/>
    </row>
    <row r="306" spans="1:20" ht="15" collapsed="1">
      <c r="A306" s="705"/>
      <c r="B306" s="350"/>
      <c r="C306" s="701" t="s">
        <v>218</v>
      </c>
      <c r="D306" s="701"/>
      <c r="E306" s="351"/>
      <c r="F306" s="352"/>
      <c r="G306" s="352"/>
      <c r="H306" s="353">
        <f>IF(H248="kWh",SUMPRODUCT(H249:H303,$G$249:$G$303),)</f>
        <v>5314031.6103422511</v>
      </c>
      <c r="I306" s="353">
        <f t="shared" ref="I306:R306" si="62">IF(I248="kWh",SUMPRODUCT(I249:I303,$G$249:$G$303),)</f>
        <v>2487281.9940144438</v>
      </c>
      <c r="J306" s="353">
        <f t="shared" si="62"/>
        <v>0</v>
      </c>
      <c r="K306" s="353">
        <f t="shared" si="62"/>
        <v>0</v>
      </c>
      <c r="L306" s="353">
        <f t="shared" si="62"/>
        <v>0</v>
      </c>
      <c r="M306" s="353">
        <f t="shared" si="62"/>
        <v>0</v>
      </c>
      <c r="N306" s="353">
        <f t="shared" si="62"/>
        <v>0</v>
      </c>
      <c r="O306" s="353">
        <f t="shared" si="62"/>
        <v>0</v>
      </c>
      <c r="P306" s="353">
        <f t="shared" si="62"/>
        <v>0</v>
      </c>
      <c r="Q306" s="353">
        <f t="shared" si="62"/>
        <v>0</v>
      </c>
      <c r="R306" s="353">
        <f t="shared" si="62"/>
        <v>0</v>
      </c>
      <c r="S306" s="355">
        <f>SUM(H306:R306)</f>
        <v>7801313.604356695</v>
      </c>
      <c r="T306" s="65"/>
    </row>
    <row r="307" spans="1:20" ht="15">
      <c r="A307" s="705"/>
      <c r="B307" s="486"/>
      <c r="C307" s="487" t="s">
        <v>498</v>
      </c>
      <c r="D307" s="487"/>
      <c r="E307" s="488"/>
      <c r="F307" s="489"/>
      <c r="G307" s="489"/>
      <c r="H307" s="490">
        <f>IF(H248="kWh",H306-SUM(G255*H255,G256*H256),)</f>
        <v>5312967.018342251</v>
      </c>
      <c r="I307" s="490">
        <f t="shared" ref="I307:R307" si="63">IF(I248="kWh",I306-SUM(H255*I255,H256*I256),)</f>
        <v>2487281.9940144438</v>
      </c>
      <c r="J307" s="490">
        <f t="shared" si="63"/>
        <v>0</v>
      </c>
      <c r="K307" s="490">
        <f t="shared" si="63"/>
        <v>0</v>
      </c>
      <c r="L307" s="490">
        <f t="shared" si="63"/>
        <v>0</v>
      </c>
      <c r="M307" s="490">
        <f t="shared" si="63"/>
        <v>0</v>
      </c>
      <c r="N307" s="490">
        <f t="shared" si="63"/>
        <v>0</v>
      </c>
      <c r="O307" s="490">
        <f t="shared" si="63"/>
        <v>0</v>
      </c>
      <c r="P307" s="490">
        <f t="shared" si="63"/>
        <v>0</v>
      </c>
      <c r="Q307" s="490">
        <f t="shared" si="63"/>
        <v>0</v>
      </c>
      <c r="R307" s="490">
        <f t="shared" si="63"/>
        <v>0</v>
      </c>
      <c r="S307" s="355">
        <f t="shared" ref="S307:S309" si="64">SUM(H307:R307)</f>
        <v>7800249.0123566948</v>
      </c>
      <c r="T307" s="65"/>
    </row>
    <row r="308" spans="1:20" ht="15">
      <c r="A308" s="705"/>
      <c r="B308" s="271"/>
      <c r="C308" s="700" t="s">
        <v>315</v>
      </c>
      <c r="D308" s="700"/>
      <c r="E308" s="265"/>
      <c r="F308" s="263"/>
      <c r="G308" s="263"/>
      <c r="H308" s="266">
        <f t="shared" ref="H308:I308" si="65">IF(H248="kW",SUMPRODUCT(H249:H303,$E$249:$E$303,$F$249:$F$303),)</f>
        <v>0</v>
      </c>
      <c r="I308" s="266">
        <f t="shared" si="65"/>
        <v>0</v>
      </c>
      <c r="J308" s="266">
        <f>IF(J248="kW",SUMPRODUCT(J249:J303,$E$249:$E$303,$F$249:$F$303),)</f>
        <v>7740.6886257480728</v>
      </c>
      <c r="K308" s="266">
        <f t="shared" ref="K308:Q308" si="66">IF(K248="kW",SUMPRODUCT(K249:K303,$E$249:$E$303,$F$249:$F$303),)</f>
        <v>10546.852528228374</v>
      </c>
      <c r="L308" s="266">
        <f t="shared" si="66"/>
        <v>0</v>
      </c>
      <c r="M308" s="266">
        <f t="shared" si="66"/>
        <v>14.87544154488468</v>
      </c>
      <c r="N308" s="266">
        <f t="shared" si="66"/>
        <v>0</v>
      </c>
      <c r="O308" s="266">
        <f t="shared" si="66"/>
        <v>5106.8402172951955</v>
      </c>
      <c r="P308" s="266">
        <f t="shared" si="66"/>
        <v>0</v>
      </c>
      <c r="Q308" s="266">
        <f t="shared" si="66"/>
        <v>0</v>
      </c>
      <c r="R308" s="266">
        <f>'8. Street lighting'!$E$61</f>
        <v>699.78240000000005</v>
      </c>
      <c r="S308" s="355">
        <f t="shared" si="64"/>
        <v>24109.039212816529</v>
      </c>
      <c r="T308" s="65"/>
    </row>
    <row r="309" spans="1:20" ht="15">
      <c r="A309" s="705"/>
      <c r="B309" s="271"/>
      <c r="C309" s="700" t="s">
        <v>494</v>
      </c>
      <c r="D309" s="700"/>
      <c r="E309" s="265"/>
      <c r="F309" s="263"/>
      <c r="G309" s="263"/>
      <c r="H309" s="266">
        <f t="shared" ref="H309:I309" si="67">IF(H248="kW",H308-($E$265*$F$265*H265),)</f>
        <v>0</v>
      </c>
      <c r="I309" s="266">
        <f t="shared" si="67"/>
        <v>0</v>
      </c>
      <c r="J309" s="266">
        <f>IF(J248="kW",J308-($E$265*$F$265*J265),)</f>
        <v>7740.6886257480728</v>
      </c>
      <c r="K309" s="266">
        <f t="shared" ref="K309:R309" si="68">IF(K248="kW",K308-($E$265*$F$265*K265),)</f>
        <v>10546.852528228374</v>
      </c>
      <c r="L309" s="266">
        <f t="shared" si="68"/>
        <v>0</v>
      </c>
      <c r="M309" s="266">
        <f t="shared" si="68"/>
        <v>14.87544154488468</v>
      </c>
      <c r="N309" s="266">
        <f t="shared" si="68"/>
        <v>0</v>
      </c>
      <c r="O309" s="266">
        <f t="shared" si="68"/>
        <v>5106.8402172951955</v>
      </c>
      <c r="P309" s="266">
        <f t="shared" si="68"/>
        <v>0</v>
      </c>
      <c r="Q309" s="266">
        <f t="shared" si="68"/>
        <v>0</v>
      </c>
      <c r="R309" s="266">
        <f t="shared" si="68"/>
        <v>699.78240000000005</v>
      </c>
      <c r="S309" s="355">
        <f t="shared" si="64"/>
        <v>24109.039212816529</v>
      </c>
      <c r="T309" s="65"/>
    </row>
    <row r="310" spans="1:20" ht="15">
      <c r="A310" s="705"/>
      <c r="B310" s="273"/>
      <c r="C310" s="506"/>
      <c r="D310" s="258"/>
      <c r="E310" s="258"/>
      <c r="F310" s="256"/>
      <c r="G310" s="256"/>
      <c r="H310" s="258"/>
      <c r="I310" s="258"/>
      <c r="J310" s="258"/>
      <c r="K310" s="258"/>
      <c r="L310" s="258"/>
      <c r="M310" s="258"/>
      <c r="N310" s="258"/>
      <c r="O310" s="258"/>
      <c r="P310" s="258"/>
      <c r="Q310" s="258"/>
      <c r="R310" s="258"/>
      <c r="S310" s="274"/>
      <c r="T310" s="65"/>
    </row>
    <row r="311" spans="1:20" ht="15">
      <c r="A311" s="705"/>
      <c r="B311" s="377"/>
      <c r="C311" s="698" t="s">
        <v>320</v>
      </c>
      <c r="D311" s="698"/>
      <c r="E311" s="249"/>
      <c r="F311" s="260"/>
      <c r="G311" s="249"/>
      <c r="H311" s="261">
        <f>'3.  Distribution Rates'!H36</f>
        <v>1.61E-2</v>
      </c>
      <c r="I311" s="261">
        <f>'3.  Distribution Rates'!H37</f>
        <v>1.6400000000000001E-2</v>
      </c>
      <c r="J311" s="261">
        <f>'3.  Distribution Rates'!H38</f>
        <v>3.1402999999999999</v>
      </c>
      <c r="K311" s="261">
        <f>'3.  Distribution Rates'!H39</f>
        <v>2.5402999999999998</v>
      </c>
      <c r="L311" s="261">
        <f>'3.  Distribution Rates'!H40</f>
        <v>1.8111999999999999</v>
      </c>
      <c r="M311" s="261">
        <f>'3.  Distribution Rates'!H41</f>
        <v>1.2112000000000001</v>
      </c>
      <c r="N311" s="261">
        <f>'3.  Distribution Rates'!H42</f>
        <v>2.4498000000000002</v>
      </c>
      <c r="O311" s="261">
        <f>'3.  Distribution Rates'!H43</f>
        <v>1.8498000000000001</v>
      </c>
      <c r="P311" s="261">
        <f>'3.  Distribution Rates'!H44</f>
        <v>1.6899999999999998E-2</v>
      </c>
      <c r="Q311" s="261">
        <f>'3.  Distribution Rates'!H45</f>
        <v>12.3611</v>
      </c>
      <c r="R311" s="261">
        <f>'3.  Distribution Rates'!H46</f>
        <v>3.5910000000000002</v>
      </c>
      <c r="S311" s="378"/>
      <c r="T311" s="65"/>
    </row>
    <row r="312" spans="1:20" ht="15">
      <c r="A312" s="705"/>
      <c r="B312" s="377"/>
      <c r="C312" s="698" t="s">
        <v>235</v>
      </c>
      <c r="D312" s="698"/>
      <c r="E312" s="258"/>
      <c r="F312" s="260"/>
      <c r="G312" s="637" t="s">
        <v>578</v>
      </c>
      <c r="H312" s="374"/>
      <c r="I312" s="374"/>
      <c r="J312" s="374"/>
      <c r="K312" s="374"/>
      <c r="L312" s="374"/>
      <c r="M312" s="374"/>
      <c r="N312" s="374"/>
      <c r="O312" s="374"/>
      <c r="P312" s="374"/>
      <c r="Q312" s="374"/>
      <c r="R312" s="374"/>
      <c r="S312" s="275">
        <f>SUM(H312:R312)</f>
        <v>0</v>
      </c>
      <c r="T312" s="65"/>
    </row>
    <row r="313" spans="1:20" ht="15">
      <c r="A313" s="705"/>
      <c r="B313" s="377"/>
      <c r="C313" s="698" t="s">
        <v>236</v>
      </c>
      <c r="D313" s="698"/>
      <c r="E313" s="258"/>
      <c r="F313" s="260"/>
      <c r="G313" s="637" t="s">
        <v>578</v>
      </c>
      <c r="H313" s="374"/>
      <c r="I313" s="374"/>
      <c r="J313" s="374"/>
      <c r="K313" s="374"/>
      <c r="L313" s="374"/>
      <c r="M313" s="374"/>
      <c r="N313" s="374"/>
      <c r="O313" s="374"/>
      <c r="P313" s="374"/>
      <c r="Q313" s="374"/>
      <c r="R313" s="374"/>
      <c r="S313" s="275">
        <f t="shared" ref="S313:S315" si="69">SUM(H313:R313)</f>
        <v>0</v>
      </c>
      <c r="T313" s="65"/>
    </row>
    <row r="314" spans="1:20" ht="15">
      <c r="A314" s="705"/>
      <c r="B314" s="377"/>
      <c r="C314" s="698" t="s">
        <v>237</v>
      </c>
      <c r="D314" s="698"/>
      <c r="E314" s="258"/>
      <c r="F314" s="260"/>
      <c r="G314" s="260"/>
      <c r="H314" s="374">
        <f>H$311*'6.  Persistence Rates'!D325</f>
        <v>33070.98162522832</v>
      </c>
      <c r="I314" s="374">
        <f>I$311*'6.  Persistence Rates'!E325</f>
        <v>33949.106585741793</v>
      </c>
      <c r="J314" s="374">
        <f>J$311*'6.  Persistence Rates'!F325</f>
        <v>22246.883428655532</v>
      </c>
      <c r="K314" s="374">
        <f>K$311*'6.  Persistence Rates'!G325</f>
        <v>7504.3874597352315</v>
      </c>
      <c r="L314" s="374">
        <f>L$311*'6.  Persistence Rates'!H325</f>
        <v>0</v>
      </c>
      <c r="M314" s="374">
        <f>M$311*'6.  Persistence Rates'!I325</f>
        <v>439.74898923925832</v>
      </c>
      <c r="N314" s="374">
        <f>N$311*'6.  Persistence Rates'!J325</f>
        <v>0</v>
      </c>
      <c r="O314" s="374">
        <f>O$311*'6.  Persistence Rates'!K325</f>
        <v>2647.3746491131633</v>
      </c>
      <c r="P314" s="374">
        <f>P$311*'6.  Persistence Rates'!L325</f>
        <v>0</v>
      </c>
      <c r="Q314" s="374">
        <f>Q$311*'6.  Persistence Rates'!M325</f>
        <v>0</v>
      </c>
      <c r="R314" s="374">
        <f>R$311*'6.  Persistence Rates'!N325</f>
        <v>0</v>
      </c>
      <c r="S314" s="275">
        <f t="shared" si="69"/>
        <v>99858.48273771329</v>
      </c>
      <c r="T314" s="65"/>
    </row>
    <row r="315" spans="1:20" ht="15">
      <c r="A315" s="705"/>
      <c r="B315" s="377"/>
      <c r="C315" s="698" t="s">
        <v>238</v>
      </c>
      <c r="D315" s="698"/>
      <c r="E315" s="258"/>
      <c r="F315" s="260"/>
      <c r="G315" s="260"/>
      <c r="H315" s="374">
        <f>IF(H248="kWh",H306,H308)*H311</f>
        <v>85555.908926510238</v>
      </c>
      <c r="I315" s="374">
        <f t="shared" ref="I315:R315" si="70">IF(I248="kWh",I306,I308)*I311</f>
        <v>40791.424701836884</v>
      </c>
      <c r="J315" s="374">
        <f t="shared" si="70"/>
        <v>24308.084491436672</v>
      </c>
      <c r="K315" s="374">
        <f t="shared" si="70"/>
        <v>26792.169477458534</v>
      </c>
      <c r="L315" s="374">
        <f t="shared" si="70"/>
        <v>0</v>
      </c>
      <c r="M315" s="374">
        <f t="shared" si="70"/>
        <v>18.017134799164324</v>
      </c>
      <c r="N315" s="374">
        <f t="shared" si="70"/>
        <v>0</v>
      </c>
      <c r="O315" s="374">
        <f t="shared" si="70"/>
        <v>9446.6330339526539</v>
      </c>
      <c r="P315" s="374">
        <f t="shared" si="70"/>
        <v>0</v>
      </c>
      <c r="Q315" s="374">
        <f t="shared" si="70"/>
        <v>0</v>
      </c>
      <c r="R315" s="374">
        <f t="shared" si="70"/>
        <v>2512.9185984000005</v>
      </c>
      <c r="S315" s="275">
        <f t="shared" si="69"/>
        <v>189425.15636439412</v>
      </c>
      <c r="T315" s="65"/>
    </row>
    <row r="316" spans="1:20" ht="15">
      <c r="A316" s="705"/>
      <c r="B316" s="273"/>
      <c r="C316" s="375" t="s">
        <v>203</v>
      </c>
      <c r="D316" s="258"/>
      <c r="E316" s="258"/>
      <c r="F316" s="256"/>
      <c r="G316" s="256"/>
      <c r="H316" s="262">
        <f>SUM(H312:H315)</f>
        <v>118626.89055173856</v>
      </c>
      <c r="I316" s="262">
        <f>SUM(I312:I315)</f>
        <v>74740.531287578677</v>
      </c>
      <c r="J316" s="262">
        <f>SUM(J312:J315)</f>
        <v>46554.967920092204</v>
      </c>
      <c r="K316" s="262">
        <f>SUM(K312:K315)</f>
        <v>34296.556937193767</v>
      </c>
      <c r="L316" s="262">
        <f t="shared" ref="L316:R316" si="71">SUM(L312:L315)</f>
        <v>0</v>
      </c>
      <c r="M316" s="262">
        <f t="shared" si="71"/>
        <v>457.76612403842262</v>
      </c>
      <c r="N316" s="262">
        <f t="shared" si="71"/>
        <v>0</v>
      </c>
      <c r="O316" s="262">
        <f t="shared" si="71"/>
        <v>12094.007683065818</v>
      </c>
      <c r="P316" s="262">
        <f t="shared" si="71"/>
        <v>0</v>
      </c>
      <c r="Q316" s="262">
        <f t="shared" si="71"/>
        <v>0</v>
      </c>
      <c r="R316" s="262">
        <f t="shared" si="71"/>
        <v>2512.9185984000005</v>
      </c>
      <c r="S316" s="276">
        <f>SUM(S312:S315)</f>
        <v>289283.63910210738</v>
      </c>
      <c r="T316" s="65"/>
    </row>
    <row r="317" spans="1:20">
      <c r="B317" s="401"/>
      <c r="C317" s="699" t="s">
        <v>431</v>
      </c>
      <c r="D317" s="699"/>
      <c r="E317" s="402"/>
      <c r="F317" s="111"/>
      <c r="G317" s="111"/>
      <c r="H317" s="515">
        <f>'6.  Persistence Rates'!D329</f>
        <v>4882538.8566695964</v>
      </c>
      <c r="I317" s="515">
        <f>'6.  Persistence Rates'!E329</f>
        <v>2441854.084614954</v>
      </c>
      <c r="J317" s="515">
        <f>'6.  Persistence Rates'!F329</f>
        <v>7715.0623423503494</v>
      </c>
      <c r="K317" s="515">
        <f>'6.  Persistence Rates'!G329</f>
        <v>10074.044802793471</v>
      </c>
      <c r="L317" s="515">
        <f>'6.  Persistence Rates'!H329</f>
        <v>0</v>
      </c>
      <c r="M317" s="515">
        <f>'6.  Persistence Rates'!I329</f>
        <v>14.854592638502067</v>
      </c>
      <c r="N317" s="515">
        <f>'6.  Persistence Rates'!J329</f>
        <v>0</v>
      </c>
      <c r="O317" s="515">
        <f>'6.  Persistence Rates'!K329</f>
        <v>1964.5004439268828</v>
      </c>
      <c r="P317" s="515">
        <f>'6.  Persistence Rates'!L329</f>
        <v>0</v>
      </c>
      <c r="Q317" s="515">
        <f>'6.  Persistence Rates'!M329</f>
        <v>0</v>
      </c>
      <c r="R317" s="515">
        <f>'8. Street lighting'!E74</f>
        <v>1049.6736000000001</v>
      </c>
      <c r="S317" s="403"/>
    </row>
    <row r="318" spans="1:20" hidden="1">
      <c r="B318" s="399"/>
      <c r="C318" s="698" t="s">
        <v>432</v>
      </c>
      <c r="D318" s="698"/>
      <c r="E318" s="54"/>
      <c r="F318" s="44"/>
      <c r="G318" s="44"/>
      <c r="H318" s="249">
        <f>'6.  Persistence Rates'!D330</f>
        <v>4626371.0622695964</v>
      </c>
      <c r="I318" s="249">
        <f>'6.  Persistence Rates'!E330</f>
        <v>2317896.6440998102</v>
      </c>
      <c r="J318" s="249">
        <f>'6.  Persistence Rates'!F330</f>
        <v>7667.0060351432567</v>
      </c>
      <c r="K318" s="249">
        <f>'6.  Persistence Rates'!G330</f>
        <v>10074.044802793471</v>
      </c>
      <c r="L318" s="249">
        <f>'6.  Persistence Rates'!H330</f>
        <v>0</v>
      </c>
      <c r="M318" s="249">
        <f>'6.  Persistence Rates'!I330</f>
        <v>14.854592638502067</v>
      </c>
      <c r="N318" s="249">
        <f>'6.  Persistence Rates'!J330</f>
        <v>0</v>
      </c>
      <c r="O318" s="249">
        <f>'6.  Persistence Rates'!K330</f>
        <v>1964.5004439268828</v>
      </c>
      <c r="P318" s="249">
        <f>'6.  Persistence Rates'!L330</f>
        <v>0</v>
      </c>
      <c r="Q318" s="249">
        <f>'6.  Persistence Rates'!M330</f>
        <v>0</v>
      </c>
      <c r="R318" s="249">
        <f>'6.  Persistence Rates'!N330</f>
        <v>1049.6736000000001</v>
      </c>
      <c r="S318" s="400"/>
    </row>
    <row r="319" spans="1:20" hidden="1">
      <c r="B319" s="399"/>
      <c r="C319" s="698" t="s">
        <v>433</v>
      </c>
      <c r="D319" s="698"/>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249" t="e">
        <f>$M$308*'6.  Persistence Rates'!$V$28</f>
        <v>#DIV/0!</v>
      </c>
      <c r="Q319" s="249" t="e">
        <f>$N$306*'6.  Persistence Rates'!$J$28</f>
        <v>#DIV/0!</v>
      </c>
      <c r="R319" s="44"/>
      <c r="S319" s="400"/>
    </row>
    <row r="320" spans="1:20" hidden="1">
      <c r="B320" s="399"/>
      <c r="C320" s="698" t="s">
        <v>434</v>
      </c>
      <c r="D320" s="698"/>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249" t="e">
        <f>$M$308*'6.  Persistence Rates'!$W$28</f>
        <v>#DIV/0!</v>
      </c>
      <c r="Q320" s="249" t="e">
        <f>$N$306*'6.  Persistence Rates'!$K$28</f>
        <v>#DIV/0!</v>
      </c>
      <c r="R320" s="44"/>
      <c r="S320" s="400"/>
    </row>
    <row r="321" spans="2:19" hidden="1">
      <c r="B321" s="399"/>
      <c r="C321" s="698" t="s">
        <v>435</v>
      </c>
      <c r="D321" s="698"/>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249" t="e">
        <f>$M$308*'6.  Persistence Rates'!$X$28</f>
        <v>#DIV/0!</v>
      </c>
      <c r="Q321" s="249" t="e">
        <f>$N$306*'6.  Persistence Rates'!$L$28</f>
        <v>#DIV/0!</v>
      </c>
      <c r="R321" s="44"/>
      <c r="S321" s="400"/>
    </row>
    <row r="322" spans="2:19" hidden="1">
      <c r="B322" s="401"/>
      <c r="C322" s="699" t="s">
        <v>436</v>
      </c>
      <c r="D322" s="699"/>
      <c r="E322" s="402"/>
      <c r="F322" s="111"/>
      <c r="G322" s="111"/>
      <c r="H322" s="515" t="e">
        <f>$H$307*'6.  Persistence Rates'!$M$28</f>
        <v>#DIV/0!</v>
      </c>
      <c r="I322" s="515" t="e">
        <f>$I$307*'6.  Persistence Rates'!$M$28</f>
        <v>#DIV/0!</v>
      </c>
      <c r="J322" s="515" t="e">
        <f>$J$309*'6.  Persistence Rates'!$Y$28</f>
        <v>#DIV/0!</v>
      </c>
      <c r="K322" s="515" t="e">
        <f>$K$309*'6.  Persistence Rates'!$Y$28</f>
        <v>#DIV/0!</v>
      </c>
      <c r="L322" s="515" t="e">
        <f>$L$308*'6.  Persistence Rates'!$Y$28</f>
        <v>#DIV/0!</v>
      </c>
      <c r="M322" s="515" t="e">
        <f>$M$308*'6.  Persistence Rates'!$Y$28</f>
        <v>#DIV/0!</v>
      </c>
      <c r="N322" s="515" t="e">
        <f>$N$306*'6.  Persistence Rates'!$M$28</f>
        <v>#DIV/0!</v>
      </c>
      <c r="O322" s="111"/>
      <c r="P322" s="515" t="e">
        <f>$M$308*'6.  Persistence Rates'!$Y$28</f>
        <v>#DIV/0!</v>
      </c>
      <c r="Q322" s="515" t="e">
        <f>$N$306*'6.  Persistence Rates'!$M$28</f>
        <v>#DIV/0!</v>
      </c>
      <c r="R322" s="111"/>
      <c r="S322" s="403"/>
    </row>
    <row r="324" spans="2:19" ht="15" customHeight="1">
      <c r="B324" s="635" t="s">
        <v>577</v>
      </c>
      <c r="C324" s="711" t="s">
        <v>574</v>
      </c>
      <c r="D324" s="711"/>
      <c r="E324" s="711"/>
      <c r="F324" s="711"/>
      <c r="G324" s="711"/>
      <c r="H324" s="711"/>
      <c r="I324" s="711"/>
      <c r="J324" s="711"/>
      <c r="K324" s="711"/>
      <c r="L324" s="711"/>
      <c r="M324" s="711"/>
      <c r="N324" s="711"/>
      <c r="O324" s="711"/>
      <c r="P324" s="711"/>
      <c r="Q324" s="711"/>
      <c r="R324" s="711"/>
      <c r="S324" s="711"/>
    </row>
    <row r="325" spans="2:19" ht="18.95" customHeight="1">
      <c r="C325" s="711" t="s">
        <v>575</v>
      </c>
      <c r="D325" s="711"/>
      <c r="E325" s="711"/>
      <c r="F325" s="711"/>
      <c r="G325" s="711"/>
      <c r="H325" s="711"/>
      <c r="I325" s="711"/>
      <c r="J325" s="711"/>
      <c r="K325" s="711"/>
      <c r="L325" s="711"/>
      <c r="M325" s="711"/>
      <c r="N325" s="711"/>
      <c r="O325" s="711"/>
      <c r="P325" s="711"/>
      <c r="Q325" s="711"/>
      <c r="R325" s="711"/>
      <c r="S325" s="711"/>
    </row>
    <row r="326" spans="2:19">
      <c r="B326" s="587"/>
      <c r="C326" s="712" t="s">
        <v>579</v>
      </c>
      <c r="D326" s="712"/>
      <c r="E326" s="712"/>
      <c r="F326" s="712"/>
      <c r="G326" s="712"/>
      <c r="H326" s="712"/>
      <c r="I326" s="712"/>
      <c r="J326" s="712"/>
      <c r="K326" s="712"/>
      <c r="L326" s="712"/>
      <c r="M326" s="712"/>
      <c r="N326" s="712"/>
      <c r="O326" s="712"/>
      <c r="P326" s="712"/>
    </row>
  </sheetData>
  <mergeCells count="161">
    <mergeCell ref="C43:D43"/>
    <mergeCell ref="C51:D51"/>
    <mergeCell ref="C52:D52"/>
    <mergeCell ref="C56:D56"/>
    <mergeCell ref="B3:S3"/>
    <mergeCell ref="C12:C14"/>
    <mergeCell ref="D19:D20"/>
    <mergeCell ref="H19:S19"/>
    <mergeCell ref="B17:S17"/>
    <mergeCell ref="D246:D247"/>
    <mergeCell ref="E166:E167"/>
    <mergeCell ref="E246:E247"/>
    <mergeCell ref="C225:D225"/>
    <mergeCell ref="C227:D227"/>
    <mergeCell ref="C229:D229"/>
    <mergeCell ref="C230:D230"/>
    <mergeCell ref="C70:D70"/>
    <mergeCell ref="C44:D44"/>
    <mergeCell ref="C53:D53"/>
    <mergeCell ref="C58:D58"/>
    <mergeCell ref="C69:D69"/>
    <mergeCell ref="C71:D71"/>
    <mergeCell ref="C76:D76"/>
    <mergeCell ref="C144:D144"/>
    <mergeCell ref="C127:D127"/>
    <mergeCell ref="C128:D128"/>
    <mergeCell ref="C136:D136"/>
    <mergeCell ref="C87:C88"/>
    <mergeCell ref="C148:D148"/>
    <mergeCell ref="C149:D149"/>
    <mergeCell ref="C57:D57"/>
    <mergeCell ref="D87:D88"/>
    <mergeCell ref="C324:S324"/>
    <mergeCell ref="C325:S325"/>
    <mergeCell ref="C326:P326"/>
    <mergeCell ref="B19:B20"/>
    <mergeCell ref="D13:E13"/>
    <mergeCell ref="D14:E14"/>
    <mergeCell ref="H87:S87"/>
    <mergeCell ref="C145:D145"/>
    <mergeCell ref="E19:E20"/>
    <mergeCell ref="C150:D150"/>
    <mergeCell ref="E87:E88"/>
    <mergeCell ref="C19:C20"/>
    <mergeCell ref="C21:D21"/>
    <mergeCell ref="C33:D33"/>
    <mergeCell ref="C152:D152"/>
    <mergeCell ref="C124:D124"/>
    <mergeCell ref="C129:D129"/>
    <mergeCell ref="C89:D89"/>
    <mergeCell ref="C139:D139"/>
    <mergeCell ref="C42:D42"/>
    <mergeCell ref="C314:D314"/>
    <mergeCell ref="C313:D313"/>
    <mergeCell ref="C312:D312"/>
    <mergeCell ref="C275:D275"/>
    <mergeCell ref="C285:D285"/>
    <mergeCell ref="C290:D290"/>
    <mergeCell ref="C300:D300"/>
    <mergeCell ref="C306:D306"/>
    <mergeCell ref="C248:D248"/>
    <mergeCell ref="C262:D262"/>
    <mergeCell ref="C305:D305"/>
    <mergeCell ref="C308:D308"/>
    <mergeCell ref="C311:D311"/>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241:D241"/>
    <mergeCell ref="B244:S244"/>
    <mergeCell ref="H246:S246"/>
    <mergeCell ref="A90:A155"/>
    <mergeCell ref="A168:A235"/>
    <mergeCell ref="C64:D64"/>
    <mergeCell ref="C65:D65"/>
    <mergeCell ref="C66:D66"/>
    <mergeCell ref="C100:D100"/>
    <mergeCell ref="C101:D101"/>
    <mergeCell ref="C102:D102"/>
    <mergeCell ref="C114:D114"/>
    <mergeCell ref="C74:D74"/>
    <mergeCell ref="C137:D137"/>
    <mergeCell ref="A21:A76"/>
    <mergeCell ref="C233:D233"/>
    <mergeCell ref="C232:D232"/>
    <mergeCell ref="C231:D231"/>
    <mergeCell ref="C235:D235"/>
    <mergeCell ref="B85:S85"/>
    <mergeCell ref="C147:D147"/>
    <mergeCell ref="B87:B88"/>
    <mergeCell ref="C31:D31"/>
    <mergeCell ref="C32:D32"/>
    <mergeCell ref="C75:D75"/>
    <mergeCell ref="C72:D72"/>
    <mergeCell ref="C73:D73"/>
    <mergeCell ref="C113:D113"/>
    <mergeCell ref="C315:D315"/>
    <mergeCell ref="C67:D6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12:D112"/>
    <mergeCell ref="C180:D180"/>
    <mergeCell ref="C181:D181"/>
    <mergeCell ref="C192:D192"/>
    <mergeCell ref="C121:D121"/>
    <mergeCell ref="C138:D138"/>
    <mergeCell ref="C143:D143"/>
    <mergeCell ref="C179:D179"/>
    <mergeCell ref="C122:D122"/>
    <mergeCell ref="C123:D123"/>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317:D317"/>
    <mergeCell ref="C318:D318"/>
    <mergeCell ref="C319:D319"/>
    <mergeCell ref="C320:D320"/>
    <mergeCell ref="C298:D298"/>
    <mergeCell ref="C299:D299"/>
    <mergeCell ref="C304:D304"/>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1"/>
  <sheetViews>
    <sheetView showZeros="0" topLeftCell="D1" zoomScale="90" zoomScaleNormal="90" zoomScalePageLayoutView="90" workbookViewId="0">
      <pane ySplit="2" topLeftCell="A116" activePane="bottomLeft" state="frozen"/>
      <selection activeCell="C6" sqref="C6"/>
      <selection pane="bottomLeft" activeCell="C6" sqref="C6"/>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8" width="11.42578125" style="23" customWidth="1"/>
    <col min="19" max="19" width="11.28515625" style="23" customWidth="1"/>
    <col min="20" max="20" width="13.140625" style="23" customWidth="1"/>
    <col min="21" max="16384" width="8.85546875" style="23"/>
  </cols>
  <sheetData>
    <row r="1" spans="1:21" ht="167.25" customHeight="1">
      <c r="A1" s="723"/>
      <c r="B1" s="723"/>
      <c r="C1" s="723"/>
      <c r="D1" s="723"/>
      <c r="E1" s="723"/>
      <c r="F1" s="723"/>
      <c r="G1" s="723"/>
      <c r="H1" s="723"/>
      <c r="I1" s="723"/>
      <c r="J1" s="723"/>
      <c r="K1" s="723"/>
      <c r="L1" s="723"/>
      <c r="M1" s="723"/>
      <c r="N1" s="723"/>
      <c r="O1" s="723"/>
      <c r="P1" s="598"/>
      <c r="Q1" s="598"/>
      <c r="R1" s="598"/>
    </row>
    <row r="2" spans="1:21" ht="20.25">
      <c r="B2" s="734" t="s">
        <v>261</v>
      </c>
      <c r="C2" s="734"/>
      <c r="D2" s="734"/>
      <c r="E2" s="734"/>
      <c r="F2" s="734"/>
      <c r="G2" s="734"/>
      <c r="H2" s="734"/>
      <c r="I2" s="734"/>
      <c r="J2" s="734"/>
      <c r="K2" s="734"/>
      <c r="L2" s="734"/>
      <c r="M2" s="734"/>
      <c r="N2" s="734"/>
      <c r="O2" s="734"/>
      <c r="P2" s="734"/>
      <c r="Q2" s="734"/>
      <c r="R2" s="734"/>
      <c r="S2" s="734"/>
    </row>
    <row r="3" spans="1:21" ht="13.5" customHeight="1" outlineLevel="1">
      <c r="B3" s="35"/>
      <c r="C3" s="172"/>
      <c r="D3" s="46"/>
      <c r="E3" s="35"/>
      <c r="F3" s="35"/>
      <c r="G3" s="35"/>
      <c r="H3" s="35"/>
      <c r="I3" s="35"/>
      <c r="J3" s="35"/>
      <c r="K3" s="35"/>
      <c r="L3" s="35"/>
      <c r="M3" s="35"/>
      <c r="N3" s="35"/>
      <c r="O3" s="35"/>
      <c r="P3" s="598"/>
      <c r="Q3" s="598"/>
      <c r="R3" s="598"/>
      <c r="S3" s="35"/>
    </row>
    <row r="4" spans="1:21" ht="24.75" customHeight="1" outlineLevel="1">
      <c r="A4" s="64"/>
      <c r="B4" s="62"/>
      <c r="C4" s="365" t="s">
        <v>396</v>
      </c>
      <c r="D4" s="383"/>
      <c r="E4" s="716" t="s">
        <v>490</v>
      </c>
      <c r="F4" s="716"/>
      <c r="G4" s="716"/>
      <c r="H4" s="716"/>
      <c r="I4" s="716"/>
      <c r="J4" s="716"/>
      <c r="K4" s="716"/>
      <c r="L4" s="716"/>
      <c r="M4" s="716"/>
      <c r="N4" s="716"/>
      <c r="O4" s="716"/>
      <c r="P4" s="716"/>
      <c r="Q4" s="716"/>
      <c r="R4" s="716"/>
      <c r="S4" s="716"/>
    </row>
    <row r="5" spans="1:21" ht="36" customHeight="1" outlineLevel="1">
      <c r="A5" s="64"/>
      <c r="B5" s="461"/>
      <c r="C5" s="365"/>
      <c r="D5" s="383"/>
      <c r="E5" s="716" t="s">
        <v>491</v>
      </c>
      <c r="F5" s="716"/>
      <c r="G5" s="716"/>
      <c r="H5" s="716"/>
      <c r="I5" s="716"/>
      <c r="J5" s="716"/>
      <c r="K5" s="716"/>
      <c r="L5" s="716"/>
      <c r="M5" s="716"/>
      <c r="N5" s="716"/>
      <c r="O5" s="716"/>
      <c r="P5" s="716"/>
      <c r="Q5" s="716"/>
      <c r="R5" s="716"/>
      <c r="S5" s="716"/>
    </row>
    <row r="6" spans="1:21" ht="18.75" outlineLevel="1">
      <c r="B6" s="62"/>
      <c r="C6" s="384"/>
      <c r="D6" s="383"/>
      <c r="E6" s="717" t="s">
        <v>353</v>
      </c>
      <c r="F6" s="717"/>
      <c r="G6" s="717"/>
      <c r="H6" s="717"/>
      <c r="I6" s="717"/>
      <c r="J6" s="717"/>
      <c r="K6" s="717"/>
      <c r="L6" s="717"/>
      <c r="M6" s="717"/>
      <c r="N6" s="717"/>
      <c r="O6" s="717"/>
      <c r="P6" s="717"/>
      <c r="Q6" s="717"/>
      <c r="R6" s="717"/>
      <c r="S6" s="717"/>
    </row>
    <row r="7" spans="1:21" ht="18.75" outlineLevel="1">
      <c r="B7" s="236"/>
      <c r="C7" s="384"/>
      <c r="D7" s="383"/>
      <c r="E7" s="717" t="s">
        <v>354</v>
      </c>
      <c r="F7" s="717"/>
      <c r="G7" s="717"/>
      <c r="H7" s="717"/>
      <c r="I7" s="717"/>
      <c r="J7" s="717"/>
      <c r="K7" s="717"/>
      <c r="L7" s="717"/>
      <c r="M7" s="717"/>
      <c r="N7" s="717"/>
      <c r="O7" s="717"/>
      <c r="P7" s="717"/>
      <c r="Q7" s="717"/>
      <c r="R7" s="717"/>
      <c r="S7" s="717"/>
    </row>
    <row r="8" spans="1:21" ht="18.75" outlineLevel="1">
      <c r="B8" s="62"/>
      <c r="C8" s="384"/>
      <c r="D8" s="383"/>
      <c r="E8" s="717" t="s">
        <v>480</v>
      </c>
      <c r="F8" s="717"/>
      <c r="G8" s="717"/>
      <c r="H8" s="717"/>
      <c r="I8" s="717"/>
      <c r="J8" s="717"/>
      <c r="K8" s="717"/>
      <c r="L8" s="717"/>
      <c r="M8" s="717"/>
      <c r="N8" s="717"/>
      <c r="O8" s="717"/>
      <c r="P8" s="717"/>
      <c r="Q8" s="717"/>
      <c r="R8" s="717"/>
      <c r="S8" s="717"/>
      <c r="U8" s="81"/>
    </row>
    <row r="9" spans="1:21" ht="14.25" customHeight="1" outlineLevel="1">
      <c r="B9" s="236"/>
      <c r="C9" s="384"/>
      <c r="D9" s="383"/>
      <c r="E9" s="47"/>
      <c r="F9" s="383"/>
      <c r="G9" s="383"/>
      <c r="H9" s="383"/>
      <c r="I9" s="383"/>
      <c r="J9" s="383"/>
      <c r="K9" s="383"/>
      <c r="L9" s="383"/>
      <c r="M9" s="383"/>
      <c r="N9" s="383"/>
      <c r="O9" s="383"/>
      <c r="P9" s="383"/>
      <c r="Q9" s="383"/>
      <c r="R9" s="383"/>
      <c r="S9" s="383"/>
    </row>
    <row r="10" spans="1:21" ht="9" customHeight="1" outlineLevel="1">
      <c r="B10" s="62"/>
      <c r="C10" s="172"/>
      <c r="D10" s="62"/>
      <c r="E10" s="165"/>
      <c r="F10" s="62"/>
      <c r="G10" s="62"/>
      <c r="H10" s="62"/>
      <c r="I10" s="62"/>
      <c r="J10" s="62"/>
      <c r="K10" s="62"/>
      <c r="L10" s="62"/>
      <c r="M10" s="62"/>
      <c r="N10" s="62"/>
      <c r="O10" s="62"/>
      <c r="P10" s="598"/>
      <c r="Q10" s="598"/>
      <c r="R10" s="598"/>
      <c r="S10" s="62"/>
    </row>
    <row r="11" spans="1:21" ht="15.75" customHeight="1" outlineLevel="1">
      <c r="B11" s="62"/>
      <c r="C11" s="83" t="s">
        <v>334</v>
      </c>
      <c r="D11" s="62"/>
      <c r="E11" s="735" t="s">
        <v>360</v>
      </c>
      <c r="F11" s="735"/>
      <c r="G11" s="62"/>
      <c r="H11" s="62"/>
      <c r="I11" s="62"/>
      <c r="J11" s="62"/>
      <c r="K11" s="62"/>
      <c r="L11" s="62"/>
      <c r="M11" s="62"/>
      <c r="N11" s="62"/>
      <c r="O11" s="62"/>
      <c r="P11" s="598"/>
      <c r="Q11" s="598"/>
      <c r="R11" s="598"/>
      <c r="S11" s="62"/>
      <c r="U11" s="81"/>
    </row>
    <row r="12" spans="1:21" ht="14.25" customHeight="1" outlineLevel="1">
      <c r="B12" s="62"/>
      <c r="C12" s="62"/>
      <c r="D12" s="62"/>
      <c r="E12" s="650" t="s">
        <v>335</v>
      </c>
      <c r="F12" s="650"/>
      <c r="G12" s="62"/>
      <c r="H12" s="62"/>
      <c r="I12" s="62"/>
      <c r="J12" s="62"/>
      <c r="K12" s="62"/>
      <c r="L12" s="62"/>
      <c r="M12" s="62"/>
      <c r="N12" s="62"/>
      <c r="O12" s="62"/>
      <c r="P12" s="598"/>
      <c r="Q12" s="598"/>
      <c r="R12" s="598"/>
      <c r="S12" s="62"/>
    </row>
    <row r="13" spans="1:21" ht="12" customHeight="1" outlineLevel="1">
      <c r="B13" s="62"/>
      <c r="C13" s="62"/>
      <c r="D13" s="62"/>
      <c r="E13" s="134"/>
      <c r="G13" s="62"/>
      <c r="H13" s="62"/>
      <c r="I13" s="62"/>
      <c r="J13" s="62"/>
      <c r="K13" s="62"/>
      <c r="L13" s="62"/>
      <c r="M13" s="62"/>
      <c r="N13" s="62"/>
      <c r="O13" s="62"/>
      <c r="P13" s="598"/>
      <c r="Q13" s="598"/>
      <c r="R13" s="598"/>
      <c r="S13" s="62"/>
    </row>
    <row r="14" spans="1:21" ht="18" customHeight="1">
      <c r="A14" s="33"/>
      <c r="B14" s="186" t="s">
        <v>468</v>
      </c>
      <c r="C14" s="49"/>
      <c r="D14" s="51"/>
      <c r="E14" s="51"/>
    </row>
    <row r="15" spans="1:21" ht="45">
      <c r="B15" s="729" t="s">
        <v>59</v>
      </c>
      <c r="C15" s="724" t="s">
        <v>0</v>
      </c>
      <c r="D15" s="724" t="s">
        <v>45</v>
      </c>
      <c r="E15" s="724" t="s">
        <v>202</v>
      </c>
      <c r="F15" s="419" t="s">
        <v>46</v>
      </c>
      <c r="G15" s="419" t="s">
        <v>199</v>
      </c>
      <c r="H15" s="731" t="s">
        <v>60</v>
      </c>
      <c r="I15" s="731"/>
      <c r="J15" s="731"/>
      <c r="K15" s="731"/>
      <c r="L15" s="731"/>
      <c r="M15" s="731"/>
      <c r="N15" s="731"/>
      <c r="O15" s="731"/>
      <c r="P15" s="732"/>
      <c r="Q15" s="732"/>
      <c r="R15" s="732"/>
      <c r="S15" s="733"/>
    </row>
    <row r="16" spans="1:21" ht="60" customHeight="1">
      <c r="B16" s="730"/>
      <c r="C16" s="725"/>
      <c r="D16" s="725"/>
      <c r="E16" s="725"/>
      <c r="F16" s="173" t="s">
        <v>211</v>
      </c>
      <c r="G16" s="173" t="s">
        <v>210</v>
      </c>
      <c r="H16" s="136" t="str">
        <f>'4.  2011-14 LRAM'!H247</f>
        <v>Residential</v>
      </c>
      <c r="I16" s="136" t="str">
        <f>'4.  2011-14 LRAM'!I247</f>
        <v>GS &lt; 50 kW</v>
      </c>
      <c r="J16" s="136" t="str">
        <f>'4.  2011-14 LRAM'!J247</f>
        <v>GS 50 to 2,999 kW</v>
      </c>
      <c r="K16" s="136" t="str">
        <f>'4.  2011-14 LRAM'!K247</f>
        <v>GS 50 to 2,999 kW with owned transformer</v>
      </c>
      <c r="L16" s="136" t="str">
        <f>'4.  2011-14 LRAM'!L247</f>
        <v>GS 3,000 to 4,999 kW</v>
      </c>
      <c r="M16" s="136" t="str">
        <f>'4.  2011-14 LRAM'!M247</f>
        <v>GS 3,000 to 4,999 kW with owned transformer</v>
      </c>
      <c r="N16" s="136" t="str">
        <f>'4.  2011-14 LRAM'!N247</f>
        <v>Large Use</v>
      </c>
      <c r="O16" s="136" t="str">
        <f>'4.  2011-14 LRAM'!O247</f>
        <v>Large Use with owned transformer</v>
      </c>
      <c r="P16" s="136" t="str">
        <f>'4.  2011-14 LRAM'!P247</f>
        <v>Unmetered Scattered Load</v>
      </c>
      <c r="Q16" s="136" t="str">
        <f>'4.  2011-14 LRAM'!Q247</f>
        <v>Sentinel Lighting</v>
      </c>
      <c r="R16" s="136" t="str">
        <f>'4.  2011-14 LRAM'!R247</f>
        <v>Street Lighting</v>
      </c>
      <c r="S16" s="420" t="s">
        <v>35</v>
      </c>
    </row>
    <row r="17" spans="1:19" ht="22.5" customHeight="1">
      <c r="B17" s="718" t="s">
        <v>138</v>
      </c>
      <c r="C17" s="719"/>
      <c r="D17" s="719"/>
      <c r="E17" s="719"/>
      <c r="F17" s="620"/>
      <c r="G17" s="620"/>
      <c r="H17" s="211" t="str">
        <f>'4.  2011-14 LRAM'!H21</f>
        <v>kWh</v>
      </c>
      <c r="I17" s="211" t="str">
        <f>'4.  2011-14 LRAM'!I21</f>
        <v>kWh</v>
      </c>
      <c r="J17" s="211" t="str">
        <f>'4.  2011-14 LRAM'!J21</f>
        <v>kW</v>
      </c>
      <c r="K17" s="211" t="str">
        <f>'4.  2011-14 LRAM'!K21</f>
        <v>kW</v>
      </c>
      <c r="L17" s="211" t="str">
        <f>'4.  2011-14 LRAM'!L21</f>
        <v>kW</v>
      </c>
      <c r="M17" s="211" t="str">
        <f>'4.  2011-14 LRAM'!M21</f>
        <v>kW</v>
      </c>
      <c r="N17" s="211" t="str">
        <f>'4.  2011-14 LRAM'!N21</f>
        <v>kW</v>
      </c>
      <c r="O17" s="211" t="str">
        <f>'4.  2011-14 LRAM'!O21</f>
        <v>kW</v>
      </c>
      <c r="P17" s="211" t="str">
        <f>'4.  2011-14 LRAM'!P21</f>
        <v>kWh</v>
      </c>
      <c r="Q17" s="211" t="str">
        <f>'4.  2011-14 LRAM'!Q21</f>
        <v>kW</v>
      </c>
      <c r="R17" s="211" t="str">
        <f>'4.  2011-14 LRAM'!R21</f>
        <v>kW</v>
      </c>
      <c r="S17" s="621"/>
    </row>
    <row r="18" spans="1:19" ht="26.25" customHeight="1">
      <c r="A18" s="34"/>
      <c r="B18" s="720" t="s">
        <v>139</v>
      </c>
      <c r="C18" s="721"/>
      <c r="D18" s="721"/>
      <c r="E18" s="721"/>
      <c r="F18" s="721"/>
      <c r="G18" s="721"/>
      <c r="H18" s="721"/>
      <c r="I18" s="721"/>
      <c r="J18" s="721"/>
      <c r="K18" s="721"/>
      <c r="L18" s="721"/>
      <c r="M18" s="721"/>
      <c r="N18" s="721"/>
      <c r="O18" s="721"/>
      <c r="P18" s="721"/>
      <c r="Q18" s="721"/>
      <c r="R18" s="721"/>
      <c r="S18" s="722"/>
    </row>
    <row r="19" spans="1:19" ht="15" customHeight="1">
      <c r="A19" s="34"/>
      <c r="B19" s="421">
        <v>1</v>
      </c>
      <c r="C19" s="406" t="s">
        <v>140</v>
      </c>
      <c r="D19" s="249" t="s">
        <v>34</v>
      </c>
      <c r="E19" s="407">
        <v>12</v>
      </c>
      <c r="F19" s="294">
        <v>78</v>
      </c>
      <c r="G19" s="294">
        <v>1183155</v>
      </c>
      <c r="H19" s="418">
        <v>1</v>
      </c>
      <c r="I19" s="418">
        <v>0</v>
      </c>
      <c r="J19" s="418">
        <v>0</v>
      </c>
      <c r="K19" s="418">
        <v>0</v>
      </c>
      <c r="L19" s="418">
        <v>0</v>
      </c>
      <c r="M19" s="418">
        <v>0</v>
      </c>
      <c r="N19" s="418">
        <v>0</v>
      </c>
      <c r="O19" s="418">
        <v>0</v>
      </c>
      <c r="P19" s="418">
        <v>0</v>
      </c>
      <c r="Q19" s="418">
        <v>0</v>
      </c>
      <c r="R19" s="418">
        <v>0</v>
      </c>
      <c r="S19" s="248">
        <f t="shared" ref="S19:S24" si="0">SUM(H19:R19)</f>
        <v>1</v>
      </c>
    </row>
    <row r="20" spans="1:19">
      <c r="A20" s="8"/>
      <c r="B20" s="421">
        <v>2</v>
      </c>
      <c r="C20" s="406" t="s">
        <v>141</v>
      </c>
      <c r="D20" s="249" t="s">
        <v>34</v>
      </c>
      <c r="E20" s="409">
        <v>12</v>
      </c>
      <c r="F20" s="294">
        <v>141</v>
      </c>
      <c r="G20" s="294">
        <v>2088014</v>
      </c>
      <c r="H20" s="418">
        <v>1</v>
      </c>
      <c r="I20" s="418">
        <v>0</v>
      </c>
      <c r="J20" s="418">
        <v>0</v>
      </c>
      <c r="K20" s="418">
        <v>0</v>
      </c>
      <c r="L20" s="418">
        <v>0</v>
      </c>
      <c r="M20" s="418">
        <v>0</v>
      </c>
      <c r="N20" s="418">
        <v>0</v>
      </c>
      <c r="O20" s="418">
        <v>0</v>
      </c>
      <c r="P20" s="418">
        <v>0</v>
      </c>
      <c r="Q20" s="418">
        <v>0</v>
      </c>
      <c r="R20" s="418">
        <v>0</v>
      </c>
      <c r="S20" s="248">
        <f t="shared" si="0"/>
        <v>1</v>
      </c>
    </row>
    <row r="21" spans="1:19">
      <c r="A21" s="34"/>
      <c r="B21" s="421">
        <v>3</v>
      </c>
      <c r="C21" s="406" t="s">
        <v>142</v>
      </c>
      <c r="D21" s="249" t="s">
        <v>34</v>
      </c>
      <c r="E21" s="409">
        <v>12</v>
      </c>
      <c r="F21" s="294">
        <v>8</v>
      </c>
      <c r="G21" s="294">
        <v>47892</v>
      </c>
      <c r="H21" s="418">
        <v>1</v>
      </c>
      <c r="I21" s="418">
        <v>0</v>
      </c>
      <c r="J21" s="418">
        <v>0</v>
      </c>
      <c r="K21" s="418">
        <v>0</v>
      </c>
      <c r="L21" s="418">
        <v>0</v>
      </c>
      <c r="M21" s="418">
        <v>0</v>
      </c>
      <c r="N21" s="418">
        <v>0</v>
      </c>
      <c r="O21" s="418">
        <v>0</v>
      </c>
      <c r="P21" s="418">
        <v>0</v>
      </c>
      <c r="Q21" s="418">
        <v>0</v>
      </c>
      <c r="R21" s="418">
        <v>0</v>
      </c>
      <c r="S21" s="248">
        <f t="shared" si="0"/>
        <v>1</v>
      </c>
    </row>
    <row r="22" spans="1:19">
      <c r="A22" s="34"/>
      <c r="B22" s="421">
        <v>4</v>
      </c>
      <c r="C22" s="406" t="s">
        <v>144</v>
      </c>
      <c r="D22" s="249" t="s">
        <v>34</v>
      </c>
      <c r="E22" s="409">
        <v>12</v>
      </c>
      <c r="F22" s="294">
        <v>946</v>
      </c>
      <c r="G22" s="294">
        <v>1808692</v>
      </c>
      <c r="H22" s="418">
        <v>1</v>
      </c>
      <c r="I22" s="418">
        <v>0</v>
      </c>
      <c r="J22" s="418">
        <v>0</v>
      </c>
      <c r="K22" s="418">
        <v>0</v>
      </c>
      <c r="L22" s="418">
        <v>0</v>
      </c>
      <c r="M22" s="418">
        <v>0</v>
      </c>
      <c r="N22" s="418">
        <v>0</v>
      </c>
      <c r="O22" s="418">
        <v>0</v>
      </c>
      <c r="P22" s="418">
        <v>0</v>
      </c>
      <c r="Q22" s="418">
        <v>0</v>
      </c>
      <c r="R22" s="418">
        <v>0</v>
      </c>
      <c r="S22" s="248">
        <f t="shared" si="0"/>
        <v>1</v>
      </c>
    </row>
    <row r="23" spans="1:19" ht="28.5">
      <c r="A23" s="34"/>
      <c r="B23" s="421">
        <v>5</v>
      </c>
      <c r="C23" s="406" t="s">
        <v>145</v>
      </c>
      <c r="D23" s="249" t="s">
        <v>34</v>
      </c>
      <c r="E23" s="409">
        <v>12</v>
      </c>
      <c r="F23" s="294">
        <v>2</v>
      </c>
      <c r="G23" s="294">
        <v>5803</v>
      </c>
      <c r="H23" s="418">
        <v>1</v>
      </c>
      <c r="I23" s="418">
        <v>0</v>
      </c>
      <c r="J23" s="418">
        <v>0</v>
      </c>
      <c r="K23" s="418">
        <v>0</v>
      </c>
      <c r="L23" s="418">
        <v>0</v>
      </c>
      <c r="M23" s="418">
        <v>0</v>
      </c>
      <c r="N23" s="418">
        <v>0</v>
      </c>
      <c r="O23" s="418">
        <v>0</v>
      </c>
      <c r="P23" s="418">
        <v>0</v>
      </c>
      <c r="Q23" s="418">
        <v>0</v>
      </c>
      <c r="R23" s="418">
        <v>0</v>
      </c>
      <c r="S23" s="248">
        <f t="shared" si="0"/>
        <v>1</v>
      </c>
    </row>
    <row r="24" spans="1:19">
      <c r="A24" s="34"/>
      <c r="B24" s="423" t="s">
        <v>255</v>
      </c>
      <c r="C24" s="492"/>
      <c r="D24" s="249" t="s">
        <v>250</v>
      </c>
      <c r="E24" s="409">
        <v>12</v>
      </c>
      <c r="F24" s="294"/>
      <c r="G24" s="294"/>
      <c r="H24" s="418"/>
      <c r="I24" s="408"/>
      <c r="J24" s="408"/>
      <c r="K24" s="408"/>
      <c r="L24" s="408"/>
      <c r="M24" s="408"/>
      <c r="N24" s="408"/>
      <c r="O24" s="408"/>
      <c r="P24" s="408"/>
      <c r="Q24" s="408"/>
      <c r="R24" s="408"/>
      <c r="S24" s="248">
        <f t="shared" si="0"/>
        <v>0</v>
      </c>
    </row>
    <row r="25" spans="1:19" hidden="1">
      <c r="A25" s="34"/>
      <c r="B25" s="421"/>
      <c r="C25" s="700"/>
      <c r="D25" s="700"/>
      <c r="E25" s="264"/>
      <c r="F25" s="294"/>
      <c r="G25" s="294"/>
      <c r="H25" s="418"/>
      <c r="I25" s="408"/>
      <c r="J25" s="408"/>
      <c r="K25" s="408"/>
      <c r="L25" s="408"/>
      <c r="M25" s="408"/>
      <c r="N25" s="408"/>
      <c r="O25" s="408"/>
      <c r="P25" s="408"/>
      <c r="Q25" s="408"/>
      <c r="R25" s="408"/>
      <c r="S25" s="422"/>
    </row>
    <row r="26" spans="1:19" hidden="1">
      <c r="A26" s="34"/>
      <c r="B26" s="421"/>
      <c r="C26" s="700"/>
      <c r="D26" s="700"/>
      <c r="E26" s="264"/>
      <c r="F26" s="294"/>
      <c r="G26" s="294"/>
      <c r="H26" s="418"/>
      <c r="I26" s="408"/>
      <c r="J26" s="408"/>
      <c r="K26" s="408"/>
      <c r="L26" s="408"/>
      <c r="M26" s="408"/>
      <c r="N26" s="408"/>
      <c r="O26" s="408"/>
      <c r="P26" s="408"/>
      <c r="Q26" s="408"/>
      <c r="R26" s="408"/>
      <c r="S26" s="422"/>
    </row>
    <row r="27" spans="1:19" hidden="1">
      <c r="A27" s="34"/>
      <c r="B27" s="421"/>
      <c r="C27" s="700"/>
      <c r="D27" s="700"/>
      <c r="E27" s="264"/>
      <c r="F27" s="294"/>
      <c r="G27" s="294"/>
      <c r="H27" s="418"/>
      <c r="I27" s="408"/>
      <c r="J27" s="408"/>
      <c r="K27" s="408"/>
      <c r="L27" s="408"/>
      <c r="M27" s="408"/>
      <c r="N27" s="408"/>
      <c r="O27" s="408"/>
      <c r="P27" s="408"/>
      <c r="Q27" s="408"/>
      <c r="R27" s="408"/>
      <c r="S27" s="422"/>
    </row>
    <row r="28" spans="1:19" ht="25.5" customHeight="1">
      <c r="A28" s="34"/>
      <c r="B28" s="720" t="s">
        <v>146</v>
      </c>
      <c r="C28" s="721"/>
      <c r="D28" s="721"/>
      <c r="E28" s="721"/>
      <c r="F28" s="721"/>
      <c r="G28" s="721"/>
      <c r="H28" s="721"/>
      <c r="I28" s="721"/>
      <c r="J28" s="721"/>
      <c r="K28" s="721"/>
      <c r="L28" s="721"/>
      <c r="M28" s="721"/>
      <c r="N28" s="721"/>
      <c r="O28" s="721"/>
      <c r="P28" s="721"/>
      <c r="Q28" s="721"/>
      <c r="R28" s="721"/>
      <c r="S28" s="722"/>
    </row>
    <row r="29" spans="1:19">
      <c r="A29" s="34"/>
      <c r="B29" s="421">
        <v>7</v>
      </c>
      <c r="C29" s="406" t="s">
        <v>147</v>
      </c>
      <c r="D29" s="249" t="s">
        <v>34</v>
      </c>
      <c r="E29" s="409">
        <v>12</v>
      </c>
      <c r="F29" s="294">
        <v>155</v>
      </c>
      <c r="G29" s="294">
        <v>729262</v>
      </c>
      <c r="H29" s="418">
        <v>0</v>
      </c>
      <c r="I29" s="418">
        <v>9.9999999999999992E-2</v>
      </c>
      <c r="J29" s="418">
        <v>0.6</v>
      </c>
      <c r="K29" s="418">
        <v>0.3</v>
      </c>
      <c r="L29" s="418">
        <v>0</v>
      </c>
      <c r="M29" s="418">
        <v>0</v>
      </c>
      <c r="N29" s="418">
        <v>0</v>
      </c>
      <c r="O29" s="418">
        <v>0</v>
      </c>
      <c r="P29" s="418">
        <v>0</v>
      </c>
      <c r="Q29" s="418">
        <v>0</v>
      </c>
      <c r="R29" s="418">
        <v>0</v>
      </c>
      <c r="S29" s="248">
        <f t="shared" ref="S29:S34" si="1">SUM(H29:R29)</f>
        <v>1</v>
      </c>
    </row>
    <row r="30" spans="1:19" ht="28.5">
      <c r="A30" s="34"/>
      <c r="B30" s="421">
        <v>8</v>
      </c>
      <c r="C30" s="406" t="s">
        <v>148</v>
      </c>
      <c r="D30" s="249" t="s">
        <v>34</v>
      </c>
      <c r="E30" s="409">
        <v>12</v>
      </c>
      <c r="F30" s="294">
        <v>1208</v>
      </c>
      <c r="G30" s="294">
        <v>7428449</v>
      </c>
      <c r="H30" s="418">
        <v>6.9272608054299616E-3</v>
      </c>
      <c r="I30" s="418">
        <v>0.12327267224842053</v>
      </c>
      <c r="J30" s="418">
        <v>0.44060610872276429</v>
      </c>
      <c r="K30" s="418">
        <v>0.36395685094817132</v>
      </c>
      <c r="L30" s="418">
        <v>0</v>
      </c>
      <c r="M30" s="418">
        <v>4.837267105105637E-3</v>
      </c>
      <c r="N30" s="418">
        <v>0</v>
      </c>
      <c r="O30" s="418">
        <v>3.5563262562309406E-2</v>
      </c>
      <c r="P30" s="418">
        <v>1.2563146710149362E-4</v>
      </c>
      <c r="Q30" s="418">
        <v>0</v>
      </c>
      <c r="R30" s="418">
        <v>0</v>
      </c>
      <c r="S30" s="248">
        <f t="shared" si="1"/>
        <v>0.97528905385930276</v>
      </c>
    </row>
    <row r="31" spans="1:19" ht="28.5">
      <c r="A31" s="34"/>
      <c r="B31" s="421">
        <v>9</v>
      </c>
      <c r="C31" s="406" t="s">
        <v>149</v>
      </c>
      <c r="D31" s="249" t="s">
        <v>34</v>
      </c>
      <c r="E31" s="409">
        <v>12</v>
      </c>
      <c r="F31" s="294">
        <v>425</v>
      </c>
      <c r="G31" s="294">
        <v>1859906</v>
      </c>
      <c r="H31" s="418">
        <v>0</v>
      </c>
      <c r="I31" s="418">
        <v>0</v>
      </c>
      <c r="J31" s="418">
        <v>0</v>
      </c>
      <c r="K31" s="418">
        <v>0</v>
      </c>
      <c r="L31" s="418">
        <v>0</v>
      </c>
      <c r="M31" s="418">
        <v>0</v>
      </c>
      <c r="N31" s="418">
        <v>0</v>
      </c>
      <c r="O31" s="418">
        <v>0</v>
      </c>
      <c r="P31" s="418">
        <v>0</v>
      </c>
      <c r="Q31" s="418">
        <v>0</v>
      </c>
      <c r="R31" s="418">
        <v>0</v>
      </c>
      <c r="S31" s="248">
        <f t="shared" si="1"/>
        <v>0</v>
      </c>
    </row>
    <row r="32" spans="1:19" ht="28.5">
      <c r="A32" s="34"/>
      <c r="B32" s="421">
        <v>10</v>
      </c>
      <c r="C32" s="406" t="s">
        <v>150</v>
      </c>
      <c r="D32" s="249" t="s">
        <v>34</v>
      </c>
      <c r="E32" s="409">
        <v>12</v>
      </c>
      <c r="F32" s="294">
        <v>0</v>
      </c>
      <c r="G32" s="294">
        <v>0</v>
      </c>
      <c r="H32" s="418">
        <v>0</v>
      </c>
      <c r="I32" s="418">
        <v>0</v>
      </c>
      <c r="J32" s="418">
        <v>0</v>
      </c>
      <c r="K32" s="418">
        <v>0</v>
      </c>
      <c r="L32" s="418">
        <v>0</v>
      </c>
      <c r="M32" s="418">
        <v>0</v>
      </c>
      <c r="N32" s="418">
        <v>0</v>
      </c>
      <c r="O32" s="418">
        <v>0</v>
      </c>
      <c r="P32" s="418">
        <v>0</v>
      </c>
      <c r="Q32" s="418">
        <v>0</v>
      </c>
      <c r="R32" s="418">
        <v>0</v>
      </c>
      <c r="S32" s="248">
        <f t="shared" si="1"/>
        <v>0</v>
      </c>
    </row>
    <row r="33" spans="1:19" ht="28.5">
      <c r="A33" s="34"/>
      <c r="B33" s="421">
        <v>11</v>
      </c>
      <c r="C33" s="406" t="s">
        <v>151</v>
      </c>
      <c r="D33" s="249" t="s">
        <v>34</v>
      </c>
      <c r="E33" s="409">
        <v>3</v>
      </c>
      <c r="F33" s="294">
        <v>0</v>
      </c>
      <c r="G33" s="294">
        <v>0</v>
      </c>
      <c r="H33" s="418">
        <v>0</v>
      </c>
      <c r="I33" s="418">
        <v>0</v>
      </c>
      <c r="J33" s="418">
        <v>0</v>
      </c>
      <c r="K33" s="418">
        <v>0</v>
      </c>
      <c r="L33" s="418">
        <v>0</v>
      </c>
      <c r="M33" s="418">
        <v>0</v>
      </c>
      <c r="N33" s="418">
        <v>0</v>
      </c>
      <c r="O33" s="418">
        <v>0</v>
      </c>
      <c r="P33" s="418">
        <v>0</v>
      </c>
      <c r="Q33" s="418">
        <v>0</v>
      </c>
      <c r="R33" s="418">
        <v>0</v>
      </c>
      <c r="S33" s="248">
        <f t="shared" si="1"/>
        <v>0</v>
      </c>
    </row>
    <row r="34" spans="1:19">
      <c r="A34" s="34"/>
      <c r="B34" s="423" t="s">
        <v>255</v>
      </c>
      <c r="C34" s="406"/>
      <c r="D34" s="249" t="s">
        <v>250</v>
      </c>
      <c r="E34" s="409">
        <v>12</v>
      </c>
      <c r="F34" s="294"/>
      <c r="G34" s="294"/>
      <c r="H34" s="408"/>
      <c r="I34" s="408"/>
      <c r="J34" s="408"/>
      <c r="K34" s="408"/>
      <c r="L34" s="408"/>
      <c r="M34" s="408"/>
      <c r="N34" s="408"/>
      <c r="O34" s="408"/>
      <c r="P34" s="408"/>
      <c r="Q34" s="408"/>
      <c r="R34" s="408"/>
      <c r="S34" s="248">
        <f t="shared" si="1"/>
        <v>0</v>
      </c>
    </row>
    <row r="35" spans="1:19" hidden="1">
      <c r="A35" s="34"/>
      <c r="B35" s="421"/>
      <c r="C35" s="700"/>
      <c r="D35" s="700"/>
      <c r="E35" s="264"/>
      <c r="F35" s="294"/>
      <c r="G35" s="294"/>
      <c r="H35" s="408"/>
      <c r="I35" s="408"/>
      <c r="J35" s="408"/>
      <c r="K35" s="408"/>
      <c r="L35" s="408"/>
      <c r="M35" s="408"/>
      <c r="N35" s="408"/>
      <c r="O35" s="408"/>
      <c r="P35" s="408"/>
      <c r="Q35" s="408"/>
      <c r="R35" s="408"/>
      <c r="S35" s="422"/>
    </row>
    <row r="36" spans="1:19" hidden="1">
      <c r="A36" s="34"/>
      <c r="B36" s="421"/>
      <c r="C36" s="700"/>
      <c r="D36" s="700"/>
      <c r="E36" s="264"/>
      <c r="F36" s="294"/>
      <c r="G36" s="294"/>
      <c r="H36" s="408"/>
      <c r="I36" s="408"/>
      <c r="J36" s="408"/>
      <c r="K36" s="408"/>
      <c r="L36" s="408"/>
      <c r="M36" s="408"/>
      <c r="N36" s="408"/>
      <c r="O36" s="408"/>
      <c r="P36" s="408"/>
      <c r="Q36" s="408"/>
      <c r="R36" s="408"/>
      <c r="S36" s="422"/>
    </row>
    <row r="37" spans="1:19" hidden="1">
      <c r="A37" s="34"/>
      <c r="B37" s="421"/>
      <c r="C37" s="700"/>
      <c r="D37" s="700"/>
      <c r="E37" s="264"/>
      <c r="F37" s="294"/>
      <c r="G37" s="294"/>
      <c r="H37" s="408"/>
      <c r="I37" s="408"/>
      <c r="J37" s="408"/>
      <c r="K37" s="408"/>
      <c r="L37" s="408"/>
      <c r="M37" s="408"/>
      <c r="N37" s="408"/>
      <c r="O37" s="408"/>
      <c r="P37" s="408"/>
      <c r="Q37" s="408"/>
      <c r="R37" s="408"/>
      <c r="S37" s="422"/>
    </row>
    <row r="38" spans="1:19" ht="26.25" customHeight="1">
      <c r="A38" s="34"/>
      <c r="B38" s="720" t="s">
        <v>11</v>
      </c>
      <c r="C38" s="721"/>
      <c r="D38" s="721"/>
      <c r="E38" s="721"/>
      <c r="F38" s="721"/>
      <c r="G38" s="721"/>
      <c r="H38" s="721"/>
      <c r="I38" s="721"/>
      <c r="J38" s="721"/>
      <c r="K38" s="721"/>
      <c r="L38" s="721"/>
      <c r="M38" s="721"/>
      <c r="N38" s="721"/>
      <c r="O38" s="721"/>
      <c r="P38" s="721"/>
      <c r="Q38" s="721"/>
      <c r="R38" s="721"/>
      <c r="S38" s="722"/>
    </row>
    <row r="39" spans="1:19" ht="28.5">
      <c r="A39" s="34"/>
      <c r="B39" s="421">
        <v>12</v>
      </c>
      <c r="C39" s="406" t="s">
        <v>152</v>
      </c>
      <c r="D39" s="249" t="s">
        <v>34</v>
      </c>
      <c r="E39" s="409">
        <v>12</v>
      </c>
      <c r="F39" s="294">
        <v>0</v>
      </c>
      <c r="G39" s="294">
        <v>0</v>
      </c>
      <c r="H39" s="418">
        <v>0</v>
      </c>
      <c r="I39" s="418">
        <v>0</v>
      </c>
      <c r="J39" s="418">
        <v>0</v>
      </c>
      <c r="K39" s="418">
        <v>0</v>
      </c>
      <c r="L39" s="418">
        <v>0</v>
      </c>
      <c r="M39" s="418">
        <v>0</v>
      </c>
      <c r="N39" s="418">
        <v>0</v>
      </c>
      <c r="O39" s="418">
        <v>0</v>
      </c>
      <c r="P39" s="418">
        <v>0</v>
      </c>
      <c r="Q39" s="418">
        <v>0</v>
      </c>
      <c r="R39" s="418">
        <v>0</v>
      </c>
      <c r="S39" s="248">
        <f>SUM(H39:R39)</f>
        <v>0</v>
      </c>
    </row>
    <row r="40" spans="1:19" ht="28.5">
      <c r="A40" s="34"/>
      <c r="B40" s="421">
        <v>13</v>
      </c>
      <c r="C40" s="406" t="s">
        <v>153</v>
      </c>
      <c r="D40" s="249" t="s">
        <v>34</v>
      </c>
      <c r="E40" s="409">
        <v>12</v>
      </c>
      <c r="F40" s="294">
        <v>0</v>
      </c>
      <c r="G40" s="294">
        <v>0</v>
      </c>
      <c r="H40" s="418">
        <v>0</v>
      </c>
      <c r="I40" s="418">
        <v>0</v>
      </c>
      <c r="J40" s="418">
        <v>0</v>
      </c>
      <c r="K40" s="418">
        <v>0</v>
      </c>
      <c r="L40" s="418">
        <v>0</v>
      </c>
      <c r="M40" s="418">
        <v>0</v>
      </c>
      <c r="N40" s="418">
        <v>0</v>
      </c>
      <c r="O40" s="418">
        <v>0</v>
      </c>
      <c r="P40" s="418">
        <v>0</v>
      </c>
      <c r="Q40" s="418">
        <v>0</v>
      </c>
      <c r="R40" s="418">
        <v>0</v>
      </c>
      <c r="S40" s="248">
        <f>SUM(H40:R40)</f>
        <v>0</v>
      </c>
    </row>
    <row r="41" spans="1:19" ht="28.5">
      <c r="A41" s="34"/>
      <c r="B41" s="421">
        <v>14</v>
      </c>
      <c r="C41" s="406" t="s">
        <v>154</v>
      </c>
      <c r="D41" s="249" t="s">
        <v>34</v>
      </c>
      <c r="E41" s="409">
        <v>12</v>
      </c>
      <c r="F41" s="294">
        <v>776</v>
      </c>
      <c r="G41" s="294">
        <v>4305014</v>
      </c>
      <c r="H41" s="418">
        <v>0</v>
      </c>
      <c r="I41" s="418">
        <v>0</v>
      </c>
      <c r="J41" s="418">
        <v>2.9139260648408816E-2</v>
      </c>
      <c r="K41" s="418">
        <v>5.4850889228903457E-3</v>
      </c>
      <c r="L41" s="418">
        <v>0</v>
      </c>
      <c r="M41" s="418">
        <v>0</v>
      </c>
      <c r="N41" s="418">
        <v>0</v>
      </c>
      <c r="O41" s="418">
        <v>0.96537565042870077</v>
      </c>
      <c r="P41" s="418">
        <v>0</v>
      </c>
      <c r="Q41" s="418">
        <v>0</v>
      </c>
      <c r="R41" s="418">
        <v>0</v>
      </c>
      <c r="S41" s="248">
        <f>SUM(H41:R41)</f>
        <v>0.99999999999999989</v>
      </c>
    </row>
    <row r="42" spans="1:19">
      <c r="A42" s="34"/>
      <c r="B42" s="423" t="s">
        <v>255</v>
      </c>
      <c r="C42" s="406"/>
      <c r="D42" s="249" t="s">
        <v>250</v>
      </c>
      <c r="E42" s="409">
        <v>12</v>
      </c>
      <c r="F42" s="294"/>
      <c r="G42" s="294"/>
      <c r="H42" s="408"/>
      <c r="I42" s="408"/>
      <c r="J42" s="408"/>
      <c r="K42" s="408"/>
      <c r="L42" s="408"/>
      <c r="M42" s="408"/>
      <c r="N42" s="408"/>
      <c r="O42" s="408"/>
      <c r="P42" s="408"/>
      <c r="Q42" s="408"/>
      <c r="R42" s="408"/>
      <c r="S42" s="248">
        <f>SUM(H42:R42)</f>
        <v>0</v>
      </c>
    </row>
    <row r="43" spans="1:19" hidden="1">
      <c r="A43" s="34"/>
      <c r="B43" s="421"/>
      <c r="C43" s="700"/>
      <c r="D43" s="700"/>
      <c r="E43" s="264"/>
      <c r="F43" s="294"/>
      <c r="G43" s="294"/>
      <c r="H43" s="408"/>
      <c r="I43" s="408"/>
      <c r="J43" s="408"/>
      <c r="K43" s="408"/>
      <c r="L43" s="408"/>
      <c r="M43" s="408"/>
      <c r="N43" s="408"/>
      <c r="O43" s="408"/>
      <c r="P43" s="408"/>
      <c r="Q43" s="408"/>
      <c r="R43" s="408"/>
      <c r="S43" s="422"/>
    </row>
    <row r="44" spans="1:19" hidden="1">
      <c r="A44" s="34"/>
      <c r="B44" s="421"/>
      <c r="C44" s="700"/>
      <c r="D44" s="700"/>
      <c r="E44" s="264"/>
      <c r="F44" s="294"/>
      <c r="G44" s="294"/>
      <c r="H44" s="408"/>
      <c r="I44" s="408"/>
      <c r="J44" s="408"/>
      <c r="K44" s="408"/>
      <c r="L44" s="408"/>
      <c r="M44" s="408"/>
      <c r="N44" s="408"/>
      <c r="O44" s="408"/>
      <c r="P44" s="408"/>
      <c r="Q44" s="408"/>
      <c r="R44" s="408"/>
      <c r="S44" s="422"/>
    </row>
    <row r="45" spans="1:19" hidden="1">
      <c r="A45" s="34"/>
      <c r="B45" s="421"/>
      <c r="C45" s="700"/>
      <c r="D45" s="700"/>
      <c r="E45" s="264"/>
      <c r="F45" s="294"/>
      <c r="G45" s="294"/>
      <c r="H45" s="408"/>
      <c r="I45" s="408"/>
      <c r="J45" s="408"/>
      <c r="K45" s="408"/>
      <c r="L45" s="408"/>
      <c r="M45" s="408"/>
      <c r="N45" s="408"/>
      <c r="O45" s="408"/>
      <c r="P45" s="408"/>
      <c r="Q45" s="408"/>
      <c r="R45" s="408"/>
      <c r="S45" s="422"/>
    </row>
    <row r="46" spans="1:19" ht="24" customHeight="1">
      <c r="A46" s="34"/>
      <c r="B46" s="720" t="s">
        <v>155</v>
      </c>
      <c r="C46" s="721"/>
      <c r="D46" s="721"/>
      <c r="E46" s="721"/>
      <c r="F46" s="721"/>
      <c r="G46" s="721"/>
      <c r="H46" s="721"/>
      <c r="I46" s="721"/>
      <c r="J46" s="721"/>
      <c r="K46" s="721"/>
      <c r="L46" s="721"/>
      <c r="M46" s="721"/>
      <c r="N46" s="721"/>
      <c r="O46" s="721"/>
      <c r="P46" s="721"/>
      <c r="Q46" s="721"/>
      <c r="R46" s="721"/>
      <c r="S46" s="722"/>
    </row>
    <row r="47" spans="1:19">
      <c r="A47" s="34"/>
      <c r="B47" s="421">
        <v>15</v>
      </c>
      <c r="C47" s="406" t="s">
        <v>156</v>
      </c>
      <c r="D47" s="249" t="s">
        <v>34</v>
      </c>
      <c r="E47" s="409">
        <v>12</v>
      </c>
      <c r="F47" s="294">
        <v>23</v>
      </c>
      <c r="G47" s="294">
        <v>291475</v>
      </c>
      <c r="H47" s="418">
        <v>0</v>
      </c>
      <c r="I47" s="418">
        <v>0</v>
      </c>
      <c r="J47" s="418">
        <v>0</v>
      </c>
      <c r="K47" s="418">
        <v>0</v>
      </c>
      <c r="L47" s="418">
        <v>0</v>
      </c>
      <c r="M47" s="418">
        <v>0</v>
      </c>
      <c r="N47" s="418">
        <v>0</v>
      </c>
      <c r="O47" s="418">
        <v>0</v>
      </c>
      <c r="P47" s="418">
        <v>0</v>
      </c>
      <c r="Q47" s="418">
        <v>0</v>
      </c>
      <c r="R47" s="418">
        <v>0</v>
      </c>
      <c r="S47" s="248">
        <f>SUM(H47:R47)</f>
        <v>0</v>
      </c>
    </row>
    <row r="48" spans="1:19">
      <c r="A48" s="34"/>
      <c r="B48" s="423" t="s">
        <v>255</v>
      </c>
      <c r="C48" s="406"/>
      <c r="D48" s="249" t="s">
        <v>250</v>
      </c>
      <c r="E48" s="409">
        <v>12</v>
      </c>
      <c r="F48" s="294"/>
      <c r="G48" s="294"/>
      <c r="H48" s="418"/>
      <c r="I48" s="408"/>
      <c r="J48" s="408"/>
      <c r="K48" s="408"/>
      <c r="L48" s="408"/>
      <c r="M48" s="408"/>
      <c r="N48" s="408"/>
      <c r="O48" s="408"/>
      <c r="P48" s="408"/>
      <c r="Q48" s="408"/>
      <c r="R48" s="408"/>
      <c r="S48" s="248">
        <f>SUM(H48:R48)</f>
        <v>0</v>
      </c>
    </row>
    <row r="49" spans="1:19" hidden="1">
      <c r="A49" s="34"/>
      <c r="B49" s="421"/>
      <c r="C49" s="700"/>
      <c r="D49" s="700"/>
      <c r="E49" s="264"/>
      <c r="F49" s="294"/>
      <c r="G49" s="294"/>
      <c r="H49" s="418"/>
      <c r="I49" s="408"/>
      <c r="J49" s="408"/>
      <c r="K49" s="408"/>
      <c r="L49" s="408"/>
      <c r="M49" s="408"/>
      <c r="N49" s="408"/>
      <c r="O49" s="408"/>
      <c r="P49" s="408"/>
      <c r="Q49" s="408"/>
      <c r="R49" s="408"/>
      <c r="S49" s="422">
        <f t="shared" ref="S49:S51" si="2">SUM(H49:O49)</f>
        <v>0</v>
      </c>
    </row>
    <row r="50" spans="1:19" hidden="1">
      <c r="A50" s="34"/>
      <c r="B50" s="421"/>
      <c r="C50" s="700"/>
      <c r="D50" s="700"/>
      <c r="E50" s="264"/>
      <c r="F50" s="294"/>
      <c r="G50" s="294"/>
      <c r="H50" s="418"/>
      <c r="I50" s="408"/>
      <c r="J50" s="408"/>
      <c r="K50" s="408"/>
      <c r="L50" s="408"/>
      <c r="M50" s="408"/>
      <c r="N50" s="408"/>
      <c r="O50" s="408"/>
      <c r="P50" s="408"/>
      <c r="Q50" s="408"/>
      <c r="R50" s="408"/>
      <c r="S50" s="422"/>
    </row>
    <row r="51" spans="1:19" hidden="1">
      <c r="A51" s="34"/>
      <c r="B51" s="421"/>
      <c r="C51" s="700"/>
      <c r="D51" s="700"/>
      <c r="E51" s="264"/>
      <c r="F51" s="294"/>
      <c r="G51" s="294"/>
      <c r="H51" s="418"/>
      <c r="I51" s="408"/>
      <c r="J51" s="408"/>
      <c r="K51" s="408"/>
      <c r="L51" s="408"/>
      <c r="M51" s="408"/>
      <c r="N51" s="408"/>
      <c r="O51" s="408"/>
      <c r="P51" s="408"/>
      <c r="Q51" s="408"/>
      <c r="R51" s="408"/>
      <c r="S51" s="422">
        <f t="shared" si="2"/>
        <v>0</v>
      </c>
    </row>
    <row r="52" spans="1:19" ht="21" customHeight="1">
      <c r="A52" s="33"/>
      <c r="B52" s="720" t="s">
        <v>157</v>
      </c>
      <c r="C52" s="721"/>
      <c r="D52" s="721"/>
      <c r="E52" s="721"/>
      <c r="F52" s="721"/>
      <c r="G52" s="721"/>
      <c r="H52" s="721"/>
      <c r="I52" s="721"/>
      <c r="J52" s="721"/>
      <c r="K52" s="721"/>
      <c r="L52" s="721"/>
      <c r="M52" s="721"/>
      <c r="N52" s="721"/>
      <c r="O52" s="721"/>
      <c r="P52" s="721"/>
      <c r="Q52" s="721"/>
      <c r="R52" s="721"/>
      <c r="S52" s="722"/>
    </row>
    <row r="53" spans="1:19">
      <c r="A53" s="34"/>
      <c r="B53" s="421">
        <v>16</v>
      </c>
      <c r="C53" s="406" t="s">
        <v>158</v>
      </c>
      <c r="D53" s="249" t="s">
        <v>34</v>
      </c>
      <c r="E53" s="409">
        <v>12</v>
      </c>
      <c r="F53" s="294">
        <v>0</v>
      </c>
      <c r="G53" s="294">
        <v>0</v>
      </c>
      <c r="H53" s="418">
        <v>0</v>
      </c>
      <c r="I53" s="418">
        <v>0</v>
      </c>
      <c r="J53" s="418">
        <v>0</v>
      </c>
      <c r="K53" s="418">
        <v>0</v>
      </c>
      <c r="L53" s="418">
        <v>0</v>
      </c>
      <c r="M53" s="418">
        <v>0</v>
      </c>
      <c r="N53" s="418">
        <v>0</v>
      </c>
      <c r="O53" s="418">
        <v>0</v>
      </c>
      <c r="P53" s="418">
        <v>0</v>
      </c>
      <c r="Q53" s="418">
        <v>0</v>
      </c>
      <c r="R53" s="418">
        <v>0</v>
      </c>
      <c r="S53" s="248">
        <f>SUM(H53:R53)</f>
        <v>0</v>
      </c>
    </row>
    <row r="54" spans="1:19">
      <c r="A54" s="34"/>
      <c r="B54" s="421">
        <v>17</v>
      </c>
      <c r="C54" s="406" t="s">
        <v>159</v>
      </c>
      <c r="D54" s="249" t="s">
        <v>34</v>
      </c>
      <c r="E54" s="409">
        <v>12</v>
      </c>
      <c r="F54" s="294">
        <v>0</v>
      </c>
      <c r="G54" s="294">
        <v>0</v>
      </c>
      <c r="H54" s="418">
        <v>0</v>
      </c>
      <c r="I54" s="418">
        <v>0</v>
      </c>
      <c r="J54" s="418">
        <v>0</v>
      </c>
      <c r="K54" s="418">
        <v>0</v>
      </c>
      <c r="L54" s="418">
        <v>0</v>
      </c>
      <c r="M54" s="418">
        <v>0</v>
      </c>
      <c r="N54" s="418">
        <v>0</v>
      </c>
      <c r="O54" s="418">
        <v>0</v>
      </c>
      <c r="P54" s="418">
        <v>0</v>
      </c>
      <c r="Q54" s="418">
        <v>0</v>
      </c>
      <c r="R54" s="418">
        <v>0</v>
      </c>
      <c r="S54" s="248">
        <f>SUM(H54:R54)</f>
        <v>0</v>
      </c>
    </row>
    <row r="55" spans="1:19">
      <c r="A55" s="34"/>
      <c r="B55" s="421">
        <v>18</v>
      </c>
      <c r="C55" s="406" t="s">
        <v>160</v>
      </c>
      <c r="D55" s="249" t="s">
        <v>34</v>
      </c>
      <c r="E55" s="409">
        <v>12</v>
      </c>
      <c r="F55" s="294">
        <v>0</v>
      </c>
      <c r="G55" s="294">
        <v>0</v>
      </c>
      <c r="H55" s="418">
        <v>0</v>
      </c>
      <c r="I55" s="418">
        <v>0</v>
      </c>
      <c r="J55" s="418">
        <v>0</v>
      </c>
      <c r="K55" s="418">
        <v>0</v>
      </c>
      <c r="L55" s="418">
        <v>0</v>
      </c>
      <c r="M55" s="418">
        <v>0</v>
      </c>
      <c r="N55" s="418">
        <v>0</v>
      </c>
      <c r="O55" s="418">
        <v>0</v>
      </c>
      <c r="P55" s="418">
        <v>0</v>
      </c>
      <c r="Q55" s="418">
        <v>0</v>
      </c>
      <c r="R55" s="418">
        <v>0</v>
      </c>
      <c r="S55" s="248">
        <f>SUM(H55:R55)</f>
        <v>0</v>
      </c>
    </row>
    <row r="56" spans="1:19">
      <c r="A56" s="34"/>
      <c r="B56" s="421">
        <v>19</v>
      </c>
      <c r="C56" s="406" t="s">
        <v>161</v>
      </c>
      <c r="D56" s="249" t="s">
        <v>34</v>
      </c>
      <c r="E56" s="409">
        <v>12</v>
      </c>
      <c r="F56" s="294">
        <v>0</v>
      </c>
      <c r="G56" s="294">
        <v>0</v>
      </c>
      <c r="H56" s="418">
        <v>0</v>
      </c>
      <c r="I56" s="418">
        <v>0</v>
      </c>
      <c r="J56" s="418">
        <v>0</v>
      </c>
      <c r="K56" s="418">
        <v>0</v>
      </c>
      <c r="L56" s="418">
        <v>0</v>
      </c>
      <c r="M56" s="418">
        <v>0</v>
      </c>
      <c r="N56" s="418">
        <v>0</v>
      </c>
      <c r="O56" s="418">
        <v>0</v>
      </c>
      <c r="P56" s="418">
        <v>0</v>
      </c>
      <c r="Q56" s="418">
        <v>0</v>
      </c>
      <c r="R56" s="418">
        <v>0</v>
      </c>
      <c r="S56" s="248">
        <f>SUM(H56:R56)</f>
        <v>0</v>
      </c>
    </row>
    <row r="57" spans="1:19">
      <c r="A57" s="34"/>
      <c r="B57" s="423" t="s">
        <v>255</v>
      </c>
      <c r="C57" s="406"/>
      <c r="D57" s="249" t="s">
        <v>250</v>
      </c>
      <c r="E57" s="409">
        <v>12</v>
      </c>
      <c r="F57" s="294"/>
      <c r="G57" s="294"/>
      <c r="H57" s="408"/>
      <c r="I57" s="408"/>
      <c r="J57" s="408"/>
      <c r="K57" s="408"/>
      <c r="L57" s="408"/>
      <c r="M57" s="408"/>
      <c r="N57" s="408"/>
      <c r="O57" s="408"/>
      <c r="P57" s="408"/>
      <c r="Q57" s="408"/>
      <c r="R57" s="408"/>
      <c r="S57" s="248">
        <f>SUM(H57:R57)</f>
        <v>0</v>
      </c>
    </row>
    <row r="58" spans="1:19" hidden="1">
      <c r="A58" s="34"/>
      <c r="B58" s="423"/>
      <c r="C58" s="700"/>
      <c r="D58" s="700"/>
      <c r="E58" s="264"/>
      <c r="F58" s="294"/>
      <c r="G58" s="294"/>
      <c r="H58" s="408"/>
      <c r="I58" s="408"/>
      <c r="J58" s="408"/>
      <c r="K58" s="408"/>
      <c r="L58" s="408"/>
      <c r="M58" s="408"/>
      <c r="N58" s="408"/>
      <c r="O58" s="408"/>
      <c r="P58" s="408"/>
      <c r="Q58" s="408"/>
      <c r="R58" s="408"/>
      <c r="S58" s="422"/>
    </row>
    <row r="59" spans="1:19" hidden="1">
      <c r="A59" s="34"/>
      <c r="B59" s="423"/>
      <c r="C59" s="700"/>
      <c r="D59" s="700"/>
      <c r="E59" s="264"/>
      <c r="F59" s="294"/>
      <c r="G59" s="294"/>
      <c r="H59" s="408"/>
      <c r="I59" s="408"/>
      <c r="J59" s="408"/>
      <c r="K59" s="408"/>
      <c r="L59" s="408"/>
      <c r="M59" s="408"/>
      <c r="N59" s="408"/>
      <c r="O59" s="408"/>
      <c r="P59" s="408"/>
      <c r="Q59" s="408"/>
      <c r="R59" s="408"/>
      <c r="S59" s="422"/>
    </row>
    <row r="60" spans="1:19" hidden="1">
      <c r="A60" s="33"/>
      <c r="B60" s="424"/>
      <c r="C60" s="700"/>
      <c r="D60" s="700"/>
      <c r="E60" s="264"/>
      <c r="F60" s="294"/>
      <c r="G60" s="294"/>
      <c r="H60" s="412"/>
      <c r="I60" s="412"/>
      <c r="J60" s="412"/>
      <c r="K60" s="412"/>
      <c r="L60" s="412"/>
      <c r="M60" s="412"/>
      <c r="N60" s="412"/>
      <c r="O60" s="412"/>
      <c r="P60" s="412"/>
      <c r="Q60" s="412"/>
      <c r="R60" s="412"/>
      <c r="S60" s="422"/>
    </row>
    <row r="61" spans="1:19" ht="27" customHeight="1">
      <c r="B61" s="726" t="s">
        <v>162</v>
      </c>
      <c r="C61" s="727"/>
      <c r="D61" s="727"/>
      <c r="E61" s="727"/>
      <c r="F61" s="727"/>
      <c r="G61" s="727"/>
      <c r="H61" s="727"/>
      <c r="I61" s="727"/>
      <c r="J61" s="727"/>
      <c r="K61" s="727"/>
      <c r="L61" s="727"/>
      <c r="M61" s="727"/>
      <c r="N61" s="727"/>
      <c r="O61" s="727"/>
      <c r="P61" s="727"/>
      <c r="Q61" s="727"/>
      <c r="R61" s="727"/>
      <c r="S61" s="728"/>
    </row>
    <row r="62" spans="1:19" ht="16.5">
      <c r="B62" s="425"/>
      <c r="C62" s="406"/>
      <c r="D62" s="409"/>
      <c r="E62" s="409"/>
      <c r="F62" s="405"/>
      <c r="G62" s="405"/>
      <c r="H62" s="405"/>
      <c r="I62" s="405"/>
      <c r="J62" s="405"/>
      <c r="K62" s="405"/>
      <c r="L62" s="405"/>
      <c r="M62" s="405"/>
      <c r="N62" s="405"/>
      <c r="O62" s="405"/>
      <c r="P62" s="405"/>
      <c r="Q62" s="405"/>
      <c r="R62" s="405"/>
      <c r="S62" s="426"/>
    </row>
    <row r="63" spans="1:19" ht="25.5" customHeight="1">
      <c r="A63" s="34"/>
      <c r="B63" s="720" t="s">
        <v>163</v>
      </c>
      <c r="C63" s="721"/>
      <c r="D63" s="721"/>
      <c r="E63" s="721"/>
      <c r="F63" s="721"/>
      <c r="G63" s="721"/>
      <c r="H63" s="721"/>
      <c r="I63" s="721"/>
      <c r="J63" s="721"/>
      <c r="K63" s="721"/>
      <c r="L63" s="721"/>
      <c r="M63" s="721"/>
      <c r="N63" s="721"/>
      <c r="O63" s="721"/>
      <c r="P63" s="721"/>
      <c r="Q63" s="721"/>
      <c r="R63" s="721"/>
      <c r="S63" s="722"/>
    </row>
    <row r="64" spans="1:19">
      <c r="A64" s="34"/>
      <c r="B64" s="421">
        <v>21</v>
      </c>
      <c r="C64" s="406" t="s">
        <v>164</v>
      </c>
      <c r="D64" s="249" t="s">
        <v>34</v>
      </c>
      <c r="E64" s="409">
        <v>12</v>
      </c>
      <c r="F64" s="294">
        <v>0</v>
      </c>
      <c r="G64" s="294">
        <v>0</v>
      </c>
      <c r="H64" s="418">
        <v>1</v>
      </c>
      <c r="I64" s="418">
        <v>0</v>
      </c>
      <c r="J64" s="418">
        <v>0</v>
      </c>
      <c r="K64" s="418">
        <v>0</v>
      </c>
      <c r="L64" s="418">
        <v>0</v>
      </c>
      <c r="M64" s="418">
        <v>0</v>
      </c>
      <c r="N64" s="418">
        <v>0</v>
      </c>
      <c r="O64" s="418">
        <v>0</v>
      </c>
      <c r="P64" s="418">
        <v>0</v>
      </c>
      <c r="Q64" s="418">
        <v>0</v>
      </c>
      <c r="R64" s="418">
        <v>0</v>
      </c>
      <c r="S64" s="248">
        <f>SUM(H64:R64)</f>
        <v>1</v>
      </c>
    </row>
    <row r="65" spans="1:19" ht="28.5">
      <c r="A65" s="34"/>
      <c r="B65" s="421">
        <v>22</v>
      </c>
      <c r="C65" s="406" t="s">
        <v>165</v>
      </c>
      <c r="D65" s="249" t="s">
        <v>34</v>
      </c>
      <c r="E65" s="409">
        <v>12</v>
      </c>
      <c r="F65" s="294">
        <v>0</v>
      </c>
      <c r="G65" s="294">
        <v>0</v>
      </c>
      <c r="H65" s="418">
        <v>1</v>
      </c>
      <c r="I65" s="418">
        <v>0</v>
      </c>
      <c r="J65" s="418">
        <v>0</v>
      </c>
      <c r="K65" s="418">
        <v>0</v>
      </c>
      <c r="L65" s="418">
        <v>0</v>
      </c>
      <c r="M65" s="418">
        <v>0</v>
      </c>
      <c r="N65" s="418">
        <v>0</v>
      </c>
      <c r="O65" s="418">
        <v>0</v>
      </c>
      <c r="P65" s="418">
        <v>0</v>
      </c>
      <c r="Q65" s="418">
        <v>0</v>
      </c>
      <c r="R65" s="418">
        <v>0</v>
      </c>
      <c r="S65" s="248">
        <f>SUM(H65:R65)</f>
        <v>1</v>
      </c>
    </row>
    <row r="66" spans="1:19">
      <c r="A66" s="34"/>
      <c r="B66" s="421">
        <v>23</v>
      </c>
      <c r="C66" s="406" t="s">
        <v>166</v>
      </c>
      <c r="D66" s="249" t="s">
        <v>34</v>
      </c>
      <c r="E66" s="409">
        <v>12</v>
      </c>
      <c r="F66" s="294">
        <v>0</v>
      </c>
      <c r="G66" s="294">
        <v>0</v>
      </c>
      <c r="H66" s="418">
        <v>1</v>
      </c>
      <c r="I66" s="418">
        <v>0</v>
      </c>
      <c r="J66" s="418">
        <v>0</v>
      </c>
      <c r="K66" s="418">
        <v>0</v>
      </c>
      <c r="L66" s="418">
        <v>0</v>
      </c>
      <c r="M66" s="418">
        <v>0</v>
      </c>
      <c r="N66" s="418">
        <v>0</v>
      </c>
      <c r="O66" s="418">
        <v>0</v>
      </c>
      <c r="P66" s="418">
        <v>0</v>
      </c>
      <c r="Q66" s="418">
        <v>0</v>
      </c>
      <c r="R66" s="418">
        <v>0</v>
      </c>
      <c r="S66" s="248">
        <f>SUM(H66:R66)</f>
        <v>1</v>
      </c>
    </row>
    <row r="67" spans="1:19">
      <c r="A67" s="34"/>
      <c r="B67" s="421">
        <v>24</v>
      </c>
      <c r="C67" s="406" t="s">
        <v>167</v>
      </c>
      <c r="D67" s="249" t="s">
        <v>34</v>
      </c>
      <c r="E67" s="409">
        <v>12</v>
      </c>
      <c r="F67" s="294">
        <v>0</v>
      </c>
      <c r="G67" s="294">
        <v>0</v>
      </c>
      <c r="H67" s="418">
        <v>1</v>
      </c>
      <c r="I67" s="418">
        <v>0</v>
      </c>
      <c r="J67" s="418">
        <v>0</v>
      </c>
      <c r="K67" s="418">
        <v>0</v>
      </c>
      <c r="L67" s="418">
        <v>0</v>
      </c>
      <c r="M67" s="418">
        <v>0</v>
      </c>
      <c r="N67" s="418">
        <v>0</v>
      </c>
      <c r="O67" s="418">
        <v>0</v>
      </c>
      <c r="P67" s="418">
        <v>0</v>
      </c>
      <c r="Q67" s="418">
        <v>0</v>
      </c>
      <c r="R67" s="418">
        <v>0</v>
      </c>
      <c r="S67" s="248">
        <f>SUM(H67:R67)</f>
        <v>1</v>
      </c>
    </row>
    <row r="68" spans="1:19">
      <c r="A68" s="34"/>
      <c r="B68" s="423" t="s">
        <v>255</v>
      </c>
      <c r="C68" s="406"/>
      <c r="D68" s="249" t="s">
        <v>250</v>
      </c>
      <c r="E68" s="409">
        <v>12</v>
      </c>
      <c r="F68" s="294"/>
      <c r="G68" s="294"/>
      <c r="H68" s="418"/>
      <c r="I68" s="408"/>
      <c r="J68" s="408"/>
      <c r="K68" s="408"/>
      <c r="L68" s="408"/>
      <c r="M68" s="408"/>
      <c r="N68" s="408"/>
      <c r="O68" s="408"/>
      <c r="P68" s="408"/>
      <c r="Q68" s="408"/>
      <c r="R68" s="408"/>
      <c r="S68" s="248">
        <f>SUM(H68:R68)</f>
        <v>0</v>
      </c>
    </row>
    <row r="69" spans="1:19" hidden="1">
      <c r="A69" s="34"/>
      <c r="B69" s="421"/>
      <c r="C69" s="700"/>
      <c r="D69" s="700"/>
      <c r="E69" s="264"/>
      <c r="F69" s="294"/>
      <c r="G69" s="294"/>
      <c r="H69" s="418"/>
      <c r="I69" s="408"/>
      <c r="J69" s="408"/>
      <c r="K69" s="408"/>
      <c r="L69" s="408"/>
      <c r="M69" s="408"/>
      <c r="N69" s="408"/>
      <c r="O69" s="408"/>
      <c r="P69" s="408"/>
      <c r="Q69" s="408"/>
      <c r="R69" s="408"/>
      <c r="S69" s="422"/>
    </row>
    <row r="70" spans="1:19" hidden="1">
      <c r="A70" s="34"/>
      <c r="B70" s="421"/>
      <c r="C70" s="700"/>
      <c r="D70" s="700"/>
      <c r="E70" s="264"/>
      <c r="F70" s="294"/>
      <c r="G70" s="294"/>
      <c r="H70" s="418"/>
      <c r="I70" s="408"/>
      <c r="J70" s="408"/>
      <c r="K70" s="408"/>
      <c r="L70" s="408"/>
      <c r="M70" s="408"/>
      <c r="N70" s="408"/>
      <c r="O70" s="408"/>
      <c r="P70" s="408"/>
      <c r="Q70" s="408"/>
      <c r="R70" s="408"/>
      <c r="S70" s="422"/>
    </row>
    <row r="71" spans="1:19" hidden="1">
      <c r="A71" s="34"/>
      <c r="B71" s="421"/>
      <c r="C71" s="700"/>
      <c r="D71" s="700"/>
      <c r="E71" s="264"/>
      <c r="F71" s="294"/>
      <c r="G71" s="294"/>
      <c r="H71" s="408"/>
      <c r="I71" s="408"/>
      <c r="J71" s="408"/>
      <c r="K71" s="408"/>
      <c r="L71" s="408"/>
      <c r="M71" s="408"/>
      <c r="N71" s="408"/>
      <c r="O71" s="408"/>
      <c r="P71" s="408"/>
      <c r="Q71" s="408"/>
      <c r="R71" s="408"/>
      <c r="S71" s="422"/>
    </row>
    <row r="72" spans="1:19" ht="28.5" customHeight="1">
      <c r="A72" s="34"/>
      <c r="B72" s="720" t="s">
        <v>168</v>
      </c>
      <c r="C72" s="721"/>
      <c r="D72" s="721"/>
      <c r="E72" s="721"/>
      <c r="F72" s="721"/>
      <c r="G72" s="721"/>
      <c r="H72" s="721"/>
      <c r="I72" s="721"/>
      <c r="J72" s="721"/>
      <c r="K72" s="721"/>
      <c r="L72" s="721"/>
      <c r="M72" s="721"/>
      <c r="N72" s="721"/>
      <c r="O72" s="721"/>
      <c r="P72" s="721"/>
      <c r="Q72" s="721"/>
      <c r="R72" s="721"/>
      <c r="S72" s="722"/>
    </row>
    <row r="73" spans="1:19">
      <c r="A73" s="34"/>
      <c r="B73" s="421">
        <v>25</v>
      </c>
      <c r="C73" s="406" t="s">
        <v>169</v>
      </c>
      <c r="D73" s="249" t="s">
        <v>34</v>
      </c>
      <c r="E73" s="409">
        <v>12</v>
      </c>
      <c r="F73" s="294">
        <v>0</v>
      </c>
      <c r="G73" s="294">
        <v>0</v>
      </c>
      <c r="H73" s="418">
        <v>1</v>
      </c>
      <c r="I73" s="418">
        <v>0</v>
      </c>
      <c r="J73" s="418">
        <v>0</v>
      </c>
      <c r="K73" s="418">
        <v>0</v>
      </c>
      <c r="L73" s="418">
        <v>0</v>
      </c>
      <c r="M73" s="418">
        <v>0</v>
      </c>
      <c r="N73" s="418">
        <v>0</v>
      </c>
      <c r="O73" s="418">
        <v>0</v>
      </c>
      <c r="P73" s="418">
        <v>0</v>
      </c>
      <c r="Q73" s="418">
        <v>0</v>
      </c>
      <c r="R73" s="418">
        <v>0</v>
      </c>
      <c r="S73" s="248">
        <f t="shared" ref="S73:S81" si="3">SUM(H73:R73)</f>
        <v>1</v>
      </c>
    </row>
    <row r="74" spans="1:19">
      <c r="A74" s="34"/>
      <c r="B74" s="421">
        <v>26</v>
      </c>
      <c r="C74" s="406" t="s">
        <v>170</v>
      </c>
      <c r="D74" s="249" t="s">
        <v>34</v>
      </c>
      <c r="E74" s="409">
        <v>12</v>
      </c>
      <c r="F74" s="294">
        <v>113</v>
      </c>
      <c r="G74" s="294">
        <v>659315</v>
      </c>
      <c r="H74" s="418">
        <v>6.9272608054299616E-3</v>
      </c>
      <c r="I74" s="418">
        <v>0.12327267224842053</v>
      </c>
      <c r="J74" s="418">
        <v>0.44060610872276429</v>
      </c>
      <c r="K74" s="418">
        <v>0.36395685094817132</v>
      </c>
      <c r="L74" s="418">
        <v>0</v>
      </c>
      <c r="M74" s="418">
        <v>4.837267105105637E-3</v>
      </c>
      <c r="N74" s="418">
        <v>0</v>
      </c>
      <c r="O74" s="418">
        <v>3.5563262562309406E-2</v>
      </c>
      <c r="P74" s="418">
        <v>1.2563146710149362E-4</v>
      </c>
      <c r="Q74" s="418">
        <v>0</v>
      </c>
      <c r="R74" s="418">
        <v>0</v>
      </c>
      <c r="S74" s="248">
        <f t="shared" si="3"/>
        <v>0.97528905385930276</v>
      </c>
    </row>
    <row r="75" spans="1:19" ht="28.5">
      <c r="A75" s="34"/>
      <c r="B75" s="421">
        <v>27</v>
      </c>
      <c r="C75" s="406" t="s">
        <v>171</v>
      </c>
      <c r="D75" s="249" t="s">
        <v>34</v>
      </c>
      <c r="E75" s="409">
        <v>12</v>
      </c>
      <c r="F75" s="294">
        <v>0</v>
      </c>
      <c r="G75" s="294">
        <v>0</v>
      </c>
      <c r="H75" s="418">
        <v>1</v>
      </c>
      <c r="I75" s="418">
        <v>0</v>
      </c>
      <c r="J75" s="418">
        <v>0</v>
      </c>
      <c r="K75" s="418">
        <v>0</v>
      </c>
      <c r="L75" s="418">
        <v>0</v>
      </c>
      <c r="M75" s="418">
        <v>0</v>
      </c>
      <c r="N75" s="418">
        <v>0</v>
      </c>
      <c r="O75" s="418">
        <v>0</v>
      </c>
      <c r="P75" s="418">
        <v>0</v>
      </c>
      <c r="Q75" s="418">
        <v>0</v>
      </c>
      <c r="R75" s="418">
        <v>0</v>
      </c>
      <c r="S75" s="248">
        <f t="shared" si="3"/>
        <v>1</v>
      </c>
    </row>
    <row r="76" spans="1:19" ht="28.5">
      <c r="A76" s="34"/>
      <c r="B76" s="421">
        <v>28</v>
      </c>
      <c r="C76" s="406" t="s">
        <v>172</v>
      </c>
      <c r="D76" s="249" t="s">
        <v>34</v>
      </c>
      <c r="E76" s="409">
        <v>12</v>
      </c>
      <c r="F76" s="294">
        <v>0</v>
      </c>
      <c r="G76" s="294">
        <v>0</v>
      </c>
      <c r="H76" s="418">
        <v>1</v>
      </c>
      <c r="I76" s="418">
        <v>0</v>
      </c>
      <c r="J76" s="418">
        <v>0</v>
      </c>
      <c r="K76" s="418">
        <v>0</v>
      </c>
      <c r="L76" s="418">
        <v>0</v>
      </c>
      <c r="M76" s="418">
        <v>0</v>
      </c>
      <c r="N76" s="418">
        <v>0</v>
      </c>
      <c r="O76" s="418">
        <v>0</v>
      </c>
      <c r="P76" s="418">
        <v>0</v>
      </c>
      <c r="Q76" s="418">
        <v>0</v>
      </c>
      <c r="R76" s="418">
        <v>0</v>
      </c>
      <c r="S76" s="248">
        <f t="shared" si="3"/>
        <v>1</v>
      </c>
    </row>
    <row r="77" spans="1:19" ht="28.5">
      <c r="A77" s="34"/>
      <c r="B77" s="421">
        <v>29</v>
      </c>
      <c r="C77" s="406" t="s">
        <v>173</v>
      </c>
      <c r="D77" s="249" t="s">
        <v>34</v>
      </c>
      <c r="E77" s="409">
        <v>3</v>
      </c>
      <c r="F77" s="294">
        <v>0</v>
      </c>
      <c r="G77" s="294">
        <v>0</v>
      </c>
      <c r="H77" s="418">
        <v>1</v>
      </c>
      <c r="I77" s="418">
        <v>0</v>
      </c>
      <c r="J77" s="418">
        <v>0</v>
      </c>
      <c r="K77" s="418">
        <v>0</v>
      </c>
      <c r="L77" s="418">
        <v>0</v>
      </c>
      <c r="M77" s="418">
        <v>0</v>
      </c>
      <c r="N77" s="418">
        <v>0</v>
      </c>
      <c r="O77" s="418">
        <v>0</v>
      </c>
      <c r="P77" s="418">
        <v>0</v>
      </c>
      <c r="Q77" s="418">
        <v>0</v>
      </c>
      <c r="R77" s="418">
        <v>0</v>
      </c>
      <c r="S77" s="248">
        <f t="shared" si="3"/>
        <v>1</v>
      </c>
    </row>
    <row r="78" spans="1:19" ht="28.5">
      <c r="A78" s="34"/>
      <c r="B78" s="421">
        <v>30</v>
      </c>
      <c r="C78" s="406" t="s">
        <v>174</v>
      </c>
      <c r="D78" s="249" t="s">
        <v>34</v>
      </c>
      <c r="E78" s="409">
        <v>12</v>
      </c>
      <c r="F78" s="294">
        <v>0</v>
      </c>
      <c r="G78" s="294">
        <v>0</v>
      </c>
      <c r="H78" s="418">
        <v>1</v>
      </c>
      <c r="I78" s="418">
        <v>0</v>
      </c>
      <c r="J78" s="418">
        <v>0</v>
      </c>
      <c r="K78" s="418">
        <v>0</v>
      </c>
      <c r="L78" s="418">
        <v>0</v>
      </c>
      <c r="M78" s="418">
        <v>0</v>
      </c>
      <c r="N78" s="418">
        <v>0</v>
      </c>
      <c r="O78" s="418">
        <v>0</v>
      </c>
      <c r="P78" s="418">
        <v>0</v>
      </c>
      <c r="Q78" s="418">
        <v>0</v>
      </c>
      <c r="R78" s="418">
        <v>0</v>
      </c>
      <c r="S78" s="248">
        <f t="shared" si="3"/>
        <v>1</v>
      </c>
    </row>
    <row r="79" spans="1:19" ht="28.5">
      <c r="A79" s="34"/>
      <c r="B79" s="421">
        <v>31</v>
      </c>
      <c r="C79" s="406" t="s">
        <v>175</v>
      </c>
      <c r="D79" s="249" t="s">
        <v>34</v>
      </c>
      <c r="E79" s="409">
        <v>12</v>
      </c>
      <c r="F79" s="294">
        <v>0</v>
      </c>
      <c r="G79" s="294">
        <v>0</v>
      </c>
      <c r="H79" s="418">
        <v>1</v>
      </c>
      <c r="I79" s="418">
        <v>0</v>
      </c>
      <c r="J79" s="418">
        <v>0</v>
      </c>
      <c r="K79" s="418">
        <v>0</v>
      </c>
      <c r="L79" s="418">
        <v>0</v>
      </c>
      <c r="M79" s="418">
        <v>0</v>
      </c>
      <c r="N79" s="418">
        <v>0</v>
      </c>
      <c r="O79" s="418">
        <v>0</v>
      </c>
      <c r="P79" s="418">
        <v>0</v>
      </c>
      <c r="Q79" s="418">
        <v>0</v>
      </c>
      <c r="R79" s="418">
        <v>0</v>
      </c>
      <c r="S79" s="248">
        <f t="shared" si="3"/>
        <v>1</v>
      </c>
    </row>
    <row r="80" spans="1:19">
      <c r="A80" s="34"/>
      <c r="B80" s="421">
        <v>32</v>
      </c>
      <c r="C80" s="406" t="s">
        <v>176</v>
      </c>
      <c r="D80" s="249" t="s">
        <v>34</v>
      </c>
      <c r="E80" s="409">
        <v>12</v>
      </c>
      <c r="F80" s="294">
        <v>0</v>
      </c>
      <c r="G80" s="294">
        <v>0</v>
      </c>
      <c r="H80" s="418">
        <v>1</v>
      </c>
      <c r="I80" s="418">
        <v>0</v>
      </c>
      <c r="J80" s="418">
        <v>0</v>
      </c>
      <c r="K80" s="418">
        <v>0</v>
      </c>
      <c r="L80" s="418">
        <v>0</v>
      </c>
      <c r="M80" s="418">
        <v>0</v>
      </c>
      <c r="N80" s="418">
        <v>0</v>
      </c>
      <c r="O80" s="418">
        <v>0</v>
      </c>
      <c r="P80" s="418">
        <v>0</v>
      </c>
      <c r="Q80" s="418">
        <v>0</v>
      </c>
      <c r="R80" s="418">
        <v>0</v>
      </c>
      <c r="S80" s="248">
        <f t="shared" si="3"/>
        <v>1</v>
      </c>
    </row>
    <row r="81" spans="1:19">
      <c r="A81" s="34"/>
      <c r="B81" s="423" t="s">
        <v>255</v>
      </c>
      <c r="C81" s="406"/>
      <c r="D81" s="249" t="s">
        <v>250</v>
      </c>
      <c r="E81" s="409">
        <v>12</v>
      </c>
      <c r="F81" s="294"/>
      <c r="G81" s="294"/>
      <c r="H81" s="408"/>
      <c r="I81" s="408"/>
      <c r="J81" s="408"/>
      <c r="K81" s="408"/>
      <c r="L81" s="408"/>
      <c r="M81" s="408"/>
      <c r="N81" s="408"/>
      <c r="O81" s="408"/>
      <c r="P81" s="408"/>
      <c r="Q81" s="408"/>
      <c r="R81" s="408"/>
      <c r="S81" s="248">
        <f t="shared" si="3"/>
        <v>0</v>
      </c>
    </row>
    <row r="82" spans="1:19" hidden="1">
      <c r="A82" s="34"/>
      <c r="B82" s="421"/>
      <c r="C82" s="700"/>
      <c r="D82" s="700"/>
      <c r="E82" s="264"/>
      <c r="F82" s="294"/>
      <c r="G82" s="294"/>
      <c r="H82" s="408"/>
      <c r="I82" s="408"/>
      <c r="J82" s="408"/>
      <c r="K82" s="408"/>
      <c r="L82" s="408"/>
      <c r="M82" s="408"/>
      <c r="N82" s="408"/>
      <c r="O82" s="408"/>
      <c r="P82" s="408"/>
      <c r="Q82" s="408"/>
      <c r="R82" s="408"/>
      <c r="S82" s="422"/>
    </row>
    <row r="83" spans="1:19" hidden="1">
      <c r="A83" s="34"/>
      <c r="B83" s="421"/>
      <c r="C83" s="700"/>
      <c r="D83" s="700"/>
      <c r="E83" s="264"/>
      <c r="F83" s="294"/>
      <c r="G83" s="294"/>
      <c r="H83" s="408"/>
      <c r="I83" s="408"/>
      <c r="J83" s="408"/>
      <c r="K83" s="408"/>
      <c r="L83" s="408"/>
      <c r="M83" s="408"/>
      <c r="N83" s="408"/>
      <c r="O83" s="408"/>
      <c r="P83" s="408"/>
      <c r="Q83" s="408"/>
      <c r="R83" s="408"/>
      <c r="S83" s="422"/>
    </row>
    <row r="84" spans="1:19" hidden="1">
      <c r="A84" s="34"/>
      <c r="B84" s="421"/>
      <c r="C84" s="700"/>
      <c r="D84" s="700"/>
      <c r="E84" s="264"/>
      <c r="F84" s="294"/>
      <c r="G84" s="294"/>
      <c r="H84" s="408"/>
      <c r="I84" s="408"/>
      <c r="J84" s="408"/>
      <c r="K84" s="408"/>
      <c r="L84" s="408"/>
      <c r="M84" s="408"/>
      <c r="N84" s="408"/>
      <c r="O84" s="408"/>
      <c r="P84" s="408"/>
      <c r="Q84" s="408"/>
      <c r="R84" s="408"/>
      <c r="S84" s="422"/>
    </row>
    <row r="85" spans="1:19" ht="25.5" customHeight="1">
      <c r="A85" s="34"/>
      <c r="B85" s="720" t="s">
        <v>177</v>
      </c>
      <c r="C85" s="721"/>
      <c r="D85" s="721"/>
      <c r="E85" s="721"/>
      <c r="F85" s="721"/>
      <c r="G85" s="721"/>
      <c r="H85" s="721"/>
      <c r="I85" s="721"/>
      <c r="J85" s="721"/>
      <c r="K85" s="721"/>
      <c r="L85" s="721"/>
      <c r="M85" s="721"/>
      <c r="N85" s="721"/>
      <c r="O85" s="721"/>
      <c r="P85" s="721"/>
      <c r="Q85" s="721"/>
      <c r="R85" s="721"/>
      <c r="S85" s="722"/>
    </row>
    <row r="86" spans="1:19">
      <c r="A86" s="34"/>
      <c r="B86" s="421">
        <v>33</v>
      </c>
      <c r="C86" s="406" t="s">
        <v>178</v>
      </c>
      <c r="D86" s="249" t="s">
        <v>34</v>
      </c>
      <c r="E86" s="409">
        <v>12</v>
      </c>
      <c r="F86" s="294">
        <v>0</v>
      </c>
      <c r="G86" s="294">
        <v>0</v>
      </c>
      <c r="H86" s="595">
        <v>1</v>
      </c>
      <c r="I86" s="595">
        <v>0</v>
      </c>
      <c r="J86" s="595">
        <v>0</v>
      </c>
      <c r="K86" s="595">
        <v>0</v>
      </c>
      <c r="L86" s="595">
        <v>0</v>
      </c>
      <c r="M86" s="595">
        <v>0</v>
      </c>
      <c r="N86" s="595">
        <v>0</v>
      </c>
      <c r="O86" s="595">
        <v>0</v>
      </c>
      <c r="P86" s="595">
        <v>0</v>
      </c>
      <c r="Q86" s="595">
        <v>0</v>
      </c>
      <c r="R86" s="595">
        <v>0</v>
      </c>
      <c r="S86" s="248">
        <f>SUM(H86:R86)</f>
        <v>1</v>
      </c>
    </row>
    <row r="87" spans="1:19">
      <c r="A87" s="34"/>
      <c r="B87" s="421">
        <v>34</v>
      </c>
      <c r="C87" s="406" t="s">
        <v>179</v>
      </c>
      <c r="D87" s="249" t="s">
        <v>34</v>
      </c>
      <c r="E87" s="409">
        <v>12</v>
      </c>
      <c r="F87" s="294">
        <v>0</v>
      </c>
      <c r="G87" s="294">
        <v>0</v>
      </c>
      <c r="H87" s="595">
        <v>1</v>
      </c>
      <c r="I87" s="595">
        <v>0</v>
      </c>
      <c r="J87" s="595">
        <v>0</v>
      </c>
      <c r="K87" s="595">
        <v>0</v>
      </c>
      <c r="L87" s="595">
        <v>0</v>
      </c>
      <c r="M87" s="595">
        <v>0</v>
      </c>
      <c r="N87" s="595">
        <v>0</v>
      </c>
      <c r="O87" s="595">
        <v>0</v>
      </c>
      <c r="P87" s="595">
        <v>0</v>
      </c>
      <c r="Q87" s="595">
        <v>0</v>
      </c>
      <c r="R87" s="595">
        <v>0</v>
      </c>
      <c r="S87" s="248">
        <f>SUM(H87:R87)</f>
        <v>1</v>
      </c>
    </row>
    <row r="88" spans="1:19">
      <c r="A88" s="34"/>
      <c r="B88" s="421">
        <v>35</v>
      </c>
      <c r="C88" s="406" t="s">
        <v>180</v>
      </c>
      <c r="D88" s="249" t="s">
        <v>34</v>
      </c>
      <c r="E88" s="409">
        <v>12</v>
      </c>
      <c r="F88" s="294">
        <v>0</v>
      </c>
      <c r="G88" s="294">
        <v>0</v>
      </c>
      <c r="H88" s="595">
        <v>1</v>
      </c>
      <c r="I88" s="595">
        <v>0</v>
      </c>
      <c r="J88" s="595">
        <v>0</v>
      </c>
      <c r="K88" s="595">
        <v>0</v>
      </c>
      <c r="L88" s="595">
        <v>0</v>
      </c>
      <c r="M88" s="595">
        <v>0</v>
      </c>
      <c r="N88" s="595">
        <v>0</v>
      </c>
      <c r="O88" s="595">
        <v>0</v>
      </c>
      <c r="P88" s="595">
        <v>0</v>
      </c>
      <c r="Q88" s="595">
        <v>0</v>
      </c>
      <c r="R88" s="595">
        <v>0</v>
      </c>
      <c r="S88" s="248">
        <f>SUM(H88:R88)</f>
        <v>1</v>
      </c>
    </row>
    <row r="89" spans="1:19">
      <c r="A89" s="34"/>
      <c r="B89" s="423" t="s">
        <v>255</v>
      </c>
      <c r="C89" s="406"/>
      <c r="D89" s="249" t="s">
        <v>250</v>
      </c>
      <c r="E89" s="409">
        <v>12</v>
      </c>
      <c r="F89" s="294"/>
      <c r="G89" s="294"/>
      <c r="H89" s="595"/>
      <c r="I89" s="595"/>
      <c r="J89" s="595"/>
      <c r="K89" s="595"/>
      <c r="L89" s="595"/>
      <c r="M89" s="595"/>
      <c r="N89" s="595"/>
      <c r="O89" s="595"/>
      <c r="P89" s="595"/>
      <c r="Q89" s="595"/>
      <c r="R89" s="595"/>
      <c r="S89" s="248">
        <f>SUM(H89:R89)</f>
        <v>0</v>
      </c>
    </row>
    <row r="90" spans="1:19" hidden="1">
      <c r="A90" s="34"/>
      <c r="B90" s="421"/>
      <c r="C90" s="700"/>
      <c r="D90" s="700"/>
      <c r="E90" s="264"/>
      <c r="F90" s="294"/>
      <c r="G90" s="294"/>
      <c r="H90" s="414"/>
      <c r="I90" s="414"/>
      <c r="J90" s="414"/>
      <c r="K90" s="414"/>
      <c r="L90" s="414"/>
      <c r="M90" s="414"/>
      <c r="N90" s="414"/>
      <c r="O90" s="414"/>
      <c r="P90" s="414"/>
      <c r="Q90" s="414"/>
      <c r="R90" s="414"/>
      <c r="S90" s="422"/>
    </row>
    <row r="91" spans="1:19" hidden="1">
      <c r="A91" s="34"/>
      <c r="B91" s="421"/>
      <c r="C91" s="700"/>
      <c r="D91" s="700"/>
      <c r="E91" s="264"/>
      <c r="F91" s="294"/>
      <c r="G91" s="294"/>
      <c r="H91" s="414"/>
      <c r="I91" s="414"/>
      <c r="J91" s="414"/>
      <c r="K91" s="414"/>
      <c r="L91" s="414"/>
      <c r="M91" s="414"/>
      <c r="N91" s="414"/>
      <c r="O91" s="414"/>
      <c r="P91" s="414"/>
      <c r="Q91" s="414"/>
      <c r="R91" s="414"/>
      <c r="S91" s="422"/>
    </row>
    <row r="92" spans="1:19" hidden="1">
      <c r="A92" s="34"/>
      <c r="B92" s="421"/>
      <c r="C92" s="700"/>
      <c r="D92" s="700"/>
      <c r="E92" s="264"/>
      <c r="F92" s="294"/>
      <c r="G92" s="294"/>
      <c r="H92" s="414"/>
      <c r="I92" s="414"/>
      <c r="J92" s="414"/>
      <c r="K92" s="414"/>
      <c r="L92" s="414"/>
      <c r="M92" s="414"/>
      <c r="N92" s="414"/>
      <c r="O92" s="414"/>
      <c r="P92" s="414"/>
      <c r="Q92" s="414"/>
      <c r="R92" s="414"/>
      <c r="S92" s="422"/>
    </row>
    <row r="93" spans="1:19" ht="24" customHeight="1">
      <c r="A93" s="34"/>
      <c r="B93" s="720" t="s">
        <v>181</v>
      </c>
      <c r="C93" s="721"/>
      <c r="D93" s="721"/>
      <c r="E93" s="721"/>
      <c r="F93" s="721"/>
      <c r="G93" s="721"/>
      <c r="H93" s="721"/>
      <c r="I93" s="721"/>
      <c r="J93" s="721"/>
      <c r="K93" s="721"/>
      <c r="L93" s="721"/>
      <c r="M93" s="721"/>
      <c r="N93" s="721"/>
      <c r="O93" s="721"/>
      <c r="P93" s="721"/>
      <c r="Q93" s="721"/>
      <c r="R93" s="721"/>
      <c r="S93" s="722"/>
    </row>
    <row r="94" spans="1:19" ht="42.75">
      <c r="A94" s="34"/>
      <c r="B94" s="421">
        <v>36</v>
      </c>
      <c r="C94" s="406" t="s">
        <v>182</v>
      </c>
      <c r="D94" s="249" t="s">
        <v>34</v>
      </c>
      <c r="E94" s="409">
        <v>12</v>
      </c>
      <c r="F94" s="294">
        <v>0</v>
      </c>
      <c r="G94" s="294">
        <v>0</v>
      </c>
      <c r="H94" s="519">
        <v>1</v>
      </c>
      <c r="I94" s="519">
        <v>0</v>
      </c>
      <c r="J94" s="519">
        <v>0</v>
      </c>
      <c r="K94" s="519">
        <v>0</v>
      </c>
      <c r="L94" s="519">
        <v>0</v>
      </c>
      <c r="M94" s="519">
        <v>0</v>
      </c>
      <c r="N94" s="519">
        <v>0</v>
      </c>
      <c r="O94" s="519">
        <v>0</v>
      </c>
      <c r="P94" s="519">
        <v>0</v>
      </c>
      <c r="Q94" s="519">
        <v>0</v>
      </c>
      <c r="R94" s="519">
        <v>0</v>
      </c>
      <c r="S94" s="248">
        <f t="shared" ref="S94:S108" si="4">SUM(H94:R94)</f>
        <v>1</v>
      </c>
    </row>
    <row r="95" spans="1:19" ht="28.5">
      <c r="A95" s="34"/>
      <c r="B95" s="421">
        <v>37</v>
      </c>
      <c r="C95" s="406" t="s">
        <v>183</v>
      </c>
      <c r="D95" s="249" t="s">
        <v>34</v>
      </c>
      <c r="E95" s="409">
        <v>12</v>
      </c>
      <c r="F95" s="294">
        <v>0</v>
      </c>
      <c r="G95" s="294">
        <v>0</v>
      </c>
      <c r="H95" s="519">
        <v>1</v>
      </c>
      <c r="I95" s="519">
        <v>0</v>
      </c>
      <c r="J95" s="519">
        <v>0</v>
      </c>
      <c r="K95" s="519">
        <v>0</v>
      </c>
      <c r="L95" s="519">
        <v>0</v>
      </c>
      <c r="M95" s="519">
        <v>0</v>
      </c>
      <c r="N95" s="519">
        <v>0</v>
      </c>
      <c r="O95" s="519">
        <v>0</v>
      </c>
      <c r="P95" s="519">
        <v>0</v>
      </c>
      <c r="Q95" s="519">
        <v>0</v>
      </c>
      <c r="R95" s="519">
        <v>0</v>
      </c>
      <c r="S95" s="248">
        <f t="shared" si="4"/>
        <v>1</v>
      </c>
    </row>
    <row r="96" spans="1:19">
      <c r="A96" s="34"/>
      <c r="B96" s="421">
        <v>38</v>
      </c>
      <c r="C96" s="406" t="s">
        <v>184</v>
      </c>
      <c r="D96" s="249" t="s">
        <v>34</v>
      </c>
      <c r="E96" s="409">
        <v>12</v>
      </c>
      <c r="F96" s="294">
        <v>0</v>
      </c>
      <c r="G96" s="294">
        <v>0</v>
      </c>
      <c r="H96" s="519">
        <v>1</v>
      </c>
      <c r="I96" s="519">
        <v>0</v>
      </c>
      <c r="J96" s="519">
        <v>0</v>
      </c>
      <c r="K96" s="519">
        <v>0</v>
      </c>
      <c r="L96" s="519">
        <v>0</v>
      </c>
      <c r="M96" s="519">
        <v>0</v>
      </c>
      <c r="N96" s="519">
        <v>0</v>
      </c>
      <c r="O96" s="519">
        <v>0</v>
      </c>
      <c r="P96" s="519">
        <v>0</v>
      </c>
      <c r="Q96" s="519">
        <v>0</v>
      </c>
      <c r="R96" s="519">
        <v>0</v>
      </c>
      <c r="S96" s="248">
        <f t="shared" si="4"/>
        <v>1</v>
      </c>
    </row>
    <row r="97" spans="1:19" ht="28.5">
      <c r="A97" s="34"/>
      <c r="B97" s="421">
        <v>39</v>
      </c>
      <c r="C97" s="406" t="s">
        <v>185</v>
      </c>
      <c r="D97" s="249" t="s">
        <v>34</v>
      </c>
      <c r="E97" s="409">
        <v>12</v>
      </c>
      <c r="F97" s="294">
        <v>0</v>
      </c>
      <c r="G97" s="294">
        <v>0</v>
      </c>
      <c r="H97" s="519">
        <v>1</v>
      </c>
      <c r="I97" s="519">
        <v>0</v>
      </c>
      <c r="J97" s="519">
        <v>0</v>
      </c>
      <c r="K97" s="519">
        <v>0</v>
      </c>
      <c r="L97" s="519">
        <v>0</v>
      </c>
      <c r="M97" s="519">
        <v>0</v>
      </c>
      <c r="N97" s="519">
        <v>0</v>
      </c>
      <c r="O97" s="519">
        <v>0</v>
      </c>
      <c r="P97" s="519">
        <v>0</v>
      </c>
      <c r="Q97" s="519">
        <v>0</v>
      </c>
      <c r="R97" s="519">
        <v>0</v>
      </c>
      <c r="S97" s="248">
        <f t="shared" si="4"/>
        <v>1</v>
      </c>
    </row>
    <row r="98" spans="1:19" ht="28.5">
      <c r="A98" s="34"/>
      <c r="B98" s="421">
        <v>40</v>
      </c>
      <c r="C98" s="406" t="s">
        <v>186</v>
      </c>
      <c r="D98" s="249" t="s">
        <v>34</v>
      </c>
      <c r="E98" s="409">
        <v>12</v>
      </c>
      <c r="F98" s="294">
        <v>0</v>
      </c>
      <c r="G98" s="294">
        <v>0</v>
      </c>
      <c r="H98" s="519">
        <v>1</v>
      </c>
      <c r="I98" s="519">
        <v>0</v>
      </c>
      <c r="J98" s="519">
        <v>0</v>
      </c>
      <c r="K98" s="519">
        <v>0</v>
      </c>
      <c r="L98" s="519">
        <v>0</v>
      </c>
      <c r="M98" s="519">
        <v>0</v>
      </c>
      <c r="N98" s="519">
        <v>0</v>
      </c>
      <c r="O98" s="519">
        <v>0</v>
      </c>
      <c r="P98" s="519">
        <v>0</v>
      </c>
      <c r="Q98" s="519">
        <v>0</v>
      </c>
      <c r="R98" s="519">
        <v>0</v>
      </c>
      <c r="S98" s="248">
        <f t="shared" si="4"/>
        <v>1</v>
      </c>
    </row>
    <row r="99" spans="1:19" ht="28.5">
      <c r="A99" s="34"/>
      <c r="B99" s="421">
        <v>41</v>
      </c>
      <c r="C99" s="406" t="s">
        <v>187</v>
      </c>
      <c r="D99" s="249" t="s">
        <v>34</v>
      </c>
      <c r="E99" s="409">
        <v>12</v>
      </c>
      <c r="F99" s="294">
        <v>0</v>
      </c>
      <c r="G99" s="294">
        <v>0</v>
      </c>
      <c r="H99" s="519">
        <v>1</v>
      </c>
      <c r="I99" s="519">
        <v>0</v>
      </c>
      <c r="J99" s="519">
        <v>0</v>
      </c>
      <c r="K99" s="519">
        <v>0</v>
      </c>
      <c r="L99" s="519">
        <v>0</v>
      </c>
      <c r="M99" s="519">
        <v>0</v>
      </c>
      <c r="N99" s="519">
        <v>0</v>
      </c>
      <c r="O99" s="519">
        <v>0</v>
      </c>
      <c r="P99" s="519">
        <v>0</v>
      </c>
      <c r="Q99" s="519">
        <v>0</v>
      </c>
      <c r="R99" s="519">
        <v>0</v>
      </c>
      <c r="S99" s="248">
        <f t="shared" si="4"/>
        <v>1</v>
      </c>
    </row>
    <row r="100" spans="1:19" ht="28.5">
      <c r="A100" s="34"/>
      <c r="B100" s="421">
        <v>42</v>
      </c>
      <c r="C100" s="406" t="s">
        <v>188</v>
      </c>
      <c r="D100" s="249" t="s">
        <v>34</v>
      </c>
      <c r="E100" s="409">
        <v>12</v>
      </c>
      <c r="F100" s="294">
        <v>0</v>
      </c>
      <c r="G100" s="294">
        <v>0</v>
      </c>
      <c r="H100" s="519">
        <v>1</v>
      </c>
      <c r="I100" s="519">
        <v>0</v>
      </c>
      <c r="J100" s="519">
        <v>0</v>
      </c>
      <c r="K100" s="519">
        <v>0</v>
      </c>
      <c r="L100" s="519">
        <v>0</v>
      </c>
      <c r="M100" s="519">
        <v>0</v>
      </c>
      <c r="N100" s="519">
        <v>0</v>
      </c>
      <c r="O100" s="519">
        <v>0</v>
      </c>
      <c r="P100" s="519">
        <v>0</v>
      </c>
      <c r="Q100" s="519">
        <v>0</v>
      </c>
      <c r="R100" s="519">
        <v>0</v>
      </c>
      <c r="S100" s="248">
        <f t="shared" si="4"/>
        <v>1</v>
      </c>
    </row>
    <row r="101" spans="1:19">
      <c r="A101" s="34"/>
      <c r="B101" s="421">
        <v>43</v>
      </c>
      <c r="C101" s="406" t="s">
        <v>189</v>
      </c>
      <c r="D101" s="249" t="s">
        <v>34</v>
      </c>
      <c r="E101" s="409">
        <v>12</v>
      </c>
      <c r="F101" s="294">
        <v>0</v>
      </c>
      <c r="G101" s="294">
        <v>0</v>
      </c>
      <c r="H101" s="519">
        <v>1</v>
      </c>
      <c r="I101" s="519">
        <v>0</v>
      </c>
      <c r="J101" s="519">
        <v>0</v>
      </c>
      <c r="K101" s="519">
        <v>0</v>
      </c>
      <c r="L101" s="519">
        <v>0</v>
      </c>
      <c r="M101" s="519">
        <v>0</v>
      </c>
      <c r="N101" s="519">
        <v>0</v>
      </c>
      <c r="O101" s="519">
        <v>0</v>
      </c>
      <c r="P101" s="519">
        <v>0</v>
      </c>
      <c r="Q101" s="519">
        <v>0</v>
      </c>
      <c r="R101" s="519">
        <v>0</v>
      </c>
      <c r="S101" s="248">
        <f t="shared" si="4"/>
        <v>1</v>
      </c>
    </row>
    <row r="102" spans="1:19" ht="42.75">
      <c r="A102" s="34"/>
      <c r="B102" s="421">
        <v>44</v>
      </c>
      <c r="C102" s="406" t="s">
        <v>190</v>
      </c>
      <c r="D102" s="249" t="s">
        <v>34</v>
      </c>
      <c r="E102" s="409">
        <v>12</v>
      </c>
      <c r="F102" s="294">
        <v>0</v>
      </c>
      <c r="G102" s="294">
        <v>0</v>
      </c>
      <c r="H102" s="519">
        <v>1</v>
      </c>
      <c r="I102" s="519">
        <v>0</v>
      </c>
      <c r="J102" s="519">
        <v>0</v>
      </c>
      <c r="K102" s="519">
        <v>0</v>
      </c>
      <c r="L102" s="519">
        <v>0</v>
      </c>
      <c r="M102" s="519">
        <v>0</v>
      </c>
      <c r="N102" s="519">
        <v>0</v>
      </c>
      <c r="O102" s="519">
        <v>0</v>
      </c>
      <c r="P102" s="519">
        <v>0</v>
      </c>
      <c r="Q102" s="519">
        <v>0</v>
      </c>
      <c r="R102" s="519">
        <v>0</v>
      </c>
      <c r="S102" s="248">
        <f t="shared" si="4"/>
        <v>1</v>
      </c>
    </row>
    <row r="103" spans="1:19" ht="28.5">
      <c r="A103" s="34"/>
      <c r="B103" s="421">
        <v>45</v>
      </c>
      <c r="C103" s="406" t="s">
        <v>191</v>
      </c>
      <c r="D103" s="249" t="s">
        <v>34</v>
      </c>
      <c r="E103" s="409">
        <v>12</v>
      </c>
      <c r="F103" s="294">
        <v>0</v>
      </c>
      <c r="G103" s="294">
        <v>0</v>
      </c>
      <c r="H103" s="519">
        <v>1</v>
      </c>
      <c r="I103" s="519">
        <v>0</v>
      </c>
      <c r="J103" s="519">
        <v>0</v>
      </c>
      <c r="K103" s="519">
        <v>0</v>
      </c>
      <c r="L103" s="519">
        <v>0</v>
      </c>
      <c r="M103" s="519">
        <v>0</v>
      </c>
      <c r="N103" s="519">
        <v>0</v>
      </c>
      <c r="O103" s="519">
        <v>0</v>
      </c>
      <c r="P103" s="519">
        <v>0</v>
      </c>
      <c r="Q103" s="519">
        <v>0</v>
      </c>
      <c r="R103" s="519">
        <v>0</v>
      </c>
      <c r="S103" s="248">
        <f t="shared" si="4"/>
        <v>1</v>
      </c>
    </row>
    <row r="104" spans="1:19" ht="28.5">
      <c r="A104" s="34"/>
      <c r="B104" s="421">
        <v>46</v>
      </c>
      <c r="C104" s="406" t="s">
        <v>192</v>
      </c>
      <c r="D104" s="249" t="s">
        <v>34</v>
      </c>
      <c r="E104" s="409">
        <v>12</v>
      </c>
      <c r="F104" s="294">
        <v>0</v>
      </c>
      <c r="G104" s="294">
        <v>0</v>
      </c>
      <c r="H104" s="519">
        <v>1</v>
      </c>
      <c r="I104" s="519">
        <v>0</v>
      </c>
      <c r="J104" s="519">
        <v>0</v>
      </c>
      <c r="K104" s="519">
        <v>0</v>
      </c>
      <c r="L104" s="519">
        <v>0</v>
      </c>
      <c r="M104" s="519">
        <v>0</v>
      </c>
      <c r="N104" s="519">
        <v>0</v>
      </c>
      <c r="O104" s="519">
        <v>0</v>
      </c>
      <c r="P104" s="519">
        <v>0</v>
      </c>
      <c r="Q104" s="519">
        <v>0</v>
      </c>
      <c r="R104" s="519">
        <v>0</v>
      </c>
      <c r="S104" s="248">
        <f t="shared" si="4"/>
        <v>1</v>
      </c>
    </row>
    <row r="105" spans="1:19" ht="28.5">
      <c r="A105" s="34"/>
      <c r="B105" s="421">
        <v>47</v>
      </c>
      <c r="C105" s="406" t="s">
        <v>193</v>
      </c>
      <c r="D105" s="249" t="s">
        <v>34</v>
      </c>
      <c r="E105" s="409">
        <v>12</v>
      </c>
      <c r="F105" s="294">
        <v>0</v>
      </c>
      <c r="G105" s="294">
        <v>0</v>
      </c>
      <c r="H105" s="519">
        <v>1</v>
      </c>
      <c r="I105" s="519">
        <v>0</v>
      </c>
      <c r="J105" s="519">
        <v>0</v>
      </c>
      <c r="K105" s="519">
        <v>0</v>
      </c>
      <c r="L105" s="519">
        <v>0</v>
      </c>
      <c r="M105" s="519">
        <v>0</v>
      </c>
      <c r="N105" s="519">
        <v>0</v>
      </c>
      <c r="O105" s="519">
        <v>0</v>
      </c>
      <c r="P105" s="519">
        <v>0</v>
      </c>
      <c r="Q105" s="519">
        <v>0</v>
      </c>
      <c r="R105" s="519">
        <v>0</v>
      </c>
      <c r="S105" s="248">
        <f t="shared" si="4"/>
        <v>1</v>
      </c>
    </row>
    <row r="106" spans="1:19" ht="28.5">
      <c r="A106" s="34"/>
      <c r="B106" s="421">
        <v>48</v>
      </c>
      <c r="C106" s="406" t="s">
        <v>194</v>
      </c>
      <c r="D106" s="249" t="s">
        <v>34</v>
      </c>
      <c r="E106" s="409">
        <v>12</v>
      </c>
      <c r="F106" s="294">
        <v>0</v>
      </c>
      <c r="G106" s="294">
        <v>0</v>
      </c>
      <c r="H106" s="519">
        <v>1</v>
      </c>
      <c r="I106" s="519">
        <v>0</v>
      </c>
      <c r="J106" s="519">
        <v>0</v>
      </c>
      <c r="K106" s="519">
        <v>0</v>
      </c>
      <c r="L106" s="519">
        <v>0</v>
      </c>
      <c r="M106" s="519">
        <v>0</v>
      </c>
      <c r="N106" s="519">
        <v>0</v>
      </c>
      <c r="O106" s="519">
        <v>0</v>
      </c>
      <c r="P106" s="519">
        <v>0</v>
      </c>
      <c r="Q106" s="519">
        <v>0</v>
      </c>
      <c r="R106" s="519">
        <v>0</v>
      </c>
      <c r="S106" s="248">
        <f t="shared" si="4"/>
        <v>1</v>
      </c>
    </row>
    <row r="107" spans="1:19" ht="28.5">
      <c r="A107" s="34"/>
      <c r="B107" s="421">
        <v>49</v>
      </c>
      <c r="C107" s="406" t="s">
        <v>195</v>
      </c>
      <c r="D107" s="249" t="s">
        <v>34</v>
      </c>
      <c r="E107" s="409">
        <v>12</v>
      </c>
      <c r="F107" s="294">
        <v>0</v>
      </c>
      <c r="G107" s="294">
        <v>0</v>
      </c>
      <c r="H107" s="519">
        <v>1</v>
      </c>
      <c r="I107" s="519">
        <v>0</v>
      </c>
      <c r="J107" s="519">
        <v>0</v>
      </c>
      <c r="K107" s="519">
        <v>0</v>
      </c>
      <c r="L107" s="519">
        <v>0</v>
      </c>
      <c r="M107" s="519">
        <v>0</v>
      </c>
      <c r="N107" s="519">
        <v>0</v>
      </c>
      <c r="O107" s="519">
        <v>0</v>
      </c>
      <c r="P107" s="519">
        <v>0</v>
      </c>
      <c r="Q107" s="519">
        <v>0</v>
      </c>
      <c r="R107" s="519">
        <v>0</v>
      </c>
      <c r="S107" s="248">
        <f t="shared" si="4"/>
        <v>1</v>
      </c>
    </row>
    <row r="108" spans="1:19">
      <c r="A108" s="34"/>
      <c r="B108" s="423" t="s">
        <v>255</v>
      </c>
      <c r="C108" s="406"/>
      <c r="D108" s="249" t="s">
        <v>250</v>
      </c>
      <c r="E108" s="409">
        <v>12</v>
      </c>
      <c r="F108" s="294"/>
      <c r="G108" s="294"/>
      <c r="H108" s="414"/>
      <c r="I108" s="414"/>
      <c r="J108" s="414"/>
      <c r="K108" s="414"/>
      <c r="L108" s="414"/>
      <c r="M108" s="414"/>
      <c r="N108" s="414"/>
      <c r="O108" s="414"/>
      <c r="P108" s="414"/>
      <c r="Q108" s="414"/>
      <c r="R108" s="414"/>
      <c r="S108" s="248">
        <f t="shared" si="4"/>
        <v>0</v>
      </c>
    </row>
    <row r="109" spans="1:19" hidden="1">
      <c r="A109" s="34"/>
      <c r="B109" s="421"/>
      <c r="C109" s="700"/>
      <c r="D109" s="700"/>
      <c r="E109" s="264"/>
      <c r="F109" s="294"/>
      <c r="G109" s="294"/>
      <c r="H109" s="414"/>
      <c r="I109" s="414"/>
      <c r="J109" s="414"/>
      <c r="K109" s="414"/>
      <c r="L109" s="414"/>
      <c r="M109" s="414"/>
      <c r="N109" s="414"/>
      <c r="O109" s="414"/>
      <c r="P109" s="414"/>
      <c r="Q109" s="414"/>
      <c r="R109" s="414"/>
      <c r="S109" s="422"/>
    </row>
    <row r="110" spans="1:19" hidden="1">
      <c r="A110" s="34"/>
      <c r="B110" s="421"/>
      <c r="C110" s="700"/>
      <c r="D110" s="700"/>
      <c r="E110" s="264"/>
      <c r="F110" s="294"/>
      <c r="G110" s="294"/>
      <c r="H110" s="414"/>
      <c r="I110" s="414"/>
      <c r="J110" s="414"/>
      <c r="K110" s="414"/>
      <c r="L110" s="414"/>
      <c r="M110" s="414"/>
      <c r="N110" s="414"/>
      <c r="O110" s="414"/>
      <c r="P110" s="414"/>
      <c r="Q110" s="414"/>
      <c r="R110" s="414"/>
      <c r="S110" s="422"/>
    </row>
    <row r="111" spans="1:19" hidden="1">
      <c r="A111" s="34"/>
      <c r="B111" s="427"/>
      <c r="C111" s="700"/>
      <c r="D111" s="700"/>
      <c r="E111" s="264"/>
      <c r="F111" s="396"/>
      <c r="G111" s="396"/>
      <c r="H111" s="428"/>
      <c r="I111" s="428"/>
      <c r="J111" s="428"/>
      <c r="K111" s="428"/>
      <c r="L111" s="428"/>
      <c r="M111" s="428"/>
      <c r="N111" s="428"/>
      <c r="O111" s="428"/>
      <c r="P111" s="428"/>
      <c r="Q111" s="428"/>
      <c r="R111" s="428"/>
      <c r="S111" s="429"/>
    </row>
    <row r="112" spans="1:19">
      <c r="B112" s="350"/>
      <c r="C112" s="701" t="s">
        <v>218</v>
      </c>
      <c r="D112" s="701"/>
      <c r="E112" s="351"/>
      <c r="F112" s="352"/>
      <c r="G112" s="352"/>
      <c r="H112" s="353">
        <f>IF(H17="kWh",SUMPRODUCT(H19:H107,$G19:$G107),)</f>
        <v>5189582.0505607668</v>
      </c>
      <c r="I112" s="353">
        <f t="shared" ref="I112:R112" si="5">IF(I17="kWh",SUMPRODUCT(I19:I107,$G19:$G107),)</f>
        <v>1069926.4807945746</v>
      </c>
      <c r="J112" s="353">
        <f t="shared" si="5"/>
        <v>0</v>
      </c>
      <c r="K112" s="353">
        <f t="shared" si="5"/>
        <v>0</v>
      </c>
      <c r="L112" s="353">
        <f t="shared" si="5"/>
        <v>0</v>
      </c>
      <c r="M112" s="353">
        <f t="shared" si="5"/>
        <v>0</v>
      </c>
      <c r="N112" s="353">
        <f t="shared" si="5"/>
        <v>0</v>
      </c>
      <c r="O112" s="353">
        <f t="shared" si="5"/>
        <v>0</v>
      </c>
      <c r="P112" s="353">
        <f t="shared" si="5"/>
        <v>1016.0776568906446</v>
      </c>
      <c r="Q112" s="353">
        <f t="shared" si="5"/>
        <v>0</v>
      </c>
      <c r="R112" s="353">
        <f t="shared" si="5"/>
        <v>0</v>
      </c>
      <c r="S112" s="355">
        <f>SUM(H112:O112)</f>
        <v>6259508.5313553419</v>
      </c>
    </row>
    <row r="113" spans="2:20">
      <c r="B113" s="271"/>
      <c r="C113" s="700" t="s">
        <v>257</v>
      </c>
      <c r="D113" s="700"/>
      <c r="E113" s="265"/>
      <c r="F113" s="263"/>
      <c r="G113" s="263"/>
      <c r="H113" s="265"/>
      <c r="I113" s="265"/>
      <c r="J113" s="266">
        <f>IF(J17="kW",SUMPRODUCT(J19:J107,$E19:$E107,$F19:$F107),)</f>
        <v>8371.8328306312414</v>
      </c>
      <c r="K113" s="266">
        <f t="shared" ref="K113:R113" si="6">IF(K17="kW",SUMPRODUCT(K19:K107,$E19:$E107,$F19:$F107),)</f>
        <v>6378.5211492803664</v>
      </c>
      <c r="L113" s="266">
        <f t="shared" si="6"/>
        <v>0</v>
      </c>
      <c r="M113" s="266">
        <f t="shared" si="6"/>
        <v>76.680358150134566</v>
      </c>
      <c r="N113" s="266">
        <f t="shared" si="6"/>
        <v>0</v>
      </c>
      <c r="O113" s="266">
        <f t="shared" si="6"/>
        <v>9553.326894929789</v>
      </c>
      <c r="P113" s="266">
        <f t="shared" si="6"/>
        <v>0</v>
      </c>
      <c r="Q113" s="266">
        <f t="shared" si="6"/>
        <v>0</v>
      </c>
      <c r="R113" s="266">
        <f t="shared" si="6"/>
        <v>0</v>
      </c>
      <c r="S113" s="272">
        <f>SUM(H113:O113)</f>
        <v>24380.361232991534</v>
      </c>
    </row>
    <row r="114" spans="2:20">
      <c r="B114" s="271"/>
      <c r="C114" s="700" t="s">
        <v>494</v>
      </c>
      <c r="D114" s="700"/>
      <c r="E114" s="265"/>
      <c r="F114" s="263"/>
      <c r="G114" s="263"/>
      <c r="H114" s="265"/>
      <c r="I114" s="265"/>
      <c r="J114" s="266">
        <f>IF(J17="kW",J113-SUM($E$33*$G$33*J33,$E$77*$G$77*J77),)</f>
        <v>8371.8328306312414</v>
      </c>
      <c r="K114" s="266">
        <f t="shared" ref="K114:R114" si="7">IF(K17="kW",K113-SUM($E$33*$G$33*K33,$E$77*$G$77*K77),)</f>
        <v>6378.5211492803664</v>
      </c>
      <c r="L114" s="266">
        <f t="shared" si="7"/>
        <v>0</v>
      </c>
      <c r="M114" s="266">
        <f t="shared" si="7"/>
        <v>76.680358150134566</v>
      </c>
      <c r="N114" s="266">
        <f t="shared" si="7"/>
        <v>0</v>
      </c>
      <c r="O114" s="266">
        <f t="shared" si="7"/>
        <v>9553.326894929789</v>
      </c>
      <c r="P114" s="266">
        <f t="shared" si="7"/>
        <v>0</v>
      </c>
      <c r="Q114" s="266">
        <f t="shared" si="7"/>
        <v>0</v>
      </c>
      <c r="R114" s="266">
        <f t="shared" si="7"/>
        <v>0</v>
      </c>
      <c r="S114" s="272"/>
    </row>
    <row r="115" spans="2:20">
      <c r="B115" s="273"/>
      <c r="C115" s="707"/>
      <c r="D115" s="707"/>
      <c r="E115" s="258"/>
      <c r="F115" s="256"/>
      <c r="G115" s="256"/>
      <c r="H115" s="258"/>
      <c r="I115" s="258"/>
      <c r="J115" s="258"/>
      <c r="K115" s="258"/>
      <c r="L115" s="258"/>
      <c r="M115" s="258"/>
      <c r="N115" s="258"/>
      <c r="O115" s="258"/>
      <c r="P115" s="258"/>
      <c r="Q115" s="258"/>
      <c r="R115" s="258"/>
      <c r="S115" s="274"/>
    </row>
    <row r="116" spans="2:20">
      <c r="B116" s="273"/>
      <c r="C116" s="506"/>
      <c r="D116" s="258"/>
      <c r="E116" s="258"/>
      <c r="F116" s="256"/>
      <c r="G116" s="256"/>
      <c r="H116" s="258"/>
      <c r="I116" s="258"/>
      <c r="J116" s="258"/>
      <c r="K116" s="258"/>
      <c r="L116" s="258"/>
      <c r="M116" s="258"/>
      <c r="N116" s="258"/>
      <c r="O116" s="258"/>
      <c r="P116" s="258"/>
      <c r="Q116" s="258"/>
      <c r="R116" s="258"/>
      <c r="S116" s="274"/>
    </row>
    <row r="117" spans="2:20">
      <c r="B117" s="377"/>
      <c r="C117" s="698" t="s">
        <v>321</v>
      </c>
      <c r="D117" s="698"/>
      <c r="E117" s="249"/>
      <c r="F117" s="260"/>
      <c r="G117" s="249"/>
      <c r="H117" s="261">
        <f>'3.  Distribution Rates'!I36</f>
        <v>1.6299999999999999E-2</v>
      </c>
      <c r="I117" s="261">
        <f>'3.  Distribution Rates'!I37</f>
        <v>1.6299999999999999E-2</v>
      </c>
      <c r="J117" s="261">
        <f>'3.  Distribution Rates'!I38</f>
        <v>3.2071000000000001</v>
      </c>
      <c r="K117" s="261">
        <f>'3.  Distribution Rates'!I39</f>
        <v>2.6071</v>
      </c>
      <c r="L117" s="261">
        <f>'3.  Distribution Rates'!I40</f>
        <v>2.032</v>
      </c>
      <c r="M117" s="261">
        <f>'3.  Distribution Rates'!I41</f>
        <v>1.4319999999999999</v>
      </c>
      <c r="N117" s="261">
        <f>'3.  Distribution Rates'!I42</f>
        <v>2.8616000000000001</v>
      </c>
      <c r="O117" s="261">
        <f>'3.  Distribution Rates'!I43</f>
        <v>2.2616000000000001</v>
      </c>
      <c r="P117" s="261">
        <f>'3.  Distribution Rates'!I44</f>
        <v>1.6199999999999999E-2</v>
      </c>
      <c r="Q117" s="261">
        <f>'3.  Distribution Rates'!I45</f>
        <v>13.2112</v>
      </c>
      <c r="R117" s="261">
        <f>'3.  Distribution Rates'!I46</f>
        <v>3.6124999999999998</v>
      </c>
      <c r="S117" s="378"/>
    </row>
    <row r="118" spans="2:20">
      <c r="B118" s="377"/>
      <c r="C118" s="698" t="s">
        <v>225</v>
      </c>
      <c r="D118" s="698"/>
      <c r="E118" s="258"/>
      <c r="F118" s="260"/>
      <c r="G118" s="637" t="s">
        <v>578</v>
      </c>
      <c r="H118" s="374"/>
      <c r="I118" s="374"/>
      <c r="J118" s="374"/>
      <c r="K118" s="374"/>
      <c r="L118" s="374"/>
      <c r="M118" s="374"/>
      <c r="N118" s="374"/>
      <c r="O118" s="374"/>
      <c r="P118" s="374"/>
      <c r="Q118" s="374"/>
      <c r="R118" s="374"/>
      <c r="S118" s="275">
        <f t="shared" ref="S118:S121" si="8">SUM(H118:R118)</f>
        <v>0</v>
      </c>
      <c r="T118" s="17"/>
    </row>
    <row r="119" spans="2:20">
      <c r="B119" s="377"/>
      <c r="C119" s="698" t="s">
        <v>226</v>
      </c>
      <c r="D119" s="698"/>
      <c r="E119" s="258"/>
      <c r="F119" s="260"/>
      <c r="G119" s="637" t="s">
        <v>578</v>
      </c>
      <c r="H119" s="374"/>
      <c r="I119" s="374"/>
      <c r="J119" s="374"/>
      <c r="K119" s="374"/>
      <c r="L119" s="374"/>
      <c r="M119" s="374"/>
      <c r="N119" s="374"/>
      <c r="O119" s="374"/>
      <c r="P119" s="374"/>
      <c r="Q119" s="374"/>
      <c r="R119" s="374"/>
      <c r="S119" s="275">
        <f t="shared" si="8"/>
        <v>0</v>
      </c>
    </row>
    <row r="120" spans="2:20">
      <c r="B120" s="377"/>
      <c r="C120" s="698" t="s">
        <v>227</v>
      </c>
      <c r="D120" s="698"/>
      <c r="E120" s="258"/>
      <c r="F120" s="260"/>
      <c r="G120" s="260"/>
      <c r="H120" s="374">
        <f>H$117*'6.  Persistence Rates'!D326</f>
        <v>32954.612229578895</v>
      </c>
      <c r="I120" s="374">
        <f>I$117*'6.  Persistence Rates'!E326</f>
        <v>33356.695089826884</v>
      </c>
      <c r="J120" s="374">
        <f>J$117*'6.  Persistence Rates'!F326</f>
        <v>22064.6180365281</v>
      </c>
      <c r="K120" s="374">
        <f>K$117*'6.  Persistence Rates'!G326</f>
        <v>7749.6403353942569</v>
      </c>
      <c r="L120" s="374">
        <f>L$117*'6.  Persistence Rates'!H326</f>
        <v>0</v>
      </c>
      <c r="M120" s="374">
        <f>M$117*'6.  Persistence Rates'!I326</f>
        <v>515.3588847539412</v>
      </c>
      <c r="N120" s="374">
        <f>N$117*'6.  Persistence Rates'!J326</f>
        <v>0</v>
      </c>
      <c r="O120" s="374">
        <f>O$117*'6.  Persistence Rates'!K326</f>
        <v>2862.0041701927785</v>
      </c>
      <c r="P120" s="374">
        <f>P$117*'6.  Persistence Rates'!L326</f>
        <v>0</v>
      </c>
      <c r="Q120" s="374">
        <f>Q$117*'6.  Persistence Rates'!M326</f>
        <v>0</v>
      </c>
      <c r="R120" s="374">
        <f>R$117*'6.  Persistence Rates'!N326</f>
        <v>0</v>
      </c>
      <c r="S120" s="275">
        <f t="shared" si="8"/>
        <v>99502.928746274862</v>
      </c>
    </row>
    <row r="121" spans="2:20">
      <c r="B121" s="377"/>
      <c r="C121" s="698" t="s">
        <v>228</v>
      </c>
      <c r="D121" s="698"/>
      <c r="E121" s="258"/>
      <c r="F121" s="260"/>
      <c r="G121" s="260"/>
      <c r="H121" s="374">
        <f>H$117*'6.  Persistence Rates'!D329</f>
        <v>79585.383363714413</v>
      </c>
      <c r="I121" s="374">
        <f>I$117*'6.  Persistence Rates'!E329</f>
        <v>39802.221579223748</v>
      </c>
      <c r="J121" s="374">
        <f>J$117*'6.  Persistence Rates'!F329</f>
        <v>24742.976438151807</v>
      </c>
      <c r="K121" s="374">
        <f>K$117*'6.  Persistence Rates'!G329</f>
        <v>26264.042205362857</v>
      </c>
      <c r="L121" s="374">
        <f>L$117*'6.  Persistence Rates'!H329</f>
        <v>0</v>
      </c>
      <c r="M121" s="374">
        <f>M$117*'6.  Persistence Rates'!I329</f>
        <v>21.271776658334961</v>
      </c>
      <c r="N121" s="374">
        <f>N$117*'6.  Persistence Rates'!J329</f>
        <v>0</v>
      </c>
      <c r="O121" s="374">
        <f>O$117*'6.  Persistence Rates'!K329</f>
        <v>4442.9142039850385</v>
      </c>
      <c r="P121" s="374">
        <f>P$117*'6.  Persistence Rates'!L329</f>
        <v>0</v>
      </c>
      <c r="Q121" s="374">
        <f>Q$117*'6.  Persistence Rates'!M329</f>
        <v>0</v>
      </c>
      <c r="R121" s="374">
        <f>R$117*'6.  Persistence Rates'!N329</f>
        <v>3791.9458800000002</v>
      </c>
      <c r="S121" s="275">
        <f t="shared" si="8"/>
        <v>178650.75544709625</v>
      </c>
    </row>
    <row r="122" spans="2:20">
      <c r="B122" s="377"/>
      <c r="C122" s="698" t="s">
        <v>229</v>
      </c>
      <c r="D122" s="698"/>
      <c r="E122" s="258"/>
      <c r="F122" s="260"/>
      <c r="G122" s="260"/>
      <c r="H122" s="374">
        <f>IF(H17="kWh",H112,H113)*H117</f>
        <v>84590.187424140488</v>
      </c>
      <c r="I122" s="374">
        <f t="shared" ref="I122:R122" si="9">IF(I17="kWh",I112,I113)*I117</f>
        <v>17439.801636951564</v>
      </c>
      <c r="J122" s="374">
        <f t="shared" si="9"/>
        <v>26849.305071117455</v>
      </c>
      <c r="K122" s="374">
        <f t="shared" si="9"/>
        <v>16629.442488288842</v>
      </c>
      <c r="L122" s="374">
        <f t="shared" si="9"/>
        <v>0</v>
      </c>
      <c r="M122" s="374">
        <f t="shared" si="9"/>
        <v>109.8062728709927</v>
      </c>
      <c r="N122" s="374">
        <f t="shared" si="9"/>
        <v>0</v>
      </c>
      <c r="O122" s="374">
        <f t="shared" si="9"/>
        <v>21605.80410557321</v>
      </c>
      <c r="P122" s="374">
        <f t="shared" si="9"/>
        <v>16.460458041628442</v>
      </c>
      <c r="Q122" s="374">
        <f t="shared" si="9"/>
        <v>0</v>
      </c>
      <c r="R122" s="374">
        <f t="shared" si="9"/>
        <v>0</v>
      </c>
      <c r="S122" s="275">
        <f>SUM(H122:R122)</f>
        <v>167240.80745698421</v>
      </c>
    </row>
    <row r="123" spans="2:20">
      <c r="B123" s="273"/>
      <c r="C123" s="375" t="s">
        <v>219</v>
      </c>
      <c r="D123" s="258"/>
      <c r="E123" s="258"/>
      <c r="F123" s="256"/>
      <c r="G123" s="256"/>
      <c r="H123" s="262">
        <f>SUM(H118:H122)</f>
        <v>197130.1830174338</v>
      </c>
      <c r="I123" s="262">
        <f>SUM(I118:I122)</f>
        <v>90598.718306002207</v>
      </c>
      <c r="J123" s="262">
        <f t="shared" ref="J123:R123" si="10">SUM(J118:J122)</f>
        <v>73656.899545797365</v>
      </c>
      <c r="K123" s="262">
        <f t="shared" si="10"/>
        <v>50643.125029045957</v>
      </c>
      <c r="L123" s="262">
        <f t="shared" si="10"/>
        <v>0</v>
      </c>
      <c r="M123" s="262">
        <f t="shared" si="10"/>
        <v>646.43693428326878</v>
      </c>
      <c r="N123" s="262">
        <f t="shared" si="10"/>
        <v>0</v>
      </c>
      <c r="O123" s="262">
        <f t="shared" si="10"/>
        <v>28910.722479751028</v>
      </c>
      <c r="P123" s="262">
        <f t="shared" si="10"/>
        <v>16.460458041628442</v>
      </c>
      <c r="Q123" s="262">
        <f t="shared" si="10"/>
        <v>0</v>
      </c>
      <c r="R123" s="262">
        <f t="shared" si="10"/>
        <v>3791.9458800000002</v>
      </c>
      <c r="S123" s="276">
        <f>SUM(S118:S122)</f>
        <v>445394.49165035528</v>
      </c>
    </row>
    <row r="124" spans="2:20">
      <c r="B124" s="277"/>
      <c r="C124" s="445"/>
      <c r="D124" s="278"/>
      <c r="E124" s="278"/>
      <c r="F124" s="279"/>
      <c r="G124" s="279"/>
      <c r="H124" s="446"/>
      <c r="I124" s="446"/>
      <c r="J124" s="446"/>
      <c r="K124" s="446"/>
      <c r="L124" s="446"/>
      <c r="M124" s="446"/>
      <c r="N124" s="446"/>
      <c r="O124" s="278"/>
      <c r="P124" s="446"/>
      <c r="Q124" s="446"/>
      <c r="R124" s="278"/>
      <c r="S124" s="447"/>
    </row>
    <row r="125" spans="2:20" hidden="1">
      <c r="B125" s="415"/>
      <c r="C125" s="698" t="s">
        <v>220</v>
      </c>
      <c r="D125" s="698"/>
      <c r="E125" s="407"/>
      <c r="F125" s="155"/>
      <c r="G125" s="155"/>
      <c r="H125" s="493" t="e">
        <f>$H$112*'6.  Persistence Rates'!$E$44</f>
        <v>#DIV/0!</v>
      </c>
      <c r="I125" s="493" t="e">
        <f>I112*'6.  Persistence Rates'!$E$44</f>
        <v>#DIV/0!</v>
      </c>
      <c r="J125" s="493" t="e">
        <f>$J$114*'6.  Persistence Rates'!$R$44</f>
        <v>#DIV/0!</v>
      </c>
      <c r="K125" s="493" t="e">
        <f>$K$114*'6.  Persistence Rates'!$R$44</f>
        <v>#DIV/0!</v>
      </c>
      <c r="L125" s="493" t="e">
        <f>$L$113*'6.  Persistence Rates'!$R$44</f>
        <v>#DIV/0!</v>
      </c>
      <c r="M125" s="493" t="e">
        <f>$M$113*'6.  Persistence Rates'!$R$44</f>
        <v>#DIV/0!</v>
      </c>
      <c r="N125" s="493" t="e">
        <f>$N$112*'6.  Persistence Rates'!$E$44</f>
        <v>#DIV/0!</v>
      </c>
      <c r="O125" s="155"/>
      <c r="P125" s="493" t="e">
        <f>$M$113*'6.  Persistence Rates'!$R$44</f>
        <v>#DIV/0!</v>
      </c>
      <c r="Q125" s="493" t="e">
        <f>$N$112*'6.  Persistence Rates'!$E$44</f>
        <v>#DIV/0!</v>
      </c>
      <c r="R125" s="155"/>
      <c r="S125" s="347"/>
      <c r="T125" s="17"/>
    </row>
    <row r="126" spans="2:20" hidden="1">
      <c r="B126" s="415"/>
      <c r="C126" s="698" t="s">
        <v>221</v>
      </c>
      <c r="D126" s="698"/>
      <c r="E126" s="407"/>
      <c r="F126" s="155"/>
      <c r="G126" s="155"/>
      <c r="H126" s="493" t="e">
        <f>H112*'6.  Persistence Rates'!F$44</f>
        <v>#DIV/0!</v>
      </c>
      <c r="I126" s="493" t="e">
        <f>I112*'6.  Persistence Rates'!F$44</f>
        <v>#DIV/0!</v>
      </c>
      <c r="J126" s="493" t="e">
        <f>$J$114*'6.  Persistence Rates'!$S$44</f>
        <v>#DIV/0!</v>
      </c>
      <c r="K126" s="493" t="e">
        <f>$K$114*'6.  Persistence Rates'!$S$44</f>
        <v>#DIV/0!</v>
      </c>
      <c r="L126" s="493" t="e">
        <f>$L$113*'6.  Persistence Rates'!$S$44</f>
        <v>#DIV/0!</v>
      </c>
      <c r="M126" s="493" t="e">
        <f>$M$113*'6.  Persistence Rates'!$S$44</f>
        <v>#DIV/0!</v>
      </c>
      <c r="N126" s="493" t="e">
        <f>$N$112*'6.  Persistence Rates'!$F$44</f>
        <v>#DIV/0!</v>
      </c>
      <c r="O126" s="155"/>
      <c r="P126" s="493" t="e">
        <f>$M$113*'6.  Persistence Rates'!$S$44</f>
        <v>#DIV/0!</v>
      </c>
      <c r="Q126" s="493" t="e">
        <f>$N$112*'6.  Persistence Rates'!$F$44</f>
        <v>#DIV/0!</v>
      </c>
      <c r="R126" s="155"/>
      <c r="S126" s="347"/>
    </row>
    <row r="127" spans="2:20" hidden="1">
      <c r="B127" s="415"/>
      <c r="C127" s="698" t="s">
        <v>222</v>
      </c>
      <c r="D127" s="698"/>
      <c r="E127" s="407"/>
      <c r="F127" s="155"/>
      <c r="G127" s="155"/>
      <c r="H127" s="493" t="e">
        <f>H112*'6.  Persistence Rates'!G$44</f>
        <v>#DIV/0!</v>
      </c>
      <c r="I127" s="493" t="e">
        <f>I112*'6.  Persistence Rates'!G$44</f>
        <v>#DIV/0!</v>
      </c>
      <c r="J127" s="493" t="e">
        <f>$J$114*'6.  Persistence Rates'!$T$44</f>
        <v>#DIV/0!</v>
      </c>
      <c r="K127" s="493" t="e">
        <f>$K$114*'6.  Persistence Rates'!$T$44</f>
        <v>#DIV/0!</v>
      </c>
      <c r="L127" s="493" t="e">
        <f>$L$113*'6.  Persistence Rates'!$T$44</f>
        <v>#DIV/0!</v>
      </c>
      <c r="M127" s="493" t="e">
        <f>$M$113*'6.  Persistence Rates'!$T$44</f>
        <v>#DIV/0!</v>
      </c>
      <c r="N127" s="493" t="e">
        <f>$N$112*'6.  Persistence Rates'!$G$44</f>
        <v>#DIV/0!</v>
      </c>
      <c r="O127" s="155"/>
      <c r="P127" s="493" t="e">
        <f>$M$113*'6.  Persistence Rates'!$T$44</f>
        <v>#DIV/0!</v>
      </c>
      <c r="Q127" s="493" t="e">
        <f>$N$112*'6.  Persistence Rates'!$G$44</f>
        <v>#DIV/0!</v>
      </c>
      <c r="R127" s="155"/>
      <c r="S127" s="347"/>
    </row>
    <row r="128" spans="2:20" hidden="1">
      <c r="B128" s="415"/>
      <c r="C128" s="698" t="s">
        <v>223</v>
      </c>
      <c r="D128" s="698"/>
      <c r="E128" s="407"/>
      <c r="F128" s="155"/>
      <c r="G128" s="155"/>
      <c r="H128" s="493" t="e">
        <f>H112*'6.  Persistence Rates'!H$44</f>
        <v>#DIV/0!</v>
      </c>
      <c r="I128" s="493" t="e">
        <f>I112*'6.  Persistence Rates'!H$44</f>
        <v>#DIV/0!</v>
      </c>
      <c r="J128" s="493" t="e">
        <f>$J$114*'6.  Persistence Rates'!$U$44</f>
        <v>#DIV/0!</v>
      </c>
      <c r="K128" s="493" t="e">
        <f>$K$114*'6.  Persistence Rates'!$U$44</f>
        <v>#DIV/0!</v>
      </c>
      <c r="L128" s="493" t="e">
        <f>$L$113*'6.  Persistence Rates'!$U$44</f>
        <v>#DIV/0!</v>
      </c>
      <c r="M128" s="493" t="e">
        <f>$M$113*'6.  Persistence Rates'!$U$44</f>
        <v>#DIV/0!</v>
      </c>
      <c r="N128" s="493" t="e">
        <f>$N$112*'6.  Persistence Rates'!$H$44</f>
        <v>#DIV/0!</v>
      </c>
      <c r="O128" s="155"/>
      <c r="P128" s="493" t="e">
        <f>$M$113*'6.  Persistence Rates'!$U$44</f>
        <v>#DIV/0!</v>
      </c>
      <c r="Q128" s="493" t="e">
        <f>$N$112*'6.  Persistence Rates'!$H$44</f>
        <v>#DIV/0!</v>
      </c>
      <c r="R128" s="155"/>
      <c r="S128" s="347"/>
    </row>
    <row r="129" spans="2:19" hidden="1">
      <c r="B129" s="416"/>
      <c r="C129" s="699" t="s">
        <v>224</v>
      </c>
      <c r="D129" s="699"/>
      <c r="E129" s="417"/>
      <c r="F129" s="328"/>
      <c r="G129" s="328"/>
      <c r="H129" s="493" t="e">
        <f>H112*'6.  Persistence Rates'!I$44</f>
        <v>#DIV/0!</v>
      </c>
      <c r="I129" s="493" t="e">
        <f>I112*'6.  Persistence Rates'!I$44</f>
        <v>#DIV/0!</v>
      </c>
      <c r="J129" s="493" t="e">
        <f>$J$114*'6.  Persistence Rates'!$V$44</f>
        <v>#DIV/0!</v>
      </c>
      <c r="K129" s="493" t="e">
        <f>$K$114*'6.  Persistence Rates'!$V$44</f>
        <v>#DIV/0!</v>
      </c>
      <c r="L129" s="493" t="e">
        <f>$L$113*'6.  Persistence Rates'!$V$44</f>
        <v>#DIV/0!</v>
      </c>
      <c r="M129" s="493" t="e">
        <f>$M$113*'6.  Persistence Rates'!$V$44</f>
        <v>#DIV/0!</v>
      </c>
      <c r="N129" s="493" t="e">
        <f>$N$112*'6.  Persistence Rates'!$I$44</f>
        <v>#DIV/0!</v>
      </c>
      <c r="O129" s="328"/>
      <c r="P129" s="493" t="e">
        <f>$M$113*'6.  Persistence Rates'!$V$44</f>
        <v>#DIV/0!</v>
      </c>
      <c r="Q129" s="493" t="e">
        <f>$N$112*'6.  Persistence Rates'!$I$44</f>
        <v>#DIV/0!</v>
      </c>
      <c r="R129" s="328"/>
      <c r="S129" s="392"/>
    </row>
    <row r="131" spans="2:19">
      <c r="B131" s="587" t="s">
        <v>523</v>
      </c>
      <c r="C131" s="712" t="s">
        <v>581</v>
      </c>
      <c r="D131" s="712"/>
      <c r="E131" s="712"/>
      <c r="F131" s="712"/>
      <c r="G131" s="712"/>
      <c r="H131" s="712"/>
      <c r="I131" s="712"/>
      <c r="J131" s="712"/>
      <c r="K131" s="712"/>
      <c r="L131" s="712"/>
      <c r="M131" s="712"/>
      <c r="N131" s="712"/>
      <c r="O131" s="712"/>
      <c r="P131" s="712"/>
    </row>
  </sheetData>
  <mergeCells count="68">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B52:S52"/>
    <mergeCell ref="B63:S63"/>
    <mergeCell ref="B72:S72"/>
    <mergeCell ref="B85:S85"/>
    <mergeCell ref="C82:D82"/>
    <mergeCell ref="C83:D83"/>
    <mergeCell ref="C84:D84"/>
    <mergeCell ref="C69:D69"/>
    <mergeCell ref="C70:D70"/>
    <mergeCell ref="C71:D71"/>
    <mergeCell ref="C58:D58"/>
    <mergeCell ref="C59:D59"/>
    <mergeCell ref="B93:S93"/>
    <mergeCell ref="C109:D109"/>
    <mergeCell ref="C110:D110"/>
    <mergeCell ref="C60:D60"/>
    <mergeCell ref="C111:D111"/>
    <mergeCell ref="C90:D90"/>
    <mergeCell ref="C91:D91"/>
    <mergeCell ref="C92:D92"/>
    <mergeCell ref="C26:D26"/>
    <mergeCell ref="C27:D27"/>
    <mergeCell ref="C51:D51"/>
    <mergeCell ref="C43:D43"/>
    <mergeCell ref="C44:D44"/>
    <mergeCell ref="C45:D45"/>
    <mergeCell ref="C35:D35"/>
    <mergeCell ref="C36:D36"/>
    <mergeCell ref="C37:D37"/>
    <mergeCell ref="B46:S46"/>
    <mergeCell ref="C49:D49"/>
    <mergeCell ref="C50:D50"/>
    <mergeCell ref="E5:S5"/>
    <mergeCell ref="E6:S6"/>
    <mergeCell ref="E7:S7"/>
    <mergeCell ref="E8:S8"/>
    <mergeCell ref="C25:D25"/>
    <mergeCell ref="B17:E17"/>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row r="2" spans="1:18" ht="18.75" customHeight="1">
      <c r="B2" s="734" t="s">
        <v>262</v>
      </c>
      <c r="C2" s="734"/>
      <c r="D2" s="734"/>
      <c r="E2" s="734"/>
      <c r="F2" s="734"/>
      <c r="G2" s="734"/>
      <c r="H2" s="734"/>
      <c r="I2" s="734"/>
      <c r="J2" s="734"/>
      <c r="K2" s="734"/>
      <c r="L2" s="734"/>
      <c r="M2" s="734"/>
      <c r="N2" s="734"/>
      <c r="O2" s="734"/>
      <c r="P2" s="734"/>
    </row>
    <row r="3" spans="1:18" ht="18.75" customHeight="1" outlineLevel="1">
      <c r="B3" s="62"/>
      <c r="C3" s="172"/>
      <c r="D3" s="62"/>
      <c r="E3" s="62"/>
      <c r="F3" s="62"/>
      <c r="G3" s="62"/>
      <c r="H3" s="62"/>
      <c r="I3" s="62"/>
      <c r="J3" s="62"/>
      <c r="K3" s="62"/>
      <c r="L3" s="62"/>
      <c r="M3" s="62"/>
      <c r="N3" s="62"/>
      <c r="O3" s="62"/>
      <c r="P3" s="62"/>
    </row>
    <row r="4" spans="1:18" ht="35.25" customHeight="1" outlineLevel="1">
      <c r="A4" s="239"/>
      <c r="B4" s="383"/>
      <c r="C4" s="365" t="s">
        <v>396</v>
      </c>
      <c r="D4" s="383"/>
      <c r="E4" s="668" t="s">
        <v>359</v>
      </c>
      <c r="F4" s="668"/>
      <c r="G4" s="668"/>
      <c r="H4" s="668"/>
      <c r="I4" s="668"/>
      <c r="J4" s="668"/>
      <c r="K4" s="668"/>
      <c r="L4" s="668"/>
      <c r="M4" s="668"/>
      <c r="N4" s="668"/>
      <c r="O4" s="668"/>
      <c r="P4" s="668"/>
    </row>
    <row r="5" spans="1:18" ht="18.75" customHeight="1" outlineLevel="1">
      <c r="A5" s="47"/>
      <c r="B5" s="383"/>
      <c r="C5" s="384"/>
      <c r="D5" s="383"/>
      <c r="E5" s="368" t="s">
        <v>353</v>
      </c>
      <c r="F5" s="383"/>
      <c r="G5" s="383"/>
      <c r="H5" s="383"/>
      <c r="I5" s="383"/>
      <c r="J5" s="383"/>
      <c r="K5" s="383"/>
      <c r="L5" s="383"/>
      <c r="M5" s="383"/>
      <c r="N5" s="383"/>
      <c r="O5" s="383"/>
      <c r="P5" s="383"/>
    </row>
    <row r="6" spans="1:18" ht="18.75" customHeight="1" outlineLevel="1">
      <c r="A6" s="47"/>
      <c r="B6" s="383"/>
      <c r="C6" s="384"/>
      <c r="D6" s="383"/>
      <c r="E6" s="368" t="s">
        <v>354</v>
      </c>
      <c r="F6" s="383"/>
      <c r="G6" s="383"/>
      <c r="H6" s="383"/>
      <c r="I6" s="383"/>
      <c r="J6" s="383"/>
      <c r="K6" s="383"/>
      <c r="L6" s="383"/>
      <c r="M6" s="383"/>
      <c r="N6" s="383"/>
      <c r="O6" s="383"/>
      <c r="P6" s="383"/>
    </row>
    <row r="7" spans="1:18" ht="18.75" customHeight="1" outlineLevel="1">
      <c r="A7" s="47"/>
      <c r="B7" s="383"/>
      <c r="C7" s="384"/>
      <c r="D7" s="383"/>
      <c r="E7" s="368" t="s">
        <v>412</v>
      </c>
      <c r="F7" s="383"/>
      <c r="G7" s="383"/>
      <c r="H7" s="383"/>
      <c r="I7" s="383"/>
      <c r="J7" s="383"/>
      <c r="K7" s="383"/>
      <c r="L7" s="383"/>
      <c r="M7" s="383"/>
      <c r="N7" s="383"/>
      <c r="O7" s="383"/>
      <c r="P7" s="383"/>
    </row>
    <row r="8" spans="1:18" ht="18.75" customHeight="1" outlineLevel="1">
      <c r="A8" s="47"/>
      <c r="B8" s="383"/>
      <c r="C8" s="384"/>
      <c r="D8" s="383"/>
      <c r="E8" s="368"/>
      <c r="F8" s="383"/>
      <c r="G8" s="383"/>
      <c r="H8" s="383"/>
      <c r="I8" s="383"/>
      <c r="J8" s="383"/>
      <c r="K8" s="383"/>
      <c r="L8" s="383"/>
      <c r="M8" s="383"/>
      <c r="N8" s="383"/>
      <c r="O8" s="383"/>
      <c r="P8" s="383"/>
    </row>
    <row r="9" spans="1:18" ht="18.75" customHeight="1" outlineLevel="1">
      <c r="A9" s="47"/>
      <c r="B9" s="383"/>
      <c r="C9" s="385" t="s">
        <v>334</v>
      </c>
      <c r="D9" s="383"/>
      <c r="E9" s="745" t="s">
        <v>360</v>
      </c>
      <c r="F9" s="745"/>
      <c r="G9" s="383"/>
      <c r="H9" s="383"/>
      <c r="I9" s="383"/>
      <c r="J9" s="383"/>
      <c r="K9" s="383"/>
      <c r="L9" s="383"/>
      <c r="M9" s="383"/>
      <c r="N9" s="383"/>
      <c r="O9" s="383"/>
      <c r="P9" s="383"/>
      <c r="R9" s="81"/>
    </row>
    <row r="10" spans="1:18" ht="18.75" customHeight="1" outlineLevel="1">
      <c r="A10" s="47"/>
      <c r="B10" s="383"/>
      <c r="C10" s="384"/>
      <c r="D10" s="383"/>
      <c r="E10" s="746" t="s">
        <v>335</v>
      </c>
      <c r="F10" s="746"/>
      <c r="G10" s="383"/>
      <c r="H10" s="383"/>
      <c r="I10" s="383"/>
      <c r="J10" s="383"/>
      <c r="K10" s="383"/>
      <c r="L10" s="383"/>
      <c r="M10" s="383"/>
      <c r="N10" s="383"/>
      <c r="O10" s="383"/>
      <c r="P10" s="383"/>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739" t="s">
        <v>59</v>
      </c>
      <c r="C13" s="741" t="s">
        <v>0</v>
      </c>
      <c r="D13" s="741" t="s">
        <v>45</v>
      </c>
      <c r="E13" s="741" t="s">
        <v>202</v>
      </c>
      <c r="F13" s="234" t="s">
        <v>199</v>
      </c>
      <c r="G13" s="234" t="s">
        <v>46</v>
      </c>
      <c r="H13" s="743" t="s">
        <v>60</v>
      </c>
      <c r="I13" s="743"/>
      <c r="J13" s="743"/>
      <c r="K13" s="743"/>
      <c r="L13" s="743"/>
      <c r="M13" s="743"/>
      <c r="N13" s="743"/>
      <c r="O13" s="743"/>
      <c r="P13" s="744"/>
    </row>
    <row r="14" spans="1:18" ht="60">
      <c r="B14" s="740"/>
      <c r="C14" s="742"/>
      <c r="D14" s="742"/>
      <c r="E14" s="74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726" t="s">
        <v>138</v>
      </c>
      <c r="C15" s="727"/>
      <c r="D15" s="727"/>
      <c r="E15" s="727"/>
      <c r="F15" s="727"/>
      <c r="G15" s="727"/>
      <c r="H15" s="727"/>
      <c r="I15" s="727"/>
      <c r="J15" s="727"/>
      <c r="K15" s="727"/>
      <c r="L15" s="727"/>
      <c r="M15" s="727"/>
      <c r="N15" s="727"/>
      <c r="O15" s="727"/>
      <c r="P15" s="728"/>
    </row>
    <row r="16" spans="1:18" ht="26.25" customHeight="1">
      <c r="A16" s="50"/>
      <c r="B16" s="720" t="s">
        <v>139</v>
      </c>
      <c r="C16" s="721"/>
      <c r="D16" s="721"/>
      <c r="E16" s="721"/>
      <c r="F16" s="721"/>
      <c r="G16" s="721"/>
      <c r="H16" s="721"/>
      <c r="I16" s="721"/>
      <c r="J16" s="721"/>
      <c r="K16" s="721"/>
      <c r="L16" s="721"/>
      <c r="M16" s="721"/>
      <c r="N16" s="721"/>
      <c r="O16" s="721"/>
      <c r="P16" s="722"/>
    </row>
    <row r="17" spans="1:16">
      <c r="A17" s="34"/>
      <c r="B17" s="421">
        <v>1</v>
      </c>
      <c r="C17" s="406" t="s">
        <v>140</v>
      </c>
      <c r="D17" s="249" t="s">
        <v>34</v>
      </c>
      <c r="E17" s="407"/>
      <c r="F17" s="294"/>
      <c r="G17" s="294"/>
      <c r="H17" s="418">
        <v>1</v>
      </c>
      <c r="I17" s="408"/>
      <c r="J17" s="408"/>
      <c r="K17" s="408"/>
      <c r="L17" s="408"/>
      <c r="M17" s="408"/>
      <c r="N17" s="408"/>
      <c r="O17" s="408"/>
      <c r="P17" s="422">
        <f>SUM(H17:O17)</f>
        <v>1</v>
      </c>
    </row>
    <row r="18" spans="1:16">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34"/>
      <c r="B19" s="421">
        <v>3</v>
      </c>
      <c r="C19" s="406" t="s">
        <v>142</v>
      </c>
      <c r="D19" s="249" t="s">
        <v>34</v>
      </c>
      <c r="E19" s="409"/>
      <c r="F19" s="294"/>
      <c r="G19" s="294"/>
      <c r="H19" s="418">
        <v>1</v>
      </c>
      <c r="I19" s="408"/>
      <c r="J19" s="408"/>
      <c r="K19" s="408"/>
      <c r="L19" s="408"/>
      <c r="M19" s="408"/>
      <c r="N19" s="408"/>
      <c r="O19" s="408"/>
      <c r="P19" s="422">
        <f t="shared" si="0"/>
        <v>1</v>
      </c>
    </row>
    <row r="20" spans="1:16">
      <c r="A20" s="34"/>
      <c r="B20" s="421">
        <v>4</v>
      </c>
      <c r="C20" s="406" t="s">
        <v>143</v>
      </c>
      <c r="D20" s="249" t="s">
        <v>34</v>
      </c>
      <c r="E20" s="409"/>
      <c r="F20" s="294"/>
      <c r="G20" s="294"/>
      <c r="H20" s="418">
        <v>1</v>
      </c>
      <c r="I20" s="408"/>
      <c r="J20" s="408"/>
      <c r="K20" s="408"/>
      <c r="L20" s="408"/>
      <c r="M20" s="408"/>
      <c r="N20" s="408"/>
      <c r="O20" s="408"/>
      <c r="P20" s="422">
        <f t="shared" si="0"/>
        <v>1</v>
      </c>
    </row>
    <row r="21" spans="1:16">
      <c r="A21" s="34"/>
      <c r="B21" s="421">
        <v>5</v>
      </c>
      <c r="C21" s="406" t="s">
        <v>144</v>
      </c>
      <c r="D21" s="249" t="s">
        <v>34</v>
      </c>
      <c r="E21" s="409"/>
      <c r="F21" s="294"/>
      <c r="G21" s="294"/>
      <c r="H21" s="418">
        <v>1</v>
      </c>
      <c r="I21" s="408"/>
      <c r="J21" s="408"/>
      <c r="K21" s="408"/>
      <c r="L21" s="408"/>
      <c r="M21" s="408"/>
      <c r="N21" s="408"/>
      <c r="O21" s="408"/>
      <c r="P21" s="422">
        <f t="shared" si="0"/>
        <v>1</v>
      </c>
    </row>
    <row r="22" spans="1:16" ht="28.5">
      <c r="A22" s="34"/>
      <c r="B22" s="421">
        <v>6</v>
      </c>
      <c r="C22" s="406" t="s">
        <v>145</v>
      </c>
      <c r="D22" s="249" t="s">
        <v>34</v>
      </c>
      <c r="E22" s="409"/>
      <c r="F22" s="294"/>
      <c r="G22" s="294"/>
      <c r="H22" s="418">
        <v>1</v>
      </c>
      <c r="I22" s="408"/>
      <c r="J22" s="408"/>
      <c r="K22" s="408"/>
      <c r="L22" s="408"/>
      <c r="M22" s="408"/>
      <c r="N22" s="408"/>
      <c r="O22" s="408"/>
      <c r="P22" s="422">
        <f t="shared" si="0"/>
        <v>1</v>
      </c>
    </row>
    <row r="23" spans="1:16">
      <c r="A23" s="34"/>
      <c r="B23" s="423" t="s">
        <v>260</v>
      </c>
      <c r="C23" s="406"/>
      <c r="D23" s="249" t="s">
        <v>250</v>
      </c>
      <c r="E23" s="409"/>
      <c r="F23" s="294"/>
      <c r="G23" s="294"/>
      <c r="H23" s="418"/>
      <c r="I23" s="408"/>
      <c r="J23" s="408"/>
      <c r="K23" s="408"/>
      <c r="L23" s="408"/>
      <c r="M23" s="408"/>
      <c r="N23" s="408"/>
      <c r="O23" s="408"/>
      <c r="P23" s="422">
        <f t="shared" si="0"/>
        <v>0</v>
      </c>
    </row>
    <row r="24" spans="1:16">
      <c r="A24" s="34"/>
      <c r="B24" s="421"/>
      <c r="C24" s="700"/>
      <c r="D24" s="700"/>
      <c r="E24" s="264"/>
      <c r="F24" s="294"/>
      <c r="G24" s="294"/>
      <c r="H24" s="418"/>
      <c r="I24" s="408"/>
      <c r="J24" s="408"/>
      <c r="K24" s="408"/>
      <c r="L24" s="408"/>
      <c r="M24" s="408"/>
      <c r="N24" s="408"/>
      <c r="O24" s="408"/>
      <c r="P24" s="422">
        <f t="shared" si="0"/>
        <v>0</v>
      </c>
    </row>
    <row r="25" spans="1:16">
      <c r="A25" s="34"/>
      <c r="B25" s="421"/>
      <c r="C25" s="700"/>
      <c r="D25" s="700"/>
      <c r="E25" s="264"/>
      <c r="F25" s="294"/>
      <c r="G25" s="294"/>
      <c r="H25" s="418"/>
      <c r="I25" s="408"/>
      <c r="J25" s="408"/>
      <c r="K25" s="408"/>
      <c r="L25" s="408"/>
      <c r="M25" s="408"/>
      <c r="N25" s="408"/>
      <c r="O25" s="408"/>
      <c r="P25" s="422">
        <f t="shared" si="0"/>
        <v>0</v>
      </c>
    </row>
    <row r="26" spans="1:16">
      <c r="A26" s="34"/>
      <c r="B26" s="421"/>
      <c r="C26" s="700"/>
      <c r="D26" s="700"/>
      <c r="E26" s="264"/>
      <c r="F26" s="294"/>
      <c r="G26" s="294"/>
      <c r="H26" s="418"/>
      <c r="I26" s="408"/>
      <c r="J26" s="408"/>
      <c r="K26" s="408"/>
      <c r="L26" s="408"/>
      <c r="M26" s="408"/>
      <c r="N26" s="408"/>
      <c r="O26" s="408"/>
      <c r="P26" s="422">
        <f t="shared" si="0"/>
        <v>0</v>
      </c>
    </row>
    <row r="27" spans="1:16" ht="25.5" customHeight="1">
      <c r="A27" s="50"/>
      <c r="B27" s="720" t="s">
        <v>146</v>
      </c>
      <c r="C27" s="721"/>
      <c r="D27" s="721"/>
      <c r="E27" s="721"/>
      <c r="F27" s="721"/>
      <c r="G27" s="721"/>
      <c r="H27" s="721"/>
      <c r="I27" s="721"/>
      <c r="J27" s="721"/>
      <c r="K27" s="721"/>
      <c r="L27" s="721"/>
      <c r="M27" s="721"/>
      <c r="N27" s="721"/>
      <c r="O27" s="721"/>
      <c r="P27" s="722"/>
    </row>
    <row r="28" spans="1:16">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8.5">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34"/>
      <c r="B31" s="421">
        <v>10</v>
      </c>
      <c r="C31" s="406" t="s">
        <v>150</v>
      </c>
      <c r="D31" s="249" t="s">
        <v>34</v>
      </c>
      <c r="E31" s="409">
        <v>12</v>
      </c>
      <c r="F31" s="294"/>
      <c r="G31" s="294"/>
      <c r="H31" s="408"/>
      <c r="I31" s="418">
        <v>1</v>
      </c>
      <c r="J31" s="408"/>
      <c r="K31" s="408"/>
      <c r="L31" s="408"/>
      <c r="M31" s="408"/>
      <c r="N31" s="408"/>
      <c r="O31" s="408"/>
      <c r="P31" s="422">
        <f t="shared" si="0"/>
        <v>1</v>
      </c>
    </row>
    <row r="32" spans="1:16" ht="28.5">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c r="A33" s="34"/>
      <c r="B33" s="423" t="s">
        <v>260</v>
      </c>
      <c r="C33" s="406"/>
      <c r="D33" s="249" t="s">
        <v>250</v>
      </c>
      <c r="E33" s="409"/>
      <c r="F33" s="294"/>
      <c r="G33" s="294"/>
      <c r="H33" s="408"/>
      <c r="I33" s="408"/>
      <c r="J33" s="408"/>
      <c r="K33" s="408"/>
      <c r="L33" s="408"/>
      <c r="M33" s="408"/>
      <c r="N33" s="408"/>
      <c r="O33" s="408"/>
      <c r="P33" s="422">
        <f t="shared" si="0"/>
        <v>0</v>
      </c>
    </row>
    <row r="34" spans="1:16">
      <c r="A34" s="34"/>
      <c r="B34" s="421"/>
      <c r="C34" s="700"/>
      <c r="D34" s="700"/>
      <c r="E34" s="264"/>
      <c r="F34" s="294"/>
      <c r="G34" s="294"/>
      <c r="H34" s="408"/>
      <c r="I34" s="408"/>
      <c r="J34" s="408"/>
      <c r="K34" s="408"/>
      <c r="L34" s="408"/>
      <c r="M34" s="408"/>
      <c r="N34" s="408"/>
      <c r="O34" s="408"/>
      <c r="P34" s="422">
        <f t="shared" si="0"/>
        <v>0</v>
      </c>
    </row>
    <row r="35" spans="1:16">
      <c r="A35" s="34"/>
      <c r="B35" s="421"/>
      <c r="C35" s="700"/>
      <c r="D35" s="700"/>
      <c r="E35" s="264"/>
      <c r="F35" s="294"/>
      <c r="G35" s="294"/>
      <c r="H35" s="408"/>
      <c r="I35" s="408"/>
      <c r="J35" s="408"/>
      <c r="K35" s="408"/>
      <c r="L35" s="408"/>
      <c r="M35" s="408"/>
      <c r="N35" s="408"/>
      <c r="O35" s="408"/>
      <c r="P35" s="422">
        <f t="shared" si="0"/>
        <v>0</v>
      </c>
    </row>
    <row r="36" spans="1:16">
      <c r="A36" s="34"/>
      <c r="B36" s="421"/>
      <c r="C36" s="700"/>
      <c r="D36" s="700"/>
      <c r="E36" s="264"/>
      <c r="F36" s="294"/>
      <c r="G36" s="294"/>
      <c r="H36" s="408"/>
      <c r="I36" s="408"/>
      <c r="J36" s="408"/>
      <c r="K36" s="408"/>
      <c r="L36" s="408"/>
      <c r="M36" s="408"/>
      <c r="N36" s="408"/>
      <c r="O36" s="408"/>
      <c r="P36" s="422">
        <f t="shared" si="0"/>
        <v>0</v>
      </c>
    </row>
    <row r="37" spans="1:16" ht="26.25" customHeight="1">
      <c r="A37" s="50"/>
      <c r="B37" s="720" t="s">
        <v>11</v>
      </c>
      <c r="C37" s="721"/>
      <c r="D37" s="721"/>
      <c r="E37" s="721"/>
      <c r="F37" s="721"/>
      <c r="G37" s="721"/>
      <c r="H37" s="721"/>
      <c r="I37" s="721"/>
      <c r="J37" s="721"/>
      <c r="K37" s="721"/>
      <c r="L37" s="721"/>
      <c r="M37" s="721"/>
      <c r="N37" s="721"/>
      <c r="O37" s="721"/>
      <c r="P37" s="722"/>
    </row>
    <row r="38" spans="1:16" ht="28.5">
      <c r="A38" s="34"/>
      <c r="B38" s="421">
        <v>12</v>
      </c>
      <c r="C38" s="406" t="s">
        <v>152</v>
      </c>
      <c r="D38" s="249" t="s">
        <v>34</v>
      </c>
      <c r="E38" s="409">
        <v>12</v>
      </c>
      <c r="F38" s="294"/>
      <c r="G38" s="294"/>
      <c r="H38" s="408"/>
      <c r="I38" s="408"/>
      <c r="J38" s="418">
        <v>1</v>
      </c>
      <c r="K38" s="408"/>
      <c r="L38" s="408"/>
      <c r="M38" s="408"/>
      <c r="N38" s="408"/>
      <c r="O38" s="408"/>
      <c r="P38" s="422">
        <f t="shared" si="0"/>
        <v>1</v>
      </c>
    </row>
    <row r="39" spans="1:16" ht="28.5">
      <c r="A39" s="34"/>
      <c r="B39" s="421">
        <v>13</v>
      </c>
      <c r="C39" s="406" t="s">
        <v>153</v>
      </c>
      <c r="D39" s="249" t="s">
        <v>34</v>
      </c>
      <c r="E39" s="409">
        <v>12</v>
      </c>
      <c r="F39" s="294"/>
      <c r="G39" s="294"/>
      <c r="H39" s="408"/>
      <c r="I39" s="408"/>
      <c r="J39" s="418">
        <v>1</v>
      </c>
      <c r="K39" s="408"/>
      <c r="L39" s="408"/>
      <c r="M39" s="408"/>
      <c r="N39" s="408"/>
      <c r="O39" s="408"/>
      <c r="P39" s="422">
        <f t="shared" si="0"/>
        <v>1</v>
      </c>
    </row>
    <row r="40" spans="1:16" ht="28.5">
      <c r="A40" s="34"/>
      <c r="B40" s="421">
        <v>14</v>
      </c>
      <c r="C40" s="406" t="s">
        <v>154</v>
      </c>
      <c r="D40" s="249" t="s">
        <v>34</v>
      </c>
      <c r="E40" s="409">
        <v>12</v>
      </c>
      <c r="F40" s="294"/>
      <c r="G40" s="294"/>
      <c r="H40" s="408"/>
      <c r="I40" s="408"/>
      <c r="J40" s="418">
        <v>1</v>
      </c>
      <c r="K40" s="408"/>
      <c r="L40" s="408"/>
      <c r="M40" s="408"/>
      <c r="N40" s="408"/>
      <c r="O40" s="408"/>
      <c r="P40" s="422">
        <f t="shared" si="0"/>
        <v>1</v>
      </c>
    </row>
    <row r="41" spans="1:16">
      <c r="A41" s="34"/>
      <c r="B41" s="423" t="s">
        <v>260</v>
      </c>
      <c r="C41" s="406"/>
      <c r="D41" s="249" t="s">
        <v>250</v>
      </c>
      <c r="E41" s="409"/>
      <c r="F41" s="294"/>
      <c r="G41" s="294"/>
      <c r="H41" s="408"/>
      <c r="I41" s="408"/>
      <c r="J41" s="408"/>
      <c r="K41" s="408"/>
      <c r="L41" s="408"/>
      <c r="M41" s="408"/>
      <c r="N41" s="408"/>
      <c r="O41" s="408"/>
      <c r="P41" s="422">
        <f t="shared" si="0"/>
        <v>0</v>
      </c>
    </row>
    <row r="42" spans="1:16">
      <c r="A42" s="34"/>
      <c r="B42" s="421"/>
      <c r="C42" s="700"/>
      <c r="D42" s="700"/>
      <c r="E42" s="264"/>
      <c r="F42" s="294"/>
      <c r="G42" s="294"/>
      <c r="H42" s="408"/>
      <c r="I42" s="408"/>
      <c r="J42" s="408"/>
      <c r="K42" s="408"/>
      <c r="L42" s="408"/>
      <c r="M42" s="408"/>
      <c r="N42" s="408"/>
      <c r="O42" s="408"/>
      <c r="P42" s="422">
        <f t="shared" si="0"/>
        <v>0</v>
      </c>
    </row>
    <row r="43" spans="1:16">
      <c r="A43" s="34"/>
      <c r="B43" s="421"/>
      <c r="C43" s="700"/>
      <c r="D43" s="700"/>
      <c r="E43" s="264"/>
      <c r="F43" s="294"/>
      <c r="G43" s="294"/>
      <c r="H43" s="408"/>
      <c r="I43" s="408"/>
      <c r="J43" s="408"/>
      <c r="K43" s="408"/>
      <c r="L43" s="408"/>
      <c r="M43" s="408"/>
      <c r="N43" s="408"/>
      <c r="O43" s="408"/>
      <c r="P43" s="422">
        <f t="shared" si="0"/>
        <v>0</v>
      </c>
    </row>
    <row r="44" spans="1:16">
      <c r="A44" s="34"/>
      <c r="B44" s="421"/>
      <c r="C44" s="700"/>
      <c r="D44" s="700"/>
      <c r="E44" s="264"/>
      <c r="F44" s="294"/>
      <c r="G44" s="294"/>
      <c r="H44" s="408"/>
      <c r="I44" s="408"/>
      <c r="J44" s="408"/>
      <c r="K44" s="408"/>
      <c r="L44" s="408"/>
      <c r="M44" s="408"/>
      <c r="N44" s="408"/>
      <c r="O44" s="408"/>
      <c r="P44" s="422">
        <f t="shared" si="0"/>
        <v>0</v>
      </c>
    </row>
    <row r="45" spans="1:16" ht="24" customHeight="1">
      <c r="A45" s="50"/>
      <c r="B45" s="720" t="s">
        <v>155</v>
      </c>
      <c r="C45" s="721"/>
      <c r="D45" s="721"/>
      <c r="E45" s="721"/>
      <c r="F45" s="721"/>
      <c r="G45" s="721"/>
      <c r="H45" s="721"/>
      <c r="I45" s="721"/>
      <c r="J45" s="721"/>
      <c r="K45" s="721"/>
      <c r="L45" s="721"/>
      <c r="M45" s="721"/>
      <c r="N45" s="721"/>
      <c r="O45" s="721"/>
      <c r="P45" s="722"/>
    </row>
    <row r="46" spans="1:16">
      <c r="A46" s="34"/>
      <c r="B46" s="421">
        <v>15</v>
      </c>
      <c r="C46" s="406" t="s">
        <v>156</v>
      </c>
      <c r="D46" s="249" t="s">
        <v>34</v>
      </c>
      <c r="E46" s="409"/>
      <c r="F46" s="294"/>
      <c r="G46" s="294"/>
      <c r="H46" s="418">
        <v>1</v>
      </c>
      <c r="I46" s="408"/>
      <c r="J46" s="408"/>
      <c r="K46" s="408"/>
      <c r="L46" s="408"/>
      <c r="M46" s="408"/>
      <c r="N46" s="408"/>
      <c r="O46" s="408"/>
      <c r="P46" s="422">
        <f t="shared" si="0"/>
        <v>1</v>
      </c>
    </row>
    <row r="47" spans="1:16">
      <c r="A47" s="34"/>
      <c r="B47" s="423" t="s">
        <v>260</v>
      </c>
      <c r="C47" s="406"/>
      <c r="D47" s="249" t="s">
        <v>250</v>
      </c>
      <c r="E47" s="409"/>
      <c r="F47" s="294"/>
      <c r="G47" s="294"/>
      <c r="H47" s="418"/>
      <c r="I47" s="408"/>
      <c r="J47" s="408"/>
      <c r="K47" s="408"/>
      <c r="L47" s="408"/>
      <c r="M47" s="408"/>
      <c r="N47" s="408"/>
      <c r="O47" s="408"/>
      <c r="P47" s="422">
        <f t="shared" si="0"/>
        <v>0</v>
      </c>
    </row>
    <row r="48" spans="1:16">
      <c r="A48" s="34"/>
      <c r="B48" s="421"/>
      <c r="C48" s="700"/>
      <c r="D48" s="700"/>
      <c r="E48" s="264"/>
      <c r="F48" s="294"/>
      <c r="G48" s="294"/>
      <c r="H48" s="418"/>
      <c r="I48" s="408"/>
      <c r="J48" s="408"/>
      <c r="K48" s="408"/>
      <c r="L48" s="408"/>
      <c r="M48" s="408"/>
      <c r="N48" s="408"/>
      <c r="O48" s="408"/>
      <c r="P48" s="422">
        <f t="shared" si="0"/>
        <v>0</v>
      </c>
    </row>
    <row r="49" spans="1:16">
      <c r="A49" s="34"/>
      <c r="B49" s="421"/>
      <c r="C49" s="700"/>
      <c r="D49" s="700"/>
      <c r="E49" s="264"/>
      <c r="F49" s="294"/>
      <c r="G49" s="294"/>
      <c r="H49" s="418"/>
      <c r="I49" s="408"/>
      <c r="J49" s="408"/>
      <c r="K49" s="408"/>
      <c r="L49" s="408"/>
      <c r="M49" s="408"/>
      <c r="N49" s="408"/>
      <c r="O49" s="408"/>
      <c r="P49" s="422"/>
    </row>
    <row r="50" spans="1:16">
      <c r="A50" s="34"/>
      <c r="B50" s="421"/>
      <c r="C50" s="700"/>
      <c r="D50" s="700"/>
      <c r="E50" s="264"/>
      <c r="F50" s="294"/>
      <c r="G50" s="294"/>
      <c r="H50" s="418"/>
      <c r="I50" s="408"/>
      <c r="J50" s="408"/>
      <c r="K50" s="408"/>
      <c r="L50" s="408"/>
      <c r="M50" s="408"/>
      <c r="N50" s="408"/>
      <c r="O50" s="408"/>
      <c r="P50" s="422">
        <f t="shared" si="0"/>
        <v>0</v>
      </c>
    </row>
    <row r="51" spans="1:16" ht="21" customHeight="1">
      <c r="A51" s="48"/>
      <c r="B51" s="720" t="s">
        <v>157</v>
      </c>
      <c r="C51" s="721"/>
      <c r="D51" s="721"/>
      <c r="E51" s="721"/>
      <c r="F51" s="721"/>
      <c r="G51" s="721"/>
      <c r="H51" s="721"/>
      <c r="I51" s="721"/>
      <c r="J51" s="721"/>
      <c r="K51" s="721"/>
      <c r="L51" s="721"/>
      <c r="M51" s="721"/>
      <c r="N51" s="721"/>
      <c r="O51" s="721"/>
      <c r="P51" s="722"/>
    </row>
    <row r="52" spans="1:16">
      <c r="A52" s="34"/>
      <c r="B52" s="421">
        <v>16</v>
      </c>
      <c r="C52" s="406" t="s">
        <v>158</v>
      </c>
      <c r="D52" s="249" t="s">
        <v>34</v>
      </c>
      <c r="E52" s="409"/>
      <c r="F52" s="294"/>
      <c r="G52" s="294"/>
      <c r="H52" s="408"/>
      <c r="I52" s="408"/>
      <c r="J52" s="408"/>
      <c r="K52" s="408"/>
      <c r="L52" s="408"/>
      <c r="M52" s="408"/>
      <c r="N52" s="408"/>
      <c r="O52" s="408"/>
      <c r="P52" s="422">
        <f t="shared" si="0"/>
        <v>0</v>
      </c>
    </row>
    <row r="53" spans="1:16">
      <c r="A53" s="34"/>
      <c r="B53" s="421">
        <v>17</v>
      </c>
      <c r="C53" s="406" t="s">
        <v>159</v>
      </c>
      <c r="D53" s="249" t="s">
        <v>34</v>
      </c>
      <c r="E53" s="409"/>
      <c r="F53" s="294"/>
      <c r="G53" s="294"/>
      <c r="H53" s="408"/>
      <c r="I53" s="408"/>
      <c r="J53" s="408"/>
      <c r="K53" s="408"/>
      <c r="L53" s="408"/>
      <c r="M53" s="408"/>
      <c r="N53" s="408"/>
      <c r="O53" s="408"/>
      <c r="P53" s="422">
        <f t="shared" si="0"/>
        <v>0</v>
      </c>
    </row>
    <row r="54" spans="1:16">
      <c r="A54" s="34"/>
      <c r="B54" s="421">
        <v>18</v>
      </c>
      <c r="C54" s="406" t="s">
        <v>160</v>
      </c>
      <c r="D54" s="249" t="s">
        <v>34</v>
      </c>
      <c r="E54" s="409"/>
      <c r="F54" s="294"/>
      <c r="G54" s="294"/>
      <c r="H54" s="408"/>
      <c r="I54" s="408"/>
      <c r="J54" s="408"/>
      <c r="K54" s="408"/>
      <c r="L54" s="408"/>
      <c r="M54" s="408"/>
      <c r="N54" s="408"/>
      <c r="O54" s="408"/>
      <c r="P54" s="422">
        <f t="shared" si="0"/>
        <v>0</v>
      </c>
    </row>
    <row r="55" spans="1:16">
      <c r="A55" s="34"/>
      <c r="B55" s="421">
        <v>19</v>
      </c>
      <c r="C55" s="406" t="s">
        <v>161</v>
      </c>
      <c r="D55" s="249" t="s">
        <v>34</v>
      </c>
      <c r="E55" s="409"/>
      <c r="F55" s="294"/>
      <c r="G55" s="294"/>
      <c r="H55" s="408"/>
      <c r="I55" s="408"/>
      <c r="J55" s="408"/>
      <c r="K55" s="408"/>
      <c r="L55" s="408"/>
      <c r="M55" s="408"/>
      <c r="N55" s="408"/>
      <c r="O55" s="408"/>
      <c r="P55" s="422">
        <f t="shared" si="0"/>
        <v>0</v>
      </c>
    </row>
    <row r="56" spans="1:16">
      <c r="A56" s="34"/>
      <c r="B56" s="423" t="s">
        <v>260</v>
      </c>
      <c r="C56" s="406"/>
      <c r="D56" s="249" t="s">
        <v>250</v>
      </c>
      <c r="E56" s="409"/>
      <c r="F56" s="294"/>
      <c r="G56" s="294"/>
      <c r="H56" s="408"/>
      <c r="I56" s="408"/>
      <c r="J56" s="408"/>
      <c r="K56" s="408"/>
      <c r="L56" s="408"/>
      <c r="M56" s="408"/>
      <c r="N56" s="408"/>
      <c r="O56" s="408"/>
      <c r="P56" s="422">
        <f t="shared" si="0"/>
        <v>0</v>
      </c>
    </row>
    <row r="57" spans="1:16">
      <c r="A57" s="34"/>
      <c r="B57" s="423"/>
      <c r="C57" s="700"/>
      <c r="D57" s="700"/>
      <c r="E57" s="264"/>
      <c r="F57" s="294"/>
      <c r="G57" s="294"/>
      <c r="H57" s="408"/>
      <c r="I57" s="408"/>
      <c r="J57" s="408"/>
      <c r="K57" s="408"/>
      <c r="L57" s="408"/>
      <c r="M57" s="408"/>
      <c r="N57" s="408"/>
      <c r="O57" s="408"/>
      <c r="P57" s="422"/>
    </row>
    <row r="58" spans="1:16">
      <c r="A58" s="34"/>
      <c r="B58" s="423"/>
      <c r="C58" s="700"/>
      <c r="D58" s="700"/>
      <c r="E58" s="264"/>
      <c r="F58" s="294"/>
      <c r="G58" s="294"/>
      <c r="H58" s="408"/>
      <c r="I58" s="408"/>
      <c r="J58" s="408"/>
      <c r="K58" s="408"/>
      <c r="L58" s="408"/>
      <c r="M58" s="408"/>
      <c r="N58" s="408"/>
      <c r="O58" s="408"/>
      <c r="P58" s="422"/>
    </row>
    <row r="59" spans="1:16">
      <c r="A59" s="33"/>
      <c r="B59" s="424"/>
      <c r="C59" s="700"/>
      <c r="D59" s="700"/>
      <c r="E59" s="264"/>
      <c r="F59" s="294"/>
      <c r="G59" s="294"/>
      <c r="H59" s="412"/>
      <c r="I59" s="412"/>
      <c r="J59" s="412"/>
      <c r="K59" s="412"/>
      <c r="L59" s="412"/>
      <c r="M59" s="412"/>
      <c r="N59" s="412"/>
      <c r="O59" s="412"/>
      <c r="P59" s="422"/>
    </row>
    <row r="60" spans="1:16" ht="27" customHeight="1">
      <c r="B60" s="726" t="s">
        <v>162</v>
      </c>
      <c r="C60" s="727"/>
      <c r="D60" s="727"/>
      <c r="E60" s="727"/>
      <c r="F60" s="727"/>
      <c r="G60" s="727"/>
      <c r="H60" s="727"/>
      <c r="I60" s="727"/>
      <c r="J60" s="727"/>
      <c r="K60" s="727"/>
      <c r="L60" s="727"/>
      <c r="M60" s="727"/>
      <c r="N60" s="727"/>
      <c r="O60" s="727"/>
      <c r="P60" s="728"/>
    </row>
    <row r="61" spans="1:16" ht="16.5">
      <c r="B61" s="425"/>
      <c r="C61" s="406"/>
      <c r="D61" s="409"/>
      <c r="E61" s="409"/>
      <c r="F61" s="405"/>
      <c r="G61" s="405"/>
      <c r="H61" s="405"/>
      <c r="I61" s="405"/>
      <c r="J61" s="405"/>
      <c r="K61" s="405"/>
      <c r="L61" s="405"/>
      <c r="M61" s="405"/>
      <c r="N61" s="405"/>
      <c r="O61" s="405"/>
      <c r="P61" s="426"/>
    </row>
    <row r="62" spans="1:16" ht="25.5" customHeight="1">
      <c r="A62" s="50"/>
      <c r="B62" s="736" t="s">
        <v>163</v>
      </c>
      <c r="C62" s="737"/>
      <c r="D62" s="737"/>
      <c r="E62" s="737"/>
      <c r="F62" s="737"/>
      <c r="G62" s="737"/>
      <c r="H62" s="737"/>
      <c r="I62" s="737"/>
      <c r="J62" s="737"/>
      <c r="K62" s="737"/>
      <c r="L62" s="737"/>
      <c r="M62" s="737"/>
      <c r="N62" s="737"/>
      <c r="O62" s="737"/>
      <c r="P62" s="738"/>
    </row>
    <row r="63" spans="1:16">
      <c r="A63" s="34"/>
      <c r="B63" s="421">
        <v>21</v>
      </c>
      <c r="C63" s="406" t="s">
        <v>164</v>
      </c>
      <c r="D63" s="249" t="s">
        <v>34</v>
      </c>
      <c r="E63" s="409"/>
      <c r="F63" s="294"/>
      <c r="G63" s="294"/>
      <c r="H63" s="418">
        <v>1</v>
      </c>
      <c r="I63" s="408"/>
      <c r="J63" s="408"/>
      <c r="K63" s="408"/>
      <c r="L63" s="408"/>
      <c r="M63" s="408"/>
      <c r="N63" s="408"/>
      <c r="O63" s="408"/>
      <c r="P63" s="422">
        <f t="shared" si="0"/>
        <v>1</v>
      </c>
    </row>
    <row r="64" spans="1:16" ht="28.5">
      <c r="A64" s="34"/>
      <c r="B64" s="421">
        <v>22</v>
      </c>
      <c r="C64" s="406" t="s">
        <v>165</v>
      </c>
      <c r="D64" s="249" t="s">
        <v>34</v>
      </c>
      <c r="E64" s="409"/>
      <c r="F64" s="294"/>
      <c r="G64" s="294"/>
      <c r="H64" s="418">
        <v>1</v>
      </c>
      <c r="I64" s="408"/>
      <c r="J64" s="408"/>
      <c r="K64" s="408"/>
      <c r="L64" s="408"/>
      <c r="M64" s="408"/>
      <c r="N64" s="408"/>
      <c r="O64" s="408"/>
      <c r="P64" s="422">
        <f t="shared" si="0"/>
        <v>1</v>
      </c>
    </row>
    <row r="65" spans="1:16">
      <c r="A65" s="34"/>
      <c r="B65" s="421">
        <v>23</v>
      </c>
      <c r="C65" s="406" t="s">
        <v>166</v>
      </c>
      <c r="D65" s="249" t="s">
        <v>34</v>
      </c>
      <c r="E65" s="409"/>
      <c r="F65" s="294"/>
      <c r="G65" s="294"/>
      <c r="H65" s="418">
        <v>1</v>
      </c>
      <c r="I65" s="408"/>
      <c r="J65" s="408"/>
      <c r="K65" s="408"/>
      <c r="L65" s="408"/>
      <c r="M65" s="408"/>
      <c r="N65" s="408"/>
      <c r="O65" s="408"/>
      <c r="P65" s="422">
        <f t="shared" si="0"/>
        <v>1</v>
      </c>
    </row>
    <row r="66" spans="1:16">
      <c r="A66" s="34"/>
      <c r="B66" s="421">
        <v>24</v>
      </c>
      <c r="C66" s="406" t="s">
        <v>167</v>
      </c>
      <c r="D66" s="249" t="s">
        <v>34</v>
      </c>
      <c r="E66" s="409"/>
      <c r="F66" s="294"/>
      <c r="G66" s="294"/>
      <c r="H66" s="418">
        <v>1</v>
      </c>
      <c r="I66" s="408"/>
      <c r="J66" s="408"/>
      <c r="K66" s="408"/>
      <c r="L66" s="408"/>
      <c r="M66" s="408"/>
      <c r="N66" s="408"/>
      <c r="O66" s="408"/>
      <c r="P66" s="422">
        <f t="shared" si="0"/>
        <v>1</v>
      </c>
    </row>
    <row r="67" spans="1:16">
      <c r="A67" s="34"/>
      <c r="B67" s="423" t="s">
        <v>260</v>
      </c>
      <c r="C67" s="406"/>
      <c r="D67" s="249" t="s">
        <v>250</v>
      </c>
      <c r="E67" s="409"/>
      <c r="F67" s="294"/>
      <c r="G67" s="294"/>
      <c r="H67" s="418"/>
      <c r="I67" s="408"/>
      <c r="J67" s="408"/>
      <c r="K67" s="408"/>
      <c r="L67" s="408"/>
      <c r="M67" s="408"/>
      <c r="N67" s="408"/>
      <c r="O67" s="408"/>
      <c r="P67" s="422"/>
    </row>
    <row r="68" spans="1:16">
      <c r="A68" s="34"/>
      <c r="B68" s="421"/>
      <c r="C68" s="700"/>
      <c r="D68" s="700"/>
      <c r="E68" s="264"/>
      <c r="F68" s="294"/>
      <c r="G68" s="294"/>
      <c r="H68" s="418"/>
      <c r="I68" s="408"/>
      <c r="J68" s="408"/>
      <c r="K68" s="408"/>
      <c r="L68" s="408"/>
      <c r="M68" s="408"/>
      <c r="N68" s="408"/>
      <c r="O68" s="408"/>
      <c r="P68" s="422"/>
    </row>
    <row r="69" spans="1:16">
      <c r="A69" s="34"/>
      <c r="B69" s="421"/>
      <c r="C69" s="700"/>
      <c r="D69" s="700"/>
      <c r="E69" s="264"/>
      <c r="F69" s="294"/>
      <c r="G69" s="294"/>
      <c r="H69" s="418"/>
      <c r="I69" s="408"/>
      <c r="J69" s="408"/>
      <c r="K69" s="408"/>
      <c r="L69" s="408"/>
      <c r="M69" s="408"/>
      <c r="N69" s="408"/>
      <c r="O69" s="408"/>
      <c r="P69" s="422"/>
    </row>
    <row r="70" spans="1:16">
      <c r="A70" s="34"/>
      <c r="B70" s="421"/>
      <c r="C70" s="700"/>
      <c r="D70" s="700"/>
      <c r="E70" s="264"/>
      <c r="F70" s="294"/>
      <c r="G70" s="294"/>
      <c r="H70" s="408"/>
      <c r="I70" s="408"/>
      <c r="J70" s="408"/>
      <c r="K70" s="408"/>
      <c r="L70" s="408"/>
      <c r="M70" s="408"/>
      <c r="N70" s="408"/>
      <c r="O70" s="408"/>
      <c r="P70" s="422">
        <f t="shared" si="0"/>
        <v>0</v>
      </c>
    </row>
    <row r="71" spans="1:16" ht="28.5" customHeight="1">
      <c r="A71" s="50"/>
      <c r="B71" s="736" t="s">
        <v>168</v>
      </c>
      <c r="C71" s="737"/>
      <c r="D71" s="737"/>
      <c r="E71" s="737"/>
      <c r="F71" s="737"/>
      <c r="G71" s="737"/>
      <c r="H71" s="737"/>
      <c r="I71" s="737"/>
      <c r="J71" s="737"/>
      <c r="K71" s="737"/>
      <c r="L71" s="737"/>
      <c r="M71" s="737"/>
      <c r="N71" s="737"/>
      <c r="O71" s="737"/>
      <c r="P71" s="738"/>
    </row>
    <row r="72" spans="1:16">
      <c r="A72" s="34"/>
      <c r="B72" s="421">
        <v>25</v>
      </c>
      <c r="C72" s="406" t="s">
        <v>169</v>
      </c>
      <c r="D72" s="249" t="s">
        <v>34</v>
      </c>
      <c r="E72" s="409"/>
      <c r="F72" s="294"/>
      <c r="G72" s="294"/>
      <c r="H72" s="408"/>
      <c r="I72" s="418">
        <v>1</v>
      </c>
      <c r="J72" s="408"/>
      <c r="K72" s="408"/>
      <c r="L72" s="408"/>
      <c r="M72" s="408"/>
      <c r="N72" s="408"/>
      <c r="O72" s="408"/>
      <c r="P72" s="422">
        <f t="shared" si="0"/>
        <v>1</v>
      </c>
    </row>
    <row r="73" spans="1:16">
      <c r="A73" s="34"/>
      <c r="B73" s="421">
        <v>26</v>
      </c>
      <c r="C73" s="406" t="s">
        <v>170</v>
      </c>
      <c r="D73" s="249" t="s">
        <v>34</v>
      </c>
      <c r="E73" s="409"/>
      <c r="F73" s="294"/>
      <c r="G73" s="294"/>
      <c r="H73" s="408"/>
      <c r="I73" s="418">
        <v>1</v>
      </c>
      <c r="J73" s="408"/>
      <c r="K73" s="408"/>
      <c r="L73" s="408"/>
      <c r="M73" s="408"/>
      <c r="N73" s="408"/>
      <c r="O73" s="408"/>
      <c r="P73" s="422">
        <f t="shared" si="0"/>
        <v>1</v>
      </c>
    </row>
    <row r="74" spans="1:16" ht="28.5">
      <c r="A74" s="34"/>
      <c r="B74" s="421">
        <v>27</v>
      </c>
      <c r="C74" s="406" t="s">
        <v>171</v>
      </c>
      <c r="D74" s="249" t="s">
        <v>34</v>
      </c>
      <c r="E74" s="409"/>
      <c r="F74" s="294"/>
      <c r="G74" s="294"/>
      <c r="H74" s="408"/>
      <c r="I74" s="418">
        <v>0.8</v>
      </c>
      <c r="J74" s="418">
        <v>0.2</v>
      </c>
      <c r="K74" s="408"/>
      <c r="L74" s="408"/>
      <c r="M74" s="408"/>
      <c r="N74" s="408"/>
      <c r="O74" s="408"/>
      <c r="P74" s="422">
        <f t="shared" si="0"/>
        <v>1</v>
      </c>
    </row>
    <row r="75" spans="1:16" ht="28.5">
      <c r="A75" s="34"/>
      <c r="B75" s="421">
        <v>28</v>
      </c>
      <c r="C75" s="406" t="s">
        <v>172</v>
      </c>
      <c r="D75" s="249" t="s">
        <v>34</v>
      </c>
      <c r="E75" s="409"/>
      <c r="F75" s="294"/>
      <c r="G75" s="294"/>
      <c r="H75" s="408"/>
      <c r="I75" s="408"/>
      <c r="J75" s="408"/>
      <c r="K75" s="408"/>
      <c r="L75" s="408"/>
      <c r="M75" s="408"/>
      <c r="N75" s="408"/>
      <c r="O75" s="408"/>
      <c r="P75" s="422">
        <f t="shared" si="0"/>
        <v>0</v>
      </c>
    </row>
    <row r="76" spans="1:16" ht="28.5">
      <c r="A76" s="34"/>
      <c r="B76" s="421">
        <v>29</v>
      </c>
      <c r="C76" s="406" t="s">
        <v>173</v>
      </c>
      <c r="D76" s="249" t="s">
        <v>34</v>
      </c>
      <c r="E76" s="409"/>
      <c r="F76" s="294"/>
      <c r="G76" s="294"/>
      <c r="H76" s="408"/>
      <c r="I76" s="408"/>
      <c r="J76" s="408"/>
      <c r="K76" s="408"/>
      <c r="L76" s="408"/>
      <c r="M76" s="408"/>
      <c r="N76" s="408"/>
      <c r="O76" s="408"/>
      <c r="P76" s="422">
        <f t="shared" si="0"/>
        <v>0</v>
      </c>
    </row>
    <row r="77" spans="1:16" ht="28.5">
      <c r="A77" s="34"/>
      <c r="B77" s="421">
        <v>30</v>
      </c>
      <c r="C77" s="406" t="s">
        <v>174</v>
      </c>
      <c r="D77" s="249" t="s">
        <v>34</v>
      </c>
      <c r="E77" s="409"/>
      <c r="F77" s="294"/>
      <c r="G77" s="294"/>
      <c r="H77" s="408"/>
      <c r="I77" s="408"/>
      <c r="J77" s="408"/>
      <c r="K77" s="408"/>
      <c r="L77" s="408"/>
      <c r="M77" s="408"/>
      <c r="N77" s="408"/>
      <c r="O77" s="408"/>
      <c r="P77" s="422">
        <f t="shared" si="0"/>
        <v>0</v>
      </c>
    </row>
    <row r="78" spans="1:16" ht="28.5">
      <c r="A78" s="34"/>
      <c r="B78" s="421">
        <v>31</v>
      </c>
      <c r="C78" s="406" t="s">
        <v>175</v>
      </c>
      <c r="D78" s="249" t="s">
        <v>34</v>
      </c>
      <c r="E78" s="409"/>
      <c r="F78" s="294"/>
      <c r="G78" s="294"/>
      <c r="H78" s="408"/>
      <c r="I78" s="408"/>
      <c r="J78" s="408"/>
      <c r="K78" s="408"/>
      <c r="L78" s="408"/>
      <c r="M78" s="408"/>
      <c r="N78" s="408"/>
      <c r="O78" s="408"/>
      <c r="P78" s="422">
        <f t="shared" si="0"/>
        <v>0</v>
      </c>
    </row>
    <row r="79" spans="1:16">
      <c r="A79" s="34"/>
      <c r="B79" s="421">
        <v>32</v>
      </c>
      <c r="C79" s="406" t="s">
        <v>176</v>
      </c>
      <c r="D79" s="249" t="s">
        <v>34</v>
      </c>
      <c r="E79" s="409"/>
      <c r="F79" s="294"/>
      <c r="G79" s="294"/>
      <c r="H79" s="408"/>
      <c r="I79" s="408"/>
      <c r="J79" s="408"/>
      <c r="K79" s="408"/>
      <c r="L79" s="408"/>
      <c r="M79" s="408"/>
      <c r="N79" s="408"/>
      <c r="O79" s="408"/>
      <c r="P79" s="422">
        <f t="shared" si="0"/>
        <v>0</v>
      </c>
    </row>
    <row r="80" spans="1:16">
      <c r="A80" s="34"/>
      <c r="B80" s="423" t="s">
        <v>260</v>
      </c>
      <c r="C80" s="406"/>
      <c r="D80" s="249" t="s">
        <v>250</v>
      </c>
      <c r="E80" s="409"/>
      <c r="F80" s="294"/>
      <c r="G80" s="294"/>
      <c r="H80" s="408"/>
      <c r="I80" s="408"/>
      <c r="J80" s="408"/>
      <c r="K80" s="408"/>
      <c r="L80" s="408"/>
      <c r="M80" s="408"/>
      <c r="N80" s="408"/>
      <c r="O80" s="408"/>
      <c r="P80" s="422"/>
    </row>
    <row r="81" spans="1:16">
      <c r="A81" s="34"/>
      <c r="B81" s="421"/>
      <c r="C81" s="700"/>
      <c r="D81" s="700"/>
      <c r="E81" s="264"/>
      <c r="F81" s="294"/>
      <c r="G81" s="294"/>
      <c r="H81" s="408"/>
      <c r="I81" s="408"/>
      <c r="J81" s="408"/>
      <c r="K81" s="408"/>
      <c r="L81" s="408"/>
      <c r="M81" s="408"/>
      <c r="N81" s="408"/>
      <c r="O81" s="408"/>
      <c r="P81" s="422"/>
    </row>
    <row r="82" spans="1:16">
      <c r="A82" s="34"/>
      <c r="B82" s="421"/>
      <c r="C82" s="700"/>
      <c r="D82" s="700"/>
      <c r="E82" s="264"/>
      <c r="F82" s="294"/>
      <c r="G82" s="294"/>
      <c r="H82" s="408"/>
      <c r="I82" s="408"/>
      <c r="J82" s="408"/>
      <c r="K82" s="408"/>
      <c r="L82" s="408"/>
      <c r="M82" s="408"/>
      <c r="N82" s="408"/>
      <c r="O82" s="408"/>
      <c r="P82" s="422"/>
    </row>
    <row r="83" spans="1:16">
      <c r="A83" s="34"/>
      <c r="B83" s="421"/>
      <c r="C83" s="700"/>
      <c r="D83" s="700"/>
      <c r="E83" s="264"/>
      <c r="F83" s="294"/>
      <c r="G83" s="294"/>
      <c r="H83" s="408"/>
      <c r="I83" s="408"/>
      <c r="J83" s="408"/>
      <c r="K83" s="408"/>
      <c r="L83" s="408"/>
      <c r="M83" s="408"/>
      <c r="N83" s="408"/>
      <c r="O83" s="408"/>
      <c r="P83" s="422">
        <f t="shared" ref="P83:P106" si="1">SUM(H83:O83)</f>
        <v>0</v>
      </c>
    </row>
    <row r="84" spans="1:16" ht="25.5" customHeight="1">
      <c r="A84" s="50"/>
      <c r="B84" s="736" t="s">
        <v>177</v>
      </c>
      <c r="C84" s="737"/>
      <c r="D84" s="737"/>
      <c r="E84" s="737"/>
      <c r="F84" s="737"/>
      <c r="G84" s="737"/>
      <c r="H84" s="737"/>
      <c r="I84" s="737"/>
      <c r="J84" s="737"/>
      <c r="K84" s="737"/>
      <c r="L84" s="737"/>
      <c r="M84" s="737"/>
      <c r="N84" s="737"/>
      <c r="O84" s="737"/>
      <c r="P84" s="738"/>
    </row>
    <row r="85" spans="1:16">
      <c r="A85" s="34"/>
      <c r="B85" s="421">
        <v>33</v>
      </c>
      <c r="C85" s="406" t="s">
        <v>178</v>
      </c>
      <c r="D85" s="249" t="s">
        <v>34</v>
      </c>
      <c r="E85" s="409"/>
      <c r="F85" s="294"/>
      <c r="G85" s="294"/>
      <c r="H85" s="414"/>
      <c r="I85" s="414"/>
      <c r="J85" s="414"/>
      <c r="K85" s="414"/>
      <c r="L85" s="414"/>
      <c r="M85" s="414"/>
      <c r="N85" s="414"/>
      <c r="O85" s="414"/>
      <c r="P85" s="422">
        <f t="shared" si="1"/>
        <v>0</v>
      </c>
    </row>
    <row r="86" spans="1:16">
      <c r="A86" s="34"/>
      <c r="B86" s="421">
        <v>34</v>
      </c>
      <c r="C86" s="406" t="s">
        <v>179</v>
      </c>
      <c r="D86" s="249" t="s">
        <v>34</v>
      </c>
      <c r="E86" s="409"/>
      <c r="F86" s="294"/>
      <c r="G86" s="294"/>
      <c r="H86" s="414"/>
      <c r="I86" s="414"/>
      <c r="J86" s="414"/>
      <c r="K86" s="414"/>
      <c r="L86" s="414"/>
      <c r="M86" s="414"/>
      <c r="N86" s="414"/>
      <c r="O86" s="414"/>
      <c r="P86" s="422">
        <f t="shared" si="1"/>
        <v>0</v>
      </c>
    </row>
    <row r="87" spans="1:16">
      <c r="A87" s="34"/>
      <c r="B87" s="421">
        <v>35</v>
      </c>
      <c r="C87" s="406" t="s">
        <v>180</v>
      </c>
      <c r="D87" s="249" t="s">
        <v>34</v>
      </c>
      <c r="E87" s="409"/>
      <c r="F87" s="294"/>
      <c r="G87" s="294"/>
      <c r="H87" s="414"/>
      <c r="I87" s="414"/>
      <c r="J87" s="414"/>
      <c r="K87" s="414"/>
      <c r="L87" s="414"/>
      <c r="M87" s="414"/>
      <c r="N87" s="414"/>
      <c r="O87" s="414"/>
      <c r="P87" s="422">
        <f t="shared" si="1"/>
        <v>0</v>
      </c>
    </row>
    <row r="88" spans="1:16">
      <c r="A88" s="34"/>
      <c r="B88" s="423" t="s">
        <v>260</v>
      </c>
      <c r="C88" s="406"/>
      <c r="D88" s="249" t="s">
        <v>250</v>
      </c>
      <c r="E88" s="409"/>
      <c r="F88" s="294"/>
      <c r="G88" s="294"/>
      <c r="H88" s="414"/>
      <c r="I88" s="414"/>
      <c r="J88" s="414"/>
      <c r="K88" s="414"/>
      <c r="L88" s="414"/>
      <c r="M88" s="414"/>
      <c r="N88" s="414"/>
      <c r="O88" s="414"/>
      <c r="P88" s="422"/>
    </row>
    <row r="89" spans="1:16">
      <c r="A89" s="34"/>
      <c r="B89" s="421"/>
      <c r="C89" s="700"/>
      <c r="D89" s="700"/>
      <c r="E89" s="264"/>
      <c r="F89" s="294"/>
      <c r="G89" s="294"/>
      <c r="H89" s="414"/>
      <c r="I89" s="414"/>
      <c r="J89" s="414"/>
      <c r="K89" s="414"/>
      <c r="L89" s="414"/>
      <c r="M89" s="414"/>
      <c r="N89" s="414"/>
      <c r="O89" s="414"/>
      <c r="P89" s="422"/>
    </row>
    <row r="90" spans="1:16">
      <c r="A90" s="34"/>
      <c r="B90" s="421"/>
      <c r="C90" s="700"/>
      <c r="D90" s="700"/>
      <c r="E90" s="264"/>
      <c r="F90" s="294"/>
      <c r="G90" s="294"/>
      <c r="H90" s="414"/>
      <c r="I90" s="414"/>
      <c r="J90" s="414"/>
      <c r="K90" s="414"/>
      <c r="L90" s="414"/>
      <c r="M90" s="414"/>
      <c r="N90" s="414"/>
      <c r="O90" s="414"/>
      <c r="P90" s="422"/>
    </row>
    <row r="91" spans="1:16">
      <c r="A91" s="34"/>
      <c r="B91" s="421"/>
      <c r="C91" s="700"/>
      <c r="D91" s="700"/>
      <c r="E91" s="264"/>
      <c r="F91" s="294"/>
      <c r="G91" s="294"/>
      <c r="H91" s="414"/>
      <c r="I91" s="414"/>
      <c r="J91" s="414"/>
      <c r="K91" s="414"/>
      <c r="L91" s="414"/>
      <c r="M91" s="414"/>
      <c r="N91" s="414"/>
      <c r="O91" s="414"/>
      <c r="P91" s="422">
        <f t="shared" si="1"/>
        <v>0</v>
      </c>
    </row>
    <row r="92" spans="1:16" ht="24" customHeight="1">
      <c r="A92" s="50"/>
      <c r="B92" s="736" t="s">
        <v>181</v>
      </c>
      <c r="C92" s="737"/>
      <c r="D92" s="737"/>
      <c r="E92" s="737"/>
      <c r="F92" s="737"/>
      <c r="G92" s="737"/>
      <c r="H92" s="737"/>
      <c r="I92" s="737"/>
      <c r="J92" s="737"/>
      <c r="K92" s="737"/>
      <c r="L92" s="737"/>
      <c r="M92" s="737"/>
      <c r="N92" s="737"/>
      <c r="O92" s="737"/>
      <c r="P92" s="738"/>
    </row>
    <row r="93" spans="1:16" ht="42.75">
      <c r="A93" s="34"/>
      <c r="B93" s="421">
        <v>36</v>
      </c>
      <c r="C93" s="406" t="s">
        <v>182</v>
      </c>
      <c r="D93" s="249" t="s">
        <v>34</v>
      </c>
      <c r="E93" s="409"/>
      <c r="F93" s="294"/>
      <c r="G93" s="294"/>
      <c r="H93" s="414"/>
      <c r="I93" s="414"/>
      <c r="J93" s="414"/>
      <c r="K93" s="414"/>
      <c r="L93" s="414"/>
      <c r="M93" s="414"/>
      <c r="N93" s="414"/>
      <c r="O93" s="414"/>
      <c r="P93" s="422">
        <f t="shared" si="1"/>
        <v>0</v>
      </c>
    </row>
    <row r="94" spans="1:16" ht="28.5">
      <c r="A94" s="34"/>
      <c r="B94" s="421">
        <v>37</v>
      </c>
      <c r="C94" s="406" t="s">
        <v>183</v>
      </c>
      <c r="D94" s="249" t="s">
        <v>34</v>
      </c>
      <c r="E94" s="409"/>
      <c r="F94" s="294"/>
      <c r="G94" s="294"/>
      <c r="H94" s="414"/>
      <c r="I94" s="414"/>
      <c r="J94" s="414"/>
      <c r="K94" s="414"/>
      <c r="L94" s="414"/>
      <c r="M94" s="414"/>
      <c r="N94" s="414"/>
      <c r="O94" s="414"/>
      <c r="P94" s="422">
        <f t="shared" si="1"/>
        <v>0</v>
      </c>
    </row>
    <row r="95" spans="1:16">
      <c r="A95" s="34"/>
      <c r="B95" s="421">
        <v>38</v>
      </c>
      <c r="C95" s="406" t="s">
        <v>184</v>
      </c>
      <c r="D95" s="249" t="s">
        <v>34</v>
      </c>
      <c r="E95" s="409"/>
      <c r="F95" s="294"/>
      <c r="G95" s="294"/>
      <c r="H95" s="414"/>
      <c r="I95" s="414"/>
      <c r="J95" s="414"/>
      <c r="K95" s="414"/>
      <c r="L95" s="414"/>
      <c r="M95" s="414"/>
      <c r="N95" s="414"/>
      <c r="O95" s="414"/>
      <c r="P95" s="422">
        <f t="shared" si="1"/>
        <v>0</v>
      </c>
    </row>
    <row r="96" spans="1:16" ht="28.5">
      <c r="A96" s="34"/>
      <c r="B96" s="421">
        <v>39</v>
      </c>
      <c r="C96" s="406" t="s">
        <v>185</v>
      </c>
      <c r="D96" s="249" t="s">
        <v>34</v>
      </c>
      <c r="E96" s="409"/>
      <c r="F96" s="294"/>
      <c r="G96" s="294"/>
      <c r="H96" s="414"/>
      <c r="I96" s="414"/>
      <c r="J96" s="414"/>
      <c r="K96" s="414"/>
      <c r="L96" s="414"/>
      <c r="M96" s="414"/>
      <c r="N96" s="414"/>
      <c r="O96" s="414"/>
      <c r="P96" s="422">
        <f t="shared" si="1"/>
        <v>0</v>
      </c>
    </row>
    <row r="97" spans="1:16" ht="28.5">
      <c r="A97" s="34"/>
      <c r="B97" s="421">
        <v>40</v>
      </c>
      <c r="C97" s="406" t="s">
        <v>186</v>
      </c>
      <c r="D97" s="249" t="s">
        <v>34</v>
      </c>
      <c r="E97" s="409"/>
      <c r="F97" s="294"/>
      <c r="G97" s="294"/>
      <c r="H97" s="414"/>
      <c r="I97" s="414"/>
      <c r="J97" s="414"/>
      <c r="K97" s="414"/>
      <c r="L97" s="414"/>
      <c r="M97" s="414"/>
      <c r="N97" s="414"/>
      <c r="O97" s="414"/>
      <c r="P97" s="422">
        <f t="shared" si="1"/>
        <v>0</v>
      </c>
    </row>
    <row r="98" spans="1:16" ht="28.5">
      <c r="A98" s="34"/>
      <c r="B98" s="421">
        <v>41</v>
      </c>
      <c r="C98" s="406" t="s">
        <v>187</v>
      </c>
      <c r="D98" s="249" t="s">
        <v>34</v>
      </c>
      <c r="E98" s="409"/>
      <c r="F98" s="294"/>
      <c r="G98" s="294"/>
      <c r="H98" s="414"/>
      <c r="I98" s="414"/>
      <c r="J98" s="414"/>
      <c r="K98" s="414"/>
      <c r="L98" s="414"/>
      <c r="M98" s="414"/>
      <c r="N98" s="414"/>
      <c r="O98" s="414"/>
      <c r="P98" s="422">
        <f t="shared" si="1"/>
        <v>0</v>
      </c>
    </row>
    <row r="99" spans="1:16" ht="28.5">
      <c r="A99" s="34"/>
      <c r="B99" s="421">
        <v>42</v>
      </c>
      <c r="C99" s="406" t="s">
        <v>188</v>
      </c>
      <c r="D99" s="249" t="s">
        <v>34</v>
      </c>
      <c r="E99" s="409"/>
      <c r="F99" s="294"/>
      <c r="G99" s="294"/>
      <c r="H99" s="414"/>
      <c r="I99" s="414"/>
      <c r="J99" s="414"/>
      <c r="K99" s="414"/>
      <c r="L99" s="414"/>
      <c r="M99" s="414"/>
      <c r="N99" s="414"/>
      <c r="O99" s="414"/>
      <c r="P99" s="422">
        <f t="shared" si="1"/>
        <v>0</v>
      </c>
    </row>
    <row r="100" spans="1:16">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34"/>
      <c r="B106" s="421">
        <v>49</v>
      </c>
      <c r="C106" s="406" t="s">
        <v>195</v>
      </c>
      <c r="D106" s="249" t="s">
        <v>34</v>
      </c>
      <c r="E106" s="409"/>
      <c r="F106" s="294"/>
      <c r="G106" s="294"/>
      <c r="H106" s="414"/>
      <c r="I106" s="414"/>
      <c r="J106" s="414"/>
      <c r="K106" s="414"/>
      <c r="L106" s="414"/>
      <c r="M106" s="414"/>
      <c r="N106" s="414"/>
      <c r="O106" s="414"/>
      <c r="P106" s="422">
        <f t="shared" si="1"/>
        <v>0</v>
      </c>
    </row>
    <row r="107" spans="1:16">
      <c r="A107" s="34"/>
      <c r="B107" s="423" t="s">
        <v>260</v>
      </c>
      <c r="C107" s="406"/>
      <c r="D107" s="249" t="s">
        <v>250</v>
      </c>
      <c r="E107" s="409"/>
      <c r="F107" s="294"/>
      <c r="G107" s="294"/>
      <c r="H107" s="414"/>
      <c r="I107" s="414"/>
      <c r="J107" s="414"/>
      <c r="K107" s="414"/>
      <c r="L107" s="414"/>
      <c r="M107" s="414"/>
      <c r="N107" s="414"/>
      <c r="O107" s="414"/>
      <c r="P107" s="422"/>
    </row>
    <row r="108" spans="1:16">
      <c r="A108" s="34"/>
      <c r="B108" s="421"/>
      <c r="C108" s="700"/>
      <c r="D108" s="700"/>
      <c r="E108" s="264"/>
      <c r="F108" s="294"/>
      <c r="G108" s="294"/>
      <c r="H108" s="414"/>
      <c r="I108" s="414"/>
      <c r="J108" s="414"/>
      <c r="K108" s="414"/>
      <c r="L108" s="414"/>
      <c r="M108" s="414"/>
      <c r="N108" s="414"/>
      <c r="O108" s="414"/>
      <c r="P108" s="422"/>
    </row>
    <row r="109" spans="1:16">
      <c r="A109" s="34"/>
      <c r="B109" s="421"/>
      <c r="C109" s="700"/>
      <c r="D109" s="700"/>
      <c r="E109" s="264"/>
      <c r="F109" s="294"/>
      <c r="G109" s="294"/>
      <c r="H109" s="414"/>
      <c r="I109" s="414"/>
      <c r="J109" s="414"/>
      <c r="K109" s="414"/>
      <c r="L109" s="414"/>
      <c r="M109" s="414"/>
      <c r="N109" s="414"/>
      <c r="O109" s="414"/>
      <c r="P109" s="422"/>
    </row>
    <row r="110" spans="1:16">
      <c r="A110" s="34"/>
      <c r="B110" s="421"/>
      <c r="C110" s="700"/>
      <c r="D110" s="700"/>
      <c r="E110" s="264"/>
      <c r="F110" s="294"/>
      <c r="G110" s="294"/>
      <c r="H110" s="414"/>
      <c r="I110" s="414"/>
      <c r="J110" s="414"/>
      <c r="K110" s="414"/>
      <c r="L110" s="414"/>
      <c r="M110" s="414"/>
      <c r="N110" s="414"/>
      <c r="O110" s="414"/>
      <c r="P110" s="422"/>
    </row>
    <row r="111" spans="1:16">
      <c r="B111" s="350"/>
      <c r="C111" s="701" t="s">
        <v>218</v>
      </c>
      <c r="D111" s="70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700" t="s">
        <v>257</v>
      </c>
      <c r="D112" s="700"/>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c r="B113" s="271"/>
      <c r="C113" s="700" t="s">
        <v>258</v>
      </c>
      <c r="D113" s="700"/>
      <c r="E113" s="265"/>
      <c r="F113" s="263"/>
      <c r="G113" s="263"/>
      <c r="H113" s="265"/>
      <c r="I113" s="265"/>
      <c r="J113" s="266">
        <f>J112-(E32*G32*J32)</f>
        <v>300</v>
      </c>
      <c r="K113" s="265">
        <f>K112-(E32*G32*K32)</f>
        <v>180</v>
      </c>
      <c r="L113" s="265"/>
      <c r="M113" s="265"/>
      <c r="N113" s="265"/>
      <c r="O113" s="265"/>
      <c r="P113" s="272"/>
    </row>
    <row r="114" spans="2:16">
      <c r="B114" s="273"/>
      <c r="C114" s="707"/>
      <c r="D114" s="707"/>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98" t="s">
        <v>322</v>
      </c>
      <c r="D116" s="698"/>
      <c r="E116" s="249"/>
      <c r="F116" s="260"/>
      <c r="G116" s="249"/>
      <c r="H116" s="261">
        <f>'3.  Distribution Rates'!$J36</f>
        <v>1.38E-2</v>
      </c>
      <c r="I116" s="261">
        <f>'3.  Distribution Rates'!J37</f>
        <v>1.66E-2</v>
      </c>
      <c r="J116" s="261">
        <f>'3.  Distribution Rates'!J38</f>
        <v>3.2595999999999998</v>
      </c>
      <c r="K116" s="261">
        <f>'3.  Distribution Rates'!J39</f>
        <v>2.6596000000000002</v>
      </c>
      <c r="L116" s="261">
        <f>'3.  Distribution Rates'!J40</f>
        <v>2.0651999999999999</v>
      </c>
      <c r="M116" s="261">
        <f>'3.  Distribution Rates'!J41</f>
        <v>1.4652000000000001</v>
      </c>
      <c r="N116" s="261">
        <f>'3.  Distribution Rates'!J42</f>
        <v>2.9083999999999999</v>
      </c>
      <c r="O116" s="261"/>
      <c r="P116" s="378"/>
    </row>
    <row r="117" spans="2:16">
      <c r="B117" s="377"/>
      <c r="C117" s="698" t="s">
        <v>239</v>
      </c>
      <c r="D117" s="698"/>
      <c r="E117" s="258"/>
      <c r="F117" s="260"/>
      <c r="G117" s="260"/>
      <c r="H117" s="294"/>
      <c r="I117" s="294"/>
      <c r="J117" s="294"/>
      <c r="K117" s="294"/>
      <c r="L117" s="294"/>
      <c r="M117" s="294"/>
      <c r="N117" s="294"/>
      <c r="O117" s="249"/>
      <c r="P117" s="275">
        <f>SUM(H117:O117)</f>
        <v>0</v>
      </c>
    </row>
    <row r="118" spans="2:16">
      <c r="B118" s="377"/>
      <c r="C118" s="698" t="s">
        <v>240</v>
      </c>
      <c r="D118" s="698"/>
      <c r="E118" s="258"/>
      <c r="F118" s="260"/>
      <c r="G118" s="260"/>
      <c r="H118" s="294"/>
      <c r="I118" s="294"/>
      <c r="J118" s="294"/>
      <c r="K118" s="294"/>
      <c r="L118" s="294"/>
      <c r="M118" s="294"/>
      <c r="N118" s="294"/>
      <c r="O118" s="249"/>
      <c r="P118" s="275">
        <f>SUM(H118:O118)</f>
        <v>0</v>
      </c>
    </row>
    <row r="119" spans="2:16">
      <c r="B119" s="377"/>
      <c r="C119" s="698" t="s">
        <v>241</v>
      </c>
      <c r="D119" s="698"/>
      <c r="E119" s="258"/>
      <c r="F119" s="260"/>
      <c r="G119" s="260"/>
      <c r="H119" s="294"/>
      <c r="I119" s="294"/>
      <c r="J119" s="294"/>
      <c r="K119" s="294"/>
      <c r="L119" s="294"/>
      <c r="M119" s="294"/>
      <c r="N119" s="294"/>
      <c r="O119" s="249"/>
      <c r="P119" s="275">
        <f>SUM(H119:O119)</f>
        <v>0</v>
      </c>
    </row>
    <row r="120" spans="2:16">
      <c r="B120" s="377"/>
      <c r="C120" s="698" t="s">
        <v>242</v>
      </c>
      <c r="D120" s="698"/>
      <c r="E120" s="258"/>
      <c r="F120" s="260"/>
      <c r="G120" s="260"/>
      <c r="H120" s="294"/>
      <c r="I120" s="294"/>
      <c r="J120" s="294"/>
      <c r="K120" s="294"/>
      <c r="L120" s="294"/>
      <c r="M120" s="294"/>
      <c r="N120" s="294"/>
      <c r="O120" s="249"/>
      <c r="P120" s="275">
        <f>SUM(H120:O120)</f>
        <v>0</v>
      </c>
    </row>
    <row r="121" spans="2:16">
      <c r="B121" s="377"/>
      <c r="C121" s="698" t="s">
        <v>243</v>
      </c>
      <c r="D121" s="698"/>
      <c r="E121" s="258"/>
      <c r="F121" s="260"/>
      <c r="G121" s="260"/>
      <c r="H121" s="374" t="e">
        <f>'5.  2015 LRAM'!H125*H116</f>
        <v>#DIV/0!</v>
      </c>
      <c r="I121" s="374" t="e">
        <f>'5.  2015 LRAM'!I125*I116</f>
        <v>#DIV/0!</v>
      </c>
      <c r="J121" s="374" t="e">
        <f>'5.  2015 LRAM'!J125*J116</f>
        <v>#DIV/0!</v>
      </c>
      <c r="K121" s="374" t="e">
        <f>'5.  2015 LRAM'!K125*K116</f>
        <v>#DIV/0!</v>
      </c>
      <c r="L121" s="374" t="e">
        <f>'5.  2015 LRAM'!L125*L116</f>
        <v>#DIV/0!</v>
      </c>
      <c r="M121" s="374" t="e">
        <f>'5.  2015 LRAM'!M125*M116</f>
        <v>#DIV/0!</v>
      </c>
      <c r="N121" s="374" t="e">
        <f>'5.  2015 LRAM'!N125*N116</f>
        <v>#DIV/0!</v>
      </c>
      <c r="O121" s="249"/>
      <c r="P121" s="275" t="e">
        <f t="shared" ref="P121:P122" si="2">SUM(H121:O121)</f>
        <v>#DIV/0!</v>
      </c>
    </row>
    <row r="122" spans="2:16">
      <c r="B122" s="377"/>
      <c r="C122" s="698" t="s">
        <v>249</v>
      </c>
      <c r="D122" s="698"/>
      <c r="E122" s="258"/>
      <c r="F122" s="260"/>
      <c r="G122" s="260"/>
      <c r="H122" s="374">
        <f>H111*H116</f>
        <v>0</v>
      </c>
      <c r="I122" s="374">
        <f>I111*I116</f>
        <v>0</v>
      </c>
      <c r="J122" s="374">
        <f>J112*J116</f>
        <v>977.88</v>
      </c>
      <c r="K122" s="374">
        <f>K112*K116</f>
        <v>478.72800000000001</v>
      </c>
      <c r="L122" s="374">
        <f>L112*L116</f>
        <v>0</v>
      </c>
      <c r="M122" s="374">
        <f>M112*M116</f>
        <v>0</v>
      </c>
      <c r="N122" s="374">
        <f>N111*N116</f>
        <v>0</v>
      </c>
      <c r="O122" s="249"/>
      <c r="P122" s="275">
        <f t="shared" si="2"/>
        <v>1456.6079999999999</v>
      </c>
    </row>
    <row r="123" spans="2:16">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c r="B124" s="273"/>
      <c r="C124" s="375"/>
      <c r="D124" s="258"/>
      <c r="E124" s="258"/>
      <c r="F124" s="256"/>
      <c r="G124" s="256"/>
      <c r="H124" s="262"/>
      <c r="I124" s="262"/>
      <c r="J124" s="262"/>
      <c r="K124" s="262"/>
      <c r="L124" s="262"/>
      <c r="M124" s="262"/>
      <c r="N124" s="262"/>
      <c r="O124" s="258"/>
      <c r="P124" s="276"/>
    </row>
    <row r="125" spans="2:16">
      <c r="B125" s="415"/>
      <c r="C125" s="698" t="s">
        <v>245</v>
      </c>
      <c r="D125" s="698"/>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c r="B126" s="415"/>
      <c r="C126" s="698" t="s">
        <v>246</v>
      </c>
      <c r="D126" s="698"/>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c r="B127" s="415"/>
      <c r="C127" s="698" t="s">
        <v>247</v>
      </c>
      <c r="D127" s="698"/>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c r="B128" s="416"/>
      <c r="C128" s="699" t="s">
        <v>248</v>
      </c>
      <c r="D128" s="699"/>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c r="B129" s="67"/>
      <c r="C129" s="432"/>
      <c r="D129" s="433"/>
      <c r="E129" s="433"/>
      <c r="F129" s="67"/>
      <c r="G129" s="67"/>
      <c r="H129" s="67"/>
      <c r="I129" s="67"/>
      <c r="J129" s="67"/>
      <c r="K129" s="67"/>
      <c r="L129" s="67"/>
      <c r="M129" s="67"/>
      <c r="N129" s="67"/>
      <c r="O129" s="67"/>
      <c r="P129" s="67"/>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c r="B2" s="734" t="s">
        <v>263</v>
      </c>
      <c r="C2" s="734"/>
      <c r="D2" s="734"/>
      <c r="E2" s="734"/>
      <c r="F2" s="734"/>
      <c r="G2" s="734"/>
      <c r="H2" s="734"/>
      <c r="I2" s="734"/>
      <c r="J2" s="734"/>
      <c r="K2" s="734"/>
      <c r="L2" s="734"/>
      <c r="M2" s="734"/>
      <c r="N2" s="734"/>
      <c r="O2" s="734"/>
      <c r="P2" s="734"/>
    </row>
    <row r="3" spans="1:18" ht="18.75" outlineLevel="1">
      <c r="B3" s="383"/>
      <c r="C3" s="383"/>
      <c r="D3" s="383"/>
      <c r="E3" s="383"/>
      <c r="F3" s="383"/>
      <c r="G3" s="383"/>
      <c r="H3" s="383"/>
      <c r="I3" s="383"/>
      <c r="J3" s="383"/>
      <c r="K3" s="383"/>
      <c r="L3" s="383"/>
      <c r="M3" s="383"/>
      <c r="N3" s="383"/>
      <c r="O3" s="383"/>
      <c r="P3" s="383"/>
    </row>
    <row r="4" spans="1:18" ht="35.25" customHeight="1" outlineLevel="1">
      <c r="A4" s="64"/>
      <c r="B4" s="383"/>
      <c r="C4" s="365" t="s">
        <v>396</v>
      </c>
      <c r="D4" s="383"/>
      <c r="E4" s="668" t="s">
        <v>359</v>
      </c>
      <c r="F4" s="668"/>
      <c r="G4" s="668"/>
      <c r="H4" s="668"/>
      <c r="I4" s="668"/>
      <c r="J4" s="668"/>
      <c r="K4" s="668"/>
      <c r="L4" s="668"/>
      <c r="M4" s="668"/>
      <c r="N4" s="668"/>
      <c r="O4" s="668"/>
      <c r="P4" s="668"/>
    </row>
    <row r="5" spans="1:18" ht="18.75" customHeight="1" outlineLevel="1">
      <c r="B5" s="383"/>
      <c r="C5" s="384"/>
      <c r="D5" s="383"/>
      <c r="E5" s="368" t="s">
        <v>353</v>
      </c>
      <c r="F5" s="383"/>
      <c r="G5" s="383"/>
      <c r="H5" s="383"/>
      <c r="I5" s="383"/>
      <c r="J5" s="383"/>
      <c r="K5" s="383"/>
      <c r="L5" s="383"/>
      <c r="M5" s="383"/>
      <c r="N5" s="383"/>
      <c r="O5" s="383"/>
      <c r="P5" s="383"/>
    </row>
    <row r="6" spans="1:18" ht="18.75" customHeight="1" outlineLevel="1">
      <c r="B6" s="383"/>
      <c r="C6" s="384"/>
      <c r="D6" s="383"/>
      <c r="E6" s="368" t="s">
        <v>354</v>
      </c>
      <c r="F6" s="383"/>
      <c r="G6" s="383"/>
      <c r="H6" s="383"/>
      <c r="I6" s="383"/>
      <c r="J6" s="383"/>
      <c r="K6" s="383"/>
      <c r="L6" s="383"/>
      <c r="M6" s="383"/>
      <c r="N6" s="383"/>
      <c r="O6" s="383"/>
      <c r="P6" s="383"/>
    </row>
    <row r="7" spans="1:18" ht="18.75" customHeight="1" outlineLevel="1">
      <c r="B7" s="383"/>
      <c r="C7" s="384"/>
      <c r="D7" s="383"/>
      <c r="E7" s="368" t="s">
        <v>412</v>
      </c>
      <c r="F7" s="383"/>
      <c r="G7" s="383"/>
      <c r="H7" s="383"/>
      <c r="I7" s="383"/>
      <c r="J7" s="383"/>
      <c r="K7" s="383"/>
      <c r="L7" s="383"/>
      <c r="M7" s="383"/>
      <c r="N7" s="383"/>
      <c r="O7" s="383"/>
      <c r="P7" s="383"/>
    </row>
    <row r="8" spans="1:18" ht="18.75" customHeight="1" outlineLevel="1">
      <c r="B8" s="383"/>
      <c r="C8" s="384"/>
      <c r="D8" s="383"/>
      <c r="E8" s="368"/>
      <c r="F8" s="383"/>
      <c r="G8" s="383"/>
      <c r="H8" s="383"/>
      <c r="I8" s="383"/>
      <c r="J8" s="383"/>
      <c r="K8" s="383"/>
      <c r="L8" s="383"/>
      <c r="M8" s="383"/>
      <c r="N8" s="383"/>
      <c r="O8" s="383"/>
      <c r="P8" s="383"/>
    </row>
    <row r="9" spans="1:18" ht="18.75" customHeight="1" outlineLevel="1">
      <c r="B9" s="62"/>
      <c r="C9" s="83" t="s">
        <v>334</v>
      </c>
      <c r="D9" s="62"/>
      <c r="E9" s="735" t="s">
        <v>360</v>
      </c>
      <c r="F9" s="735"/>
      <c r="G9" s="62"/>
      <c r="H9" s="62"/>
      <c r="I9" s="62"/>
      <c r="J9" s="62"/>
      <c r="K9" s="62"/>
      <c r="L9" s="62"/>
      <c r="M9" s="62"/>
      <c r="N9" s="62"/>
      <c r="O9" s="62"/>
      <c r="P9" s="62"/>
      <c r="R9" s="81"/>
    </row>
    <row r="10" spans="1:18" ht="18.75" customHeight="1" outlineLevel="1">
      <c r="B10" s="62"/>
      <c r="C10" s="62"/>
      <c r="D10" s="62"/>
      <c r="E10" s="650" t="s">
        <v>335</v>
      </c>
      <c r="F10" s="650"/>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739" t="s">
        <v>59</v>
      </c>
      <c r="C13" s="741" t="s">
        <v>0</v>
      </c>
      <c r="D13" s="741" t="s">
        <v>45</v>
      </c>
      <c r="E13" s="741" t="s">
        <v>202</v>
      </c>
      <c r="F13" s="234" t="s">
        <v>199</v>
      </c>
      <c r="G13" s="234" t="s">
        <v>46</v>
      </c>
      <c r="H13" s="743" t="s">
        <v>60</v>
      </c>
      <c r="I13" s="743"/>
      <c r="J13" s="743"/>
      <c r="K13" s="743"/>
      <c r="L13" s="743"/>
      <c r="M13" s="743"/>
      <c r="N13" s="743"/>
      <c r="O13" s="743"/>
      <c r="P13" s="744"/>
    </row>
    <row r="14" spans="1:18" ht="60">
      <c r="B14" s="740"/>
      <c r="C14" s="742"/>
      <c r="D14" s="742"/>
      <c r="E14" s="74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726" t="s">
        <v>138</v>
      </c>
      <c r="C15" s="727"/>
      <c r="D15" s="727"/>
      <c r="E15" s="727"/>
      <c r="F15" s="727"/>
      <c r="G15" s="727"/>
      <c r="H15" s="727"/>
      <c r="I15" s="727"/>
      <c r="J15" s="727"/>
      <c r="K15" s="727"/>
      <c r="L15" s="727"/>
      <c r="M15" s="727"/>
      <c r="N15" s="727"/>
      <c r="O15" s="727"/>
      <c r="P15" s="728"/>
    </row>
    <row r="16" spans="1:18" ht="26.25" customHeight="1">
      <c r="A16" s="50"/>
      <c r="B16" s="720" t="s">
        <v>139</v>
      </c>
      <c r="C16" s="721"/>
      <c r="D16" s="721"/>
      <c r="E16" s="721"/>
      <c r="F16" s="721"/>
      <c r="G16" s="721"/>
      <c r="H16" s="721"/>
      <c r="I16" s="721"/>
      <c r="J16" s="721"/>
      <c r="K16" s="721"/>
      <c r="L16" s="721"/>
      <c r="M16" s="721"/>
      <c r="N16" s="721"/>
      <c r="O16" s="721"/>
      <c r="P16" s="722"/>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8.5">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264</v>
      </c>
      <c r="C23" s="406"/>
      <c r="D23" s="249" t="s">
        <v>250</v>
      </c>
      <c r="E23" s="409"/>
      <c r="F23" s="294"/>
      <c r="G23" s="294"/>
      <c r="H23" s="418"/>
      <c r="I23" s="408"/>
      <c r="J23" s="408"/>
      <c r="K23" s="408"/>
      <c r="L23" s="408"/>
      <c r="M23" s="408"/>
      <c r="N23" s="408"/>
      <c r="O23" s="408"/>
      <c r="P23" s="422">
        <f t="shared" si="0"/>
        <v>0</v>
      </c>
    </row>
    <row r="24" spans="1:16">
      <c r="A24" s="50"/>
      <c r="B24" s="421"/>
      <c r="C24" s="700"/>
      <c r="D24" s="700"/>
      <c r="E24" s="264"/>
      <c r="F24" s="294"/>
      <c r="G24" s="294"/>
      <c r="H24" s="418"/>
      <c r="I24" s="408"/>
      <c r="J24" s="408"/>
      <c r="K24" s="408"/>
      <c r="L24" s="408"/>
      <c r="M24" s="408"/>
      <c r="N24" s="408"/>
      <c r="O24" s="408"/>
      <c r="P24" s="422">
        <f t="shared" si="0"/>
        <v>0</v>
      </c>
    </row>
    <row r="25" spans="1:16">
      <c r="A25" s="50"/>
      <c r="B25" s="421"/>
      <c r="C25" s="700"/>
      <c r="D25" s="700"/>
      <c r="E25" s="264"/>
      <c r="F25" s="294"/>
      <c r="G25" s="294"/>
      <c r="H25" s="418"/>
      <c r="I25" s="408"/>
      <c r="J25" s="408"/>
      <c r="K25" s="408"/>
      <c r="L25" s="408"/>
      <c r="M25" s="408"/>
      <c r="N25" s="408"/>
      <c r="O25" s="408"/>
      <c r="P25" s="422">
        <f t="shared" si="0"/>
        <v>0</v>
      </c>
    </row>
    <row r="26" spans="1:16">
      <c r="A26" s="50"/>
      <c r="B26" s="421"/>
      <c r="C26" s="700"/>
      <c r="D26" s="700"/>
      <c r="E26" s="264"/>
      <c r="F26" s="294"/>
      <c r="G26" s="294"/>
      <c r="H26" s="418"/>
      <c r="I26" s="408"/>
      <c r="J26" s="408"/>
      <c r="K26" s="408"/>
      <c r="L26" s="408"/>
      <c r="M26" s="408"/>
      <c r="N26" s="408"/>
      <c r="O26" s="408"/>
      <c r="P26" s="422">
        <f t="shared" si="0"/>
        <v>0</v>
      </c>
    </row>
    <row r="27" spans="1:16" ht="25.5" customHeight="1">
      <c r="A27" s="50"/>
      <c r="B27" s="720" t="s">
        <v>146</v>
      </c>
      <c r="C27" s="721"/>
      <c r="D27" s="721"/>
      <c r="E27" s="721"/>
      <c r="F27" s="721"/>
      <c r="G27" s="721"/>
      <c r="H27" s="721"/>
      <c r="I27" s="721"/>
      <c r="J27" s="721"/>
      <c r="K27" s="721"/>
      <c r="L27" s="721"/>
      <c r="M27" s="721"/>
      <c r="N27" s="721"/>
      <c r="O27" s="721"/>
      <c r="P27" s="722"/>
    </row>
    <row r="28" spans="1:16">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8.5">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50"/>
      <c r="B31" s="421">
        <v>10</v>
      </c>
      <c r="C31" s="406" t="s">
        <v>150</v>
      </c>
      <c r="D31" s="249" t="s">
        <v>34</v>
      </c>
      <c r="E31" s="409">
        <v>12</v>
      </c>
      <c r="F31" s="294"/>
      <c r="G31" s="294"/>
      <c r="H31" s="408"/>
      <c r="I31" s="418">
        <v>1</v>
      </c>
      <c r="J31" s="408"/>
      <c r="K31" s="408"/>
      <c r="L31" s="408"/>
      <c r="M31" s="408"/>
      <c r="N31" s="408"/>
      <c r="O31" s="408"/>
      <c r="P31" s="422">
        <f t="shared" si="0"/>
        <v>1</v>
      </c>
    </row>
    <row r="32" spans="1:16" ht="28.5">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264</v>
      </c>
      <c r="C33" s="406"/>
      <c r="D33" s="249" t="s">
        <v>250</v>
      </c>
      <c r="E33" s="409"/>
      <c r="F33" s="294"/>
      <c r="G33" s="294"/>
      <c r="H33" s="408"/>
      <c r="I33" s="408"/>
      <c r="J33" s="408"/>
      <c r="K33" s="408"/>
      <c r="L33" s="408"/>
      <c r="M33" s="408"/>
      <c r="N33" s="408"/>
      <c r="O33" s="408"/>
      <c r="P33" s="422">
        <f t="shared" si="0"/>
        <v>0</v>
      </c>
    </row>
    <row r="34" spans="1:16">
      <c r="A34" s="50"/>
      <c r="B34" s="421"/>
      <c r="C34" s="700"/>
      <c r="D34" s="700"/>
      <c r="E34" s="264"/>
      <c r="F34" s="294"/>
      <c r="G34" s="294"/>
      <c r="H34" s="408"/>
      <c r="I34" s="408"/>
      <c r="J34" s="408"/>
      <c r="K34" s="408"/>
      <c r="L34" s="408"/>
      <c r="M34" s="408"/>
      <c r="N34" s="408"/>
      <c r="O34" s="408"/>
      <c r="P34" s="422">
        <f t="shared" si="0"/>
        <v>0</v>
      </c>
    </row>
    <row r="35" spans="1:16">
      <c r="A35" s="50"/>
      <c r="B35" s="421"/>
      <c r="C35" s="700"/>
      <c r="D35" s="700"/>
      <c r="E35" s="264"/>
      <c r="F35" s="294"/>
      <c r="G35" s="294"/>
      <c r="H35" s="408"/>
      <c r="I35" s="408"/>
      <c r="J35" s="408"/>
      <c r="K35" s="408"/>
      <c r="L35" s="408"/>
      <c r="M35" s="408"/>
      <c r="N35" s="408"/>
      <c r="O35" s="408"/>
      <c r="P35" s="422">
        <f t="shared" si="0"/>
        <v>0</v>
      </c>
    </row>
    <row r="36" spans="1:16">
      <c r="A36" s="50"/>
      <c r="B36" s="421"/>
      <c r="C36" s="700"/>
      <c r="D36" s="700"/>
      <c r="E36" s="264"/>
      <c r="F36" s="294"/>
      <c r="G36" s="294"/>
      <c r="H36" s="408"/>
      <c r="I36" s="408"/>
      <c r="J36" s="408"/>
      <c r="K36" s="408"/>
      <c r="L36" s="408"/>
      <c r="M36" s="408"/>
      <c r="N36" s="408"/>
      <c r="O36" s="408"/>
      <c r="P36" s="422">
        <f t="shared" si="0"/>
        <v>0</v>
      </c>
    </row>
    <row r="37" spans="1:16" ht="26.25" customHeight="1">
      <c r="A37" s="50"/>
      <c r="B37" s="720" t="s">
        <v>11</v>
      </c>
      <c r="C37" s="721"/>
      <c r="D37" s="721"/>
      <c r="E37" s="721"/>
      <c r="F37" s="721"/>
      <c r="G37" s="721"/>
      <c r="H37" s="721"/>
      <c r="I37" s="721"/>
      <c r="J37" s="721"/>
      <c r="K37" s="721"/>
      <c r="L37" s="721"/>
      <c r="M37" s="721"/>
      <c r="N37" s="721"/>
      <c r="O37" s="721"/>
      <c r="P37" s="722"/>
    </row>
    <row r="38" spans="1:16">
      <c r="A38" s="50"/>
      <c r="B38" s="423" t="s">
        <v>11</v>
      </c>
      <c r="C38" s="406"/>
      <c r="D38" s="409"/>
      <c r="E38" s="409"/>
      <c r="F38" s="294"/>
      <c r="G38" s="294"/>
      <c r="H38" s="413"/>
      <c r="I38" s="413"/>
      <c r="J38" s="413"/>
      <c r="K38" s="413"/>
      <c r="L38" s="413"/>
      <c r="M38" s="413"/>
      <c r="N38" s="413"/>
      <c r="O38" s="413"/>
      <c r="P38" s="422">
        <f t="shared" si="0"/>
        <v>0</v>
      </c>
    </row>
    <row r="39" spans="1:16" ht="28.5">
      <c r="A39" s="50"/>
      <c r="B39" s="421">
        <v>12</v>
      </c>
      <c r="C39" s="406" t="s">
        <v>152</v>
      </c>
      <c r="D39" s="249" t="s">
        <v>34</v>
      </c>
      <c r="E39" s="409">
        <v>12</v>
      </c>
      <c r="F39" s="294"/>
      <c r="G39" s="294"/>
      <c r="H39" s="408"/>
      <c r="I39" s="408"/>
      <c r="J39" s="418">
        <v>1</v>
      </c>
      <c r="K39" s="408"/>
      <c r="L39" s="408"/>
      <c r="M39" s="408"/>
      <c r="N39" s="408"/>
      <c r="O39" s="408"/>
      <c r="P39" s="422">
        <f t="shared" si="0"/>
        <v>1</v>
      </c>
    </row>
    <row r="40" spans="1:16" ht="28.5">
      <c r="A40" s="50"/>
      <c r="B40" s="421">
        <v>13</v>
      </c>
      <c r="C40" s="406" t="s">
        <v>153</v>
      </c>
      <c r="D40" s="249" t="s">
        <v>34</v>
      </c>
      <c r="E40" s="409">
        <v>12</v>
      </c>
      <c r="F40" s="294"/>
      <c r="G40" s="294"/>
      <c r="H40" s="408"/>
      <c r="I40" s="408"/>
      <c r="J40" s="418">
        <v>1</v>
      </c>
      <c r="K40" s="408"/>
      <c r="L40" s="408"/>
      <c r="M40" s="408"/>
      <c r="N40" s="408"/>
      <c r="O40" s="408"/>
      <c r="P40" s="422">
        <f t="shared" si="0"/>
        <v>1</v>
      </c>
    </row>
    <row r="41" spans="1:16" ht="28.5">
      <c r="A41" s="50"/>
      <c r="B41" s="421">
        <v>14</v>
      </c>
      <c r="C41" s="406" t="s">
        <v>154</v>
      </c>
      <c r="D41" s="249" t="s">
        <v>34</v>
      </c>
      <c r="E41" s="409">
        <v>12</v>
      </c>
      <c r="F41" s="294"/>
      <c r="G41" s="294"/>
      <c r="H41" s="408"/>
      <c r="I41" s="408"/>
      <c r="J41" s="418">
        <v>1</v>
      </c>
      <c r="K41" s="408"/>
      <c r="L41" s="408"/>
      <c r="M41" s="408"/>
      <c r="N41" s="408"/>
      <c r="O41" s="408"/>
      <c r="P41" s="422">
        <f t="shared" si="0"/>
        <v>1</v>
      </c>
    </row>
    <row r="42" spans="1:16">
      <c r="A42" s="50"/>
      <c r="B42" s="423" t="s">
        <v>264</v>
      </c>
      <c r="C42" s="406"/>
      <c r="D42" s="249" t="s">
        <v>250</v>
      </c>
      <c r="E42" s="409"/>
      <c r="F42" s="294"/>
      <c r="G42" s="294"/>
      <c r="H42" s="408"/>
      <c r="I42" s="408"/>
      <c r="J42" s="408"/>
      <c r="K42" s="408"/>
      <c r="L42" s="408"/>
      <c r="M42" s="408"/>
      <c r="N42" s="408"/>
      <c r="O42" s="408"/>
      <c r="P42" s="422">
        <f t="shared" si="0"/>
        <v>0</v>
      </c>
    </row>
    <row r="43" spans="1:16">
      <c r="A43" s="50"/>
      <c r="B43" s="421"/>
      <c r="C43" s="700"/>
      <c r="D43" s="700"/>
      <c r="E43" s="264"/>
      <c r="F43" s="294"/>
      <c r="G43" s="294"/>
      <c r="H43" s="408"/>
      <c r="I43" s="408"/>
      <c r="J43" s="408"/>
      <c r="K43" s="408"/>
      <c r="L43" s="408"/>
      <c r="M43" s="408"/>
      <c r="N43" s="408"/>
      <c r="O43" s="408"/>
      <c r="P43" s="422">
        <f t="shared" si="0"/>
        <v>0</v>
      </c>
    </row>
    <row r="44" spans="1:16">
      <c r="A44" s="50"/>
      <c r="B44" s="421"/>
      <c r="C44" s="700"/>
      <c r="D44" s="700"/>
      <c r="E44" s="264"/>
      <c r="F44" s="294"/>
      <c r="G44" s="294"/>
      <c r="H44" s="408"/>
      <c r="I44" s="408"/>
      <c r="J44" s="408"/>
      <c r="K44" s="408"/>
      <c r="L44" s="408"/>
      <c r="M44" s="408"/>
      <c r="N44" s="408"/>
      <c r="O44" s="408"/>
      <c r="P44" s="422">
        <f t="shared" si="0"/>
        <v>0</v>
      </c>
    </row>
    <row r="45" spans="1:16">
      <c r="A45" s="50"/>
      <c r="B45" s="421"/>
      <c r="C45" s="700"/>
      <c r="D45" s="700"/>
      <c r="E45" s="264"/>
      <c r="F45" s="294"/>
      <c r="G45" s="294"/>
      <c r="H45" s="408"/>
      <c r="I45" s="408"/>
      <c r="J45" s="408"/>
      <c r="K45" s="408"/>
      <c r="L45" s="408"/>
      <c r="M45" s="408"/>
      <c r="N45" s="408"/>
      <c r="O45" s="408"/>
      <c r="P45" s="422">
        <f t="shared" si="0"/>
        <v>0</v>
      </c>
    </row>
    <row r="46" spans="1:16" ht="24" customHeight="1">
      <c r="A46" s="50"/>
      <c r="B46" s="720" t="s">
        <v>155</v>
      </c>
      <c r="C46" s="721"/>
      <c r="D46" s="721"/>
      <c r="E46" s="721"/>
      <c r="F46" s="721"/>
      <c r="G46" s="721"/>
      <c r="H46" s="721"/>
      <c r="I46" s="721"/>
      <c r="J46" s="721"/>
      <c r="K46" s="721"/>
      <c r="L46" s="721"/>
      <c r="M46" s="721"/>
      <c r="N46" s="721"/>
      <c r="O46" s="721"/>
      <c r="P46" s="722"/>
    </row>
    <row r="47" spans="1:16">
      <c r="A47" s="50"/>
      <c r="B47" s="421">
        <v>15</v>
      </c>
      <c r="C47" s="406" t="s">
        <v>156</v>
      </c>
      <c r="D47" s="249" t="s">
        <v>34</v>
      </c>
      <c r="E47" s="409"/>
      <c r="F47" s="294"/>
      <c r="G47" s="294"/>
      <c r="H47" s="418">
        <v>1</v>
      </c>
      <c r="I47" s="408"/>
      <c r="J47" s="408"/>
      <c r="K47" s="408"/>
      <c r="L47" s="408"/>
      <c r="M47" s="408"/>
      <c r="N47" s="408"/>
      <c r="O47" s="408"/>
      <c r="P47" s="422">
        <f t="shared" si="0"/>
        <v>1</v>
      </c>
    </row>
    <row r="48" spans="1:16">
      <c r="A48" s="50"/>
      <c r="B48" s="423" t="s">
        <v>264</v>
      </c>
      <c r="C48" s="406"/>
      <c r="D48" s="249" t="s">
        <v>250</v>
      </c>
      <c r="E48" s="409"/>
      <c r="F48" s="294"/>
      <c r="G48" s="294"/>
      <c r="H48" s="418"/>
      <c r="I48" s="408"/>
      <c r="J48" s="408"/>
      <c r="K48" s="408"/>
      <c r="L48" s="408"/>
      <c r="M48" s="408"/>
      <c r="N48" s="408"/>
      <c r="O48" s="408"/>
      <c r="P48" s="422">
        <f t="shared" si="0"/>
        <v>0</v>
      </c>
    </row>
    <row r="49" spans="1:16">
      <c r="A49" s="50"/>
      <c r="B49" s="421"/>
      <c r="C49" s="700"/>
      <c r="D49" s="700"/>
      <c r="E49" s="264"/>
      <c r="F49" s="294"/>
      <c r="G49" s="294"/>
      <c r="H49" s="418"/>
      <c r="I49" s="408"/>
      <c r="J49" s="408"/>
      <c r="K49" s="408"/>
      <c r="L49" s="408"/>
      <c r="M49" s="408"/>
      <c r="N49" s="408"/>
      <c r="O49" s="408"/>
      <c r="P49" s="422">
        <f t="shared" si="0"/>
        <v>0</v>
      </c>
    </row>
    <row r="50" spans="1:16">
      <c r="A50" s="50"/>
      <c r="B50" s="421"/>
      <c r="C50" s="700"/>
      <c r="D50" s="700"/>
      <c r="E50" s="264"/>
      <c r="F50" s="294"/>
      <c r="G50" s="294"/>
      <c r="H50" s="418"/>
      <c r="I50" s="408"/>
      <c r="J50" s="408"/>
      <c r="K50" s="408"/>
      <c r="L50" s="408"/>
      <c r="M50" s="408"/>
      <c r="N50" s="408"/>
      <c r="O50" s="408"/>
      <c r="P50" s="422"/>
    </row>
    <row r="51" spans="1:16">
      <c r="A51" s="50"/>
      <c r="B51" s="421"/>
      <c r="C51" s="700"/>
      <c r="D51" s="700"/>
      <c r="E51" s="264"/>
      <c r="F51" s="294"/>
      <c r="G51" s="294"/>
      <c r="H51" s="418"/>
      <c r="I51" s="408"/>
      <c r="J51" s="408"/>
      <c r="K51" s="408"/>
      <c r="L51" s="408"/>
      <c r="M51" s="408"/>
      <c r="N51" s="408"/>
      <c r="O51" s="408"/>
      <c r="P51" s="422">
        <f t="shared" si="0"/>
        <v>0</v>
      </c>
    </row>
    <row r="52" spans="1:16" ht="21" customHeight="1">
      <c r="A52" s="48"/>
      <c r="B52" s="720" t="s">
        <v>157</v>
      </c>
      <c r="C52" s="721"/>
      <c r="D52" s="721"/>
      <c r="E52" s="721"/>
      <c r="F52" s="721"/>
      <c r="G52" s="721"/>
      <c r="H52" s="721"/>
      <c r="I52" s="721"/>
      <c r="J52" s="721"/>
      <c r="K52" s="721"/>
      <c r="L52" s="721"/>
      <c r="M52" s="721"/>
      <c r="N52" s="721"/>
      <c r="O52" s="721"/>
      <c r="P52" s="722"/>
    </row>
    <row r="53" spans="1:16">
      <c r="A53" s="50"/>
      <c r="B53" s="421">
        <v>16</v>
      </c>
      <c r="C53" s="406" t="s">
        <v>158</v>
      </c>
      <c r="D53" s="249" t="s">
        <v>34</v>
      </c>
      <c r="E53" s="409"/>
      <c r="F53" s="294"/>
      <c r="G53" s="294"/>
      <c r="H53" s="408"/>
      <c r="I53" s="408"/>
      <c r="J53" s="408"/>
      <c r="K53" s="408"/>
      <c r="L53" s="408"/>
      <c r="M53" s="408"/>
      <c r="N53" s="408"/>
      <c r="O53" s="408"/>
      <c r="P53" s="422">
        <f t="shared" si="0"/>
        <v>0</v>
      </c>
    </row>
    <row r="54" spans="1:16">
      <c r="A54" s="50"/>
      <c r="B54" s="421">
        <v>17</v>
      </c>
      <c r="C54" s="406" t="s">
        <v>159</v>
      </c>
      <c r="D54" s="249" t="s">
        <v>34</v>
      </c>
      <c r="E54" s="409"/>
      <c r="F54" s="294"/>
      <c r="G54" s="294"/>
      <c r="H54" s="408"/>
      <c r="I54" s="408"/>
      <c r="J54" s="408"/>
      <c r="K54" s="408"/>
      <c r="L54" s="408"/>
      <c r="M54" s="408"/>
      <c r="N54" s="408"/>
      <c r="O54" s="408"/>
      <c r="P54" s="422">
        <f t="shared" si="0"/>
        <v>0</v>
      </c>
    </row>
    <row r="55" spans="1:16">
      <c r="A55" s="50"/>
      <c r="B55" s="421">
        <v>18</v>
      </c>
      <c r="C55" s="406" t="s">
        <v>160</v>
      </c>
      <c r="D55" s="249" t="s">
        <v>34</v>
      </c>
      <c r="E55" s="409"/>
      <c r="F55" s="294"/>
      <c r="G55" s="294"/>
      <c r="H55" s="408"/>
      <c r="I55" s="408"/>
      <c r="J55" s="408"/>
      <c r="K55" s="408"/>
      <c r="L55" s="408"/>
      <c r="M55" s="408"/>
      <c r="N55" s="408"/>
      <c r="O55" s="408"/>
      <c r="P55" s="422">
        <f t="shared" si="0"/>
        <v>0</v>
      </c>
    </row>
    <row r="56" spans="1:16">
      <c r="A56" s="50"/>
      <c r="B56" s="421">
        <v>19</v>
      </c>
      <c r="C56" s="406" t="s">
        <v>161</v>
      </c>
      <c r="D56" s="249" t="s">
        <v>34</v>
      </c>
      <c r="E56" s="409"/>
      <c r="F56" s="294"/>
      <c r="G56" s="294"/>
      <c r="H56" s="408"/>
      <c r="I56" s="408"/>
      <c r="J56" s="408"/>
      <c r="K56" s="408"/>
      <c r="L56" s="408"/>
      <c r="M56" s="408"/>
      <c r="N56" s="408"/>
      <c r="O56" s="408"/>
      <c r="P56" s="422">
        <f t="shared" si="0"/>
        <v>0</v>
      </c>
    </row>
    <row r="57" spans="1:16">
      <c r="A57" s="50"/>
      <c r="B57" s="423" t="s">
        <v>264</v>
      </c>
      <c r="C57" s="406"/>
      <c r="D57" s="249" t="s">
        <v>250</v>
      </c>
      <c r="E57" s="409"/>
      <c r="F57" s="294"/>
      <c r="G57" s="294"/>
      <c r="H57" s="408"/>
      <c r="I57" s="408"/>
      <c r="J57" s="408"/>
      <c r="K57" s="408"/>
      <c r="L57" s="408"/>
      <c r="M57" s="408"/>
      <c r="N57" s="408"/>
      <c r="O57" s="408"/>
      <c r="P57" s="422">
        <f t="shared" si="0"/>
        <v>0</v>
      </c>
    </row>
    <row r="58" spans="1:16">
      <c r="A58" s="50"/>
      <c r="B58" s="423"/>
      <c r="C58" s="700"/>
      <c r="D58" s="700"/>
      <c r="E58" s="264"/>
      <c r="F58" s="294"/>
      <c r="G58" s="294"/>
      <c r="H58" s="408"/>
      <c r="I58" s="408"/>
      <c r="J58" s="408"/>
      <c r="K58" s="408"/>
      <c r="L58" s="408"/>
      <c r="M58" s="408"/>
      <c r="N58" s="408"/>
      <c r="O58" s="408"/>
      <c r="P58" s="422"/>
    </row>
    <row r="59" spans="1:16">
      <c r="A59" s="50"/>
      <c r="B59" s="423"/>
      <c r="C59" s="700"/>
      <c r="D59" s="700"/>
      <c r="E59" s="264"/>
      <c r="F59" s="294"/>
      <c r="G59" s="294"/>
      <c r="H59" s="408"/>
      <c r="I59" s="408"/>
      <c r="J59" s="408"/>
      <c r="K59" s="408"/>
      <c r="L59" s="408"/>
      <c r="M59" s="408"/>
      <c r="N59" s="408"/>
      <c r="O59" s="408"/>
      <c r="P59" s="422"/>
    </row>
    <row r="60" spans="1:16">
      <c r="A60" s="48"/>
      <c r="B60" s="424"/>
      <c r="C60" s="700"/>
      <c r="D60" s="700"/>
      <c r="E60" s="264"/>
      <c r="F60" s="294"/>
      <c r="G60" s="294"/>
      <c r="H60" s="412"/>
      <c r="I60" s="412"/>
      <c r="J60" s="412"/>
      <c r="K60" s="412"/>
      <c r="L60" s="412"/>
      <c r="M60" s="412"/>
      <c r="N60" s="412"/>
      <c r="O60" s="412"/>
      <c r="P60" s="422"/>
    </row>
    <row r="61" spans="1:16" ht="27" customHeight="1">
      <c r="B61" s="726" t="s">
        <v>162</v>
      </c>
      <c r="C61" s="727"/>
      <c r="D61" s="727"/>
      <c r="E61" s="727"/>
      <c r="F61" s="727"/>
      <c r="G61" s="727"/>
      <c r="H61" s="727"/>
      <c r="I61" s="727"/>
      <c r="J61" s="727"/>
      <c r="K61" s="727"/>
      <c r="L61" s="727"/>
      <c r="M61" s="727"/>
      <c r="N61" s="727"/>
      <c r="O61" s="727"/>
      <c r="P61" s="728"/>
    </row>
    <row r="62" spans="1:16" ht="16.5">
      <c r="B62" s="425"/>
      <c r="C62" s="406"/>
      <c r="D62" s="409"/>
      <c r="E62" s="409"/>
      <c r="F62" s="405"/>
      <c r="G62" s="405"/>
      <c r="H62" s="405"/>
      <c r="I62" s="405"/>
      <c r="J62" s="405"/>
      <c r="K62" s="405"/>
      <c r="L62" s="405"/>
      <c r="M62" s="405"/>
      <c r="N62" s="405"/>
      <c r="O62" s="405"/>
      <c r="P62" s="426"/>
    </row>
    <row r="63" spans="1:16" ht="25.5" customHeight="1">
      <c r="A63" s="50"/>
      <c r="B63" s="736" t="s">
        <v>163</v>
      </c>
      <c r="C63" s="737"/>
      <c r="D63" s="737"/>
      <c r="E63" s="737"/>
      <c r="F63" s="737"/>
      <c r="G63" s="737"/>
      <c r="H63" s="737"/>
      <c r="I63" s="737"/>
      <c r="J63" s="737"/>
      <c r="K63" s="737"/>
      <c r="L63" s="737"/>
      <c r="M63" s="737"/>
      <c r="N63" s="737"/>
      <c r="O63" s="737"/>
      <c r="P63" s="738"/>
    </row>
    <row r="64" spans="1:16">
      <c r="A64" s="50"/>
      <c r="B64" s="421">
        <v>21</v>
      </c>
      <c r="C64" s="406" t="s">
        <v>164</v>
      </c>
      <c r="D64" s="249" t="s">
        <v>34</v>
      </c>
      <c r="E64" s="409"/>
      <c r="F64" s="294"/>
      <c r="G64" s="294"/>
      <c r="H64" s="418">
        <v>1</v>
      </c>
      <c r="I64" s="408"/>
      <c r="J64" s="408"/>
      <c r="K64" s="408"/>
      <c r="L64" s="408"/>
      <c r="M64" s="408"/>
      <c r="N64" s="408"/>
      <c r="O64" s="408"/>
      <c r="P64" s="422">
        <f t="shared" si="0"/>
        <v>1</v>
      </c>
    </row>
    <row r="65" spans="1:16" ht="28.5">
      <c r="A65" s="50"/>
      <c r="B65" s="421">
        <v>22</v>
      </c>
      <c r="C65" s="406" t="s">
        <v>165</v>
      </c>
      <c r="D65" s="249" t="s">
        <v>34</v>
      </c>
      <c r="E65" s="409"/>
      <c r="F65" s="294"/>
      <c r="G65" s="294"/>
      <c r="H65" s="418">
        <v>1</v>
      </c>
      <c r="I65" s="408"/>
      <c r="J65" s="408"/>
      <c r="K65" s="408"/>
      <c r="L65" s="408"/>
      <c r="M65" s="408"/>
      <c r="N65" s="408"/>
      <c r="O65" s="408"/>
      <c r="P65" s="422">
        <f t="shared" si="0"/>
        <v>1</v>
      </c>
    </row>
    <row r="66" spans="1:16">
      <c r="A66" s="50"/>
      <c r="B66" s="421">
        <v>23</v>
      </c>
      <c r="C66" s="406" t="s">
        <v>166</v>
      </c>
      <c r="D66" s="249" t="s">
        <v>34</v>
      </c>
      <c r="E66" s="409"/>
      <c r="F66" s="294"/>
      <c r="G66" s="294"/>
      <c r="H66" s="418">
        <v>1</v>
      </c>
      <c r="I66" s="408"/>
      <c r="J66" s="408"/>
      <c r="K66" s="408"/>
      <c r="L66" s="408"/>
      <c r="M66" s="408"/>
      <c r="N66" s="408"/>
      <c r="O66" s="408"/>
      <c r="P66" s="422">
        <f t="shared" si="0"/>
        <v>1</v>
      </c>
    </row>
    <row r="67" spans="1:16">
      <c r="A67" s="50"/>
      <c r="B67" s="421">
        <v>24</v>
      </c>
      <c r="C67" s="406" t="s">
        <v>167</v>
      </c>
      <c r="D67" s="249" t="s">
        <v>34</v>
      </c>
      <c r="E67" s="409"/>
      <c r="F67" s="294"/>
      <c r="G67" s="294"/>
      <c r="H67" s="418">
        <v>1</v>
      </c>
      <c r="I67" s="408"/>
      <c r="J67" s="408"/>
      <c r="K67" s="408"/>
      <c r="L67" s="408"/>
      <c r="M67" s="408"/>
      <c r="N67" s="408"/>
      <c r="O67" s="408"/>
      <c r="P67" s="422">
        <f t="shared" si="0"/>
        <v>1</v>
      </c>
    </row>
    <row r="68" spans="1:16">
      <c r="A68" s="50"/>
      <c r="B68" s="423" t="s">
        <v>264</v>
      </c>
      <c r="C68" s="406"/>
      <c r="D68" s="249" t="s">
        <v>250</v>
      </c>
      <c r="E68" s="409"/>
      <c r="F68" s="294"/>
      <c r="G68" s="294"/>
      <c r="H68" s="418"/>
      <c r="I68" s="408"/>
      <c r="J68" s="408"/>
      <c r="K68" s="408"/>
      <c r="L68" s="408"/>
      <c r="M68" s="408"/>
      <c r="N68" s="408"/>
      <c r="O68" s="408"/>
      <c r="P68" s="422"/>
    </row>
    <row r="69" spans="1:16">
      <c r="A69" s="50"/>
      <c r="B69" s="421"/>
      <c r="C69" s="700"/>
      <c r="D69" s="700"/>
      <c r="E69" s="264"/>
      <c r="F69" s="294"/>
      <c r="G69" s="294"/>
      <c r="H69" s="418"/>
      <c r="I69" s="408"/>
      <c r="J69" s="408"/>
      <c r="K69" s="408"/>
      <c r="L69" s="408"/>
      <c r="M69" s="408"/>
      <c r="N69" s="408"/>
      <c r="O69" s="408"/>
      <c r="P69" s="422"/>
    </row>
    <row r="70" spans="1:16">
      <c r="A70" s="50"/>
      <c r="B70" s="421"/>
      <c r="C70" s="700"/>
      <c r="D70" s="700"/>
      <c r="E70" s="264"/>
      <c r="F70" s="294"/>
      <c r="G70" s="294"/>
      <c r="H70" s="418"/>
      <c r="I70" s="408"/>
      <c r="J70" s="408"/>
      <c r="K70" s="408"/>
      <c r="L70" s="408"/>
      <c r="M70" s="408"/>
      <c r="N70" s="408"/>
      <c r="O70" s="408"/>
      <c r="P70" s="422"/>
    </row>
    <row r="71" spans="1:16">
      <c r="A71" s="50"/>
      <c r="B71" s="421"/>
      <c r="C71" s="700"/>
      <c r="D71" s="700"/>
      <c r="E71" s="264"/>
      <c r="F71" s="294"/>
      <c r="G71" s="294"/>
      <c r="H71" s="408"/>
      <c r="I71" s="408"/>
      <c r="J71" s="408"/>
      <c r="K71" s="408"/>
      <c r="L71" s="408"/>
      <c r="M71" s="408"/>
      <c r="N71" s="408"/>
      <c r="O71" s="408"/>
      <c r="P71" s="422">
        <f t="shared" si="0"/>
        <v>0</v>
      </c>
    </row>
    <row r="72" spans="1:16" ht="28.5" customHeight="1">
      <c r="A72" s="50"/>
      <c r="B72" s="736" t="s">
        <v>168</v>
      </c>
      <c r="C72" s="737"/>
      <c r="D72" s="737"/>
      <c r="E72" s="737"/>
      <c r="F72" s="737"/>
      <c r="G72" s="737"/>
      <c r="H72" s="737"/>
      <c r="I72" s="737"/>
      <c r="J72" s="737"/>
      <c r="K72" s="737"/>
      <c r="L72" s="737"/>
      <c r="M72" s="737"/>
      <c r="N72" s="737"/>
      <c r="O72" s="737"/>
      <c r="P72" s="738"/>
    </row>
    <row r="73" spans="1:16">
      <c r="A73" s="50"/>
      <c r="B73" s="421">
        <v>25</v>
      </c>
      <c r="C73" s="406" t="s">
        <v>169</v>
      </c>
      <c r="D73" s="249" t="s">
        <v>34</v>
      </c>
      <c r="E73" s="409"/>
      <c r="F73" s="294"/>
      <c r="G73" s="294"/>
      <c r="H73" s="408"/>
      <c r="I73" s="418">
        <v>1</v>
      </c>
      <c r="J73" s="408"/>
      <c r="K73" s="408"/>
      <c r="L73" s="408"/>
      <c r="M73" s="408"/>
      <c r="N73" s="408"/>
      <c r="O73" s="408"/>
      <c r="P73" s="422">
        <f t="shared" si="0"/>
        <v>1</v>
      </c>
    </row>
    <row r="74" spans="1:16">
      <c r="A74" s="50"/>
      <c r="B74" s="421">
        <v>26</v>
      </c>
      <c r="C74" s="406" t="s">
        <v>170</v>
      </c>
      <c r="D74" s="249" t="s">
        <v>34</v>
      </c>
      <c r="E74" s="409"/>
      <c r="F74" s="294"/>
      <c r="G74" s="294"/>
      <c r="H74" s="408"/>
      <c r="I74" s="418">
        <v>1</v>
      </c>
      <c r="J74" s="408"/>
      <c r="K74" s="408"/>
      <c r="L74" s="408"/>
      <c r="M74" s="408"/>
      <c r="N74" s="408"/>
      <c r="O74" s="408"/>
      <c r="P74" s="422">
        <f t="shared" si="0"/>
        <v>1</v>
      </c>
    </row>
    <row r="75" spans="1:16" ht="28.5">
      <c r="A75" s="50"/>
      <c r="B75" s="421">
        <v>27</v>
      </c>
      <c r="C75" s="406" t="s">
        <v>171</v>
      </c>
      <c r="D75" s="249" t="s">
        <v>34</v>
      </c>
      <c r="E75" s="409"/>
      <c r="F75" s="294"/>
      <c r="G75" s="294"/>
      <c r="H75" s="408"/>
      <c r="I75" s="418">
        <v>0.8</v>
      </c>
      <c r="J75" s="418">
        <v>0.2</v>
      </c>
      <c r="K75" s="408"/>
      <c r="L75" s="408"/>
      <c r="M75" s="408"/>
      <c r="N75" s="408"/>
      <c r="O75" s="408"/>
      <c r="P75" s="422">
        <f t="shared" si="0"/>
        <v>1</v>
      </c>
    </row>
    <row r="76" spans="1:16" ht="28.5">
      <c r="A76" s="50"/>
      <c r="B76" s="421">
        <v>28</v>
      </c>
      <c r="C76" s="406" t="s">
        <v>172</v>
      </c>
      <c r="D76" s="249" t="s">
        <v>34</v>
      </c>
      <c r="E76" s="409"/>
      <c r="F76" s="294"/>
      <c r="G76" s="294"/>
      <c r="H76" s="408"/>
      <c r="I76" s="408"/>
      <c r="J76" s="408"/>
      <c r="K76" s="408"/>
      <c r="L76" s="408"/>
      <c r="M76" s="408"/>
      <c r="N76" s="408"/>
      <c r="O76" s="408"/>
      <c r="P76" s="422">
        <f t="shared" si="0"/>
        <v>0</v>
      </c>
    </row>
    <row r="77" spans="1:16" ht="28.5">
      <c r="A77" s="50"/>
      <c r="B77" s="421">
        <v>29</v>
      </c>
      <c r="C77" s="406" t="s">
        <v>173</v>
      </c>
      <c r="D77" s="249" t="s">
        <v>34</v>
      </c>
      <c r="E77" s="409"/>
      <c r="F77" s="294"/>
      <c r="G77" s="294"/>
      <c r="H77" s="408"/>
      <c r="I77" s="408"/>
      <c r="J77" s="408"/>
      <c r="K77" s="408"/>
      <c r="L77" s="408"/>
      <c r="M77" s="408"/>
      <c r="N77" s="408"/>
      <c r="O77" s="408"/>
      <c r="P77" s="422">
        <f t="shared" si="0"/>
        <v>0</v>
      </c>
    </row>
    <row r="78" spans="1:16" ht="28.5">
      <c r="A78" s="50"/>
      <c r="B78" s="421">
        <v>30</v>
      </c>
      <c r="C78" s="406" t="s">
        <v>174</v>
      </c>
      <c r="D78" s="249" t="s">
        <v>34</v>
      </c>
      <c r="E78" s="409"/>
      <c r="F78" s="294"/>
      <c r="G78" s="294"/>
      <c r="H78" s="408"/>
      <c r="I78" s="408"/>
      <c r="J78" s="408"/>
      <c r="K78" s="408"/>
      <c r="L78" s="408"/>
      <c r="M78" s="408"/>
      <c r="N78" s="408"/>
      <c r="O78" s="408"/>
      <c r="P78" s="422">
        <f t="shared" si="0"/>
        <v>0</v>
      </c>
    </row>
    <row r="79" spans="1:16" ht="28.5">
      <c r="A79" s="50"/>
      <c r="B79" s="421">
        <v>31</v>
      </c>
      <c r="C79" s="406" t="s">
        <v>175</v>
      </c>
      <c r="D79" s="249" t="s">
        <v>34</v>
      </c>
      <c r="E79" s="409"/>
      <c r="F79" s="294"/>
      <c r="G79" s="294"/>
      <c r="H79" s="408"/>
      <c r="I79" s="408"/>
      <c r="J79" s="408"/>
      <c r="K79" s="408"/>
      <c r="L79" s="408"/>
      <c r="M79" s="408"/>
      <c r="N79" s="408"/>
      <c r="O79" s="408"/>
      <c r="P79" s="422">
        <f t="shared" si="0"/>
        <v>0</v>
      </c>
    </row>
    <row r="80" spans="1:16">
      <c r="A80" s="50"/>
      <c r="B80" s="421">
        <v>32</v>
      </c>
      <c r="C80" s="406" t="s">
        <v>176</v>
      </c>
      <c r="D80" s="249" t="s">
        <v>34</v>
      </c>
      <c r="E80" s="409"/>
      <c r="F80" s="294"/>
      <c r="G80" s="294"/>
      <c r="H80" s="408"/>
      <c r="I80" s="408"/>
      <c r="J80" s="408"/>
      <c r="K80" s="408"/>
      <c r="L80" s="408"/>
      <c r="M80" s="408"/>
      <c r="N80" s="408"/>
      <c r="O80" s="408"/>
      <c r="P80" s="422">
        <f t="shared" si="0"/>
        <v>0</v>
      </c>
    </row>
    <row r="81" spans="1:16">
      <c r="A81" s="50"/>
      <c r="B81" s="423" t="s">
        <v>264</v>
      </c>
      <c r="C81" s="406"/>
      <c r="D81" s="249" t="s">
        <v>250</v>
      </c>
      <c r="E81" s="409"/>
      <c r="F81" s="294"/>
      <c r="G81" s="294"/>
      <c r="H81" s="408"/>
      <c r="I81" s="408"/>
      <c r="J81" s="408"/>
      <c r="K81" s="408"/>
      <c r="L81" s="408"/>
      <c r="M81" s="408"/>
      <c r="N81" s="408"/>
      <c r="O81" s="408"/>
      <c r="P81" s="422"/>
    </row>
    <row r="82" spans="1:16">
      <c r="A82" s="50"/>
      <c r="B82" s="421"/>
      <c r="C82" s="700"/>
      <c r="D82" s="700"/>
      <c r="E82" s="264"/>
      <c r="F82" s="294"/>
      <c r="G82" s="294"/>
      <c r="H82" s="408"/>
      <c r="I82" s="408"/>
      <c r="J82" s="408"/>
      <c r="K82" s="408"/>
      <c r="L82" s="408"/>
      <c r="M82" s="408"/>
      <c r="N82" s="408"/>
      <c r="O82" s="408"/>
      <c r="P82" s="422"/>
    </row>
    <row r="83" spans="1:16">
      <c r="A83" s="50"/>
      <c r="B83" s="421"/>
      <c r="C83" s="700"/>
      <c r="D83" s="700"/>
      <c r="E83" s="264"/>
      <c r="F83" s="294"/>
      <c r="G83" s="294"/>
      <c r="H83" s="408"/>
      <c r="I83" s="408"/>
      <c r="J83" s="408"/>
      <c r="K83" s="408"/>
      <c r="L83" s="408"/>
      <c r="M83" s="408"/>
      <c r="N83" s="408"/>
      <c r="O83" s="408"/>
      <c r="P83" s="422"/>
    </row>
    <row r="84" spans="1:16">
      <c r="A84" s="50"/>
      <c r="B84" s="421"/>
      <c r="C84" s="700"/>
      <c r="D84" s="700"/>
      <c r="E84" s="264"/>
      <c r="F84" s="294"/>
      <c r="G84" s="294"/>
      <c r="H84" s="408"/>
      <c r="I84" s="408"/>
      <c r="J84" s="408"/>
      <c r="K84" s="408"/>
      <c r="L84" s="408"/>
      <c r="M84" s="408"/>
      <c r="N84" s="408"/>
      <c r="O84" s="408"/>
      <c r="P84" s="422">
        <f t="shared" ref="P84:P107" si="1">SUM(H84:O84)</f>
        <v>0</v>
      </c>
    </row>
    <row r="85" spans="1:16" ht="25.5" customHeight="1">
      <c r="A85" s="50"/>
      <c r="B85" s="736" t="s">
        <v>177</v>
      </c>
      <c r="C85" s="737"/>
      <c r="D85" s="737"/>
      <c r="E85" s="737"/>
      <c r="F85" s="737"/>
      <c r="G85" s="737"/>
      <c r="H85" s="737"/>
      <c r="I85" s="737"/>
      <c r="J85" s="737"/>
      <c r="K85" s="737"/>
      <c r="L85" s="737"/>
      <c r="M85" s="737"/>
      <c r="N85" s="737"/>
      <c r="O85" s="737"/>
      <c r="P85" s="738"/>
    </row>
    <row r="86" spans="1:16">
      <c r="A86" s="50"/>
      <c r="B86" s="421">
        <v>33</v>
      </c>
      <c r="C86" s="406" t="s">
        <v>178</v>
      </c>
      <c r="D86" s="249" t="s">
        <v>34</v>
      </c>
      <c r="E86" s="409"/>
      <c r="F86" s="294"/>
      <c r="G86" s="294"/>
      <c r="H86" s="414"/>
      <c r="I86" s="414"/>
      <c r="J86" s="414"/>
      <c r="K86" s="414"/>
      <c r="L86" s="414"/>
      <c r="M86" s="414"/>
      <c r="N86" s="414"/>
      <c r="O86" s="414"/>
      <c r="P86" s="422">
        <f t="shared" si="1"/>
        <v>0</v>
      </c>
    </row>
    <row r="87" spans="1:16">
      <c r="A87" s="50"/>
      <c r="B87" s="421">
        <v>34</v>
      </c>
      <c r="C87" s="406" t="s">
        <v>179</v>
      </c>
      <c r="D87" s="249" t="s">
        <v>34</v>
      </c>
      <c r="E87" s="409"/>
      <c r="F87" s="294"/>
      <c r="G87" s="294"/>
      <c r="H87" s="414"/>
      <c r="I87" s="414"/>
      <c r="J87" s="414"/>
      <c r="K87" s="414"/>
      <c r="L87" s="414"/>
      <c r="M87" s="414"/>
      <c r="N87" s="414"/>
      <c r="O87" s="414"/>
      <c r="P87" s="422">
        <f t="shared" si="1"/>
        <v>0</v>
      </c>
    </row>
    <row r="88" spans="1:16">
      <c r="A88" s="50"/>
      <c r="B88" s="421">
        <v>35</v>
      </c>
      <c r="C88" s="406" t="s">
        <v>180</v>
      </c>
      <c r="D88" s="249" t="s">
        <v>34</v>
      </c>
      <c r="E88" s="409"/>
      <c r="F88" s="294"/>
      <c r="G88" s="294"/>
      <c r="H88" s="414"/>
      <c r="I88" s="414"/>
      <c r="J88" s="414"/>
      <c r="K88" s="414"/>
      <c r="L88" s="414"/>
      <c r="M88" s="414"/>
      <c r="N88" s="414"/>
      <c r="O88" s="414"/>
      <c r="P88" s="422">
        <f t="shared" si="1"/>
        <v>0</v>
      </c>
    </row>
    <row r="89" spans="1:16">
      <c r="A89" s="50"/>
      <c r="B89" s="423" t="s">
        <v>264</v>
      </c>
      <c r="C89" s="406"/>
      <c r="D89" s="249" t="s">
        <v>250</v>
      </c>
      <c r="E89" s="409"/>
      <c r="F89" s="294"/>
      <c r="G89" s="294"/>
      <c r="H89" s="414"/>
      <c r="I89" s="414"/>
      <c r="J89" s="414"/>
      <c r="K89" s="414"/>
      <c r="L89" s="414"/>
      <c r="M89" s="414"/>
      <c r="N89" s="414"/>
      <c r="O89" s="414"/>
      <c r="P89" s="422"/>
    </row>
    <row r="90" spans="1:16">
      <c r="A90" s="50"/>
      <c r="B90" s="421"/>
      <c r="C90" s="700"/>
      <c r="D90" s="700"/>
      <c r="E90" s="264"/>
      <c r="F90" s="294"/>
      <c r="G90" s="294"/>
      <c r="H90" s="414"/>
      <c r="I90" s="414"/>
      <c r="J90" s="414"/>
      <c r="K90" s="414"/>
      <c r="L90" s="414"/>
      <c r="M90" s="414"/>
      <c r="N90" s="414"/>
      <c r="O90" s="414"/>
      <c r="P90" s="422"/>
    </row>
    <row r="91" spans="1:16">
      <c r="A91" s="50"/>
      <c r="B91" s="421"/>
      <c r="C91" s="700"/>
      <c r="D91" s="700"/>
      <c r="E91" s="264"/>
      <c r="F91" s="294"/>
      <c r="G91" s="294"/>
      <c r="H91" s="414"/>
      <c r="I91" s="414"/>
      <c r="J91" s="414"/>
      <c r="K91" s="414"/>
      <c r="L91" s="414"/>
      <c r="M91" s="414"/>
      <c r="N91" s="414"/>
      <c r="O91" s="414"/>
      <c r="P91" s="422"/>
    </row>
    <row r="92" spans="1:16">
      <c r="A92" s="50"/>
      <c r="B92" s="421"/>
      <c r="C92" s="700"/>
      <c r="D92" s="700"/>
      <c r="E92" s="264"/>
      <c r="F92" s="294"/>
      <c r="G92" s="294"/>
      <c r="H92" s="414"/>
      <c r="I92" s="414"/>
      <c r="J92" s="414"/>
      <c r="K92" s="414"/>
      <c r="L92" s="414"/>
      <c r="M92" s="414"/>
      <c r="N92" s="414"/>
      <c r="O92" s="414"/>
      <c r="P92" s="422">
        <f t="shared" si="1"/>
        <v>0</v>
      </c>
    </row>
    <row r="93" spans="1:16" ht="24" customHeight="1">
      <c r="A93" s="50"/>
      <c r="B93" s="736" t="s">
        <v>181</v>
      </c>
      <c r="C93" s="737"/>
      <c r="D93" s="737"/>
      <c r="E93" s="737"/>
      <c r="F93" s="737"/>
      <c r="G93" s="737"/>
      <c r="H93" s="737"/>
      <c r="I93" s="737"/>
      <c r="J93" s="737"/>
      <c r="K93" s="737"/>
      <c r="L93" s="737"/>
      <c r="M93" s="737"/>
      <c r="N93" s="737"/>
      <c r="O93" s="737"/>
      <c r="P93" s="738"/>
    </row>
    <row r="94" spans="1:16" ht="42.75">
      <c r="A94" s="50"/>
      <c r="B94" s="421">
        <v>36</v>
      </c>
      <c r="C94" s="406" t="s">
        <v>182</v>
      </c>
      <c r="D94" s="249" t="s">
        <v>34</v>
      </c>
      <c r="E94" s="409"/>
      <c r="F94" s="294"/>
      <c r="G94" s="294"/>
      <c r="H94" s="414"/>
      <c r="I94" s="414"/>
      <c r="J94" s="414"/>
      <c r="K94" s="414"/>
      <c r="L94" s="414"/>
      <c r="M94" s="414"/>
      <c r="N94" s="414"/>
      <c r="O94" s="414"/>
      <c r="P94" s="422">
        <f t="shared" si="1"/>
        <v>0</v>
      </c>
    </row>
    <row r="95" spans="1:16" ht="28.5">
      <c r="A95" s="50"/>
      <c r="B95" s="421">
        <v>37</v>
      </c>
      <c r="C95" s="406" t="s">
        <v>183</v>
      </c>
      <c r="D95" s="249" t="s">
        <v>34</v>
      </c>
      <c r="E95" s="409"/>
      <c r="F95" s="294"/>
      <c r="G95" s="294"/>
      <c r="H95" s="414"/>
      <c r="I95" s="414"/>
      <c r="J95" s="414"/>
      <c r="K95" s="414"/>
      <c r="L95" s="414"/>
      <c r="M95" s="414"/>
      <c r="N95" s="414"/>
      <c r="O95" s="414"/>
      <c r="P95" s="422">
        <f t="shared" si="1"/>
        <v>0</v>
      </c>
    </row>
    <row r="96" spans="1:16">
      <c r="A96" s="50"/>
      <c r="B96" s="421">
        <v>38</v>
      </c>
      <c r="C96" s="406" t="s">
        <v>184</v>
      </c>
      <c r="D96" s="249" t="s">
        <v>34</v>
      </c>
      <c r="E96" s="409"/>
      <c r="F96" s="294"/>
      <c r="G96" s="294"/>
      <c r="H96" s="414"/>
      <c r="I96" s="414"/>
      <c r="J96" s="414"/>
      <c r="K96" s="414"/>
      <c r="L96" s="414"/>
      <c r="M96" s="414"/>
      <c r="N96" s="414"/>
      <c r="O96" s="414"/>
      <c r="P96" s="422">
        <f t="shared" si="1"/>
        <v>0</v>
      </c>
    </row>
    <row r="97" spans="1:16" ht="28.5">
      <c r="A97" s="50"/>
      <c r="B97" s="421">
        <v>39</v>
      </c>
      <c r="C97" s="406" t="s">
        <v>185</v>
      </c>
      <c r="D97" s="249" t="s">
        <v>34</v>
      </c>
      <c r="E97" s="409"/>
      <c r="F97" s="294"/>
      <c r="G97" s="294"/>
      <c r="H97" s="414"/>
      <c r="I97" s="414"/>
      <c r="J97" s="414"/>
      <c r="K97" s="414"/>
      <c r="L97" s="414"/>
      <c r="M97" s="414"/>
      <c r="N97" s="414"/>
      <c r="O97" s="414"/>
      <c r="P97" s="422">
        <f t="shared" si="1"/>
        <v>0</v>
      </c>
    </row>
    <row r="98" spans="1:16" ht="28.5">
      <c r="A98" s="50"/>
      <c r="B98" s="421">
        <v>40</v>
      </c>
      <c r="C98" s="406" t="s">
        <v>186</v>
      </c>
      <c r="D98" s="249" t="s">
        <v>34</v>
      </c>
      <c r="E98" s="409"/>
      <c r="F98" s="294"/>
      <c r="G98" s="294"/>
      <c r="H98" s="414"/>
      <c r="I98" s="414"/>
      <c r="J98" s="414"/>
      <c r="K98" s="414"/>
      <c r="L98" s="414"/>
      <c r="M98" s="414"/>
      <c r="N98" s="414"/>
      <c r="O98" s="414"/>
      <c r="P98" s="422">
        <f t="shared" si="1"/>
        <v>0</v>
      </c>
    </row>
    <row r="99" spans="1:16" ht="28.5">
      <c r="A99" s="50"/>
      <c r="B99" s="421">
        <v>41</v>
      </c>
      <c r="C99" s="406" t="s">
        <v>187</v>
      </c>
      <c r="D99" s="249" t="s">
        <v>34</v>
      </c>
      <c r="E99" s="409"/>
      <c r="F99" s="294"/>
      <c r="G99" s="294"/>
      <c r="H99" s="414"/>
      <c r="I99" s="414"/>
      <c r="J99" s="414"/>
      <c r="K99" s="414"/>
      <c r="L99" s="414"/>
      <c r="M99" s="414"/>
      <c r="N99" s="414"/>
      <c r="O99" s="414"/>
      <c r="P99" s="422">
        <f t="shared" si="1"/>
        <v>0</v>
      </c>
    </row>
    <row r="100" spans="1:16" ht="28.5">
      <c r="A100" s="50"/>
      <c r="B100" s="421">
        <v>42</v>
      </c>
      <c r="C100" s="406" t="s">
        <v>188</v>
      </c>
      <c r="D100" s="249" t="s">
        <v>34</v>
      </c>
      <c r="E100" s="409"/>
      <c r="F100" s="294"/>
      <c r="G100" s="294"/>
      <c r="H100" s="414"/>
      <c r="I100" s="414"/>
      <c r="J100" s="414"/>
      <c r="K100" s="414"/>
      <c r="L100" s="414"/>
      <c r="M100" s="414"/>
      <c r="N100" s="414"/>
      <c r="O100" s="414"/>
      <c r="P100" s="422">
        <f t="shared" si="1"/>
        <v>0</v>
      </c>
    </row>
    <row r="101" spans="1:16">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42.75">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8.5">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8.5">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8.5">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8.5">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8.5">
      <c r="A107" s="50"/>
      <c r="B107" s="421">
        <v>49</v>
      </c>
      <c r="C107" s="406" t="s">
        <v>195</v>
      </c>
      <c r="D107" s="249" t="s">
        <v>34</v>
      </c>
      <c r="E107" s="409"/>
      <c r="F107" s="294"/>
      <c r="G107" s="294"/>
      <c r="H107" s="414"/>
      <c r="I107" s="414"/>
      <c r="J107" s="414"/>
      <c r="K107" s="414"/>
      <c r="L107" s="414"/>
      <c r="M107" s="414"/>
      <c r="N107" s="414"/>
      <c r="O107" s="414"/>
      <c r="P107" s="422">
        <f t="shared" si="1"/>
        <v>0</v>
      </c>
    </row>
    <row r="108" spans="1:16">
      <c r="A108" s="50"/>
      <c r="B108" s="423" t="s">
        <v>264</v>
      </c>
      <c r="C108" s="406"/>
      <c r="D108" s="249" t="s">
        <v>250</v>
      </c>
      <c r="E108" s="409"/>
      <c r="F108" s="294"/>
      <c r="G108" s="294"/>
      <c r="H108" s="414"/>
      <c r="I108" s="414"/>
      <c r="J108" s="414"/>
      <c r="K108" s="414"/>
      <c r="L108" s="414"/>
      <c r="M108" s="414"/>
      <c r="N108" s="414"/>
      <c r="O108" s="414"/>
      <c r="P108" s="422"/>
    </row>
    <row r="109" spans="1:16">
      <c r="A109" s="50"/>
      <c r="B109" s="421"/>
      <c r="C109" s="700"/>
      <c r="D109" s="700"/>
      <c r="E109" s="264"/>
      <c r="F109" s="294"/>
      <c r="G109" s="294"/>
      <c r="H109" s="414"/>
      <c r="I109" s="414"/>
      <c r="J109" s="414"/>
      <c r="K109" s="414"/>
      <c r="L109" s="414"/>
      <c r="M109" s="414"/>
      <c r="N109" s="414"/>
      <c r="O109" s="414"/>
      <c r="P109" s="422"/>
    </row>
    <row r="110" spans="1:16">
      <c r="A110" s="50"/>
      <c r="B110" s="421"/>
      <c r="C110" s="700"/>
      <c r="D110" s="700"/>
      <c r="E110" s="264"/>
      <c r="F110" s="294"/>
      <c r="G110" s="294"/>
      <c r="H110" s="414"/>
      <c r="I110" s="414"/>
      <c r="J110" s="414"/>
      <c r="K110" s="414"/>
      <c r="L110" s="414"/>
      <c r="M110" s="414"/>
      <c r="N110" s="414"/>
      <c r="O110" s="414"/>
      <c r="P110" s="422"/>
    </row>
    <row r="111" spans="1:16">
      <c r="A111" s="50"/>
      <c r="B111" s="421"/>
      <c r="C111" s="700"/>
      <c r="D111" s="700"/>
      <c r="E111" s="264"/>
      <c r="F111" s="294"/>
      <c r="G111" s="294"/>
      <c r="H111" s="414"/>
      <c r="I111" s="414"/>
      <c r="J111" s="414"/>
      <c r="K111" s="414"/>
      <c r="L111" s="414"/>
      <c r="M111" s="414"/>
      <c r="N111" s="414"/>
      <c r="O111" s="414"/>
      <c r="P111" s="422"/>
    </row>
    <row r="112" spans="1:16">
      <c r="B112" s="350"/>
      <c r="C112" s="701" t="s">
        <v>218</v>
      </c>
      <c r="D112" s="701"/>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c r="B113" s="271"/>
      <c r="C113" s="700" t="s">
        <v>257</v>
      </c>
      <c r="D113" s="700"/>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c r="B114" s="271"/>
      <c r="C114" s="700" t="s">
        <v>258</v>
      </c>
      <c r="D114" s="700"/>
      <c r="E114" s="265"/>
      <c r="F114" s="263"/>
      <c r="G114" s="263"/>
      <c r="H114" s="265"/>
      <c r="I114" s="265"/>
      <c r="J114" s="266">
        <f>J113-(E32*G32*J32)</f>
        <v>300</v>
      </c>
      <c r="K114" s="265">
        <f>K113-(E32*G32*K32)</f>
        <v>180</v>
      </c>
      <c r="L114" s="265"/>
      <c r="M114" s="265"/>
      <c r="N114" s="265"/>
      <c r="O114" s="265"/>
      <c r="P114" s="272"/>
    </row>
    <row r="115" spans="2:16">
      <c r="B115" s="273"/>
      <c r="C115" s="707"/>
      <c r="D115" s="707"/>
      <c r="E115" s="258"/>
      <c r="F115" s="256"/>
      <c r="G115" s="256"/>
      <c r="H115" s="258"/>
      <c r="I115" s="258"/>
      <c r="J115" s="258"/>
      <c r="K115" s="258"/>
      <c r="L115" s="258"/>
      <c r="M115" s="258"/>
      <c r="N115" s="258"/>
      <c r="O115" s="258"/>
      <c r="P115" s="274"/>
    </row>
    <row r="116" spans="2:16">
      <c r="B116" s="273"/>
      <c r="C116" s="257"/>
      <c r="D116" s="258"/>
      <c r="E116" s="258"/>
      <c r="F116" s="256"/>
      <c r="G116" s="256"/>
      <c r="H116" s="258"/>
      <c r="I116" s="258"/>
      <c r="J116" s="258"/>
      <c r="K116" s="258"/>
      <c r="L116" s="258"/>
      <c r="M116" s="258"/>
      <c r="N116" s="258"/>
      <c r="O116" s="258"/>
      <c r="P116" s="274"/>
    </row>
    <row r="117" spans="2:16">
      <c r="B117" s="377"/>
      <c r="C117" s="698" t="s">
        <v>323</v>
      </c>
      <c r="D117" s="698"/>
      <c r="E117" s="249"/>
      <c r="F117" s="260"/>
      <c r="G117" s="249"/>
      <c r="H117" s="261">
        <f>'3.  Distribution Rates'!$K36</f>
        <v>0</v>
      </c>
      <c r="I117" s="261">
        <f>'3.  Distribution Rates'!K37</f>
        <v>0</v>
      </c>
      <c r="J117" s="261">
        <f>'3.  Distribution Rates'!K38</f>
        <v>0</v>
      </c>
      <c r="K117" s="261">
        <f>'3.  Distribution Rates'!K39</f>
        <v>0</v>
      </c>
      <c r="L117" s="261">
        <f>'3.  Distribution Rates'!K40</f>
        <v>0</v>
      </c>
      <c r="M117" s="261">
        <f>'3.  Distribution Rates'!K41</f>
        <v>0</v>
      </c>
      <c r="N117" s="261">
        <f>'3.  Distribution Rates'!K42</f>
        <v>0</v>
      </c>
      <c r="O117" s="261"/>
      <c r="P117" s="378"/>
    </row>
    <row r="118" spans="2:16">
      <c r="B118" s="377"/>
      <c r="C118" s="698" t="s">
        <v>265</v>
      </c>
      <c r="D118" s="698"/>
      <c r="E118" s="258"/>
      <c r="F118" s="260"/>
      <c r="G118" s="260"/>
      <c r="H118" s="294"/>
      <c r="I118" s="294"/>
      <c r="J118" s="294"/>
      <c r="K118" s="294"/>
      <c r="L118" s="294"/>
      <c r="M118" s="294"/>
      <c r="N118" s="294"/>
      <c r="O118" s="249"/>
      <c r="P118" s="275">
        <f>SUM(H118:O118)</f>
        <v>0</v>
      </c>
    </row>
    <row r="119" spans="2:16">
      <c r="B119" s="377"/>
      <c r="C119" s="698" t="s">
        <v>266</v>
      </c>
      <c r="D119" s="698"/>
      <c r="E119" s="258"/>
      <c r="F119" s="260"/>
      <c r="G119" s="260"/>
      <c r="H119" s="294"/>
      <c r="I119" s="294"/>
      <c r="J119" s="294"/>
      <c r="K119" s="294"/>
      <c r="L119" s="294"/>
      <c r="M119" s="294"/>
      <c r="N119" s="294"/>
      <c r="O119" s="249"/>
      <c r="P119" s="275">
        <f>SUM(H119:O119)</f>
        <v>0</v>
      </c>
    </row>
    <row r="120" spans="2:16">
      <c r="B120" s="377"/>
      <c r="C120" s="698" t="s">
        <v>267</v>
      </c>
      <c r="D120" s="698"/>
      <c r="E120" s="258"/>
      <c r="F120" s="260"/>
      <c r="G120" s="260"/>
      <c r="H120" s="294"/>
      <c r="I120" s="294"/>
      <c r="J120" s="294"/>
      <c r="K120" s="294"/>
      <c r="L120" s="294"/>
      <c r="M120" s="294"/>
      <c r="N120" s="294"/>
      <c r="O120" s="249"/>
      <c r="P120" s="275">
        <f t="shared" ref="P120" si="2">SUM(H120:O120)</f>
        <v>0</v>
      </c>
    </row>
    <row r="121" spans="2:16">
      <c r="B121" s="377"/>
      <c r="C121" s="698" t="s">
        <v>268</v>
      </c>
      <c r="D121" s="698"/>
      <c r="E121" s="258"/>
      <c r="F121" s="260"/>
      <c r="G121" s="260"/>
      <c r="H121" s="294"/>
      <c r="I121" s="294"/>
      <c r="J121" s="294"/>
      <c r="K121" s="294"/>
      <c r="L121" s="294"/>
      <c r="M121" s="294"/>
      <c r="N121" s="294"/>
      <c r="O121" s="249"/>
      <c r="P121" s="275">
        <f>SUM(H121:O121)</f>
        <v>0</v>
      </c>
    </row>
    <row r="122" spans="2:16">
      <c r="B122" s="377"/>
      <c r="C122" s="698" t="s">
        <v>269</v>
      </c>
      <c r="D122" s="698"/>
      <c r="E122" s="258"/>
      <c r="F122" s="260"/>
      <c r="G122" s="260"/>
      <c r="H122" s="374" t="e">
        <f>'5.  2015 LRAM'!H126*H117</f>
        <v>#DIV/0!</v>
      </c>
      <c r="I122" s="374" t="e">
        <f>'5.  2015 LRAM'!I126*I117</f>
        <v>#DIV/0!</v>
      </c>
      <c r="J122" s="374" t="e">
        <f>'5.  2015 LRAM'!J125*J117</f>
        <v>#DIV/0!</v>
      </c>
      <c r="K122" s="374" t="e">
        <f>'5.  2015 LRAM'!K125*K117</f>
        <v>#DIV/0!</v>
      </c>
      <c r="L122" s="374" t="e">
        <f>'5.  2015 LRAM'!L125*L117</f>
        <v>#DIV/0!</v>
      </c>
      <c r="M122" s="374" t="e">
        <f>'5.  2015 LRAM'!M125*M117</f>
        <v>#DIV/0!</v>
      </c>
      <c r="N122" s="374" t="e">
        <f>'5.  2015 LRAM'!N125*N117</f>
        <v>#DIV/0!</v>
      </c>
      <c r="O122" s="249"/>
      <c r="P122" s="275" t="e">
        <f t="shared" ref="P122:P123" si="3">SUM(H122:O122)</f>
        <v>#DIV/0!</v>
      </c>
    </row>
    <row r="123" spans="2:16">
      <c r="B123" s="377"/>
      <c r="C123" s="698" t="s">
        <v>270</v>
      </c>
      <c r="D123" s="698"/>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c r="B124" s="377"/>
      <c r="C124" s="698" t="s">
        <v>275</v>
      </c>
      <c r="D124" s="698"/>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c r="B126" s="273"/>
      <c r="C126" s="375"/>
      <c r="D126" s="258"/>
      <c r="E126" s="258"/>
      <c r="F126" s="256"/>
      <c r="G126" s="256"/>
      <c r="H126" s="262"/>
      <c r="I126" s="262"/>
      <c r="J126" s="262"/>
      <c r="K126" s="262"/>
      <c r="L126" s="262"/>
      <c r="M126" s="262"/>
      <c r="N126" s="262"/>
      <c r="O126" s="258"/>
      <c r="P126" s="276"/>
    </row>
    <row r="127" spans="2:16">
      <c r="B127" s="415"/>
      <c r="C127" s="698" t="s">
        <v>272</v>
      </c>
      <c r="D127" s="698"/>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c r="B128" s="415"/>
      <c r="C128" s="698" t="s">
        <v>273</v>
      </c>
      <c r="D128" s="698"/>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c r="B129" s="416"/>
      <c r="C129" s="699" t="s">
        <v>274</v>
      </c>
      <c r="D129" s="699"/>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cols>
    <col min="1" max="1" width="6.42578125" style="23"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23" customWidth="1"/>
    <col min="18" max="16384" width="8.85546875" style="23"/>
  </cols>
  <sheetData>
    <row r="2" spans="1:18" ht="18.75" customHeight="1">
      <c r="B2" s="747" t="s">
        <v>276</v>
      </c>
      <c r="C2" s="747"/>
      <c r="D2" s="747"/>
      <c r="E2" s="747"/>
      <c r="F2" s="747"/>
      <c r="G2" s="747"/>
      <c r="H2" s="747"/>
      <c r="I2" s="747"/>
      <c r="J2" s="747"/>
      <c r="K2" s="747"/>
      <c r="L2" s="747"/>
      <c r="M2" s="747"/>
      <c r="N2" s="747"/>
      <c r="O2" s="747"/>
      <c r="P2" s="747"/>
    </row>
    <row r="3" spans="1:18" ht="18.75" outlineLevel="1">
      <c r="B3" s="435"/>
      <c r="C3" s="436"/>
      <c r="D3" s="436"/>
      <c r="E3" s="436"/>
      <c r="F3" s="436"/>
      <c r="G3" s="436"/>
      <c r="H3" s="436"/>
      <c r="I3" s="436"/>
      <c r="J3" s="436"/>
      <c r="K3" s="436"/>
      <c r="L3" s="436"/>
      <c r="M3" s="436"/>
      <c r="N3" s="436"/>
      <c r="O3" s="436"/>
      <c r="P3" s="436"/>
    </row>
    <row r="4" spans="1:18" ht="35.25" customHeight="1" outlineLevel="1">
      <c r="A4" s="64"/>
      <c r="B4" s="435"/>
      <c r="C4" s="365" t="s">
        <v>396</v>
      </c>
      <c r="D4" s="436"/>
      <c r="E4" s="748" t="s">
        <v>359</v>
      </c>
      <c r="F4" s="748"/>
      <c r="G4" s="748"/>
      <c r="H4" s="748"/>
      <c r="I4" s="748"/>
      <c r="J4" s="748"/>
      <c r="K4" s="748"/>
      <c r="L4" s="748"/>
      <c r="M4" s="748"/>
      <c r="N4" s="748"/>
      <c r="O4" s="748"/>
      <c r="P4" s="748"/>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735" t="s">
        <v>360</v>
      </c>
      <c r="F9" s="735"/>
      <c r="G9" s="435"/>
      <c r="H9" s="435"/>
      <c r="I9" s="435"/>
      <c r="J9" s="435"/>
      <c r="K9" s="435"/>
      <c r="L9" s="435"/>
      <c r="M9" s="435"/>
      <c r="N9" s="435"/>
      <c r="O9" s="435"/>
      <c r="P9" s="435"/>
      <c r="R9" s="81"/>
    </row>
    <row r="10" spans="1:18" ht="18.75" customHeight="1" outlineLevel="1">
      <c r="B10" s="435"/>
      <c r="C10" s="435"/>
      <c r="D10" s="435"/>
      <c r="E10" s="650" t="s">
        <v>335</v>
      </c>
      <c r="F10" s="650"/>
      <c r="G10" s="435"/>
      <c r="H10" s="435"/>
      <c r="I10" s="435"/>
      <c r="J10" s="435"/>
      <c r="K10" s="435"/>
      <c r="L10" s="435"/>
      <c r="M10" s="435"/>
      <c r="N10" s="435"/>
      <c r="O10" s="435"/>
      <c r="P10" s="435"/>
    </row>
    <row r="11" spans="1:18" ht="18.75" customHeight="1">
      <c r="B11" s="435"/>
      <c r="C11" s="435"/>
      <c r="D11" s="435"/>
      <c r="E11" s="134"/>
      <c r="G11" s="435"/>
      <c r="H11" s="435"/>
      <c r="I11" s="435"/>
      <c r="J11" s="435"/>
      <c r="K11" s="435"/>
      <c r="L11" s="435"/>
      <c r="M11" s="435"/>
      <c r="N11" s="435"/>
      <c r="O11" s="435"/>
      <c r="P11" s="435"/>
    </row>
    <row r="12" spans="1:18">
      <c r="A12" s="48"/>
      <c r="B12" s="438" t="s">
        <v>471</v>
      </c>
      <c r="C12" s="439"/>
      <c r="D12" s="440"/>
      <c r="E12" s="440"/>
    </row>
    <row r="13" spans="1:18" ht="45">
      <c r="B13" s="739" t="s">
        <v>59</v>
      </c>
      <c r="C13" s="741" t="s">
        <v>0</v>
      </c>
      <c r="D13" s="741" t="s">
        <v>45</v>
      </c>
      <c r="E13" s="741" t="s">
        <v>202</v>
      </c>
      <c r="F13" s="234" t="s">
        <v>199</v>
      </c>
      <c r="G13" s="234" t="s">
        <v>46</v>
      </c>
      <c r="H13" s="743" t="s">
        <v>60</v>
      </c>
      <c r="I13" s="743"/>
      <c r="J13" s="743"/>
      <c r="K13" s="743"/>
      <c r="L13" s="743"/>
      <c r="M13" s="743"/>
      <c r="N13" s="743"/>
      <c r="O13" s="743"/>
      <c r="P13" s="744"/>
    </row>
    <row r="14" spans="1:18" ht="60">
      <c r="B14" s="740"/>
      <c r="C14" s="742"/>
      <c r="D14" s="742"/>
      <c r="E14" s="74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726" t="s">
        <v>138</v>
      </c>
      <c r="C15" s="727"/>
      <c r="D15" s="727"/>
      <c r="E15" s="727"/>
      <c r="F15" s="727"/>
      <c r="G15" s="727"/>
      <c r="H15" s="727"/>
      <c r="I15" s="727"/>
      <c r="J15" s="727"/>
      <c r="K15" s="727"/>
      <c r="L15" s="727"/>
      <c r="M15" s="727"/>
      <c r="N15" s="727"/>
      <c r="O15" s="727"/>
      <c r="P15" s="728"/>
    </row>
    <row r="16" spans="1:18" ht="26.25" customHeight="1">
      <c r="A16" s="50"/>
      <c r="B16" s="720" t="s">
        <v>139</v>
      </c>
      <c r="C16" s="721"/>
      <c r="D16" s="721"/>
      <c r="E16" s="721"/>
      <c r="F16" s="721"/>
      <c r="G16" s="721"/>
      <c r="H16" s="721"/>
      <c r="I16" s="721"/>
      <c r="J16" s="721"/>
      <c r="K16" s="721"/>
      <c r="L16" s="721"/>
      <c r="M16" s="721"/>
      <c r="N16" s="721"/>
      <c r="O16" s="721"/>
      <c r="P16" s="722"/>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8.5">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277</v>
      </c>
      <c r="C23" s="406"/>
      <c r="D23" s="249" t="s">
        <v>250</v>
      </c>
      <c r="E23" s="409"/>
      <c r="F23" s="294"/>
      <c r="G23" s="294"/>
      <c r="H23" s="418"/>
      <c r="I23" s="408"/>
      <c r="J23" s="408"/>
      <c r="K23" s="408"/>
      <c r="L23" s="408"/>
      <c r="M23" s="408"/>
      <c r="N23" s="408"/>
      <c r="O23" s="408"/>
      <c r="P23" s="422">
        <f t="shared" si="0"/>
        <v>0</v>
      </c>
    </row>
    <row r="24" spans="1:16">
      <c r="A24" s="50"/>
      <c r="B24" s="421"/>
      <c r="C24" s="406"/>
      <c r="D24" s="249"/>
      <c r="E24" s="409"/>
      <c r="F24" s="294"/>
      <c r="G24" s="294"/>
      <c r="H24" s="418"/>
      <c r="I24" s="408"/>
      <c r="J24" s="408"/>
      <c r="K24" s="408"/>
      <c r="L24" s="408"/>
      <c r="M24" s="408"/>
      <c r="N24" s="408"/>
      <c r="O24" s="408"/>
      <c r="P24" s="422">
        <f t="shared" si="0"/>
        <v>0</v>
      </c>
    </row>
    <row r="25" spans="1:16">
      <c r="A25" s="50"/>
      <c r="B25" s="421"/>
      <c r="C25" s="406"/>
      <c r="D25" s="249"/>
      <c r="E25" s="409"/>
      <c r="F25" s="294"/>
      <c r="G25" s="294"/>
      <c r="H25" s="418"/>
      <c r="I25" s="408"/>
      <c r="J25" s="408"/>
      <c r="K25" s="408"/>
      <c r="L25" s="408"/>
      <c r="M25" s="408"/>
      <c r="N25" s="408"/>
      <c r="O25" s="408"/>
      <c r="P25" s="422">
        <f t="shared" si="0"/>
        <v>0</v>
      </c>
    </row>
    <row r="26" spans="1:16">
      <c r="A26" s="50"/>
      <c r="B26" s="421"/>
      <c r="C26" s="406"/>
      <c r="D26" s="249"/>
      <c r="E26" s="409"/>
      <c r="F26" s="294"/>
      <c r="G26" s="294"/>
      <c r="H26" s="418"/>
      <c r="I26" s="408"/>
      <c r="J26" s="408"/>
      <c r="K26" s="408"/>
      <c r="L26" s="408"/>
      <c r="M26" s="408"/>
      <c r="N26" s="408"/>
      <c r="O26" s="408"/>
      <c r="P26" s="422">
        <f t="shared" si="0"/>
        <v>0</v>
      </c>
    </row>
    <row r="27" spans="1:16" ht="25.5" customHeight="1">
      <c r="A27" s="50"/>
      <c r="B27" s="720" t="s">
        <v>146</v>
      </c>
      <c r="C27" s="721"/>
      <c r="D27" s="721"/>
      <c r="E27" s="721"/>
      <c r="F27" s="721"/>
      <c r="G27" s="721"/>
      <c r="H27" s="721"/>
      <c r="I27" s="721"/>
      <c r="J27" s="721"/>
      <c r="K27" s="721"/>
      <c r="L27" s="721"/>
      <c r="M27" s="721"/>
      <c r="N27" s="721"/>
      <c r="O27" s="721"/>
      <c r="P27" s="722"/>
    </row>
    <row r="28" spans="1:16">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50"/>
      <c r="B31" s="421">
        <v>10</v>
      </c>
      <c r="C31" s="406" t="s">
        <v>150</v>
      </c>
      <c r="D31" s="249" t="s">
        <v>34</v>
      </c>
      <c r="E31" s="409">
        <v>12</v>
      </c>
      <c r="F31" s="294"/>
      <c r="G31" s="294"/>
      <c r="H31" s="408"/>
      <c r="I31" s="418">
        <v>1</v>
      </c>
      <c r="J31" s="408"/>
      <c r="K31" s="408"/>
      <c r="L31" s="408"/>
      <c r="M31" s="408"/>
      <c r="N31" s="408"/>
      <c r="O31" s="408"/>
      <c r="P31" s="422">
        <f t="shared" si="0"/>
        <v>1</v>
      </c>
    </row>
    <row r="32" spans="1:16" ht="28.5">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277</v>
      </c>
      <c r="C33" s="406"/>
      <c r="D33" s="249" t="s">
        <v>250</v>
      </c>
      <c r="E33" s="409"/>
      <c r="F33" s="294"/>
      <c r="G33" s="294"/>
      <c r="H33" s="408"/>
      <c r="I33" s="408"/>
      <c r="J33" s="408"/>
      <c r="K33" s="408"/>
      <c r="L33" s="408"/>
      <c r="M33" s="408"/>
      <c r="N33" s="408"/>
      <c r="O33" s="408"/>
      <c r="P33" s="422">
        <f t="shared" si="0"/>
        <v>0</v>
      </c>
    </row>
    <row r="34" spans="1:16">
      <c r="A34" s="50"/>
      <c r="B34" s="421"/>
      <c r="C34" s="406"/>
      <c r="D34" s="249"/>
      <c r="E34" s="409"/>
      <c r="F34" s="294"/>
      <c r="G34" s="294"/>
      <c r="H34" s="408"/>
      <c r="I34" s="408"/>
      <c r="J34" s="408"/>
      <c r="K34" s="408"/>
      <c r="L34" s="408"/>
      <c r="M34" s="408"/>
      <c r="N34" s="408"/>
      <c r="O34" s="408"/>
      <c r="P34" s="422">
        <f t="shared" si="0"/>
        <v>0</v>
      </c>
    </row>
    <row r="35" spans="1:16">
      <c r="A35" s="50"/>
      <c r="B35" s="421"/>
      <c r="C35" s="406"/>
      <c r="D35" s="249"/>
      <c r="E35" s="409"/>
      <c r="F35" s="294"/>
      <c r="G35" s="294"/>
      <c r="H35" s="408"/>
      <c r="I35" s="408"/>
      <c r="J35" s="408"/>
      <c r="K35" s="408"/>
      <c r="L35" s="408"/>
      <c r="M35" s="408"/>
      <c r="N35" s="408"/>
      <c r="O35" s="408"/>
      <c r="P35" s="422">
        <f t="shared" si="0"/>
        <v>0</v>
      </c>
    </row>
    <row r="36" spans="1:16">
      <c r="A36" s="50"/>
      <c r="B36" s="421"/>
      <c r="C36" s="406"/>
      <c r="D36" s="249"/>
      <c r="E36" s="409"/>
      <c r="F36" s="294"/>
      <c r="G36" s="294"/>
      <c r="H36" s="408"/>
      <c r="I36" s="408"/>
      <c r="J36" s="408"/>
      <c r="K36" s="408"/>
      <c r="L36" s="408"/>
      <c r="M36" s="408"/>
      <c r="N36" s="408"/>
      <c r="O36" s="408"/>
      <c r="P36" s="422">
        <f t="shared" si="0"/>
        <v>0</v>
      </c>
    </row>
    <row r="37" spans="1:16" ht="26.25" customHeight="1">
      <c r="A37" s="50"/>
      <c r="B37" s="720" t="s">
        <v>11</v>
      </c>
      <c r="C37" s="721"/>
      <c r="D37" s="721"/>
      <c r="E37" s="721"/>
      <c r="F37" s="721"/>
      <c r="G37" s="721"/>
      <c r="H37" s="721"/>
      <c r="I37" s="721"/>
      <c r="J37" s="721"/>
      <c r="K37" s="721"/>
      <c r="L37" s="721"/>
      <c r="M37" s="721"/>
      <c r="N37" s="721"/>
      <c r="O37" s="721"/>
      <c r="P37" s="722"/>
    </row>
    <row r="38" spans="1:16" ht="28.5">
      <c r="A38" s="50"/>
      <c r="B38" s="421">
        <v>12</v>
      </c>
      <c r="C38" s="406" t="s">
        <v>152</v>
      </c>
      <c r="D38" s="249" t="s">
        <v>34</v>
      </c>
      <c r="E38" s="409">
        <v>12</v>
      </c>
      <c r="F38" s="294"/>
      <c r="G38" s="294"/>
      <c r="H38" s="408"/>
      <c r="I38" s="408"/>
      <c r="J38" s="418">
        <v>1</v>
      </c>
      <c r="K38" s="408"/>
      <c r="L38" s="408"/>
      <c r="M38" s="408"/>
      <c r="N38" s="408"/>
      <c r="O38" s="408"/>
      <c r="P38" s="422">
        <f t="shared" si="0"/>
        <v>1</v>
      </c>
    </row>
    <row r="39" spans="1:16" ht="28.5">
      <c r="A39" s="50"/>
      <c r="B39" s="421">
        <v>13</v>
      </c>
      <c r="C39" s="406" t="s">
        <v>153</v>
      </c>
      <c r="D39" s="249" t="s">
        <v>34</v>
      </c>
      <c r="E39" s="409">
        <v>12</v>
      </c>
      <c r="F39" s="294"/>
      <c r="G39" s="294"/>
      <c r="H39" s="408"/>
      <c r="I39" s="408"/>
      <c r="J39" s="418">
        <v>1</v>
      </c>
      <c r="K39" s="408"/>
      <c r="L39" s="408"/>
      <c r="M39" s="408"/>
      <c r="N39" s="408"/>
      <c r="O39" s="408"/>
      <c r="P39" s="422">
        <f t="shared" si="0"/>
        <v>1</v>
      </c>
    </row>
    <row r="40" spans="1:16" ht="28.5">
      <c r="A40" s="50"/>
      <c r="B40" s="421">
        <v>14</v>
      </c>
      <c r="C40" s="406" t="s">
        <v>154</v>
      </c>
      <c r="D40" s="249" t="s">
        <v>34</v>
      </c>
      <c r="E40" s="409">
        <v>12</v>
      </c>
      <c r="F40" s="294"/>
      <c r="G40" s="294"/>
      <c r="H40" s="408"/>
      <c r="I40" s="408"/>
      <c r="J40" s="418">
        <v>1</v>
      </c>
      <c r="K40" s="408"/>
      <c r="L40" s="408"/>
      <c r="M40" s="408"/>
      <c r="N40" s="408"/>
      <c r="O40" s="408"/>
      <c r="P40" s="422">
        <f t="shared" si="0"/>
        <v>1</v>
      </c>
    </row>
    <row r="41" spans="1:16">
      <c r="A41" s="50"/>
      <c r="B41" s="423" t="s">
        <v>277</v>
      </c>
      <c r="C41" s="406"/>
      <c r="D41" s="249" t="s">
        <v>250</v>
      </c>
      <c r="E41" s="409"/>
      <c r="F41" s="294"/>
      <c r="G41" s="294"/>
      <c r="H41" s="408"/>
      <c r="I41" s="408"/>
      <c r="J41" s="408"/>
      <c r="K41" s="408"/>
      <c r="L41" s="408"/>
      <c r="M41" s="408"/>
      <c r="N41" s="408"/>
      <c r="O41" s="408"/>
      <c r="P41" s="422">
        <f t="shared" si="0"/>
        <v>0</v>
      </c>
    </row>
    <row r="42" spans="1:16">
      <c r="A42" s="50"/>
      <c r="B42" s="421"/>
      <c r="C42" s="406"/>
      <c r="D42" s="249"/>
      <c r="E42" s="409"/>
      <c r="F42" s="294"/>
      <c r="G42" s="294"/>
      <c r="H42" s="408"/>
      <c r="I42" s="408"/>
      <c r="J42" s="408"/>
      <c r="K42" s="408"/>
      <c r="L42" s="408"/>
      <c r="M42" s="408"/>
      <c r="N42" s="408"/>
      <c r="O42" s="408"/>
      <c r="P42" s="422">
        <f t="shared" si="0"/>
        <v>0</v>
      </c>
    </row>
    <row r="43" spans="1:16">
      <c r="A43" s="50"/>
      <c r="B43" s="421"/>
      <c r="C43" s="406"/>
      <c r="D43" s="249"/>
      <c r="E43" s="409"/>
      <c r="F43" s="294"/>
      <c r="G43" s="294"/>
      <c r="H43" s="408"/>
      <c r="I43" s="408"/>
      <c r="J43" s="408"/>
      <c r="K43" s="408"/>
      <c r="L43" s="408"/>
      <c r="M43" s="408"/>
      <c r="N43" s="408"/>
      <c r="O43" s="408"/>
      <c r="P43" s="422">
        <f t="shared" si="0"/>
        <v>0</v>
      </c>
    </row>
    <row r="44" spans="1:16">
      <c r="A44" s="50"/>
      <c r="B44" s="421"/>
      <c r="C44" s="406"/>
      <c r="D44" s="249"/>
      <c r="E44" s="409"/>
      <c r="F44" s="294"/>
      <c r="G44" s="294"/>
      <c r="H44" s="408"/>
      <c r="I44" s="408"/>
      <c r="J44" s="408"/>
      <c r="K44" s="408"/>
      <c r="L44" s="408"/>
      <c r="M44" s="408"/>
      <c r="N44" s="408"/>
      <c r="O44" s="408"/>
      <c r="P44" s="422">
        <f t="shared" si="0"/>
        <v>0</v>
      </c>
    </row>
    <row r="45" spans="1:16" ht="24" customHeight="1">
      <c r="A45" s="50"/>
      <c r="B45" s="720" t="s">
        <v>155</v>
      </c>
      <c r="C45" s="721"/>
      <c r="D45" s="721"/>
      <c r="E45" s="721"/>
      <c r="F45" s="721"/>
      <c r="G45" s="721"/>
      <c r="H45" s="721"/>
      <c r="I45" s="721"/>
      <c r="J45" s="721"/>
      <c r="K45" s="721"/>
      <c r="L45" s="721"/>
      <c r="M45" s="721"/>
      <c r="N45" s="721"/>
      <c r="O45" s="721"/>
      <c r="P45" s="722"/>
    </row>
    <row r="46" spans="1:16">
      <c r="A46" s="50"/>
      <c r="B46" s="421">
        <v>15</v>
      </c>
      <c r="C46" s="406" t="s">
        <v>156</v>
      </c>
      <c r="D46" s="249" t="s">
        <v>34</v>
      </c>
      <c r="E46" s="409"/>
      <c r="F46" s="294"/>
      <c r="G46" s="294"/>
      <c r="H46" s="418">
        <v>1</v>
      </c>
      <c r="I46" s="408"/>
      <c r="J46" s="408"/>
      <c r="K46" s="408"/>
      <c r="L46" s="408"/>
      <c r="M46" s="408"/>
      <c r="N46" s="408"/>
      <c r="O46" s="408"/>
      <c r="P46" s="422">
        <f t="shared" si="0"/>
        <v>1</v>
      </c>
    </row>
    <row r="47" spans="1:16">
      <c r="A47" s="50"/>
      <c r="B47" s="423" t="s">
        <v>277</v>
      </c>
      <c r="C47" s="406"/>
      <c r="D47" s="249" t="s">
        <v>250</v>
      </c>
      <c r="E47" s="409"/>
      <c r="F47" s="294"/>
      <c r="G47" s="294"/>
      <c r="H47" s="418"/>
      <c r="I47" s="408"/>
      <c r="J47" s="408"/>
      <c r="K47" s="408"/>
      <c r="L47" s="408"/>
      <c r="M47" s="408"/>
      <c r="N47" s="408"/>
      <c r="O47" s="408"/>
      <c r="P47" s="422">
        <f t="shared" si="0"/>
        <v>0</v>
      </c>
    </row>
    <row r="48" spans="1:16">
      <c r="A48" s="50"/>
      <c r="B48" s="421"/>
      <c r="C48" s="406"/>
      <c r="D48" s="249"/>
      <c r="E48" s="409"/>
      <c r="F48" s="294"/>
      <c r="G48" s="294"/>
      <c r="H48" s="418"/>
      <c r="I48" s="408"/>
      <c r="J48" s="408"/>
      <c r="K48" s="408"/>
      <c r="L48" s="408"/>
      <c r="M48" s="408"/>
      <c r="N48" s="408"/>
      <c r="O48" s="408"/>
      <c r="P48" s="422">
        <f t="shared" si="0"/>
        <v>0</v>
      </c>
    </row>
    <row r="49" spans="1:16">
      <c r="A49" s="50"/>
      <c r="B49" s="421"/>
      <c r="C49" s="406"/>
      <c r="D49" s="249"/>
      <c r="E49" s="409"/>
      <c r="F49" s="294"/>
      <c r="G49" s="294"/>
      <c r="H49" s="418"/>
      <c r="I49" s="408"/>
      <c r="J49" s="408"/>
      <c r="K49" s="408"/>
      <c r="L49" s="408"/>
      <c r="M49" s="408"/>
      <c r="N49" s="408"/>
      <c r="O49" s="408"/>
      <c r="P49" s="422"/>
    </row>
    <row r="50" spans="1:16">
      <c r="A50" s="50"/>
      <c r="B50" s="421"/>
      <c r="C50" s="406"/>
      <c r="D50" s="249"/>
      <c r="E50" s="409"/>
      <c r="F50" s="294"/>
      <c r="G50" s="294"/>
      <c r="H50" s="418"/>
      <c r="I50" s="408"/>
      <c r="J50" s="408"/>
      <c r="K50" s="408"/>
      <c r="L50" s="408"/>
      <c r="M50" s="408"/>
      <c r="N50" s="408"/>
      <c r="O50" s="408"/>
      <c r="P50" s="422">
        <f t="shared" si="0"/>
        <v>0</v>
      </c>
    </row>
    <row r="51" spans="1:16" ht="21" customHeight="1">
      <c r="A51" s="48"/>
      <c r="B51" s="720" t="s">
        <v>157</v>
      </c>
      <c r="C51" s="721"/>
      <c r="D51" s="721"/>
      <c r="E51" s="721"/>
      <c r="F51" s="721"/>
      <c r="G51" s="721"/>
      <c r="H51" s="721"/>
      <c r="I51" s="721"/>
      <c r="J51" s="721"/>
      <c r="K51" s="721"/>
      <c r="L51" s="721"/>
      <c r="M51" s="721"/>
      <c r="N51" s="721"/>
      <c r="O51" s="721"/>
      <c r="P51" s="722"/>
    </row>
    <row r="52" spans="1:16">
      <c r="A52" s="50"/>
      <c r="B52" s="421">
        <v>16</v>
      </c>
      <c r="C52" s="406" t="s">
        <v>158</v>
      </c>
      <c r="D52" s="249" t="s">
        <v>34</v>
      </c>
      <c r="E52" s="409"/>
      <c r="F52" s="294"/>
      <c r="G52" s="294"/>
      <c r="H52" s="408"/>
      <c r="I52" s="408"/>
      <c r="J52" s="408"/>
      <c r="K52" s="408"/>
      <c r="L52" s="408"/>
      <c r="M52" s="408"/>
      <c r="N52" s="408"/>
      <c r="O52" s="408"/>
      <c r="P52" s="422">
        <f t="shared" si="0"/>
        <v>0</v>
      </c>
    </row>
    <row r="53" spans="1:16">
      <c r="A53" s="50"/>
      <c r="B53" s="421">
        <v>17</v>
      </c>
      <c r="C53" s="406" t="s">
        <v>159</v>
      </c>
      <c r="D53" s="249" t="s">
        <v>34</v>
      </c>
      <c r="E53" s="409"/>
      <c r="F53" s="294"/>
      <c r="G53" s="294"/>
      <c r="H53" s="408"/>
      <c r="I53" s="408"/>
      <c r="J53" s="408"/>
      <c r="K53" s="408"/>
      <c r="L53" s="408"/>
      <c r="M53" s="408"/>
      <c r="N53" s="408"/>
      <c r="O53" s="408"/>
      <c r="P53" s="422">
        <f t="shared" si="0"/>
        <v>0</v>
      </c>
    </row>
    <row r="54" spans="1:16">
      <c r="A54" s="50"/>
      <c r="B54" s="421">
        <v>18</v>
      </c>
      <c r="C54" s="406" t="s">
        <v>160</v>
      </c>
      <c r="D54" s="249" t="s">
        <v>34</v>
      </c>
      <c r="E54" s="409"/>
      <c r="F54" s="294"/>
      <c r="G54" s="294"/>
      <c r="H54" s="408"/>
      <c r="I54" s="408"/>
      <c r="J54" s="408"/>
      <c r="K54" s="408"/>
      <c r="L54" s="408"/>
      <c r="M54" s="408"/>
      <c r="N54" s="408"/>
      <c r="O54" s="408"/>
      <c r="P54" s="422">
        <f t="shared" si="0"/>
        <v>0</v>
      </c>
    </row>
    <row r="55" spans="1:16">
      <c r="A55" s="50"/>
      <c r="B55" s="421">
        <v>19</v>
      </c>
      <c r="C55" s="406" t="s">
        <v>161</v>
      </c>
      <c r="D55" s="249" t="s">
        <v>34</v>
      </c>
      <c r="E55" s="409"/>
      <c r="F55" s="294"/>
      <c r="G55" s="294"/>
      <c r="H55" s="408"/>
      <c r="I55" s="408"/>
      <c r="J55" s="408"/>
      <c r="K55" s="408"/>
      <c r="L55" s="408"/>
      <c r="M55" s="408"/>
      <c r="N55" s="408"/>
      <c r="O55" s="408"/>
      <c r="P55" s="422">
        <f t="shared" si="0"/>
        <v>0</v>
      </c>
    </row>
    <row r="56" spans="1:16">
      <c r="A56" s="50"/>
      <c r="B56" s="423" t="s">
        <v>277</v>
      </c>
      <c r="C56" s="406"/>
      <c r="D56" s="249" t="s">
        <v>250</v>
      </c>
      <c r="E56" s="409"/>
      <c r="F56" s="294"/>
      <c r="G56" s="294"/>
      <c r="H56" s="408"/>
      <c r="I56" s="408"/>
      <c r="J56" s="408"/>
      <c r="K56" s="408"/>
      <c r="L56" s="408"/>
      <c r="M56" s="408"/>
      <c r="N56" s="408"/>
      <c r="O56" s="408"/>
      <c r="P56" s="422">
        <f t="shared" si="0"/>
        <v>0</v>
      </c>
    </row>
    <row r="57" spans="1:16">
      <c r="A57" s="50"/>
      <c r="B57" s="423"/>
      <c r="C57" s="406"/>
      <c r="D57" s="249"/>
      <c r="E57" s="409"/>
      <c r="F57" s="294"/>
      <c r="G57" s="294"/>
      <c r="H57" s="408"/>
      <c r="I57" s="408"/>
      <c r="J57" s="408"/>
      <c r="K57" s="408"/>
      <c r="L57" s="408"/>
      <c r="M57" s="408"/>
      <c r="N57" s="408"/>
      <c r="O57" s="408"/>
      <c r="P57" s="422"/>
    </row>
    <row r="58" spans="1:16">
      <c r="A58" s="50"/>
      <c r="B58" s="423"/>
      <c r="C58" s="406"/>
      <c r="D58" s="249"/>
      <c r="E58" s="409"/>
      <c r="F58" s="294"/>
      <c r="G58" s="294"/>
      <c r="H58" s="408"/>
      <c r="I58" s="408"/>
      <c r="J58" s="408"/>
      <c r="K58" s="408"/>
      <c r="L58" s="408"/>
      <c r="M58" s="408"/>
      <c r="N58" s="408"/>
      <c r="O58" s="408"/>
      <c r="P58" s="422"/>
    </row>
    <row r="59" spans="1:16">
      <c r="A59" s="48"/>
      <c r="B59" s="424"/>
      <c r="C59" s="410"/>
      <c r="D59" s="411"/>
      <c r="E59" s="411"/>
      <c r="F59" s="294"/>
      <c r="G59" s="294"/>
      <c r="H59" s="412"/>
      <c r="I59" s="412"/>
      <c r="J59" s="412"/>
      <c r="K59" s="412"/>
      <c r="L59" s="412"/>
      <c r="M59" s="412"/>
      <c r="N59" s="412"/>
      <c r="O59" s="412"/>
      <c r="P59" s="422"/>
    </row>
    <row r="60" spans="1:16" ht="27" customHeight="1">
      <c r="B60" s="726" t="s">
        <v>162</v>
      </c>
      <c r="C60" s="727"/>
      <c r="D60" s="727"/>
      <c r="E60" s="727"/>
      <c r="F60" s="727"/>
      <c r="G60" s="727"/>
      <c r="H60" s="727"/>
      <c r="I60" s="727"/>
      <c r="J60" s="727"/>
      <c r="K60" s="727"/>
      <c r="L60" s="727"/>
      <c r="M60" s="727"/>
      <c r="N60" s="727"/>
      <c r="O60" s="727"/>
      <c r="P60" s="728"/>
    </row>
    <row r="61" spans="1:16" ht="16.5">
      <c r="B61" s="425"/>
      <c r="C61" s="406"/>
      <c r="D61" s="409"/>
      <c r="E61" s="409"/>
      <c r="F61" s="405"/>
      <c r="G61" s="405"/>
      <c r="H61" s="405"/>
      <c r="I61" s="405"/>
      <c r="J61" s="405"/>
      <c r="K61" s="405"/>
      <c r="L61" s="405"/>
      <c r="M61" s="405"/>
      <c r="N61" s="405"/>
      <c r="O61" s="405"/>
      <c r="P61" s="426"/>
    </row>
    <row r="62" spans="1:16" ht="25.5" customHeight="1">
      <c r="A62" s="50"/>
      <c r="B62" s="736" t="s">
        <v>163</v>
      </c>
      <c r="C62" s="737"/>
      <c r="D62" s="737"/>
      <c r="E62" s="737"/>
      <c r="F62" s="737"/>
      <c r="G62" s="737"/>
      <c r="H62" s="737"/>
      <c r="I62" s="737"/>
      <c r="J62" s="737"/>
      <c r="K62" s="737"/>
      <c r="L62" s="737"/>
      <c r="M62" s="737"/>
      <c r="N62" s="737"/>
      <c r="O62" s="737"/>
      <c r="P62" s="738"/>
    </row>
    <row r="63" spans="1:16">
      <c r="A63" s="50"/>
      <c r="B63" s="421">
        <v>21</v>
      </c>
      <c r="C63" s="406" t="s">
        <v>164</v>
      </c>
      <c r="D63" s="249" t="s">
        <v>34</v>
      </c>
      <c r="E63" s="409"/>
      <c r="F63" s="294"/>
      <c r="G63" s="294"/>
      <c r="H63" s="418">
        <v>1</v>
      </c>
      <c r="I63" s="408"/>
      <c r="J63" s="408"/>
      <c r="K63" s="408"/>
      <c r="L63" s="408"/>
      <c r="M63" s="408"/>
      <c r="N63" s="408"/>
      <c r="O63" s="408"/>
      <c r="P63" s="422">
        <f t="shared" si="0"/>
        <v>1</v>
      </c>
    </row>
    <row r="64" spans="1:16" ht="28.5">
      <c r="A64" s="50"/>
      <c r="B64" s="421">
        <v>22</v>
      </c>
      <c r="C64" s="406" t="s">
        <v>165</v>
      </c>
      <c r="D64" s="249" t="s">
        <v>34</v>
      </c>
      <c r="E64" s="409"/>
      <c r="F64" s="294"/>
      <c r="G64" s="294"/>
      <c r="H64" s="418">
        <v>1</v>
      </c>
      <c r="I64" s="408"/>
      <c r="J64" s="408"/>
      <c r="K64" s="408"/>
      <c r="L64" s="408"/>
      <c r="M64" s="408"/>
      <c r="N64" s="408"/>
      <c r="O64" s="408"/>
      <c r="P64" s="422">
        <f t="shared" si="0"/>
        <v>1</v>
      </c>
    </row>
    <row r="65" spans="1:16">
      <c r="A65" s="50"/>
      <c r="B65" s="421">
        <v>23</v>
      </c>
      <c r="C65" s="406" t="s">
        <v>166</v>
      </c>
      <c r="D65" s="249" t="s">
        <v>34</v>
      </c>
      <c r="E65" s="409"/>
      <c r="F65" s="294"/>
      <c r="G65" s="294"/>
      <c r="H65" s="418">
        <v>1</v>
      </c>
      <c r="I65" s="408"/>
      <c r="J65" s="408"/>
      <c r="K65" s="408"/>
      <c r="L65" s="408"/>
      <c r="M65" s="408"/>
      <c r="N65" s="408"/>
      <c r="O65" s="408"/>
      <c r="P65" s="422">
        <f t="shared" si="0"/>
        <v>1</v>
      </c>
    </row>
    <row r="66" spans="1:16">
      <c r="A66" s="50"/>
      <c r="B66" s="421">
        <v>24</v>
      </c>
      <c r="C66" s="406" t="s">
        <v>167</v>
      </c>
      <c r="D66" s="249" t="s">
        <v>34</v>
      </c>
      <c r="E66" s="409"/>
      <c r="F66" s="294"/>
      <c r="G66" s="294"/>
      <c r="H66" s="418">
        <v>1</v>
      </c>
      <c r="I66" s="408"/>
      <c r="J66" s="408"/>
      <c r="K66" s="408"/>
      <c r="L66" s="408"/>
      <c r="M66" s="408"/>
      <c r="N66" s="408"/>
      <c r="O66" s="408"/>
      <c r="P66" s="422">
        <f t="shared" si="0"/>
        <v>1</v>
      </c>
    </row>
    <row r="67" spans="1:16">
      <c r="A67" s="50"/>
      <c r="B67" s="423" t="s">
        <v>277</v>
      </c>
      <c r="C67" s="406"/>
      <c r="D67" s="249" t="s">
        <v>250</v>
      </c>
      <c r="E67" s="409"/>
      <c r="F67" s="294"/>
      <c r="G67" s="294"/>
      <c r="H67" s="418"/>
      <c r="I67" s="408"/>
      <c r="J67" s="408"/>
      <c r="K67" s="408"/>
      <c r="L67" s="408"/>
      <c r="M67" s="408"/>
      <c r="N67" s="408"/>
      <c r="O67" s="408"/>
      <c r="P67" s="422"/>
    </row>
    <row r="68" spans="1:16">
      <c r="A68" s="50"/>
      <c r="B68" s="421"/>
      <c r="C68" s="406"/>
      <c r="D68" s="249"/>
      <c r="E68" s="409"/>
      <c r="F68" s="294"/>
      <c r="G68" s="294"/>
      <c r="H68" s="418"/>
      <c r="I68" s="408"/>
      <c r="J68" s="408"/>
      <c r="K68" s="408"/>
      <c r="L68" s="408"/>
      <c r="M68" s="408"/>
      <c r="N68" s="408"/>
      <c r="O68" s="408"/>
      <c r="P68" s="422"/>
    </row>
    <row r="69" spans="1:16">
      <c r="A69" s="50"/>
      <c r="B69" s="421"/>
      <c r="C69" s="406"/>
      <c r="D69" s="249"/>
      <c r="E69" s="409"/>
      <c r="F69" s="294"/>
      <c r="G69" s="294"/>
      <c r="H69" s="418"/>
      <c r="I69" s="408"/>
      <c r="J69" s="408"/>
      <c r="K69" s="408"/>
      <c r="L69" s="408"/>
      <c r="M69" s="408"/>
      <c r="N69" s="408"/>
      <c r="O69" s="408"/>
      <c r="P69" s="422"/>
    </row>
    <row r="70" spans="1:16">
      <c r="A70" s="50"/>
      <c r="B70" s="421"/>
      <c r="C70" s="406"/>
      <c r="D70" s="249"/>
      <c r="E70" s="409"/>
      <c r="F70" s="294"/>
      <c r="G70" s="294"/>
      <c r="H70" s="408"/>
      <c r="I70" s="408"/>
      <c r="J70" s="408"/>
      <c r="K70" s="408"/>
      <c r="L70" s="408"/>
      <c r="M70" s="408"/>
      <c r="N70" s="408"/>
      <c r="O70" s="408"/>
      <c r="P70" s="422">
        <f t="shared" si="0"/>
        <v>0</v>
      </c>
    </row>
    <row r="71" spans="1:16" ht="28.5" customHeight="1">
      <c r="A71" s="50"/>
      <c r="B71" s="736" t="s">
        <v>168</v>
      </c>
      <c r="C71" s="737"/>
      <c r="D71" s="737"/>
      <c r="E71" s="737"/>
      <c r="F71" s="737"/>
      <c r="G71" s="737"/>
      <c r="H71" s="737"/>
      <c r="I71" s="737"/>
      <c r="J71" s="737"/>
      <c r="K71" s="737"/>
      <c r="L71" s="737"/>
      <c r="M71" s="737"/>
      <c r="N71" s="737"/>
      <c r="O71" s="737"/>
      <c r="P71" s="738"/>
    </row>
    <row r="72" spans="1:16">
      <c r="A72" s="50"/>
      <c r="B72" s="421">
        <v>25</v>
      </c>
      <c r="C72" s="406" t="s">
        <v>169</v>
      </c>
      <c r="D72" s="249" t="s">
        <v>34</v>
      </c>
      <c r="E72" s="409"/>
      <c r="F72" s="294"/>
      <c r="G72" s="294"/>
      <c r="H72" s="408"/>
      <c r="I72" s="418">
        <v>1</v>
      </c>
      <c r="J72" s="408"/>
      <c r="K72" s="408"/>
      <c r="L72" s="408"/>
      <c r="M72" s="408"/>
      <c r="N72" s="408"/>
      <c r="O72" s="408"/>
      <c r="P72" s="422">
        <f t="shared" si="0"/>
        <v>1</v>
      </c>
    </row>
    <row r="73" spans="1:16">
      <c r="A73" s="50"/>
      <c r="B73" s="421">
        <v>26</v>
      </c>
      <c r="C73" s="406" t="s">
        <v>170</v>
      </c>
      <c r="D73" s="249" t="s">
        <v>34</v>
      </c>
      <c r="E73" s="409"/>
      <c r="F73" s="294"/>
      <c r="G73" s="294"/>
      <c r="H73" s="408"/>
      <c r="I73" s="418">
        <v>1</v>
      </c>
      <c r="J73" s="408"/>
      <c r="K73" s="408"/>
      <c r="L73" s="408"/>
      <c r="M73" s="408"/>
      <c r="N73" s="408"/>
      <c r="O73" s="408"/>
      <c r="P73" s="422">
        <f t="shared" si="0"/>
        <v>1</v>
      </c>
    </row>
    <row r="74" spans="1:16" ht="28.5">
      <c r="A74" s="50"/>
      <c r="B74" s="421">
        <v>27</v>
      </c>
      <c r="C74" s="406" t="s">
        <v>171</v>
      </c>
      <c r="D74" s="249" t="s">
        <v>34</v>
      </c>
      <c r="E74" s="409"/>
      <c r="F74" s="294"/>
      <c r="G74" s="294"/>
      <c r="H74" s="408"/>
      <c r="I74" s="418">
        <v>0.8</v>
      </c>
      <c r="J74" s="418">
        <v>0.2</v>
      </c>
      <c r="K74" s="408"/>
      <c r="L74" s="408"/>
      <c r="M74" s="408"/>
      <c r="N74" s="408"/>
      <c r="O74" s="408"/>
      <c r="P74" s="422">
        <f t="shared" si="0"/>
        <v>1</v>
      </c>
    </row>
    <row r="75" spans="1:16" ht="28.5">
      <c r="A75" s="50"/>
      <c r="B75" s="421">
        <v>28</v>
      </c>
      <c r="C75" s="406" t="s">
        <v>172</v>
      </c>
      <c r="D75" s="249" t="s">
        <v>34</v>
      </c>
      <c r="E75" s="409"/>
      <c r="F75" s="294"/>
      <c r="G75" s="294"/>
      <c r="H75" s="408"/>
      <c r="I75" s="408"/>
      <c r="J75" s="408"/>
      <c r="K75" s="408"/>
      <c r="L75" s="408"/>
      <c r="M75" s="408"/>
      <c r="N75" s="408"/>
      <c r="O75" s="408"/>
      <c r="P75" s="422">
        <f t="shared" si="0"/>
        <v>0</v>
      </c>
    </row>
    <row r="76" spans="1:16" ht="28.5">
      <c r="A76" s="50"/>
      <c r="B76" s="421">
        <v>29</v>
      </c>
      <c r="C76" s="406" t="s">
        <v>173</v>
      </c>
      <c r="D76" s="249" t="s">
        <v>34</v>
      </c>
      <c r="E76" s="409"/>
      <c r="F76" s="294"/>
      <c r="G76" s="294"/>
      <c r="H76" s="408"/>
      <c r="I76" s="408"/>
      <c r="J76" s="408"/>
      <c r="K76" s="408"/>
      <c r="L76" s="408"/>
      <c r="M76" s="408"/>
      <c r="N76" s="408"/>
      <c r="O76" s="408"/>
      <c r="P76" s="422">
        <f t="shared" si="0"/>
        <v>0</v>
      </c>
    </row>
    <row r="77" spans="1:16" ht="28.5">
      <c r="A77" s="50"/>
      <c r="B77" s="421">
        <v>30</v>
      </c>
      <c r="C77" s="406" t="s">
        <v>174</v>
      </c>
      <c r="D77" s="249" t="s">
        <v>34</v>
      </c>
      <c r="E77" s="409"/>
      <c r="F77" s="294"/>
      <c r="G77" s="294"/>
      <c r="H77" s="408"/>
      <c r="I77" s="408"/>
      <c r="J77" s="408"/>
      <c r="K77" s="408"/>
      <c r="L77" s="408"/>
      <c r="M77" s="408"/>
      <c r="N77" s="408"/>
      <c r="O77" s="408"/>
      <c r="P77" s="422">
        <f t="shared" si="0"/>
        <v>0</v>
      </c>
    </row>
    <row r="78" spans="1:16" ht="28.5">
      <c r="A78" s="50"/>
      <c r="B78" s="421">
        <v>31</v>
      </c>
      <c r="C78" s="406" t="s">
        <v>175</v>
      </c>
      <c r="D78" s="249" t="s">
        <v>34</v>
      </c>
      <c r="E78" s="409"/>
      <c r="F78" s="294"/>
      <c r="G78" s="294"/>
      <c r="H78" s="408"/>
      <c r="I78" s="408"/>
      <c r="J78" s="408"/>
      <c r="K78" s="408"/>
      <c r="L78" s="408"/>
      <c r="M78" s="408"/>
      <c r="N78" s="408"/>
      <c r="O78" s="408"/>
      <c r="P78" s="422">
        <f t="shared" si="0"/>
        <v>0</v>
      </c>
    </row>
    <row r="79" spans="1:16">
      <c r="A79" s="50"/>
      <c r="B79" s="421">
        <v>32</v>
      </c>
      <c r="C79" s="406" t="s">
        <v>176</v>
      </c>
      <c r="D79" s="249" t="s">
        <v>34</v>
      </c>
      <c r="E79" s="409"/>
      <c r="F79" s="294"/>
      <c r="G79" s="294"/>
      <c r="H79" s="408"/>
      <c r="I79" s="408"/>
      <c r="J79" s="408"/>
      <c r="K79" s="408"/>
      <c r="L79" s="408"/>
      <c r="M79" s="408"/>
      <c r="N79" s="408"/>
      <c r="O79" s="408"/>
      <c r="P79" s="422">
        <f t="shared" si="0"/>
        <v>0</v>
      </c>
    </row>
    <row r="80" spans="1:16">
      <c r="A80" s="50"/>
      <c r="B80" s="423" t="s">
        <v>277</v>
      </c>
      <c r="C80" s="406"/>
      <c r="D80" s="249" t="s">
        <v>250</v>
      </c>
      <c r="E80" s="409"/>
      <c r="F80" s="294"/>
      <c r="G80" s="294"/>
      <c r="H80" s="408"/>
      <c r="I80" s="408"/>
      <c r="J80" s="408"/>
      <c r="K80" s="408"/>
      <c r="L80" s="408"/>
      <c r="M80" s="408"/>
      <c r="N80" s="408"/>
      <c r="O80" s="408"/>
      <c r="P80" s="422"/>
    </row>
    <row r="81" spans="1:16">
      <c r="A81" s="50"/>
      <c r="B81" s="421"/>
      <c r="C81" s="406"/>
      <c r="D81" s="249"/>
      <c r="E81" s="409"/>
      <c r="F81" s="294"/>
      <c r="G81" s="294"/>
      <c r="H81" s="408"/>
      <c r="I81" s="408"/>
      <c r="J81" s="408"/>
      <c r="K81" s="408"/>
      <c r="L81" s="408"/>
      <c r="M81" s="408"/>
      <c r="N81" s="408"/>
      <c r="O81" s="408"/>
      <c r="P81" s="422"/>
    </row>
    <row r="82" spans="1:16">
      <c r="A82" s="50"/>
      <c r="B82" s="421"/>
      <c r="C82" s="406"/>
      <c r="D82" s="249"/>
      <c r="E82" s="409"/>
      <c r="F82" s="294"/>
      <c r="G82" s="294"/>
      <c r="H82" s="408"/>
      <c r="I82" s="408"/>
      <c r="J82" s="408"/>
      <c r="K82" s="408"/>
      <c r="L82" s="408"/>
      <c r="M82" s="408"/>
      <c r="N82" s="408"/>
      <c r="O82" s="408"/>
      <c r="P82" s="422"/>
    </row>
    <row r="83" spans="1:16">
      <c r="A83" s="50"/>
      <c r="B83" s="421"/>
      <c r="C83" s="406"/>
      <c r="D83" s="249"/>
      <c r="E83" s="409"/>
      <c r="F83" s="294"/>
      <c r="G83" s="294"/>
      <c r="H83" s="408"/>
      <c r="I83" s="408"/>
      <c r="J83" s="408"/>
      <c r="K83" s="408"/>
      <c r="L83" s="408"/>
      <c r="M83" s="408"/>
      <c r="N83" s="408"/>
      <c r="O83" s="408"/>
      <c r="P83" s="422">
        <f t="shared" ref="P83:P106" si="1">SUM(H83:O83)</f>
        <v>0</v>
      </c>
    </row>
    <row r="84" spans="1:16" ht="25.5" customHeight="1">
      <c r="A84" s="50"/>
      <c r="B84" s="736" t="s">
        <v>177</v>
      </c>
      <c r="C84" s="737"/>
      <c r="D84" s="737"/>
      <c r="E84" s="737"/>
      <c r="F84" s="737"/>
      <c r="G84" s="737"/>
      <c r="H84" s="737"/>
      <c r="I84" s="737"/>
      <c r="J84" s="737"/>
      <c r="K84" s="737"/>
      <c r="L84" s="737"/>
      <c r="M84" s="737"/>
      <c r="N84" s="737"/>
      <c r="O84" s="737"/>
      <c r="P84" s="738"/>
    </row>
    <row r="85" spans="1:16">
      <c r="A85" s="50"/>
      <c r="B85" s="421">
        <v>33</v>
      </c>
      <c r="C85" s="406" t="s">
        <v>178</v>
      </c>
      <c r="D85" s="249" t="s">
        <v>34</v>
      </c>
      <c r="E85" s="409"/>
      <c r="F85" s="294"/>
      <c r="G85" s="294"/>
      <c r="H85" s="414"/>
      <c r="I85" s="414"/>
      <c r="J85" s="414"/>
      <c r="K85" s="414"/>
      <c r="L85" s="414"/>
      <c r="M85" s="414"/>
      <c r="N85" s="414"/>
      <c r="O85" s="414"/>
      <c r="P85" s="422">
        <f t="shared" si="1"/>
        <v>0</v>
      </c>
    </row>
    <row r="86" spans="1:16">
      <c r="A86" s="50"/>
      <c r="B86" s="421">
        <v>34</v>
      </c>
      <c r="C86" s="406" t="s">
        <v>179</v>
      </c>
      <c r="D86" s="249" t="s">
        <v>34</v>
      </c>
      <c r="E86" s="409"/>
      <c r="F86" s="294"/>
      <c r="G86" s="294"/>
      <c r="H86" s="414"/>
      <c r="I86" s="414"/>
      <c r="J86" s="414"/>
      <c r="K86" s="414"/>
      <c r="L86" s="414"/>
      <c r="M86" s="414"/>
      <c r="N86" s="414"/>
      <c r="O86" s="414"/>
      <c r="P86" s="422">
        <f t="shared" si="1"/>
        <v>0</v>
      </c>
    </row>
    <row r="87" spans="1:16">
      <c r="A87" s="50"/>
      <c r="B87" s="421">
        <v>35</v>
      </c>
      <c r="C87" s="406" t="s">
        <v>180</v>
      </c>
      <c r="D87" s="249" t="s">
        <v>34</v>
      </c>
      <c r="E87" s="409"/>
      <c r="F87" s="294"/>
      <c r="G87" s="294"/>
      <c r="H87" s="414"/>
      <c r="I87" s="414"/>
      <c r="J87" s="414"/>
      <c r="K87" s="414"/>
      <c r="L87" s="414"/>
      <c r="M87" s="414"/>
      <c r="N87" s="414"/>
      <c r="O87" s="414"/>
      <c r="P87" s="422">
        <f t="shared" si="1"/>
        <v>0</v>
      </c>
    </row>
    <row r="88" spans="1:16">
      <c r="A88" s="50"/>
      <c r="B88" s="423" t="s">
        <v>277</v>
      </c>
      <c r="C88" s="406"/>
      <c r="D88" s="249" t="s">
        <v>250</v>
      </c>
      <c r="E88" s="409"/>
      <c r="F88" s="294"/>
      <c r="G88" s="294"/>
      <c r="H88" s="414"/>
      <c r="I88" s="414"/>
      <c r="J88" s="414"/>
      <c r="K88" s="414"/>
      <c r="L88" s="414"/>
      <c r="M88" s="414"/>
      <c r="N88" s="414"/>
      <c r="O88" s="414"/>
      <c r="P88" s="422"/>
    </row>
    <row r="89" spans="1:16">
      <c r="A89" s="50"/>
      <c r="B89" s="421"/>
      <c r="C89" s="406"/>
      <c r="D89" s="249"/>
      <c r="E89" s="409"/>
      <c r="F89" s="294"/>
      <c r="G89" s="294"/>
      <c r="H89" s="414"/>
      <c r="I89" s="414"/>
      <c r="J89" s="414"/>
      <c r="K89" s="414"/>
      <c r="L89" s="414"/>
      <c r="M89" s="414"/>
      <c r="N89" s="414"/>
      <c r="O89" s="414"/>
      <c r="P89" s="422"/>
    </row>
    <row r="90" spans="1:16">
      <c r="A90" s="50"/>
      <c r="B90" s="421"/>
      <c r="C90" s="406"/>
      <c r="D90" s="249"/>
      <c r="E90" s="409"/>
      <c r="F90" s="294"/>
      <c r="G90" s="294"/>
      <c r="H90" s="414"/>
      <c r="I90" s="414"/>
      <c r="J90" s="414"/>
      <c r="K90" s="414"/>
      <c r="L90" s="414"/>
      <c r="M90" s="414"/>
      <c r="N90" s="414"/>
      <c r="O90" s="414"/>
      <c r="P90" s="422"/>
    </row>
    <row r="91" spans="1:16">
      <c r="A91" s="50"/>
      <c r="B91" s="421"/>
      <c r="C91" s="406"/>
      <c r="D91" s="249"/>
      <c r="E91" s="409"/>
      <c r="F91" s="414"/>
      <c r="G91" s="414"/>
      <c r="H91" s="414"/>
      <c r="I91" s="414"/>
      <c r="J91" s="414"/>
      <c r="K91" s="414"/>
      <c r="L91" s="414"/>
      <c r="M91" s="414"/>
      <c r="N91" s="414"/>
      <c r="O91" s="414"/>
      <c r="P91" s="422">
        <f t="shared" si="1"/>
        <v>0</v>
      </c>
    </row>
    <row r="92" spans="1:16" ht="24" customHeight="1">
      <c r="A92" s="50"/>
      <c r="B92" s="736" t="s">
        <v>181</v>
      </c>
      <c r="C92" s="737"/>
      <c r="D92" s="737"/>
      <c r="E92" s="737"/>
      <c r="F92" s="737"/>
      <c r="G92" s="737"/>
      <c r="H92" s="737"/>
      <c r="I92" s="737"/>
      <c r="J92" s="737"/>
      <c r="K92" s="737"/>
      <c r="L92" s="737"/>
      <c r="M92" s="737"/>
      <c r="N92" s="737"/>
      <c r="O92" s="737"/>
      <c r="P92" s="738"/>
    </row>
    <row r="93" spans="1:16" ht="42.75">
      <c r="A93" s="50"/>
      <c r="B93" s="421">
        <v>36</v>
      </c>
      <c r="C93" s="406" t="s">
        <v>182</v>
      </c>
      <c r="D93" s="249" t="s">
        <v>34</v>
      </c>
      <c r="E93" s="409"/>
      <c r="F93" s="294"/>
      <c r="G93" s="294"/>
      <c r="H93" s="414"/>
      <c r="I93" s="414"/>
      <c r="J93" s="414"/>
      <c r="K93" s="414"/>
      <c r="L93" s="414"/>
      <c r="M93" s="414"/>
      <c r="N93" s="414"/>
      <c r="O93" s="414"/>
      <c r="P93" s="422">
        <f t="shared" si="1"/>
        <v>0</v>
      </c>
    </row>
    <row r="94" spans="1:16" ht="28.5">
      <c r="A94" s="50"/>
      <c r="B94" s="421">
        <v>37</v>
      </c>
      <c r="C94" s="406" t="s">
        <v>183</v>
      </c>
      <c r="D94" s="249" t="s">
        <v>34</v>
      </c>
      <c r="E94" s="409"/>
      <c r="F94" s="294"/>
      <c r="G94" s="294"/>
      <c r="H94" s="414"/>
      <c r="I94" s="414"/>
      <c r="J94" s="414"/>
      <c r="K94" s="414"/>
      <c r="L94" s="414"/>
      <c r="M94" s="414"/>
      <c r="N94" s="414"/>
      <c r="O94" s="414"/>
      <c r="P94" s="422">
        <f t="shared" si="1"/>
        <v>0</v>
      </c>
    </row>
    <row r="95" spans="1:16">
      <c r="A95" s="50"/>
      <c r="B95" s="421">
        <v>38</v>
      </c>
      <c r="C95" s="406" t="s">
        <v>184</v>
      </c>
      <c r="D95" s="249" t="s">
        <v>34</v>
      </c>
      <c r="E95" s="409"/>
      <c r="F95" s="294"/>
      <c r="G95" s="294"/>
      <c r="H95" s="414"/>
      <c r="I95" s="414"/>
      <c r="J95" s="414"/>
      <c r="K95" s="414"/>
      <c r="L95" s="414"/>
      <c r="M95" s="414"/>
      <c r="N95" s="414"/>
      <c r="O95" s="414"/>
      <c r="P95" s="422">
        <f t="shared" si="1"/>
        <v>0</v>
      </c>
    </row>
    <row r="96" spans="1:16" ht="28.5">
      <c r="A96" s="50"/>
      <c r="B96" s="421">
        <v>39</v>
      </c>
      <c r="C96" s="406" t="s">
        <v>185</v>
      </c>
      <c r="D96" s="249" t="s">
        <v>34</v>
      </c>
      <c r="E96" s="409"/>
      <c r="F96" s="294"/>
      <c r="G96" s="294"/>
      <c r="H96" s="414"/>
      <c r="I96" s="414"/>
      <c r="J96" s="414"/>
      <c r="K96" s="414"/>
      <c r="L96" s="414"/>
      <c r="M96" s="414"/>
      <c r="N96" s="414"/>
      <c r="O96" s="414"/>
      <c r="P96" s="422">
        <f t="shared" si="1"/>
        <v>0</v>
      </c>
    </row>
    <row r="97" spans="1:16" ht="28.5">
      <c r="A97" s="50"/>
      <c r="B97" s="421">
        <v>40</v>
      </c>
      <c r="C97" s="406" t="s">
        <v>186</v>
      </c>
      <c r="D97" s="249" t="s">
        <v>34</v>
      </c>
      <c r="E97" s="409"/>
      <c r="F97" s="294"/>
      <c r="G97" s="294"/>
      <c r="H97" s="414"/>
      <c r="I97" s="414"/>
      <c r="J97" s="414"/>
      <c r="K97" s="414"/>
      <c r="L97" s="414"/>
      <c r="M97" s="414"/>
      <c r="N97" s="414"/>
      <c r="O97" s="414"/>
      <c r="P97" s="422">
        <f t="shared" si="1"/>
        <v>0</v>
      </c>
    </row>
    <row r="98" spans="1:16" ht="28.5">
      <c r="A98" s="50"/>
      <c r="B98" s="421">
        <v>41</v>
      </c>
      <c r="C98" s="406" t="s">
        <v>187</v>
      </c>
      <c r="D98" s="249" t="s">
        <v>34</v>
      </c>
      <c r="E98" s="409"/>
      <c r="F98" s="294"/>
      <c r="G98" s="294"/>
      <c r="H98" s="414"/>
      <c r="I98" s="414"/>
      <c r="J98" s="414"/>
      <c r="K98" s="414"/>
      <c r="L98" s="414"/>
      <c r="M98" s="414"/>
      <c r="N98" s="414"/>
      <c r="O98" s="414"/>
      <c r="P98" s="422">
        <f t="shared" si="1"/>
        <v>0</v>
      </c>
    </row>
    <row r="99" spans="1:16" ht="28.5">
      <c r="A99" s="50"/>
      <c r="B99" s="421">
        <v>42</v>
      </c>
      <c r="C99" s="406" t="s">
        <v>188</v>
      </c>
      <c r="D99" s="249" t="s">
        <v>34</v>
      </c>
      <c r="E99" s="409"/>
      <c r="F99" s="294"/>
      <c r="G99" s="294"/>
      <c r="H99" s="414"/>
      <c r="I99" s="414"/>
      <c r="J99" s="414"/>
      <c r="K99" s="414"/>
      <c r="L99" s="414"/>
      <c r="M99" s="414"/>
      <c r="N99" s="414"/>
      <c r="O99" s="414"/>
      <c r="P99" s="422">
        <f t="shared" si="1"/>
        <v>0</v>
      </c>
    </row>
    <row r="100" spans="1:16">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50"/>
      <c r="B106" s="421">
        <v>49</v>
      </c>
      <c r="C106" s="406" t="s">
        <v>195</v>
      </c>
      <c r="D106" s="249" t="s">
        <v>34</v>
      </c>
      <c r="E106" s="409"/>
      <c r="F106" s="294"/>
      <c r="G106" s="294"/>
      <c r="H106" s="414"/>
      <c r="I106" s="414"/>
      <c r="J106" s="414"/>
      <c r="K106" s="414"/>
      <c r="L106" s="414"/>
      <c r="M106" s="414"/>
      <c r="N106" s="414"/>
      <c r="O106" s="414"/>
      <c r="P106" s="422">
        <f t="shared" si="1"/>
        <v>0</v>
      </c>
    </row>
    <row r="107" spans="1:16">
      <c r="A107" s="50"/>
      <c r="B107" s="423" t="s">
        <v>277</v>
      </c>
      <c r="C107" s="406"/>
      <c r="D107" s="249" t="s">
        <v>250</v>
      </c>
      <c r="E107" s="409"/>
      <c r="F107" s="294"/>
      <c r="G107" s="294"/>
      <c r="H107" s="414"/>
      <c r="I107" s="414"/>
      <c r="J107" s="414"/>
      <c r="K107" s="414"/>
      <c r="L107" s="414"/>
      <c r="M107" s="414"/>
      <c r="N107" s="414"/>
      <c r="O107" s="414"/>
      <c r="P107" s="422"/>
    </row>
    <row r="108" spans="1:16">
      <c r="A108" s="50"/>
      <c r="B108" s="421"/>
      <c r="C108" s="406"/>
      <c r="D108" s="249"/>
      <c r="E108" s="409"/>
      <c r="F108" s="294"/>
      <c r="G108" s="294"/>
      <c r="H108" s="414"/>
      <c r="I108" s="414"/>
      <c r="J108" s="414"/>
      <c r="K108" s="414"/>
      <c r="L108" s="414"/>
      <c r="M108" s="414"/>
      <c r="N108" s="414"/>
      <c r="O108" s="414"/>
      <c r="P108" s="422"/>
    </row>
    <row r="109" spans="1:16">
      <c r="A109" s="50"/>
      <c r="B109" s="421"/>
      <c r="C109" s="406"/>
      <c r="D109" s="249"/>
      <c r="E109" s="409"/>
      <c r="F109" s="294"/>
      <c r="G109" s="294"/>
      <c r="H109" s="414"/>
      <c r="I109" s="414"/>
      <c r="J109" s="414"/>
      <c r="K109" s="414"/>
      <c r="L109" s="414"/>
      <c r="M109" s="414"/>
      <c r="N109" s="414"/>
      <c r="O109" s="414"/>
      <c r="P109" s="422"/>
    </row>
    <row r="110" spans="1:16">
      <c r="A110" s="50"/>
      <c r="B110" s="421"/>
      <c r="C110" s="406"/>
      <c r="D110" s="249"/>
      <c r="E110" s="409"/>
      <c r="F110" s="294"/>
      <c r="G110" s="294"/>
      <c r="H110" s="414"/>
      <c r="I110" s="414"/>
      <c r="J110" s="414"/>
      <c r="K110" s="414"/>
      <c r="L110" s="414"/>
      <c r="M110" s="414"/>
      <c r="N110" s="414"/>
      <c r="O110" s="414"/>
      <c r="P110" s="422"/>
    </row>
    <row r="111" spans="1:16">
      <c r="B111" s="350"/>
      <c r="C111" s="701" t="s">
        <v>218</v>
      </c>
      <c r="D111" s="70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700" t="s">
        <v>257</v>
      </c>
      <c r="D112" s="700"/>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700" t="s">
        <v>258</v>
      </c>
      <c r="D113" s="700"/>
      <c r="E113" s="265"/>
      <c r="F113" s="263"/>
      <c r="G113" s="263"/>
      <c r="H113" s="265"/>
      <c r="I113" s="265"/>
      <c r="J113" s="266">
        <f>J112-(E32*G32*J32)</f>
        <v>0</v>
      </c>
      <c r="K113" s="265">
        <f>K112-(E32*G32*K32)</f>
        <v>0</v>
      </c>
      <c r="L113" s="265"/>
      <c r="M113" s="265"/>
      <c r="N113" s="265"/>
      <c r="O113" s="265"/>
      <c r="P113" s="272"/>
    </row>
    <row r="114" spans="2:16">
      <c r="B114" s="350"/>
      <c r="C114" s="701"/>
      <c r="D114" s="701"/>
      <c r="E114" s="351"/>
      <c r="F114" s="352"/>
      <c r="G114" s="352"/>
      <c r="H114" s="351"/>
      <c r="I114" s="351"/>
      <c r="J114" s="351"/>
      <c r="K114" s="351"/>
      <c r="L114" s="351"/>
      <c r="M114" s="351"/>
      <c r="N114" s="351"/>
      <c r="O114" s="351"/>
      <c r="P114" s="355"/>
    </row>
    <row r="115" spans="2:16">
      <c r="B115" s="273"/>
      <c r="C115" s="257"/>
      <c r="D115" s="258"/>
      <c r="E115" s="258"/>
      <c r="F115" s="256"/>
      <c r="G115" s="256"/>
      <c r="H115" s="258"/>
      <c r="I115" s="258"/>
      <c r="J115" s="258"/>
      <c r="K115" s="258"/>
      <c r="L115" s="258"/>
      <c r="M115" s="258"/>
      <c r="N115" s="258"/>
      <c r="O115" s="258"/>
      <c r="P115" s="274"/>
    </row>
    <row r="116" spans="2:16">
      <c r="B116" s="377"/>
      <c r="C116" s="698" t="s">
        <v>324</v>
      </c>
      <c r="D116" s="698"/>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98" t="s">
        <v>278</v>
      </c>
      <c r="D117" s="698"/>
      <c r="E117" s="258"/>
      <c r="F117" s="260"/>
      <c r="G117" s="260"/>
      <c r="H117" s="353"/>
      <c r="I117" s="353"/>
      <c r="J117" s="353"/>
      <c r="K117" s="353"/>
      <c r="L117" s="353"/>
      <c r="M117" s="353"/>
      <c r="N117" s="353"/>
      <c r="O117" s="249"/>
      <c r="P117" s="275">
        <f>SUM(H117:O117)</f>
        <v>0</v>
      </c>
    </row>
    <row r="118" spans="2:16">
      <c r="B118" s="377"/>
      <c r="C118" s="698" t="s">
        <v>279</v>
      </c>
      <c r="D118" s="698"/>
      <c r="E118" s="258"/>
      <c r="F118" s="260"/>
      <c r="G118" s="260"/>
      <c r="H118" s="353"/>
      <c r="I118" s="353"/>
      <c r="J118" s="353"/>
      <c r="K118" s="353"/>
      <c r="L118" s="353"/>
      <c r="M118" s="353"/>
      <c r="N118" s="353"/>
      <c r="O118" s="249"/>
      <c r="P118" s="275">
        <f>SUM(H118:O118)</f>
        <v>0</v>
      </c>
    </row>
    <row r="119" spans="2:16">
      <c r="B119" s="377"/>
      <c r="C119" s="698" t="s">
        <v>280</v>
      </c>
      <c r="D119" s="698"/>
      <c r="E119" s="258"/>
      <c r="F119" s="260"/>
      <c r="G119" s="260"/>
      <c r="H119" s="353"/>
      <c r="I119" s="353"/>
      <c r="J119" s="353"/>
      <c r="K119" s="353"/>
      <c r="L119" s="353"/>
      <c r="M119" s="353"/>
      <c r="N119" s="353"/>
      <c r="O119" s="249"/>
      <c r="P119" s="275">
        <f t="shared" ref="P119" si="2">SUM(H119:O119)</f>
        <v>0</v>
      </c>
    </row>
    <row r="120" spans="2:16">
      <c r="B120" s="377"/>
      <c r="C120" s="698" t="s">
        <v>281</v>
      </c>
      <c r="D120" s="698"/>
      <c r="E120" s="258"/>
      <c r="F120" s="260"/>
      <c r="G120" s="260"/>
      <c r="H120" s="353"/>
      <c r="I120" s="353"/>
      <c r="J120" s="353"/>
      <c r="K120" s="353"/>
      <c r="L120" s="353"/>
      <c r="M120" s="353"/>
      <c r="N120" s="353"/>
      <c r="O120" s="249"/>
      <c r="P120" s="275">
        <f>SUM(H120:O120)</f>
        <v>0</v>
      </c>
    </row>
    <row r="121" spans="2:16">
      <c r="B121" s="377"/>
      <c r="C121" s="698" t="s">
        <v>282</v>
      </c>
      <c r="D121" s="698"/>
      <c r="E121" s="258"/>
      <c r="F121" s="260"/>
      <c r="G121" s="260"/>
      <c r="H121" s="374" t="e">
        <f>'5.  2015 LRAM'!H127*H116</f>
        <v>#DIV/0!</v>
      </c>
      <c r="I121" s="374" t="e">
        <f>'5.  2015 LRAM'!I127*I116</f>
        <v>#DIV/0!</v>
      </c>
      <c r="J121" s="374" t="e">
        <f>'5.  2015 LRAM'!J127*J116</f>
        <v>#DIV/0!</v>
      </c>
      <c r="K121" s="374" t="e">
        <f>'5.  2015 LRAM'!K127*K116</f>
        <v>#DIV/0!</v>
      </c>
      <c r="L121" s="374" t="e">
        <f>'5.  2015 LRAM'!L127*L116</f>
        <v>#DIV/0!</v>
      </c>
      <c r="M121" s="374" t="e">
        <f>'5.  2015 LRAM'!M127*M116</f>
        <v>#DIV/0!</v>
      </c>
      <c r="N121" s="374" t="e">
        <f>'5.  2015 LRAM'!N127*N116</f>
        <v>#DIV/0!</v>
      </c>
      <c r="O121" s="249"/>
      <c r="P121" s="275" t="e">
        <f t="shared" ref="P121:P122" si="3">SUM(H121:O121)</f>
        <v>#DIV/0!</v>
      </c>
    </row>
    <row r="122" spans="2:16">
      <c r="B122" s="377"/>
      <c r="C122" s="698" t="s">
        <v>283</v>
      </c>
      <c r="D122" s="698"/>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c r="B123" s="377"/>
      <c r="C123" s="698" t="s">
        <v>284</v>
      </c>
      <c r="D123" s="698"/>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c r="B124" s="377"/>
      <c r="C124" s="698" t="s">
        <v>285</v>
      </c>
      <c r="D124" s="698"/>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c r="B126" s="273"/>
      <c r="C126" s="375"/>
      <c r="D126" s="258"/>
      <c r="E126" s="258"/>
      <c r="F126" s="256"/>
      <c r="G126" s="256"/>
      <c r="H126" s="262"/>
      <c r="I126" s="262"/>
      <c r="J126" s="262"/>
      <c r="K126" s="262"/>
      <c r="L126" s="262"/>
      <c r="M126" s="262"/>
      <c r="N126" s="262"/>
      <c r="O126" s="258"/>
      <c r="P126" s="276"/>
    </row>
    <row r="127" spans="2:16">
      <c r="B127" s="415"/>
      <c r="C127" s="698" t="s">
        <v>287</v>
      </c>
      <c r="D127" s="698"/>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c r="B128" s="416"/>
      <c r="C128" s="699" t="s">
        <v>288</v>
      </c>
      <c r="D128" s="699"/>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47" t="s">
        <v>290</v>
      </c>
      <c r="C2" s="747"/>
      <c r="D2" s="747"/>
      <c r="E2" s="747"/>
      <c r="F2" s="747"/>
      <c r="G2" s="747"/>
      <c r="H2" s="747"/>
      <c r="I2" s="747"/>
      <c r="J2" s="747"/>
      <c r="K2" s="747"/>
      <c r="L2" s="747"/>
      <c r="M2" s="747"/>
      <c r="N2" s="747"/>
      <c r="O2" s="747"/>
      <c r="P2" s="747"/>
    </row>
    <row r="3" spans="1:18" ht="18.75"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48" t="s">
        <v>359</v>
      </c>
      <c r="F4" s="748"/>
      <c r="G4" s="748"/>
      <c r="H4" s="748"/>
      <c r="I4" s="748"/>
      <c r="J4" s="748"/>
      <c r="K4" s="748"/>
      <c r="L4" s="748"/>
      <c r="M4" s="748"/>
      <c r="N4" s="748"/>
      <c r="O4" s="748"/>
      <c r="P4" s="748"/>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41"/>
      <c r="D8" s="435"/>
      <c r="E8" s="165"/>
      <c r="F8" s="435"/>
      <c r="G8" s="435"/>
      <c r="H8" s="435"/>
      <c r="I8" s="435"/>
      <c r="J8" s="435"/>
      <c r="K8" s="435"/>
      <c r="L8" s="435"/>
      <c r="M8" s="435"/>
      <c r="N8" s="435"/>
      <c r="O8" s="435"/>
      <c r="P8" s="435"/>
    </row>
    <row r="9" spans="1:18" ht="18.75" customHeight="1" outlineLevel="1">
      <c r="B9" s="435"/>
      <c r="C9" s="231" t="s">
        <v>334</v>
      </c>
      <c r="D9" s="435"/>
      <c r="E9" s="735" t="s">
        <v>360</v>
      </c>
      <c r="F9" s="735"/>
      <c r="G9" s="435"/>
      <c r="H9" s="435"/>
      <c r="I9" s="435"/>
      <c r="J9" s="435"/>
      <c r="K9" s="435"/>
      <c r="L9" s="435"/>
      <c r="M9" s="435"/>
      <c r="N9" s="435"/>
      <c r="O9" s="435"/>
      <c r="P9" s="435"/>
      <c r="R9" s="81"/>
    </row>
    <row r="10" spans="1:18" ht="18.75" customHeight="1" outlineLevel="1">
      <c r="B10" s="435"/>
      <c r="C10" s="435"/>
      <c r="D10" s="435"/>
      <c r="E10" s="749" t="s">
        <v>335</v>
      </c>
      <c r="F10" s="749"/>
      <c r="G10" s="435"/>
      <c r="H10" s="435"/>
      <c r="I10" s="435"/>
      <c r="J10" s="435"/>
      <c r="K10" s="435"/>
      <c r="L10" s="435"/>
      <c r="M10" s="435"/>
      <c r="N10" s="435"/>
      <c r="O10" s="435"/>
      <c r="P10" s="435"/>
    </row>
    <row r="11" spans="1:18">
      <c r="A11" s="442"/>
      <c r="C11" s="439"/>
      <c r="D11" s="440"/>
      <c r="E11" s="440"/>
    </row>
    <row r="12" spans="1:18">
      <c r="A12" s="442"/>
      <c r="B12" s="438" t="s">
        <v>472</v>
      </c>
      <c r="C12" s="439"/>
      <c r="D12" s="440"/>
      <c r="E12" s="440"/>
    </row>
    <row r="13" spans="1:18" ht="45">
      <c r="A13" s="442"/>
      <c r="B13" s="739" t="s">
        <v>59</v>
      </c>
      <c r="C13" s="741" t="s">
        <v>0</v>
      </c>
      <c r="D13" s="741" t="s">
        <v>45</v>
      </c>
      <c r="E13" s="741" t="s">
        <v>202</v>
      </c>
      <c r="F13" s="234" t="s">
        <v>199</v>
      </c>
      <c r="G13" s="234" t="s">
        <v>46</v>
      </c>
      <c r="H13" s="743" t="s">
        <v>60</v>
      </c>
      <c r="I13" s="743"/>
      <c r="J13" s="743"/>
      <c r="K13" s="743"/>
      <c r="L13" s="743"/>
      <c r="M13" s="743"/>
      <c r="N13" s="743"/>
      <c r="O13" s="743"/>
      <c r="P13" s="744"/>
    </row>
    <row r="14" spans="1:18" ht="60">
      <c r="A14" s="442"/>
      <c r="B14" s="740"/>
      <c r="C14" s="742"/>
      <c r="D14" s="742"/>
      <c r="E14" s="74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726" t="s">
        <v>138</v>
      </c>
      <c r="C15" s="727"/>
      <c r="D15" s="727"/>
      <c r="E15" s="727"/>
      <c r="F15" s="727"/>
      <c r="G15" s="727"/>
      <c r="H15" s="727"/>
      <c r="I15" s="727"/>
      <c r="J15" s="727"/>
      <c r="K15" s="727"/>
      <c r="L15" s="727"/>
      <c r="M15" s="727"/>
      <c r="N15" s="727"/>
      <c r="O15" s="727"/>
      <c r="P15" s="728"/>
    </row>
    <row r="16" spans="1:18" ht="26.25" customHeight="1">
      <c r="A16" s="443"/>
      <c r="B16" s="720" t="s">
        <v>139</v>
      </c>
      <c r="C16" s="721"/>
      <c r="D16" s="721"/>
      <c r="E16" s="721"/>
      <c r="F16" s="721"/>
      <c r="G16" s="721"/>
      <c r="H16" s="721"/>
      <c r="I16" s="721"/>
      <c r="J16" s="721"/>
      <c r="K16" s="721"/>
      <c r="L16" s="721"/>
      <c r="M16" s="721"/>
      <c r="N16" s="721"/>
      <c r="O16" s="721"/>
      <c r="P16" s="722"/>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8.5">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291</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720" t="s">
        <v>146</v>
      </c>
      <c r="C27" s="721"/>
      <c r="D27" s="721"/>
      <c r="E27" s="721"/>
      <c r="F27" s="721"/>
      <c r="G27" s="721"/>
      <c r="H27" s="721"/>
      <c r="I27" s="721"/>
      <c r="J27" s="721"/>
      <c r="K27" s="721"/>
      <c r="L27" s="721"/>
      <c r="M27" s="721"/>
      <c r="N27" s="721"/>
      <c r="O27" s="721"/>
      <c r="P27" s="722"/>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443"/>
      <c r="B31" s="421">
        <v>10</v>
      </c>
      <c r="C31" s="406" t="s">
        <v>150</v>
      </c>
      <c r="D31" s="249" t="s">
        <v>34</v>
      </c>
      <c r="E31" s="409">
        <v>12</v>
      </c>
      <c r="F31" s="294"/>
      <c r="G31" s="294"/>
      <c r="H31" s="408"/>
      <c r="I31" s="418">
        <v>1</v>
      </c>
      <c r="J31" s="408"/>
      <c r="K31" s="408"/>
      <c r="L31" s="408"/>
      <c r="M31" s="408"/>
      <c r="N31" s="408"/>
      <c r="O31" s="408"/>
      <c r="P31" s="422">
        <f t="shared" si="0"/>
        <v>1</v>
      </c>
    </row>
    <row r="32" spans="1:16" ht="28.5">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291</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720" t="s">
        <v>11</v>
      </c>
      <c r="C37" s="721"/>
      <c r="D37" s="721"/>
      <c r="E37" s="721"/>
      <c r="F37" s="721"/>
      <c r="G37" s="721"/>
      <c r="H37" s="721"/>
      <c r="I37" s="721"/>
      <c r="J37" s="721"/>
      <c r="K37" s="721"/>
      <c r="L37" s="721"/>
      <c r="M37" s="721"/>
      <c r="N37" s="721"/>
      <c r="O37" s="721"/>
      <c r="P37" s="722"/>
    </row>
    <row r="38" spans="1:16" ht="28.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291</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720" t="s">
        <v>155</v>
      </c>
      <c r="C45" s="721"/>
      <c r="D45" s="721"/>
      <c r="E45" s="721"/>
      <c r="F45" s="721"/>
      <c r="G45" s="721"/>
      <c r="H45" s="721"/>
      <c r="I45" s="721"/>
      <c r="J45" s="721"/>
      <c r="K45" s="721"/>
      <c r="L45" s="721"/>
      <c r="M45" s="721"/>
      <c r="N45" s="721"/>
      <c r="O45" s="721"/>
      <c r="P45" s="722"/>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291</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720" t="s">
        <v>157</v>
      </c>
      <c r="C51" s="721"/>
      <c r="D51" s="721"/>
      <c r="E51" s="721"/>
      <c r="F51" s="721"/>
      <c r="G51" s="721"/>
      <c r="H51" s="721"/>
      <c r="I51" s="721"/>
      <c r="J51" s="721"/>
      <c r="K51" s="721"/>
      <c r="L51" s="721"/>
      <c r="M51" s="721"/>
      <c r="N51" s="721"/>
      <c r="O51" s="721"/>
      <c r="P51" s="722"/>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291</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726" t="s">
        <v>162</v>
      </c>
      <c r="C60" s="727"/>
      <c r="D60" s="727"/>
      <c r="E60" s="727"/>
      <c r="F60" s="727"/>
      <c r="G60" s="727"/>
      <c r="H60" s="727"/>
      <c r="I60" s="727"/>
      <c r="J60" s="727"/>
      <c r="K60" s="727"/>
      <c r="L60" s="727"/>
      <c r="M60" s="727"/>
      <c r="N60" s="727"/>
      <c r="O60" s="727"/>
      <c r="P60" s="728"/>
    </row>
    <row r="61" spans="1:16" ht="16.5">
      <c r="B61" s="425"/>
      <c r="C61" s="406"/>
      <c r="D61" s="409"/>
      <c r="E61" s="409"/>
      <c r="F61" s="405"/>
      <c r="G61" s="405"/>
      <c r="H61" s="405"/>
      <c r="I61" s="405"/>
      <c r="J61" s="405"/>
      <c r="K61" s="405"/>
      <c r="L61" s="405"/>
      <c r="M61" s="405"/>
      <c r="N61" s="405"/>
      <c r="O61" s="405"/>
      <c r="P61" s="426"/>
    </row>
    <row r="62" spans="1:16" ht="25.5" customHeight="1">
      <c r="A62" s="443"/>
      <c r="B62" s="736" t="s">
        <v>163</v>
      </c>
      <c r="C62" s="737"/>
      <c r="D62" s="737"/>
      <c r="E62" s="737"/>
      <c r="F62" s="737"/>
      <c r="G62" s="737"/>
      <c r="H62" s="737"/>
      <c r="I62" s="737"/>
      <c r="J62" s="737"/>
      <c r="K62" s="737"/>
      <c r="L62" s="737"/>
      <c r="M62" s="737"/>
      <c r="N62" s="737"/>
      <c r="O62" s="737"/>
      <c r="P62" s="738"/>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ht="28.5">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291</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36" t="s">
        <v>168</v>
      </c>
      <c r="C71" s="737"/>
      <c r="D71" s="737"/>
      <c r="E71" s="737"/>
      <c r="F71" s="737"/>
      <c r="G71" s="737"/>
      <c r="H71" s="737"/>
      <c r="I71" s="737"/>
      <c r="J71" s="737"/>
      <c r="K71" s="737"/>
      <c r="L71" s="737"/>
      <c r="M71" s="737"/>
      <c r="N71" s="737"/>
      <c r="O71" s="737"/>
      <c r="P71" s="738"/>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8.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c r="A75" s="443"/>
      <c r="B75" s="421">
        <v>28</v>
      </c>
      <c r="C75" s="406" t="s">
        <v>172</v>
      </c>
      <c r="D75" s="249" t="s">
        <v>34</v>
      </c>
      <c r="E75" s="409"/>
      <c r="F75" s="294"/>
      <c r="G75" s="294"/>
      <c r="H75" s="408"/>
      <c r="I75" s="408"/>
      <c r="J75" s="408"/>
      <c r="K75" s="408"/>
      <c r="L75" s="408"/>
      <c r="M75" s="408"/>
      <c r="N75" s="408"/>
      <c r="O75" s="408"/>
      <c r="P75" s="422">
        <f t="shared" si="0"/>
        <v>0</v>
      </c>
    </row>
    <row r="76" spans="1:16" ht="28.5">
      <c r="A76" s="443"/>
      <c r="B76" s="421">
        <v>29</v>
      </c>
      <c r="C76" s="406" t="s">
        <v>173</v>
      </c>
      <c r="D76" s="249" t="s">
        <v>34</v>
      </c>
      <c r="E76" s="409"/>
      <c r="F76" s="294"/>
      <c r="G76" s="294"/>
      <c r="H76" s="408"/>
      <c r="I76" s="408"/>
      <c r="J76" s="408"/>
      <c r="K76" s="408"/>
      <c r="L76" s="408"/>
      <c r="M76" s="408"/>
      <c r="N76" s="408"/>
      <c r="O76" s="408"/>
      <c r="P76" s="422">
        <f t="shared" si="0"/>
        <v>0</v>
      </c>
    </row>
    <row r="77" spans="1:16" ht="28.5">
      <c r="A77" s="443"/>
      <c r="B77" s="421">
        <v>30</v>
      </c>
      <c r="C77" s="406" t="s">
        <v>174</v>
      </c>
      <c r="D77" s="249" t="s">
        <v>34</v>
      </c>
      <c r="E77" s="409"/>
      <c r="F77" s="294"/>
      <c r="G77" s="294"/>
      <c r="H77" s="408"/>
      <c r="I77" s="408"/>
      <c r="J77" s="408"/>
      <c r="K77" s="408"/>
      <c r="L77" s="408"/>
      <c r="M77" s="408"/>
      <c r="N77" s="408"/>
      <c r="O77" s="408"/>
      <c r="P77" s="422">
        <f t="shared" si="0"/>
        <v>0</v>
      </c>
    </row>
    <row r="78" spans="1:16" ht="28.5">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291</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36" t="s">
        <v>177</v>
      </c>
      <c r="C84" s="737"/>
      <c r="D84" s="737"/>
      <c r="E84" s="737"/>
      <c r="F84" s="737"/>
      <c r="G84" s="737"/>
      <c r="H84" s="737"/>
      <c r="I84" s="737"/>
      <c r="J84" s="737"/>
      <c r="K84" s="737"/>
      <c r="L84" s="737"/>
      <c r="M84" s="737"/>
      <c r="N84" s="737"/>
      <c r="O84" s="737"/>
      <c r="P84" s="738"/>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291</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36" t="s">
        <v>181</v>
      </c>
      <c r="C92" s="737"/>
      <c r="D92" s="737"/>
      <c r="E92" s="737"/>
      <c r="F92" s="737"/>
      <c r="G92" s="737"/>
      <c r="H92" s="737"/>
      <c r="I92" s="737"/>
      <c r="J92" s="737"/>
      <c r="K92" s="737"/>
      <c r="L92" s="737"/>
      <c r="M92" s="737"/>
      <c r="N92" s="737"/>
      <c r="O92" s="737"/>
      <c r="P92" s="738"/>
    </row>
    <row r="93" spans="1:16" ht="42.75">
      <c r="A93" s="443"/>
      <c r="B93" s="421">
        <v>36</v>
      </c>
      <c r="C93" s="406" t="s">
        <v>182</v>
      </c>
      <c r="D93" s="249" t="s">
        <v>34</v>
      </c>
      <c r="E93" s="409"/>
      <c r="F93" s="294"/>
      <c r="G93" s="294"/>
      <c r="H93" s="414"/>
      <c r="I93" s="414"/>
      <c r="J93" s="414"/>
      <c r="K93" s="414"/>
      <c r="L93" s="414"/>
      <c r="M93" s="414"/>
      <c r="N93" s="414"/>
      <c r="O93" s="414"/>
      <c r="P93" s="422">
        <f t="shared" si="1"/>
        <v>0</v>
      </c>
    </row>
    <row r="94" spans="1:16" ht="28.5">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8.5">
      <c r="A96" s="443"/>
      <c r="B96" s="421">
        <v>39</v>
      </c>
      <c r="C96" s="406" t="s">
        <v>185</v>
      </c>
      <c r="D96" s="249" t="s">
        <v>34</v>
      </c>
      <c r="E96" s="409"/>
      <c r="F96" s="294"/>
      <c r="G96" s="294"/>
      <c r="H96" s="414"/>
      <c r="I96" s="414"/>
      <c r="J96" s="414"/>
      <c r="K96" s="414"/>
      <c r="L96" s="414"/>
      <c r="M96" s="414"/>
      <c r="N96" s="414"/>
      <c r="O96" s="414"/>
      <c r="P96" s="422">
        <f t="shared" si="1"/>
        <v>0</v>
      </c>
    </row>
    <row r="97" spans="1:16" ht="28.5">
      <c r="A97" s="443"/>
      <c r="B97" s="421">
        <v>40</v>
      </c>
      <c r="C97" s="406" t="s">
        <v>186</v>
      </c>
      <c r="D97" s="249" t="s">
        <v>34</v>
      </c>
      <c r="E97" s="409"/>
      <c r="F97" s="294"/>
      <c r="G97" s="294"/>
      <c r="H97" s="414"/>
      <c r="I97" s="414"/>
      <c r="J97" s="414"/>
      <c r="K97" s="414"/>
      <c r="L97" s="414"/>
      <c r="M97" s="414"/>
      <c r="N97" s="414"/>
      <c r="O97" s="414"/>
      <c r="P97" s="422">
        <f t="shared" si="1"/>
        <v>0</v>
      </c>
    </row>
    <row r="98" spans="1:16" ht="28.5">
      <c r="A98" s="443"/>
      <c r="B98" s="421">
        <v>41</v>
      </c>
      <c r="C98" s="406" t="s">
        <v>187</v>
      </c>
      <c r="D98" s="249" t="s">
        <v>34</v>
      </c>
      <c r="E98" s="409"/>
      <c r="F98" s="294"/>
      <c r="G98" s="294"/>
      <c r="H98" s="414"/>
      <c r="I98" s="414"/>
      <c r="J98" s="414"/>
      <c r="K98" s="414"/>
      <c r="L98" s="414"/>
      <c r="M98" s="414"/>
      <c r="N98" s="414"/>
      <c r="O98" s="414"/>
      <c r="P98" s="422">
        <f t="shared" si="1"/>
        <v>0</v>
      </c>
    </row>
    <row r="99" spans="1:16" ht="28.5">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291</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701" t="s">
        <v>218</v>
      </c>
      <c r="D111" s="70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700" t="s">
        <v>257</v>
      </c>
      <c r="D112" s="700"/>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700" t="s">
        <v>258</v>
      </c>
      <c r="D113" s="700"/>
      <c r="E113" s="265"/>
      <c r="F113" s="263"/>
      <c r="G113" s="263"/>
      <c r="H113" s="265"/>
      <c r="I113" s="265"/>
      <c r="J113" s="266">
        <f>J112-(E32*G32*J32)</f>
        <v>0</v>
      </c>
      <c r="K113" s="265">
        <f>K112-(E32*G32*K32)</f>
        <v>0</v>
      </c>
      <c r="L113" s="265"/>
      <c r="M113" s="265"/>
      <c r="N113" s="265"/>
      <c r="O113" s="265"/>
      <c r="P113" s="272"/>
    </row>
    <row r="114" spans="2:16">
      <c r="B114" s="273"/>
      <c r="C114" s="707"/>
      <c r="D114" s="707"/>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98" t="s">
        <v>325</v>
      </c>
      <c r="D116" s="698"/>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98" t="s">
        <v>293</v>
      </c>
      <c r="D117" s="698"/>
      <c r="E117" s="258"/>
      <c r="F117" s="260"/>
      <c r="G117" s="260"/>
      <c r="H117" s="294"/>
      <c r="I117" s="294"/>
      <c r="J117" s="294"/>
      <c r="K117" s="294"/>
      <c r="L117" s="294"/>
      <c r="M117" s="294"/>
      <c r="N117" s="294"/>
      <c r="O117" s="249"/>
      <c r="P117" s="275">
        <f>SUM(H117:O117)</f>
        <v>0</v>
      </c>
    </row>
    <row r="118" spans="2:16">
      <c r="B118" s="377"/>
      <c r="C118" s="698" t="s">
        <v>294</v>
      </c>
      <c r="D118" s="698"/>
      <c r="E118" s="258"/>
      <c r="F118" s="260"/>
      <c r="G118" s="260"/>
      <c r="H118" s="294"/>
      <c r="I118" s="294"/>
      <c r="J118" s="294"/>
      <c r="K118" s="294"/>
      <c r="L118" s="294"/>
      <c r="M118" s="294"/>
      <c r="N118" s="294"/>
      <c r="O118" s="249"/>
      <c r="P118" s="275">
        <f>SUM(H118:O118)</f>
        <v>0</v>
      </c>
    </row>
    <row r="119" spans="2:16">
      <c r="B119" s="377"/>
      <c r="C119" s="698" t="s">
        <v>295</v>
      </c>
      <c r="D119" s="698"/>
      <c r="E119" s="258"/>
      <c r="F119" s="260"/>
      <c r="G119" s="260"/>
      <c r="H119" s="294"/>
      <c r="I119" s="294"/>
      <c r="J119" s="294"/>
      <c r="K119" s="294"/>
      <c r="L119" s="294"/>
      <c r="M119" s="294"/>
      <c r="N119" s="294"/>
      <c r="O119" s="249"/>
      <c r="P119" s="275">
        <f t="shared" ref="P119" si="2">SUM(H119:O119)</f>
        <v>0</v>
      </c>
    </row>
    <row r="120" spans="2:16">
      <c r="B120" s="377"/>
      <c r="C120" s="698" t="s">
        <v>296</v>
      </c>
      <c r="D120" s="698"/>
      <c r="E120" s="258"/>
      <c r="F120" s="260"/>
      <c r="G120" s="260"/>
      <c r="H120" s="294"/>
      <c r="I120" s="294"/>
      <c r="J120" s="294"/>
      <c r="K120" s="294"/>
      <c r="L120" s="294"/>
      <c r="M120" s="294"/>
      <c r="N120" s="294"/>
      <c r="O120" s="249"/>
      <c r="P120" s="275">
        <f>SUM(H120:O120)</f>
        <v>0</v>
      </c>
    </row>
    <row r="121" spans="2:16">
      <c r="B121" s="377"/>
      <c r="C121" s="698" t="s">
        <v>297</v>
      </c>
      <c r="D121" s="698"/>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c r="B122" s="377"/>
      <c r="C122" s="698" t="s">
        <v>298</v>
      </c>
      <c r="D122" s="698"/>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c r="B123" s="377"/>
      <c r="C123" s="698" t="s">
        <v>299</v>
      </c>
      <c r="D123" s="698"/>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c r="B124" s="377"/>
      <c r="C124" s="698" t="s">
        <v>300</v>
      </c>
      <c r="D124" s="698"/>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c r="B125" s="377"/>
      <c r="C125" s="698" t="s">
        <v>301</v>
      </c>
      <c r="D125" s="698"/>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c r="B127" s="273"/>
      <c r="C127" s="375"/>
      <c r="D127" s="258"/>
      <c r="E127" s="258"/>
      <c r="F127" s="256"/>
      <c r="G127" s="256"/>
      <c r="H127" s="262"/>
      <c r="I127" s="262"/>
      <c r="J127" s="262"/>
      <c r="K127" s="262"/>
      <c r="L127" s="262"/>
      <c r="M127" s="262"/>
      <c r="N127" s="262"/>
      <c r="O127" s="258"/>
      <c r="P127" s="276"/>
    </row>
    <row r="128" spans="2:16">
      <c r="B128" s="416"/>
      <c r="C128" s="699" t="s">
        <v>302</v>
      </c>
      <c r="D128" s="699"/>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47" t="s">
        <v>303</v>
      </c>
      <c r="C2" s="747"/>
      <c r="D2" s="747"/>
      <c r="E2" s="747"/>
      <c r="F2" s="747"/>
      <c r="G2" s="747"/>
      <c r="H2" s="747"/>
      <c r="I2" s="747"/>
      <c r="J2" s="747"/>
      <c r="K2" s="747"/>
      <c r="L2" s="747"/>
      <c r="M2" s="747"/>
      <c r="N2" s="747"/>
      <c r="O2" s="747"/>
      <c r="P2" s="747"/>
    </row>
    <row r="3" spans="1:18" ht="18.75"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48" t="s">
        <v>359</v>
      </c>
      <c r="F4" s="748"/>
      <c r="G4" s="748"/>
      <c r="H4" s="748"/>
      <c r="I4" s="748"/>
      <c r="J4" s="748"/>
      <c r="K4" s="748"/>
      <c r="L4" s="748"/>
      <c r="M4" s="748"/>
      <c r="N4" s="748"/>
      <c r="O4" s="748"/>
      <c r="P4" s="748"/>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232" t="s">
        <v>360</v>
      </c>
      <c r="F9" s="444"/>
      <c r="G9" s="435"/>
      <c r="H9" s="435"/>
      <c r="I9" s="435"/>
      <c r="J9" s="435"/>
      <c r="K9" s="435"/>
      <c r="L9" s="435"/>
      <c r="M9" s="435"/>
      <c r="N9" s="435"/>
      <c r="O9" s="435"/>
      <c r="P9" s="435"/>
      <c r="R9" s="81"/>
    </row>
    <row r="10" spans="1:18" ht="18.75" customHeight="1" outlineLevel="1">
      <c r="B10" s="435"/>
      <c r="C10" s="435"/>
      <c r="D10" s="435"/>
      <c r="E10" s="749" t="s">
        <v>335</v>
      </c>
      <c r="F10" s="749"/>
      <c r="G10" s="435"/>
      <c r="H10" s="435"/>
      <c r="I10" s="435"/>
      <c r="J10" s="435"/>
      <c r="K10" s="435"/>
      <c r="L10" s="435"/>
      <c r="M10" s="435"/>
      <c r="N10" s="435"/>
      <c r="O10" s="435"/>
      <c r="P10" s="435"/>
    </row>
    <row r="11" spans="1:18">
      <c r="A11" s="442"/>
      <c r="C11" s="439"/>
      <c r="D11" s="440"/>
      <c r="E11" s="440"/>
    </row>
    <row r="12" spans="1:18" ht="18.75">
      <c r="B12" s="438" t="s">
        <v>473</v>
      </c>
      <c r="C12" s="435"/>
      <c r="D12" s="435"/>
      <c r="E12" s="435"/>
      <c r="F12" s="435"/>
      <c r="G12" s="435"/>
      <c r="H12" s="435"/>
      <c r="I12" s="435"/>
      <c r="J12" s="435"/>
      <c r="K12" s="435"/>
      <c r="L12" s="435"/>
      <c r="M12" s="435"/>
      <c r="N12" s="435"/>
      <c r="O12" s="435"/>
      <c r="P12" s="435"/>
    </row>
    <row r="13" spans="1:18" ht="45">
      <c r="B13" s="739" t="s">
        <v>59</v>
      </c>
      <c r="C13" s="741" t="s">
        <v>0</v>
      </c>
      <c r="D13" s="741" t="s">
        <v>45</v>
      </c>
      <c r="E13" s="741" t="s">
        <v>202</v>
      </c>
      <c r="F13" s="234" t="s">
        <v>199</v>
      </c>
      <c r="G13" s="234" t="s">
        <v>46</v>
      </c>
      <c r="H13" s="743" t="s">
        <v>60</v>
      </c>
      <c r="I13" s="743"/>
      <c r="J13" s="743"/>
      <c r="K13" s="743"/>
      <c r="L13" s="743"/>
      <c r="M13" s="743"/>
      <c r="N13" s="743"/>
      <c r="O13" s="743"/>
      <c r="P13" s="744"/>
    </row>
    <row r="14" spans="1:18" ht="60">
      <c r="B14" s="740"/>
      <c r="C14" s="742"/>
      <c r="D14" s="742"/>
      <c r="E14" s="742"/>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726" t="s">
        <v>138</v>
      </c>
      <c r="C15" s="727"/>
      <c r="D15" s="727"/>
      <c r="E15" s="727"/>
      <c r="F15" s="727"/>
      <c r="G15" s="727"/>
      <c r="H15" s="727"/>
      <c r="I15" s="727"/>
      <c r="J15" s="727"/>
      <c r="K15" s="727"/>
      <c r="L15" s="727"/>
      <c r="M15" s="727"/>
      <c r="N15" s="727"/>
      <c r="O15" s="727"/>
      <c r="P15" s="728"/>
    </row>
    <row r="16" spans="1:18" ht="26.25" customHeight="1">
      <c r="A16" s="443"/>
      <c r="B16" s="720" t="s">
        <v>139</v>
      </c>
      <c r="C16" s="721"/>
      <c r="D16" s="721"/>
      <c r="E16" s="721"/>
      <c r="F16" s="721"/>
      <c r="G16" s="721"/>
      <c r="H16" s="721"/>
      <c r="I16" s="721"/>
      <c r="J16" s="721"/>
      <c r="K16" s="721"/>
      <c r="L16" s="721"/>
      <c r="M16" s="721"/>
      <c r="N16" s="721"/>
      <c r="O16" s="721"/>
      <c r="P16" s="722"/>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8.5">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316</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720" t="s">
        <v>146</v>
      </c>
      <c r="C27" s="721"/>
      <c r="D27" s="721"/>
      <c r="E27" s="721"/>
      <c r="F27" s="721"/>
      <c r="G27" s="721"/>
      <c r="H27" s="721"/>
      <c r="I27" s="721"/>
      <c r="J27" s="721"/>
      <c r="K27" s="721"/>
      <c r="L27" s="721"/>
      <c r="M27" s="721"/>
      <c r="N27" s="721"/>
      <c r="O27" s="721"/>
      <c r="P27" s="722"/>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443"/>
      <c r="B31" s="421">
        <v>10</v>
      </c>
      <c r="C31" s="406" t="s">
        <v>150</v>
      </c>
      <c r="D31" s="249" t="s">
        <v>34</v>
      </c>
      <c r="E31" s="409">
        <v>12</v>
      </c>
      <c r="F31" s="294"/>
      <c r="G31" s="294"/>
      <c r="H31" s="408"/>
      <c r="I31" s="418">
        <v>1</v>
      </c>
      <c r="J31" s="408"/>
      <c r="K31" s="408"/>
      <c r="L31" s="408"/>
      <c r="M31" s="408"/>
      <c r="N31" s="408"/>
      <c r="O31" s="408"/>
      <c r="P31" s="422">
        <f t="shared" si="0"/>
        <v>1</v>
      </c>
    </row>
    <row r="32" spans="1:16" ht="28.5">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316</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720" t="s">
        <v>11</v>
      </c>
      <c r="C37" s="721"/>
      <c r="D37" s="721"/>
      <c r="E37" s="721"/>
      <c r="F37" s="721"/>
      <c r="G37" s="721"/>
      <c r="H37" s="721"/>
      <c r="I37" s="721"/>
      <c r="J37" s="721"/>
      <c r="K37" s="721"/>
      <c r="L37" s="721"/>
      <c r="M37" s="721"/>
      <c r="N37" s="721"/>
      <c r="O37" s="721"/>
      <c r="P37" s="722"/>
    </row>
    <row r="38" spans="1:16" ht="28.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316</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720" t="s">
        <v>155</v>
      </c>
      <c r="C45" s="721"/>
      <c r="D45" s="721"/>
      <c r="E45" s="721"/>
      <c r="F45" s="721"/>
      <c r="G45" s="721"/>
      <c r="H45" s="721"/>
      <c r="I45" s="721"/>
      <c r="J45" s="721"/>
      <c r="K45" s="721"/>
      <c r="L45" s="721"/>
      <c r="M45" s="721"/>
      <c r="N45" s="721"/>
      <c r="O45" s="721"/>
      <c r="P45" s="722"/>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316</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720" t="s">
        <v>157</v>
      </c>
      <c r="C51" s="721"/>
      <c r="D51" s="721"/>
      <c r="E51" s="721"/>
      <c r="F51" s="721"/>
      <c r="G51" s="721"/>
      <c r="H51" s="721"/>
      <c r="I51" s="721"/>
      <c r="J51" s="721"/>
      <c r="K51" s="721"/>
      <c r="L51" s="721"/>
      <c r="M51" s="721"/>
      <c r="N51" s="721"/>
      <c r="O51" s="721"/>
      <c r="P51" s="722"/>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316</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726" t="s">
        <v>162</v>
      </c>
      <c r="C60" s="727"/>
      <c r="D60" s="727"/>
      <c r="E60" s="727"/>
      <c r="F60" s="727"/>
      <c r="G60" s="727"/>
      <c r="H60" s="727"/>
      <c r="I60" s="727"/>
      <c r="J60" s="727"/>
      <c r="K60" s="727"/>
      <c r="L60" s="727"/>
      <c r="M60" s="727"/>
      <c r="N60" s="727"/>
      <c r="O60" s="727"/>
      <c r="P60" s="728"/>
    </row>
    <row r="61" spans="1:16" ht="16.5">
      <c r="B61" s="425"/>
      <c r="C61" s="406"/>
      <c r="D61" s="409"/>
      <c r="E61" s="409"/>
      <c r="F61" s="405"/>
      <c r="G61" s="405"/>
      <c r="H61" s="405"/>
      <c r="I61" s="405"/>
      <c r="J61" s="405"/>
      <c r="K61" s="405"/>
      <c r="L61" s="405"/>
      <c r="M61" s="405"/>
      <c r="N61" s="405"/>
      <c r="O61" s="405"/>
      <c r="P61" s="426"/>
    </row>
    <row r="62" spans="1:16" ht="25.5" customHeight="1">
      <c r="A62" s="443"/>
      <c r="B62" s="736" t="s">
        <v>163</v>
      </c>
      <c r="C62" s="737"/>
      <c r="D62" s="737"/>
      <c r="E62" s="737"/>
      <c r="F62" s="737"/>
      <c r="G62" s="737"/>
      <c r="H62" s="737"/>
      <c r="I62" s="737"/>
      <c r="J62" s="737"/>
      <c r="K62" s="737"/>
      <c r="L62" s="737"/>
      <c r="M62" s="737"/>
      <c r="N62" s="737"/>
      <c r="O62" s="737"/>
      <c r="P62" s="738"/>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ht="28.5">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316</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736" t="s">
        <v>168</v>
      </c>
      <c r="C71" s="737"/>
      <c r="D71" s="737"/>
      <c r="E71" s="737"/>
      <c r="F71" s="737"/>
      <c r="G71" s="737"/>
      <c r="H71" s="737"/>
      <c r="I71" s="737"/>
      <c r="J71" s="737"/>
      <c r="K71" s="737"/>
      <c r="L71" s="737"/>
      <c r="M71" s="737"/>
      <c r="N71" s="737"/>
      <c r="O71" s="737"/>
      <c r="P71" s="738"/>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8.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c r="A75" s="443"/>
      <c r="B75" s="421">
        <v>28</v>
      </c>
      <c r="C75" s="406" t="s">
        <v>172</v>
      </c>
      <c r="D75" s="249" t="s">
        <v>34</v>
      </c>
      <c r="E75" s="409"/>
      <c r="F75" s="294"/>
      <c r="G75" s="294"/>
      <c r="H75" s="408"/>
      <c r="I75" s="408"/>
      <c r="J75" s="408"/>
      <c r="K75" s="408"/>
      <c r="L75" s="408"/>
      <c r="M75" s="408"/>
      <c r="N75" s="408"/>
      <c r="O75" s="408"/>
      <c r="P75" s="422">
        <f t="shared" si="0"/>
        <v>0</v>
      </c>
    </row>
    <row r="76" spans="1:16" ht="28.5">
      <c r="A76" s="443"/>
      <c r="B76" s="421">
        <v>29</v>
      </c>
      <c r="C76" s="406" t="s">
        <v>173</v>
      </c>
      <c r="D76" s="249" t="s">
        <v>34</v>
      </c>
      <c r="E76" s="409"/>
      <c r="F76" s="294"/>
      <c r="G76" s="294"/>
      <c r="H76" s="408"/>
      <c r="I76" s="408"/>
      <c r="J76" s="408"/>
      <c r="K76" s="408"/>
      <c r="L76" s="408"/>
      <c r="M76" s="408"/>
      <c r="N76" s="408"/>
      <c r="O76" s="408"/>
      <c r="P76" s="422">
        <f t="shared" si="0"/>
        <v>0</v>
      </c>
    </row>
    <row r="77" spans="1:16" ht="28.5">
      <c r="A77" s="443"/>
      <c r="B77" s="421">
        <v>30</v>
      </c>
      <c r="C77" s="406" t="s">
        <v>174</v>
      </c>
      <c r="D77" s="249" t="s">
        <v>34</v>
      </c>
      <c r="E77" s="409"/>
      <c r="F77" s="294"/>
      <c r="G77" s="294"/>
      <c r="H77" s="408"/>
      <c r="I77" s="408"/>
      <c r="J77" s="408"/>
      <c r="K77" s="408"/>
      <c r="L77" s="408"/>
      <c r="M77" s="408"/>
      <c r="N77" s="408"/>
      <c r="O77" s="408"/>
      <c r="P77" s="422">
        <f t="shared" si="0"/>
        <v>0</v>
      </c>
    </row>
    <row r="78" spans="1:16" ht="28.5">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316</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736" t="s">
        <v>177</v>
      </c>
      <c r="C84" s="737"/>
      <c r="D84" s="737"/>
      <c r="E84" s="737"/>
      <c r="F84" s="737"/>
      <c r="G84" s="737"/>
      <c r="H84" s="737"/>
      <c r="I84" s="737"/>
      <c r="J84" s="737"/>
      <c r="K84" s="737"/>
      <c r="L84" s="737"/>
      <c r="M84" s="737"/>
      <c r="N84" s="737"/>
      <c r="O84" s="737"/>
      <c r="P84" s="738"/>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316</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736" t="s">
        <v>181</v>
      </c>
      <c r="C92" s="737"/>
      <c r="D92" s="737"/>
      <c r="E92" s="737"/>
      <c r="F92" s="737"/>
      <c r="G92" s="737"/>
      <c r="H92" s="737"/>
      <c r="I92" s="737"/>
      <c r="J92" s="737"/>
      <c r="K92" s="737"/>
      <c r="L92" s="737"/>
      <c r="M92" s="737"/>
      <c r="N92" s="737"/>
      <c r="O92" s="737"/>
      <c r="P92" s="738"/>
    </row>
    <row r="93" spans="1:16" ht="42.75">
      <c r="A93" s="443"/>
      <c r="B93" s="421">
        <v>36</v>
      </c>
      <c r="C93" s="406" t="s">
        <v>182</v>
      </c>
      <c r="D93" s="249" t="s">
        <v>34</v>
      </c>
      <c r="E93" s="409"/>
      <c r="F93" s="294"/>
      <c r="G93" s="294"/>
      <c r="H93" s="414"/>
      <c r="I93" s="414"/>
      <c r="J93" s="414"/>
      <c r="K93" s="414"/>
      <c r="L93" s="414"/>
      <c r="M93" s="414"/>
      <c r="N93" s="414"/>
      <c r="O93" s="414"/>
      <c r="P93" s="422">
        <f t="shared" si="1"/>
        <v>0</v>
      </c>
    </row>
    <row r="94" spans="1:16" ht="28.5">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8.5">
      <c r="A96" s="443"/>
      <c r="B96" s="421">
        <v>39</v>
      </c>
      <c r="C96" s="406" t="s">
        <v>185</v>
      </c>
      <c r="D96" s="249" t="s">
        <v>34</v>
      </c>
      <c r="E96" s="409"/>
      <c r="F96" s="294"/>
      <c r="G96" s="294"/>
      <c r="H96" s="414"/>
      <c r="I96" s="414"/>
      <c r="J96" s="414"/>
      <c r="K96" s="414"/>
      <c r="L96" s="414"/>
      <c r="M96" s="414"/>
      <c r="N96" s="414"/>
      <c r="O96" s="414"/>
      <c r="P96" s="422">
        <f t="shared" si="1"/>
        <v>0</v>
      </c>
    </row>
    <row r="97" spans="1:16" ht="28.5">
      <c r="A97" s="443"/>
      <c r="B97" s="421">
        <v>40</v>
      </c>
      <c r="C97" s="406" t="s">
        <v>186</v>
      </c>
      <c r="D97" s="249" t="s">
        <v>34</v>
      </c>
      <c r="E97" s="409"/>
      <c r="F97" s="294"/>
      <c r="G97" s="294"/>
      <c r="H97" s="414"/>
      <c r="I97" s="414"/>
      <c r="J97" s="414"/>
      <c r="K97" s="414"/>
      <c r="L97" s="414"/>
      <c r="M97" s="414"/>
      <c r="N97" s="414"/>
      <c r="O97" s="414"/>
      <c r="P97" s="422">
        <f t="shared" si="1"/>
        <v>0</v>
      </c>
    </row>
    <row r="98" spans="1:16" ht="28.5">
      <c r="A98" s="443"/>
      <c r="B98" s="421">
        <v>41</v>
      </c>
      <c r="C98" s="406" t="s">
        <v>187</v>
      </c>
      <c r="D98" s="249" t="s">
        <v>34</v>
      </c>
      <c r="E98" s="409"/>
      <c r="F98" s="294"/>
      <c r="G98" s="294"/>
      <c r="H98" s="414"/>
      <c r="I98" s="414"/>
      <c r="J98" s="414"/>
      <c r="K98" s="414"/>
      <c r="L98" s="414"/>
      <c r="M98" s="414"/>
      <c r="N98" s="414"/>
      <c r="O98" s="414"/>
      <c r="P98" s="422">
        <f t="shared" si="1"/>
        <v>0</v>
      </c>
    </row>
    <row r="99" spans="1:16" ht="28.5">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316</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701" t="s">
        <v>218</v>
      </c>
      <c r="D111" s="701"/>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700" t="s">
        <v>257</v>
      </c>
      <c r="D112" s="700"/>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700" t="s">
        <v>258</v>
      </c>
      <c r="D113" s="700"/>
      <c r="E113" s="265"/>
      <c r="F113" s="263"/>
      <c r="G113" s="263"/>
      <c r="H113" s="265"/>
      <c r="I113" s="265"/>
      <c r="J113" s="266">
        <f>J112-(E32*G32*J32)</f>
        <v>0</v>
      </c>
      <c r="K113" s="265">
        <f>K112-(E32*G32*K32)</f>
        <v>0</v>
      </c>
      <c r="L113" s="265"/>
      <c r="M113" s="265"/>
      <c r="N113" s="265"/>
      <c r="O113" s="265"/>
      <c r="P113" s="272"/>
    </row>
    <row r="114" spans="2:16">
      <c r="B114" s="273"/>
      <c r="C114" s="707"/>
      <c r="D114" s="707"/>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98" t="s">
        <v>326</v>
      </c>
      <c r="D116" s="698"/>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98" t="s">
        <v>305</v>
      </c>
      <c r="D117" s="698"/>
      <c r="E117" s="258"/>
      <c r="F117" s="260"/>
      <c r="G117" s="260"/>
      <c r="H117" s="396"/>
      <c r="I117" s="396"/>
      <c r="J117" s="396"/>
      <c r="K117" s="396"/>
      <c r="L117" s="396"/>
      <c r="M117" s="396"/>
      <c r="N117" s="396"/>
      <c r="O117" s="249"/>
      <c r="P117" s="275">
        <f>SUM(H117:O117)</f>
        <v>0</v>
      </c>
    </row>
    <row r="118" spans="2:16">
      <c r="B118" s="377"/>
      <c r="C118" s="698" t="s">
        <v>306</v>
      </c>
      <c r="D118" s="698"/>
      <c r="E118" s="258"/>
      <c r="F118" s="260"/>
      <c r="G118" s="260"/>
      <c r="H118" s="396"/>
      <c r="I118" s="396"/>
      <c r="J118" s="396"/>
      <c r="K118" s="396"/>
      <c r="L118" s="396"/>
      <c r="M118" s="396"/>
      <c r="N118" s="396"/>
      <c r="O118" s="249"/>
      <c r="P118" s="275">
        <f>SUM(H118:O118)</f>
        <v>0</v>
      </c>
    </row>
    <row r="119" spans="2:16">
      <c r="B119" s="377"/>
      <c r="C119" s="698" t="s">
        <v>307</v>
      </c>
      <c r="D119" s="698"/>
      <c r="E119" s="258"/>
      <c r="F119" s="260"/>
      <c r="G119" s="260"/>
      <c r="H119" s="396"/>
      <c r="I119" s="396"/>
      <c r="J119" s="396"/>
      <c r="K119" s="396"/>
      <c r="L119" s="396"/>
      <c r="M119" s="396"/>
      <c r="N119" s="396"/>
      <c r="O119" s="249"/>
      <c r="P119" s="275">
        <f t="shared" ref="P119" si="2">SUM(H119:O119)</f>
        <v>0</v>
      </c>
    </row>
    <row r="120" spans="2:16">
      <c r="B120" s="377"/>
      <c r="C120" s="698" t="s">
        <v>308</v>
      </c>
      <c r="D120" s="698"/>
      <c r="E120" s="258"/>
      <c r="F120" s="260"/>
      <c r="G120" s="260"/>
      <c r="H120" s="396"/>
      <c r="I120" s="396"/>
      <c r="J120" s="396"/>
      <c r="K120" s="396"/>
      <c r="L120" s="396"/>
      <c r="M120" s="396"/>
      <c r="N120" s="396"/>
      <c r="O120" s="249"/>
      <c r="P120" s="275">
        <f>SUM(H120:O120)</f>
        <v>0</v>
      </c>
    </row>
    <row r="121" spans="2:16">
      <c r="B121" s="377"/>
      <c r="C121" s="698" t="s">
        <v>309</v>
      </c>
      <c r="D121" s="698"/>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c r="B122" s="377"/>
      <c r="C122" s="698" t="s">
        <v>310</v>
      </c>
      <c r="D122" s="698"/>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c r="B123" s="377"/>
      <c r="C123" s="698" t="s">
        <v>311</v>
      </c>
      <c r="D123" s="698"/>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c r="B124" s="377"/>
      <c r="C124" s="698" t="s">
        <v>312</v>
      </c>
      <c r="D124" s="698"/>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c r="B125" s="377"/>
      <c r="C125" s="698" t="s">
        <v>313</v>
      </c>
      <c r="D125" s="698"/>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c r="B126" s="377"/>
      <c r="C126" s="698" t="s">
        <v>314</v>
      </c>
      <c r="D126" s="698"/>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335"/>
  <sheetViews>
    <sheetView showZeros="0" zoomScale="90" zoomScaleNormal="90" zoomScaleSheetLayoutView="100" zoomScalePageLayoutView="90" workbookViewId="0">
      <pane ySplit="2" topLeftCell="A300" activePane="bottomLeft" state="frozen"/>
      <selection activeCell="C6" sqref="C6"/>
      <selection pane="bottomLeft" activeCell="C6" sqref="C6"/>
    </sheetView>
  </sheetViews>
  <sheetFormatPr defaultColWidth="8.85546875" defaultRowHeight="14.25" outlineLevelRow="1"/>
  <cols>
    <col min="1" max="1" width="3.28515625" style="65" customWidth="1"/>
    <col min="2" max="2" width="4" style="65" customWidth="1"/>
    <col min="3" max="3" width="26.42578125" style="68" customWidth="1"/>
    <col min="4" max="4" width="12.42578125" style="68" customWidth="1"/>
    <col min="5" max="6" width="11.140625" style="65" customWidth="1"/>
    <col min="7" max="7" width="11.85546875" style="65" customWidth="1"/>
    <col min="8" max="8" width="11.140625" style="65" customWidth="1"/>
    <col min="9" max="9" width="12.140625" style="65" customWidth="1"/>
    <col min="10" max="10" width="11.140625" style="65" customWidth="1"/>
    <col min="11" max="11" width="12.28515625" style="65" customWidth="1"/>
    <col min="12" max="13" width="11.140625" style="65" customWidth="1"/>
    <col min="14" max="14" width="9.42578125" style="65" customWidth="1"/>
    <col min="15" max="15" width="25.85546875" style="68" customWidth="1"/>
    <col min="16" max="16" width="10.85546875" style="65" customWidth="1"/>
    <col min="17" max="17" width="10.7109375" style="65" customWidth="1"/>
    <col min="18" max="18" width="11.140625" style="65" customWidth="1"/>
    <col min="19" max="19" width="11.28515625" style="65" customWidth="1"/>
    <col min="20" max="20" width="8.85546875" style="65"/>
    <col min="21" max="25" width="11.140625" style="65" customWidth="1"/>
    <col min="26" max="16384" width="8.85546875" style="65"/>
  </cols>
  <sheetData>
    <row r="1" spans="1:25" ht="155.25" customHeight="1">
      <c r="C1" s="65"/>
      <c r="D1" s="65"/>
    </row>
    <row r="2" spans="1:25" ht="29.25" customHeight="1">
      <c r="B2" s="68"/>
      <c r="C2" s="660" t="s">
        <v>346</v>
      </c>
      <c r="D2" s="660"/>
      <c r="E2" s="660"/>
      <c r="F2" s="660"/>
      <c r="G2" s="660"/>
      <c r="H2" s="660"/>
      <c r="I2" s="660"/>
      <c r="J2" s="660"/>
      <c r="K2" s="660"/>
      <c r="L2" s="660"/>
      <c r="M2" s="660"/>
      <c r="N2" s="660"/>
      <c r="O2" s="660"/>
      <c r="P2" s="660"/>
      <c r="Q2" s="660"/>
      <c r="R2" s="660"/>
      <c r="S2" s="660"/>
      <c r="T2" s="660"/>
      <c r="U2" s="660"/>
    </row>
    <row r="3" spans="1:25" ht="8.25" customHeight="1" outlineLevel="1">
      <c r="B3" s="68"/>
      <c r="C3" s="126"/>
      <c r="D3" s="126"/>
      <c r="E3" s="126"/>
      <c r="F3" s="126"/>
      <c r="G3" s="126"/>
      <c r="H3" s="126"/>
      <c r="I3" s="126"/>
      <c r="J3" s="502"/>
      <c r="K3" s="502"/>
      <c r="L3" s="502"/>
      <c r="M3" s="502"/>
      <c r="N3" s="126"/>
      <c r="O3" s="126"/>
      <c r="P3" s="126"/>
      <c r="Q3" s="126"/>
      <c r="R3" s="126"/>
    </row>
    <row r="4" spans="1:25" ht="9" hidden="1" customHeight="1" outlineLevel="1">
      <c r="C4" s="65"/>
      <c r="D4" s="380"/>
      <c r="E4" s="381"/>
      <c r="F4" s="381"/>
      <c r="G4" s="381"/>
      <c r="H4" s="381"/>
      <c r="I4" s="381"/>
      <c r="J4" s="381"/>
      <c r="K4" s="381"/>
      <c r="L4" s="381"/>
      <c r="M4" s="381"/>
      <c r="N4" s="381"/>
      <c r="O4" s="381"/>
      <c r="P4" s="381"/>
      <c r="Q4" s="381"/>
      <c r="R4" s="381"/>
      <c r="S4" s="382"/>
    </row>
    <row r="5" spans="1:25" ht="80.25" customHeight="1" outlineLevel="1">
      <c r="D5" s="365" t="s">
        <v>396</v>
      </c>
      <c r="E5" s="69"/>
      <c r="F5" s="763" t="s">
        <v>493</v>
      </c>
      <c r="G5" s="763"/>
      <c r="H5" s="763"/>
      <c r="I5" s="763"/>
      <c r="J5" s="763"/>
      <c r="K5" s="763"/>
      <c r="L5" s="763"/>
      <c r="M5" s="763"/>
      <c r="N5" s="763"/>
      <c r="O5" s="763"/>
      <c r="P5" s="763"/>
      <c r="Q5" s="763"/>
      <c r="R5" s="763"/>
      <c r="S5" s="763"/>
    </row>
    <row r="6" spans="1:25" ht="14.25" customHeight="1" outlineLevel="1">
      <c r="D6" s="380"/>
      <c r="E6" s="69"/>
      <c r="F6" s="167" t="s">
        <v>486</v>
      </c>
      <c r="G6" s="69"/>
      <c r="H6" s="163"/>
      <c r="I6" s="163"/>
      <c r="J6" s="163"/>
      <c r="K6" s="163"/>
      <c r="L6" s="163"/>
      <c r="M6" s="163"/>
      <c r="N6" s="163"/>
      <c r="O6" s="163"/>
      <c r="P6" s="285"/>
      <c r="Q6" s="163"/>
      <c r="R6" s="163"/>
      <c r="S6" s="69"/>
    </row>
    <row r="7" spans="1:25" ht="6.75" hidden="1" customHeight="1" outlineLevel="1">
      <c r="D7" s="380"/>
      <c r="E7" s="69"/>
      <c r="F7" s="167"/>
      <c r="G7" s="69"/>
      <c r="H7" s="163"/>
      <c r="I7" s="163"/>
      <c r="J7" s="163"/>
      <c r="K7" s="163"/>
      <c r="L7" s="163"/>
      <c r="M7" s="163"/>
      <c r="N7" s="163"/>
      <c r="O7" s="163"/>
      <c r="P7" s="285"/>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334</v>
      </c>
      <c r="E10" s="62"/>
      <c r="F10" s="735" t="s">
        <v>360</v>
      </c>
      <c r="G10" s="735"/>
      <c r="H10" s="206"/>
      <c r="I10" s="163"/>
      <c r="J10" s="163"/>
      <c r="K10" s="163"/>
      <c r="L10" s="163"/>
      <c r="M10" s="163"/>
      <c r="N10" s="163"/>
      <c r="O10" s="163"/>
      <c r="P10" s="164"/>
      <c r="Q10" s="163"/>
      <c r="R10" s="163"/>
      <c r="U10" s="62"/>
    </row>
    <row r="11" spans="1:25" ht="16.5" customHeight="1" outlineLevel="1">
      <c r="A11" s="124"/>
      <c r="D11" s="62"/>
      <c r="E11" s="62"/>
      <c r="F11" s="749" t="s">
        <v>335</v>
      </c>
      <c r="G11" s="749"/>
      <c r="H11" s="749"/>
      <c r="I11" s="163"/>
      <c r="J11" s="163"/>
      <c r="K11" s="163"/>
      <c r="L11" s="163"/>
      <c r="M11" s="163"/>
      <c r="N11" s="163"/>
      <c r="O11" s="164"/>
      <c r="P11" s="163"/>
      <c r="Q11" s="163"/>
    </row>
    <row r="12" spans="1:25" ht="12.75" customHeight="1">
      <c r="A12" s="124"/>
    </row>
    <row r="13" spans="1:25" ht="9.75" customHeight="1">
      <c r="A13" s="124"/>
    </row>
    <row r="14" spans="1:25" ht="15" hidden="1">
      <c r="A14" s="124"/>
      <c r="C14" s="166" t="s">
        <v>481</v>
      </c>
    </row>
    <row r="15" spans="1:25" ht="11.25" hidden="1" customHeight="1">
      <c r="A15" s="124"/>
    </row>
    <row r="16" spans="1:25" ht="15" hidden="1" customHeight="1">
      <c r="A16" s="124"/>
      <c r="C16" s="235" t="s">
        <v>21</v>
      </c>
      <c r="D16" s="740" t="s">
        <v>357</v>
      </c>
      <c r="E16" s="742"/>
      <c r="F16" s="742"/>
      <c r="G16" s="742"/>
      <c r="H16" s="742"/>
      <c r="I16" s="742"/>
      <c r="J16" s="742"/>
      <c r="K16" s="742"/>
      <c r="L16" s="742"/>
      <c r="M16" s="742"/>
      <c r="O16" s="308" t="s">
        <v>21</v>
      </c>
      <c r="P16" s="761" t="s">
        <v>356</v>
      </c>
      <c r="Q16" s="762"/>
      <c r="R16" s="762"/>
      <c r="S16" s="762"/>
      <c r="T16" s="762"/>
      <c r="U16" s="762"/>
      <c r="V16" s="762"/>
      <c r="W16" s="762"/>
      <c r="X16" s="762"/>
      <c r="Y16" s="762"/>
    </row>
    <row r="17" spans="1:25" ht="15" hidden="1" customHeight="1">
      <c r="A17" s="43"/>
      <c r="C17" s="235"/>
      <c r="D17" s="168">
        <v>2011</v>
      </c>
      <c r="E17" s="168">
        <v>2012</v>
      </c>
      <c r="F17" s="168">
        <v>2013</v>
      </c>
      <c r="G17" s="168">
        <v>2014</v>
      </c>
      <c r="H17" s="505">
        <v>2015</v>
      </c>
      <c r="I17" s="505">
        <v>2016</v>
      </c>
      <c r="J17" s="505">
        <v>2017</v>
      </c>
      <c r="K17" s="505">
        <v>2018</v>
      </c>
      <c r="L17" s="505">
        <v>2019</v>
      </c>
      <c r="M17" s="505">
        <v>2020</v>
      </c>
      <c r="O17" s="307"/>
      <c r="P17" s="168">
        <v>2011</v>
      </c>
      <c r="Q17" s="168">
        <v>2012</v>
      </c>
      <c r="R17" s="168">
        <v>2013</v>
      </c>
      <c r="S17" s="168">
        <v>2014</v>
      </c>
      <c r="T17" s="505">
        <v>2015</v>
      </c>
      <c r="U17" s="505">
        <v>2016</v>
      </c>
      <c r="V17" s="505">
        <v>2017</v>
      </c>
      <c r="W17" s="505">
        <v>2018</v>
      </c>
      <c r="X17" s="505">
        <v>2019</v>
      </c>
      <c r="Y17" s="505">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5" t="s">
        <v>21</v>
      </c>
      <c r="D23" s="761" t="s">
        <v>44</v>
      </c>
      <c r="E23" s="762"/>
      <c r="F23" s="762"/>
      <c r="G23" s="762"/>
      <c r="H23" s="762"/>
      <c r="I23" s="762"/>
      <c r="J23" s="762"/>
      <c r="K23" s="762"/>
      <c r="L23" s="762"/>
      <c r="M23" s="762"/>
      <c r="O23" s="310" t="s">
        <v>21</v>
      </c>
      <c r="P23" s="740" t="s">
        <v>259</v>
      </c>
      <c r="Q23" s="742"/>
      <c r="R23" s="742"/>
      <c r="S23" s="742"/>
      <c r="T23" s="742"/>
      <c r="U23" s="742"/>
      <c r="V23" s="742"/>
      <c r="W23" s="742"/>
      <c r="X23" s="742"/>
      <c r="Y23" s="742"/>
    </row>
    <row r="24" spans="1:25" ht="15" hidden="1" customHeight="1">
      <c r="A24" s="43"/>
      <c r="C24" s="235"/>
      <c r="D24" s="300">
        <v>2011</v>
      </c>
      <c r="E24" s="300">
        <v>2012</v>
      </c>
      <c r="F24" s="300">
        <v>2013</v>
      </c>
      <c r="G24" s="300">
        <v>2014</v>
      </c>
      <c r="H24" s="505">
        <v>2015</v>
      </c>
      <c r="I24" s="505">
        <v>2016</v>
      </c>
      <c r="J24" s="505">
        <v>2017</v>
      </c>
      <c r="K24" s="505">
        <v>2018</v>
      </c>
      <c r="L24" s="505">
        <v>2019</v>
      </c>
      <c r="M24" s="505">
        <v>2020</v>
      </c>
      <c r="O24" s="309"/>
      <c r="P24" s="300">
        <v>2011</v>
      </c>
      <c r="Q24" s="300">
        <v>2012</v>
      </c>
      <c r="R24" s="300">
        <v>2013</v>
      </c>
      <c r="S24" s="300">
        <v>2014</v>
      </c>
      <c r="T24" s="300">
        <v>2015</v>
      </c>
      <c r="U24" s="300">
        <v>2016</v>
      </c>
      <c r="V24" s="300">
        <v>2017</v>
      </c>
      <c r="W24" s="300">
        <v>2018</v>
      </c>
      <c r="X24" s="300">
        <v>2019</v>
      </c>
      <c r="Y24" s="300">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0">
        <v>2011</v>
      </c>
      <c r="P25" s="511"/>
      <c r="Q25" s="513" t="e">
        <f>Q18/$P$18</f>
        <v>#DIV/0!</v>
      </c>
      <c r="R25" s="513" t="e">
        <f>R18/$P$18</f>
        <v>#DIV/0!</v>
      </c>
      <c r="S25" s="513" t="e">
        <f>S18/$P$18</f>
        <v>#DIV/0!</v>
      </c>
      <c r="T25" s="513" t="e">
        <f t="shared" ref="T25:X25" si="2">T18/$P$18</f>
        <v>#DIV/0!</v>
      </c>
      <c r="U25" s="513" t="e">
        <f>U18/$P$18</f>
        <v>#DIV/0!</v>
      </c>
      <c r="V25" s="513" t="e">
        <f t="shared" si="2"/>
        <v>#DIV/0!</v>
      </c>
      <c r="W25" s="513" t="e">
        <f>W18/$P$18</f>
        <v>#DIV/0!</v>
      </c>
      <c r="X25" s="513" t="e">
        <f t="shared" si="2"/>
        <v>#DIV/0!</v>
      </c>
      <c r="Y25" s="513"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0">
        <v>2012</v>
      </c>
      <c r="P26" s="511"/>
      <c r="Q26" s="514"/>
      <c r="R26" s="513" t="e">
        <f>R19/$Q$19</f>
        <v>#DIV/0!</v>
      </c>
      <c r="S26" s="513" t="e">
        <f>S19/$Q$19</f>
        <v>#DIV/0!</v>
      </c>
      <c r="T26" s="513" t="e">
        <f t="shared" ref="T26:X26" si="4">T19/$Q$19</f>
        <v>#DIV/0!</v>
      </c>
      <c r="U26" s="513" t="e">
        <f>U19/$Q$19</f>
        <v>#DIV/0!</v>
      </c>
      <c r="V26" s="513" t="e">
        <f t="shared" si="4"/>
        <v>#DIV/0!</v>
      </c>
      <c r="W26" s="513" t="e">
        <f>W19/$Q$19</f>
        <v>#DIV/0!</v>
      </c>
      <c r="X26" s="513" t="e">
        <f t="shared" si="4"/>
        <v>#DIV/0!</v>
      </c>
      <c r="Y26" s="513" t="e">
        <f>Y19/$Q$19</f>
        <v>#DIV/0!</v>
      </c>
    </row>
    <row r="27" spans="1:25" ht="16.5" hidden="1" customHeight="1">
      <c r="A27" s="43"/>
      <c r="C27" s="510">
        <v>2013</v>
      </c>
      <c r="D27" s="511"/>
      <c r="E27" s="511"/>
      <c r="F27" s="512"/>
      <c r="G27" s="513" t="e">
        <f>G20/$F$20</f>
        <v>#DIV/0!</v>
      </c>
      <c r="H27" s="513" t="e">
        <f>H20/$F$20</f>
        <v>#DIV/0!</v>
      </c>
      <c r="I27" s="513" t="e">
        <f t="shared" ref="I27:M27" si="5">I20/$F$20</f>
        <v>#DIV/0!</v>
      </c>
      <c r="J27" s="513" t="e">
        <f t="shared" si="5"/>
        <v>#DIV/0!</v>
      </c>
      <c r="K27" s="513" t="e">
        <f t="shared" si="5"/>
        <v>#DIV/0!</v>
      </c>
      <c r="L27" s="513" t="e">
        <f t="shared" si="5"/>
        <v>#DIV/0!</v>
      </c>
      <c r="M27" s="513" t="e">
        <f t="shared" si="5"/>
        <v>#DIV/0!</v>
      </c>
      <c r="O27" s="510">
        <v>2013</v>
      </c>
      <c r="P27" s="511"/>
      <c r="Q27" s="511"/>
      <c r="R27" s="512"/>
      <c r="S27" s="513" t="e">
        <f>S20/$R$20</f>
        <v>#DIV/0!</v>
      </c>
      <c r="T27" s="513" t="e">
        <f t="shared" ref="T27:Y27" si="6">T20/$R$20</f>
        <v>#DIV/0!</v>
      </c>
      <c r="U27" s="513" t="e">
        <f t="shared" si="6"/>
        <v>#DIV/0!</v>
      </c>
      <c r="V27" s="513" t="e">
        <f t="shared" si="6"/>
        <v>#DIV/0!</v>
      </c>
      <c r="W27" s="513" t="e">
        <f t="shared" si="6"/>
        <v>#DIV/0!</v>
      </c>
      <c r="X27" s="513" t="e">
        <f t="shared" si="6"/>
        <v>#DIV/0!</v>
      </c>
      <c r="Y27" s="513" t="e">
        <f t="shared" si="6"/>
        <v>#DIV/0!</v>
      </c>
    </row>
    <row r="28" spans="1:25" ht="16.5" hidden="1" customHeight="1">
      <c r="A28" s="43"/>
      <c r="C28" s="510">
        <v>2014</v>
      </c>
      <c r="D28" s="511"/>
      <c r="E28" s="511"/>
      <c r="F28" s="512"/>
      <c r="G28" s="513"/>
      <c r="H28" s="31" t="e">
        <f t="shared" ref="H28:M28" si="7">H21/$G$21</f>
        <v>#DIV/0!</v>
      </c>
      <c r="I28" s="31" t="e">
        <f t="shared" si="7"/>
        <v>#DIV/0!</v>
      </c>
      <c r="J28" s="31" t="e">
        <f t="shared" si="7"/>
        <v>#DIV/0!</v>
      </c>
      <c r="K28" s="31" t="e">
        <f t="shared" si="7"/>
        <v>#DIV/0!</v>
      </c>
      <c r="L28" s="31" t="e">
        <f t="shared" si="7"/>
        <v>#DIV/0!</v>
      </c>
      <c r="M28" s="31" t="e">
        <f t="shared" si="7"/>
        <v>#DIV/0!</v>
      </c>
      <c r="O28" s="510">
        <v>2014</v>
      </c>
      <c r="P28" s="511"/>
      <c r="Q28" s="511"/>
      <c r="R28" s="512"/>
      <c r="S28" s="513"/>
      <c r="T28" s="516" t="e">
        <f>T21/$S$21</f>
        <v>#DIV/0!</v>
      </c>
      <c r="U28" s="516" t="e">
        <f t="shared" ref="U28:X28" si="8">U21/$S$21</f>
        <v>#DIV/0!</v>
      </c>
      <c r="V28" s="516" t="e">
        <f t="shared" si="8"/>
        <v>#DIV/0!</v>
      </c>
      <c r="W28" s="516" t="e">
        <f t="shared" si="8"/>
        <v>#DIV/0!</v>
      </c>
      <c r="X28" s="516" t="e">
        <f t="shared" si="8"/>
        <v>#DIV/0!</v>
      </c>
      <c r="Y28" s="516" t="e">
        <f>Y21/$S$21</f>
        <v>#DIV/0!</v>
      </c>
    </row>
    <row r="29" spans="1:25" ht="9" hidden="1" customHeight="1">
      <c r="A29" s="43"/>
      <c r="C29" s="32"/>
      <c r="D29" s="296"/>
      <c r="E29" s="296"/>
      <c r="F29" s="297"/>
      <c r="G29" s="298"/>
      <c r="O29" s="32"/>
      <c r="P29" s="296"/>
      <c r="Q29" s="296"/>
      <c r="R29" s="297"/>
      <c r="S29" s="298"/>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52" t="s">
        <v>21</v>
      </c>
      <c r="D33" s="739" t="s">
        <v>357</v>
      </c>
      <c r="E33" s="741"/>
      <c r="F33" s="741"/>
      <c r="G33" s="741"/>
      <c r="H33" s="741"/>
      <c r="I33" s="751"/>
      <c r="J33" s="148"/>
      <c r="K33" s="148"/>
      <c r="L33" s="148"/>
      <c r="M33" s="148"/>
      <c r="N33" s="153"/>
      <c r="O33" s="754" t="s">
        <v>21</v>
      </c>
      <c r="P33" s="755" t="s">
        <v>356</v>
      </c>
      <c r="Q33" s="756"/>
      <c r="R33" s="756"/>
      <c r="S33" s="756"/>
      <c r="T33" s="756"/>
      <c r="U33" s="756"/>
      <c r="V33" s="757"/>
      <c r="W33" s="153"/>
    </row>
    <row r="34" spans="1:24" ht="14.25" hidden="1" customHeight="1">
      <c r="C34" s="753"/>
      <c r="D34" s="168">
        <v>2015</v>
      </c>
      <c r="E34" s="168">
        <v>2016</v>
      </c>
      <c r="F34" s="168">
        <v>2017</v>
      </c>
      <c r="G34" s="168">
        <v>2018</v>
      </c>
      <c r="H34" s="170">
        <v>2019</v>
      </c>
      <c r="I34" s="168">
        <v>2020</v>
      </c>
      <c r="J34" s="148"/>
      <c r="K34" s="148"/>
      <c r="L34" s="148"/>
      <c r="M34" s="148"/>
      <c r="N34" s="154"/>
      <c r="O34" s="754"/>
      <c r="P34" s="169"/>
      <c r="Q34" s="169">
        <v>2015</v>
      </c>
      <c r="R34" s="169">
        <v>2016</v>
      </c>
      <c r="S34" s="169">
        <v>2017</v>
      </c>
      <c r="T34" s="169">
        <v>2018</v>
      </c>
      <c r="U34" s="169">
        <v>2019</v>
      </c>
      <c r="V34" s="169">
        <v>2020</v>
      </c>
      <c r="W34" s="155"/>
    </row>
    <row r="35" spans="1:24" ht="18.75"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8.75"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8.75"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8.75"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8.75"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8.75"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52" t="s">
        <v>21</v>
      </c>
      <c r="D42" s="758" t="s">
        <v>44</v>
      </c>
      <c r="E42" s="759"/>
      <c r="F42" s="759"/>
      <c r="G42" s="759"/>
      <c r="H42" s="759"/>
      <c r="I42" s="760"/>
      <c r="J42" s="148"/>
      <c r="K42" s="148"/>
      <c r="L42" s="148"/>
      <c r="M42" s="148"/>
      <c r="O42" s="754" t="s">
        <v>21</v>
      </c>
      <c r="P42" s="761" t="s">
        <v>259</v>
      </c>
      <c r="Q42" s="762"/>
      <c r="R42" s="762"/>
      <c r="S42" s="762"/>
      <c r="T42" s="762"/>
      <c r="U42" s="762"/>
      <c r="V42" s="762"/>
      <c r="W42" s="155"/>
    </row>
    <row r="43" spans="1:24" ht="14.25" hidden="1" customHeight="1">
      <c r="A43" s="750"/>
      <c r="C43" s="753"/>
      <c r="D43" s="169">
        <v>2015</v>
      </c>
      <c r="E43" s="169">
        <v>2016</v>
      </c>
      <c r="F43" s="169">
        <v>2017</v>
      </c>
      <c r="G43" s="169">
        <v>2018</v>
      </c>
      <c r="H43" s="169">
        <v>2019</v>
      </c>
      <c r="I43" s="169">
        <v>2020</v>
      </c>
      <c r="J43" s="148"/>
      <c r="K43" s="148"/>
      <c r="L43" s="148"/>
      <c r="M43" s="148"/>
      <c r="O43" s="754"/>
      <c r="P43" s="169"/>
      <c r="Q43" s="169">
        <v>2015</v>
      </c>
      <c r="R43" s="169">
        <v>2016</v>
      </c>
      <c r="S43" s="169">
        <v>2017</v>
      </c>
      <c r="T43" s="169">
        <v>2018</v>
      </c>
      <c r="U43" s="169">
        <v>2019</v>
      </c>
      <c r="V43" s="171">
        <v>2020</v>
      </c>
      <c r="W43" s="155"/>
      <c r="X43" s="13"/>
    </row>
    <row r="44" spans="1:24" ht="18.75" hidden="1">
      <c r="A44" s="750"/>
      <c r="C44" s="156" t="s">
        <v>212</v>
      </c>
      <c r="D44" s="114"/>
      <c r="E44" s="494" t="e">
        <f>E35/$D$35</f>
        <v>#DIV/0!</v>
      </c>
      <c r="F44" s="494" t="e">
        <f>F35/$D$35</f>
        <v>#DIV/0!</v>
      </c>
      <c r="G44" s="494" t="e">
        <f>G35/$D$35</f>
        <v>#DIV/0!</v>
      </c>
      <c r="H44" s="494" t="e">
        <f>H35/$D$35</f>
        <v>#DIV/0!</v>
      </c>
      <c r="I44" s="494" t="e">
        <f>I35/$D$35</f>
        <v>#DIV/0!</v>
      </c>
      <c r="J44" s="148"/>
      <c r="K44" s="148"/>
      <c r="L44" s="148"/>
      <c r="M44" s="148"/>
      <c r="O44" s="156" t="s">
        <v>212</v>
      </c>
      <c r="P44" s="158"/>
      <c r="Q44" s="114"/>
      <c r="R44" s="494" t="e">
        <f>R35/$Q$35</f>
        <v>#DIV/0!</v>
      </c>
      <c r="S44" s="494" t="e">
        <f>S35/$Q$35</f>
        <v>#DIV/0!</v>
      </c>
      <c r="T44" s="494" t="e">
        <f>T35/$Q$35</f>
        <v>#DIV/0!</v>
      </c>
      <c r="U44" s="494" t="e">
        <f>U35/$Q$35</f>
        <v>#DIV/0!</v>
      </c>
      <c r="V44" s="494" t="e">
        <f>V35/$Q$35</f>
        <v>#DIV/0!</v>
      </c>
      <c r="W44" s="162"/>
      <c r="X44" s="13"/>
    </row>
    <row r="45" spans="1:24" ht="18.75" hidden="1">
      <c r="A45" s="750"/>
      <c r="C45" s="156" t="s">
        <v>213</v>
      </c>
      <c r="D45" s="114"/>
      <c r="E45" s="494"/>
      <c r="F45" s="494" t="e">
        <f>F36/$E$36</f>
        <v>#DIV/0!</v>
      </c>
      <c r="G45" s="494" t="e">
        <f>G36/$E$36</f>
        <v>#DIV/0!</v>
      </c>
      <c r="H45" s="494" t="e">
        <f>H36/$E$36</f>
        <v>#DIV/0!</v>
      </c>
      <c r="I45" s="494" t="e">
        <f>I36/$E$36</f>
        <v>#DIV/0!</v>
      </c>
      <c r="J45" s="148"/>
      <c r="K45" s="148"/>
      <c r="L45" s="148"/>
      <c r="M45" s="148"/>
      <c r="O45" s="156" t="s">
        <v>213</v>
      </c>
      <c r="P45" s="158"/>
      <c r="Q45" s="114"/>
      <c r="R45" s="494"/>
      <c r="S45" s="494" t="e">
        <f>S36/$R$36</f>
        <v>#DIV/0!</v>
      </c>
      <c r="T45" s="494" t="e">
        <f>T36/$R$36</f>
        <v>#DIV/0!</v>
      </c>
      <c r="U45" s="494" t="e">
        <f>U36/$R$36</f>
        <v>#DIV/0!</v>
      </c>
      <c r="V45" s="494" t="e">
        <f>V36/$R$36</f>
        <v>#DIV/0!</v>
      </c>
      <c r="W45" s="155"/>
      <c r="X45" s="13"/>
    </row>
    <row r="46" spans="1:24" hidden="1">
      <c r="A46" s="750"/>
      <c r="C46" s="156" t="s">
        <v>214</v>
      </c>
      <c r="D46" s="114"/>
      <c r="E46" s="494"/>
      <c r="F46" s="494"/>
      <c r="G46" s="494" t="e">
        <f>G37/$F$37</f>
        <v>#DIV/0!</v>
      </c>
      <c r="H46" s="494" t="e">
        <f>H37/$F$37</f>
        <v>#DIV/0!</v>
      </c>
      <c r="I46" s="494" t="e">
        <f>I37/$F$37</f>
        <v>#DIV/0!</v>
      </c>
      <c r="J46" s="509"/>
      <c r="K46" s="509"/>
      <c r="L46" s="509"/>
      <c r="M46" s="509"/>
      <c r="O46" s="156" t="s">
        <v>214</v>
      </c>
      <c r="P46" s="158"/>
      <c r="Q46" s="114"/>
      <c r="R46" s="494"/>
      <c r="S46" s="494"/>
      <c r="T46" s="494" t="e">
        <f>T37/$S$37</f>
        <v>#DIV/0!</v>
      </c>
      <c r="U46" s="494" t="e">
        <f>U37/$S$37</f>
        <v>#DIV/0!</v>
      </c>
      <c r="V46" s="494" t="e">
        <f>V37/$S$37</f>
        <v>#DIV/0!</v>
      </c>
      <c r="W46" s="162"/>
      <c r="X46" s="13"/>
    </row>
    <row r="47" spans="1:24" hidden="1">
      <c r="C47" s="156" t="s">
        <v>215</v>
      </c>
      <c r="D47" s="114"/>
      <c r="E47" s="494"/>
      <c r="F47" s="494"/>
      <c r="G47" s="494"/>
      <c r="H47" s="494" t="e">
        <f>H38/$G$38</f>
        <v>#DIV/0!</v>
      </c>
      <c r="I47" s="494" t="e">
        <f>I38/$G$38</f>
        <v>#DIV/0!</v>
      </c>
      <c r="J47" s="509"/>
      <c r="K47" s="509"/>
      <c r="L47" s="509"/>
      <c r="M47" s="509"/>
      <c r="O47" s="156" t="s">
        <v>215</v>
      </c>
      <c r="P47" s="158"/>
      <c r="Q47" s="114"/>
      <c r="R47" s="494"/>
      <c r="S47" s="494"/>
      <c r="T47" s="494"/>
      <c r="U47" s="494" t="e">
        <f>U38/$T$38</f>
        <v>#DIV/0!</v>
      </c>
      <c r="V47" s="494" t="e">
        <f>V38/$T$38</f>
        <v>#DIV/0!</v>
      </c>
      <c r="W47" s="155"/>
    </row>
    <row r="48" spans="1:24" hidden="1">
      <c r="C48" s="156" t="s">
        <v>216</v>
      </c>
      <c r="D48" s="114"/>
      <c r="E48" s="494"/>
      <c r="F48" s="494"/>
      <c r="G48" s="494"/>
      <c r="H48" s="494"/>
      <c r="I48" s="494" t="e">
        <f>I39/H39</f>
        <v>#DIV/0!</v>
      </c>
      <c r="J48" s="509"/>
      <c r="K48" s="509"/>
      <c r="L48" s="509"/>
      <c r="M48" s="509"/>
      <c r="O48" s="156" t="s">
        <v>216</v>
      </c>
      <c r="P48" s="158"/>
      <c r="Q48" s="114"/>
      <c r="R48" s="494"/>
      <c r="S48" s="494"/>
      <c r="T48" s="494"/>
      <c r="U48" s="494"/>
      <c r="V48" s="494" t="e">
        <f>V39/U39</f>
        <v>#DIV/0!</v>
      </c>
      <c r="W48" s="155"/>
    </row>
    <row r="49" spans="3:25" hidden="1">
      <c r="C49" s="583"/>
      <c r="D49" s="155"/>
      <c r="E49" s="509"/>
      <c r="F49" s="509"/>
      <c r="G49" s="509"/>
      <c r="H49" s="509"/>
      <c r="I49" s="509"/>
      <c r="J49" s="509"/>
      <c r="K49" s="509"/>
      <c r="L49" s="509"/>
      <c r="M49" s="509"/>
      <c r="O49" s="583"/>
      <c r="P49" s="584"/>
      <c r="Q49" s="155"/>
      <c r="R49" s="509"/>
      <c r="S49" s="509"/>
      <c r="T49" s="509"/>
      <c r="U49" s="509"/>
      <c r="V49" s="509"/>
      <c r="W49" s="155"/>
    </row>
    <row r="50" spans="3:25">
      <c r="C50" s="600" t="s">
        <v>522</v>
      </c>
      <c r="D50" s="329" t="s">
        <v>534</v>
      </c>
      <c r="E50" s="509"/>
      <c r="F50" s="509"/>
      <c r="G50" s="509"/>
      <c r="H50" s="509"/>
      <c r="I50" s="509"/>
      <c r="J50" s="509"/>
      <c r="K50" s="509"/>
      <c r="L50" s="509"/>
      <c r="M50" s="509"/>
      <c r="O50" s="583"/>
      <c r="P50" s="584"/>
      <c r="Q50" s="155"/>
      <c r="R50" s="509"/>
      <c r="S50" s="509"/>
      <c r="T50" s="509"/>
      <c r="U50" s="509"/>
      <c r="V50" s="509"/>
      <c r="W50" s="155"/>
    </row>
    <row r="52" spans="3:25" ht="18.75">
      <c r="C52" s="166" t="s">
        <v>503</v>
      </c>
      <c r="D52" s="521"/>
      <c r="E52" s="148"/>
      <c r="O52" s="166" t="s">
        <v>524</v>
      </c>
    </row>
    <row r="53" spans="3:25">
      <c r="C53" s="65"/>
      <c r="D53" s="65"/>
    </row>
    <row r="54" spans="3:25" ht="15">
      <c r="C54" s="764" t="s">
        <v>0</v>
      </c>
      <c r="D54" s="766" t="s">
        <v>501</v>
      </c>
      <c r="E54" s="767"/>
      <c r="F54" s="767"/>
      <c r="G54" s="767"/>
      <c r="H54" s="767"/>
      <c r="I54" s="767" t="s">
        <v>502</v>
      </c>
      <c r="J54" s="767"/>
      <c r="K54" s="767"/>
      <c r="L54" s="767"/>
      <c r="M54" s="768"/>
      <c r="O54" s="764" t="s">
        <v>0</v>
      </c>
      <c r="P54" s="772" t="s">
        <v>501</v>
      </c>
      <c r="Q54" s="773"/>
      <c r="R54" s="773"/>
      <c r="S54" s="773"/>
      <c r="T54" s="774"/>
      <c r="U54" s="772" t="s">
        <v>502</v>
      </c>
      <c r="V54" s="773"/>
      <c r="W54" s="773"/>
      <c r="X54" s="773"/>
      <c r="Y54" s="774"/>
    </row>
    <row r="55" spans="3:25" ht="51.95" customHeight="1">
      <c r="C55" s="765"/>
      <c r="D55" s="554">
        <v>2012</v>
      </c>
      <c r="E55" s="554">
        <v>2013</v>
      </c>
      <c r="F55" s="554">
        <v>2014</v>
      </c>
      <c r="G55" s="554">
        <v>2015</v>
      </c>
      <c r="H55" s="554">
        <v>2016</v>
      </c>
      <c r="I55" s="554">
        <v>2012</v>
      </c>
      <c r="J55" s="554">
        <v>2013</v>
      </c>
      <c r="K55" s="554">
        <v>2014</v>
      </c>
      <c r="L55" s="554">
        <v>2015</v>
      </c>
      <c r="M55" s="554">
        <v>2016</v>
      </c>
      <c r="O55" s="765"/>
      <c r="P55" s="551">
        <v>2012</v>
      </c>
      <c r="Q55" s="551">
        <v>2013</v>
      </c>
      <c r="R55" s="551">
        <v>2014</v>
      </c>
      <c r="S55" s="551">
        <v>2015</v>
      </c>
      <c r="T55" s="551">
        <v>2016</v>
      </c>
      <c r="U55" s="551">
        <v>2012</v>
      </c>
      <c r="V55" s="551">
        <v>2013</v>
      </c>
      <c r="W55" s="551">
        <v>2014</v>
      </c>
      <c r="X55" s="551">
        <v>2015</v>
      </c>
      <c r="Y55" s="551">
        <v>2016</v>
      </c>
    </row>
    <row r="56" spans="3:25" ht="15">
      <c r="C56" s="522" t="s">
        <v>1</v>
      </c>
      <c r="D56" s="522"/>
      <c r="E56" s="522"/>
      <c r="F56" s="522"/>
      <c r="G56" s="522"/>
      <c r="H56" s="522"/>
      <c r="I56" s="522"/>
      <c r="J56" s="522"/>
      <c r="K56" s="522"/>
      <c r="L56" s="522"/>
      <c r="M56" s="522"/>
      <c r="O56" s="522" t="s">
        <v>1</v>
      </c>
      <c r="P56" s="522"/>
      <c r="Q56" s="522"/>
      <c r="R56" s="522"/>
      <c r="S56" s="522"/>
      <c r="T56" s="522"/>
      <c r="U56" s="522"/>
      <c r="V56" s="522"/>
      <c r="W56" s="522"/>
      <c r="X56" s="522"/>
      <c r="Y56" s="522"/>
    </row>
    <row r="57" spans="3:25">
      <c r="C57" s="523" t="s">
        <v>2</v>
      </c>
      <c r="D57" s="535">
        <v>52.703324249840485</v>
      </c>
      <c r="E57" s="535">
        <v>52.703324249840485</v>
      </c>
      <c r="F57" s="535">
        <v>50.554654142309715</v>
      </c>
      <c r="G57" s="535">
        <v>34.010977069317214</v>
      </c>
      <c r="H57" s="535">
        <v>0</v>
      </c>
      <c r="I57" s="535">
        <v>373331.18027714774</v>
      </c>
      <c r="J57" s="535">
        <v>373331.18027714774</v>
      </c>
      <c r="K57" s="535">
        <v>371409.72253567853</v>
      </c>
      <c r="L57" s="535">
        <v>0</v>
      </c>
      <c r="M57" s="535">
        <v>0</v>
      </c>
      <c r="O57" s="568" t="s">
        <v>2</v>
      </c>
      <c r="P57" s="535">
        <v>0</v>
      </c>
      <c r="Q57" s="535">
        <v>0</v>
      </c>
      <c r="R57" s="535">
        <v>0</v>
      </c>
      <c r="S57" s="535">
        <v>0</v>
      </c>
      <c r="T57" s="535">
        <v>0</v>
      </c>
      <c r="U57" s="535">
        <v>0</v>
      </c>
      <c r="V57" s="535">
        <v>0</v>
      </c>
      <c r="W57" s="535">
        <v>0</v>
      </c>
      <c r="X57" s="535">
        <v>0</v>
      </c>
      <c r="Y57" s="535">
        <v>0</v>
      </c>
    </row>
    <row r="58" spans="3:25">
      <c r="C58" s="523" t="s">
        <v>3</v>
      </c>
      <c r="D58" s="535">
        <v>6.5260389818815971</v>
      </c>
      <c r="E58" s="535">
        <v>6.5260389818815971</v>
      </c>
      <c r="F58" s="535">
        <v>2.5337322131251012</v>
      </c>
      <c r="G58" s="535">
        <v>0</v>
      </c>
      <c r="H58" s="535">
        <v>0</v>
      </c>
      <c r="I58" s="535">
        <v>8087.9390319860904</v>
      </c>
      <c r="J58" s="535">
        <v>8087.9390319860904</v>
      </c>
      <c r="K58" s="535">
        <v>4517.8010567514539</v>
      </c>
      <c r="L58" s="535">
        <v>0</v>
      </c>
      <c r="M58" s="535">
        <v>0</v>
      </c>
      <c r="O58" s="568" t="s">
        <v>3</v>
      </c>
      <c r="P58" s="535">
        <v>0</v>
      </c>
      <c r="Q58" s="535">
        <v>0</v>
      </c>
      <c r="R58" s="535">
        <v>0</v>
      </c>
      <c r="S58" s="535">
        <v>0</v>
      </c>
      <c r="T58" s="535">
        <v>0</v>
      </c>
      <c r="U58" s="535">
        <v>0</v>
      </c>
      <c r="V58" s="535">
        <v>0</v>
      </c>
      <c r="W58" s="535">
        <v>0</v>
      </c>
      <c r="X58" s="535">
        <v>0</v>
      </c>
      <c r="Y58" s="535">
        <v>0</v>
      </c>
    </row>
    <row r="59" spans="3:25">
      <c r="C59" s="523" t="s">
        <v>4</v>
      </c>
      <c r="D59" s="535">
        <v>808.90931340067607</v>
      </c>
      <c r="E59" s="535">
        <v>808.90931340067607</v>
      </c>
      <c r="F59" s="535">
        <v>808.90931340067607</v>
      </c>
      <c r="G59" s="535">
        <v>808.90931340067607</v>
      </c>
      <c r="H59" s="535">
        <v>808.90931340067607</v>
      </c>
      <c r="I59" s="535">
        <v>1507824.8022143363</v>
      </c>
      <c r="J59" s="535">
        <v>1507824.8022143363</v>
      </c>
      <c r="K59" s="535">
        <v>1507824.8022143363</v>
      </c>
      <c r="L59" s="535">
        <v>1507824.8022143363</v>
      </c>
      <c r="M59" s="535">
        <v>1507824.8022143363</v>
      </c>
      <c r="O59" s="568" t="s">
        <v>4</v>
      </c>
      <c r="P59" s="535">
        <v>-149.78104086804686</v>
      </c>
      <c r="Q59" s="535">
        <v>-149.78104086804686</v>
      </c>
      <c r="R59" s="535">
        <v>-149.78104086804686</v>
      </c>
      <c r="S59" s="535">
        <v>-149.78104086804686</v>
      </c>
      <c r="T59" s="535">
        <v>-149.78104086804686</v>
      </c>
      <c r="U59" s="535">
        <v>-280270.8385240286</v>
      </c>
      <c r="V59" s="535">
        <v>-280270.8385240286</v>
      </c>
      <c r="W59" s="535">
        <v>-280270.8385240286</v>
      </c>
      <c r="X59" s="535">
        <v>-280270.8385240286</v>
      </c>
      <c r="Y59" s="535">
        <v>-280270.8385240286</v>
      </c>
    </row>
    <row r="60" spans="3:25" ht="28.5">
      <c r="C60" s="523" t="s">
        <v>5</v>
      </c>
      <c r="D60" s="535">
        <v>27.642859908823073</v>
      </c>
      <c r="E60" s="535">
        <v>27.642859908823073</v>
      </c>
      <c r="F60" s="535">
        <v>27.642859908823073</v>
      </c>
      <c r="G60" s="535">
        <v>25.984161770027356</v>
      </c>
      <c r="H60" s="535">
        <v>24.172103922646418</v>
      </c>
      <c r="I60" s="535">
        <v>447750.47229644883</v>
      </c>
      <c r="J60" s="535">
        <v>447750.47229644883</v>
      </c>
      <c r="K60" s="535">
        <v>447750.47229644883</v>
      </c>
      <c r="L60" s="535">
        <v>372792.91606175591</v>
      </c>
      <c r="M60" s="535">
        <v>372792.91606175591</v>
      </c>
      <c r="O60" s="568" t="s">
        <v>5</v>
      </c>
      <c r="P60" s="535">
        <v>0.37872908985753184</v>
      </c>
      <c r="Q60" s="535">
        <v>0.37872908985753184</v>
      </c>
      <c r="R60" s="535">
        <v>0.37872908985753184</v>
      </c>
      <c r="S60" s="535">
        <v>0.37872908985753184</v>
      </c>
      <c r="T60" s="535">
        <v>0.35281044740448181</v>
      </c>
      <c r="U60" s="535">
        <v>6484.7923773035764</v>
      </c>
      <c r="V60" s="535">
        <v>6484.7923773035764</v>
      </c>
      <c r="W60" s="535">
        <v>6484.7923773035764</v>
      </c>
      <c r="X60" s="535">
        <v>6484.7923773035764</v>
      </c>
      <c r="Y60" s="535">
        <v>5925.0301505900916</v>
      </c>
    </row>
    <row r="61" spans="3:25">
      <c r="C61" s="523" t="s">
        <v>6</v>
      </c>
      <c r="D61" s="535">
        <v>39.556804545620622</v>
      </c>
      <c r="E61" s="535">
        <v>39.556804545620622</v>
      </c>
      <c r="F61" s="535">
        <v>39.556804545620622</v>
      </c>
      <c r="G61" s="535">
        <v>36.801491052148812</v>
      </c>
      <c r="H61" s="535">
        <v>33.791427122454444</v>
      </c>
      <c r="I61" s="535">
        <v>691340.76082784345</v>
      </c>
      <c r="J61" s="535">
        <v>691340.76082784345</v>
      </c>
      <c r="K61" s="535">
        <v>691340.76082784345</v>
      </c>
      <c r="L61" s="535">
        <v>566826.50395343022</v>
      </c>
      <c r="M61" s="535">
        <v>566826.50395343022</v>
      </c>
      <c r="O61" s="568" t="s">
        <v>6</v>
      </c>
      <c r="P61" s="535">
        <v>2.5375043515478404</v>
      </c>
      <c r="Q61" s="535">
        <v>2.5375043515478404</v>
      </c>
      <c r="R61" s="535">
        <v>2.5375043515478404</v>
      </c>
      <c r="S61" s="535">
        <v>2.5375043515478404</v>
      </c>
      <c r="T61" s="535">
        <v>2.3203956034519422</v>
      </c>
      <c r="U61" s="535">
        <v>51364.30991960298</v>
      </c>
      <c r="V61" s="535">
        <v>51364.30991960298</v>
      </c>
      <c r="W61" s="535">
        <v>51364.30991960298</v>
      </c>
      <c r="X61" s="535">
        <v>51364.30991960298</v>
      </c>
      <c r="Y61" s="535">
        <v>46675.434856285952</v>
      </c>
    </row>
    <row r="62" spans="3:25">
      <c r="C62" s="523" t="s">
        <v>7</v>
      </c>
      <c r="D62" s="535">
        <v>0</v>
      </c>
      <c r="E62" s="535">
        <v>0</v>
      </c>
      <c r="F62" s="535">
        <v>0</v>
      </c>
      <c r="G62" s="535">
        <v>0</v>
      </c>
      <c r="H62" s="535">
        <v>0</v>
      </c>
      <c r="I62" s="535">
        <v>0</v>
      </c>
      <c r="J62" s="535">
        <v>0</v>
      </c>
      <c r="K62" s="535">
        <v>0</v>
      </c>
      <c r="L62" s="535">
        <v>0</v>
      </c>
      <c r="M62" s="535">
        <v>0</v>
      </c>
      <c r="O62" s="568" t="s">
        <v>610</v>
      </c>
      <c r="P62" s="535">
        <v>0</v>
      </c>
      <c r="Q62" s="535">
        <v>0</v>
      </c>
      <c r="R62" s="535">
        <v>0</v>
      </c>
      <c r="S62" s="535">
        <v>0</v>
      </c>
      <c r="T62" s="535">
        <v>0</v>
      </c>
      <c r="U62" s="535">
        <v>0</v>
      </c>
      <c r="V62" s="535">
        <v>0</v>
      </c>
      <c r="W62" s="535">
        <v>0</v>
      </c>
      <c r="X62" s="535">
        <v>0</v>
      </c>
      <c r="Y62" s="535">
        <v>0</v>
      </c>
    </row>
    <row r="63" spans="3:25" ht="28.5">
      <c r="C63" s="523" t="s">
        <v>61</v>
      </c>
      <c r="D63" s="535">
        <v>0</v>
      </c>
      <c r="E63" s="535">
        <v>0</v>
      </c>
      <c r="F63" s="535">
        <v>0</v>
      </c>
      <c r="G63" s="535">
        <v>0</v>
      </c>
      <c r="H63" s="535">
        <v>0</v>
      </c>
      <c r="I63" s="535">
        <v>0</v>
      </c>
      <c r="J63" s="535">
        <v>0</v>
      </c>
      <c r="K63" s="535">
        <v>0</v>
      </c>
      <c r="L63" s="535">
        <v>0</v>
      </c>
      <c r="M63" s="535">
        <v>0</v>
      </c>
      <c r="O63" s="568" t="s">
        <v>33</v>
      </c>
      <c r="P63" s="535">
        <v>0</v>
      </c>
      <c r="Q63" s="535">
        <v>0</v>
      </c>
      <c r="R63" s="535">
        <v>0</v>
      </c>
      <c r="S63" s="535">
        <v>0</v>
      </c>
      <c r="T63" s="535">
        <v>0</v>
      </c>
      <c r="U63" s="535">
        <v>0</v>
      </c>
      <c r="V63" s="535">
        <v>0</v>
      </c>
      <c r="W63" s="535">
        <v>0</v>
      </c>
      <c r="X63" s="535">
        <v>0</v>
      </c>
      <c r="Y63" s="535">
        <v>0</v>
      </c>
    </row>
    <row r="64" spans="3:25" ht="28.5">
      <c r="C64" s="523" t="s">
        <v>8</v>
      </c>
      <c r="D64" s="535">
        <v>0</v>
      </c>
      <c r="E64" s="535">
        <v>0</v>
      </c>
      <c r="F64" s="535">
        <v>0</v>
      </c>
      <c r="G64" s="535">
        <v>0</v>
      </c>
      <c r="H64" s="535">
        <v>0</v>
      </c>
      <c r="I64" s="535">
        <v>0</v>
      </c>
      <c r="J64" s="535">
        <v>0</v>
      </c>
      <c r="K64" s="535">
        <v>0</v>
      </c>
      <c r="L64" s="535">
        <v>0</v>
      </c>
      <c r="M64" s="535" t="s">
        <v>582</v>
      </c>
      <c r="O64" s="568" t="s">
        <v>8</v>
      </c>
      <c r="P64" s="535">
        <v>0</v>
      </c>
      <c r="Q64" s="535">
        <v>0</v>
      </c>
      <c r="R64" s="535">
        <v>0</v>
      </c>
      <c r="S64" s="535">
        <v>0</v>
      </c>
      <c r="T64" s="535">
        <v>0</v>
      </c>
      <c r="U64" s="535">
        <v>0</v>
      </c>
      <c r="V64" s="535">
        <v>0</v>
      </c>
      <c r="W64" s="535">
        <v>0</v>
      </c>
      <c r="X64" s="535">
        <v>0</v>
      </c>
      <c r="Y64" s="535">
        <v>0</v>
      </c>
    </row>
    <row r="65" spans="3:25" ht="28.5" hidden="1">
      <c r="C65" s="577" t="s">
        <v>514</v>
      </c>
      <c r="D65" s="578"/>
      <c r="E65" s="578"/>
      <c r="F65" s="578"/>
      <c r="G65" s="578"/>
      <c r="H65" s="578"/>
      <c r="I65" s="578"/>
      <c r="J65" s="578"/>
      <c r="K65" s="578"/>
      <c r="L65" s="578"/>
      <c r="M65" s="578"/>
      <c r="O65" s="582"/>
      <c r="P65" s="578"/>
      <c r="Q65" s="578"/>
      <c r="R65" s="578"/>
      <c r="S65" s="578"/>
      <c r="T65" s="578"/>
      <c r="U65" s="578"/>
      <c r="V65" s="578"/>
      <c r="W65" s="578"/>
      <c r="X65" s="578"/>
      <c r="Y65" s="578"/>
    </row>
    <row r="66" spans="3:25" ht="30">
      <c r="C66" s="581" t="s">
        <v>600</v>
      </c>
      <c r="D66" s="543">
        <f t="shared" ref="D66:M66" si="9">SUM(D57:D64)</f>
        <v>935.33834108684187</v>
      </c>
      <c r="E66" s="543">
        <f t="shared" si="9"/>
        <v>935.33834108684187</v>
      </c>
      <c r="F66" s="543">
        <f t="shared" si="9"/>
        <v>929.19736421055461</v>
      </c>
      <c r="G66" s="543">
        <f t="shared" si="9"/>
        <v>905.70594329216942</v>
      </c>
      <c r="H66" s="543">
        <f t="shared" si="9"/>
        <v>866.87284444577699</v>
      </c>
      <c r="I66" s="543">
        <f t="shared" si="9"/>
        <v>3028335.1546477624</v>
      </c>
      <c r="J66" s="543">
        <f t="shared" si="9"/>
        <v>3028335.1546477624</v>
      </c>
      <c r="K66" s="543">
        <f t="shared" si="9"/>
        <v>3022843.5589310587</v>
      </c>
      <c r="L66" s="543">
        <f t="shared" si="9"/>
        <v>2447444.2222295227</v>
      </c>
      <c r="M66" s="543">
        <f t="shared" si="9"/>
        <v>2447444.2222295227</v>
      </c>
      <c r="N66" s="332"/>
      <c r="O66" s="581" t="s">
        <v>600</v>
      </c>
      <c r="P66" s="543">
        <f t="shared" ref="P66:Y66" si="10">SUM(P57:P64)</f>
        <v>-146.86480742664148</v>
      </c>
      <c r="Q66" s="543">
        <f t="shared" si="10"/>
        <v>-146.86480742664148</v>
      </c>
      <c r="R66" s="543">
        <f t="shared" si="10"/>
        <v>-146.86480742664148</v>
      </c>
      <c r="S66" s="543">
        <f t="shared" si="10"/>
        <v>-146.86480742664148</v>
      </c>
      <c r="T66" s="543">
        <f t="shared" si="10"/>
        <v>-147.10783481719042</v>
      </c>
      <c r="U66" s="543">
        <f t="shared" si="10"/>
        <v>-222421.73622712202</v>
      </c>
      <c r="V66" s="543">
        <f t="shared" si="10"/>
        <v>-222421.73622712202</v>
      </c>
      <c r="W66" s="543">
        <f t="shared" si="10"/>
        <v>-222421.73622712202</v>
      </c>
      <c r="X66" s="543">
        <f t="shared" si="10"/>
        <v>-222421.73622712202</v>
      </c>
      <c r="Y66" s="543">
        <f t="shared" si="10"/>
        <v>-227670.37351715253</v>
      </c>
    </row>
    <row r="67" spans="3:25">
      <c r="C67" s="579"/>
      <c r="D67" s="580"/>
      <c r="E67" s="580"/>
      <c r="F67" s="580"/>
      <c r="G67" s="580"/>
      <c r="H67" s="580"/>
      <c r="I67" s="580"/>
      <c r="J67" s="580"/>
      <c r="K67" s="580"/>
      <c r="L67" s="580"/>
      <c r="M67" s="580"/>
      <c r="O67" s="579"/>
      <c r="P67" s="580"/>
      <c r="Q67" s="580"/>
      <c r="R67" s="580"/>
      <c r="S67" s="580"/>
      <c r="T67" s="580"/>
      <c r="U67" s="580"/>
      <c r="V67" s="580"/>
      <c r="W67" s="580"/>
      <c r="X67" s="580"/>
      <c r="Y67" s="580"/>
    </row>
    <row r="68" spans="3:25" ht="15">
      <c r="C68" s="525" t="s">
        <v>9</v>
      </c>
      <c r="D68" s="525"/>
      <c r="E68" s="525"/>
      <c r="F68" s="525"/>
      <c r="G68" s="525"/>
      <c r="H68" s="525"/>
      <c r="I68" s="525"/>
      <c r="J68" s="525"/>
      <c r="K68" s="525"/>
      <c r="L68" s="525"/>
      <c r="M68" s="525"/>
      <c r="O68" s="525" t="s">
        <v>9</v>
      </c>
      <c r="P68" s="525"/>
      <c r="Q68" s="525"/>
      <c r="R68" s="525"/>
      <c r="S68" s="525"/>
      <c r="T68" s="525"/>
      <c r="U68" s="525"/>
      <c r="V68" s="525"/>
      <c r="W68" s="525"/>
      <c r="X68" s="525"/>
      <c r="Y68" s="525"/>
    </row>
    <row r="69" spans="3:25">
      <c r="C69" s="523" t="s">
        <v>27</v>
      </c>
      <c r="D69" s="535">
        <v>456.7572047335259</v>
      </c>
      <c r="E69" s="535">
        <v>456.7572047335259</v>
      </c>
      <c r="F69" s="535">
        <v>456.7572047335259</v>
      </c>
      <c r="G69" s="535">
        <v>456.7572047335259</v>
      </c>
      <c r="H69" s="535">
        <v>456.7572047335259</v>
      </c>
      <c r="I69" s="535">
        <v>2463617.5660634409</v>
      </c>
      <c r="J69" s="535">
        <v>2463617.5660634409</v>
      </c>
      <c r="K69" s="535">
        <v>2463617.5660634409</v>
      </c>
      <c r="L69" s="535">
        <v>2463617.5660634409</v>
      </c>
      <c r="M69" s="535">
        <v>2463617.5660634409</v>
      </c>
      <c r="O69" s="568" t="s">
        <v>27</v>
      </c>
      <c r="P69" s="535">
        <v>11.76559153536385</v>
      </c>
      <c r="Q69" s="535">
        <v>11.76559153536385</v>
      </c>
      <c r="R69" s="535">
        <v>11.76559153536385</v>
      </c>
      <c r="S69" s="535">
        <v>11.76559153536385</v>
      </c>
      <c r="T69" s="535">
        <v>11.76559153536385</v>
      </c>
      <c r="U69" s="535">
        <v>15709.265987210607</v>
      </c>
      <c r="V69" s="535">
        <v>15709.265987210607</v>
      </c>
      <c r="W69" s="535">
        <v>15709.265987210607</v>
      </c>
      <c r="X69" s="535">
        <v>15709.265987210607</v>
      </c>
      <c r="Y69" s="535">
        <v>15709.265987210607</v>
      </c>
    </row>
    <row r="70" spans="3:25">
      <c r="C70" s="523" t="s">
        <v>25</v>
      </c>
      <c r="D70" s="535">
        <v>84.977268843499616</v>
      </c>
      <c r="E70" s="535">
        <v>79.471115120998306</v>
      </c>
      <c r="F70" s="535">
        <v>47.405460329005372</v>
      </c>
      <c r="G70" s="535">
        <v>47.192620191785814</v>
      </c>
      <c r="H70" s="535">
        <v>43.828324550500213</v>
      </c>
      <c r="I70" s="535">
        <v>212589.88640463815</v>
      </c>
      <c r="J70" s="535">
        <v>197053.34270365635</v>
      </c>
      <c r="K70" s="535">
        <v>108196.50829484142</v>
      </c>
      <c r="L70" s="535">
        <v>107602.02086721943</v>
      </c>
      <c r="M70" s="535">
        <v>99473.849484537714</v>
      </c>
      <c r="O70" s="568" t="s">
        <v>25</v>
      </c>
      <c r="P70" s="535">
        <v>0</v>
      </c>
      <c r="Q70" s="535">
        <v>0</v>
      </c>
      <c r="R70" s="535">
        <v>0</v>
      </c>
      <c r="S70" s="535">
        <v>0</v>
      </c>
      <c r="T70" s="535">
        <v>0</v>
      </c>
      <c r="U70" s="535">
        <v>0</v>
      </c>
      <c r="V70" s="535">
        <v>0</v>
      </c>
      <c r="W70" s="535">
        <v>0</v>
      </c>
      <c r="X70" s="535">
        <v>0</v>
      </c>
      <c r="Y70" s="535">
        <v>0</v>
      </c>
    </row>
    <row r="71" spans="3:25">
      <c r="C71" s="523" t="s">
        <v>28</v>
      </c>
      <c r="D71" s="535" t="s">
        <v>582</v>
      </c>
      <c r="E71" s="535" t="s">
        <v>582</v>
      </c>
      <c r="F71" s="535" t="s">
        <v>582</v>
      </c>
      <c r="G71" s="535" t="s">
        <v>582</v>
      </c>
      <c r="H71" s="535" t="s">
        <v>582</v>
      </c>
      <c r="I71" s="535" t="s">
        <v>582</v>
      </c>
      <c r="J71" s="535" t="s">
        <v>582</v>
      </c>
      <c r="K71" s="535" t="s">
        <v>582</v>
      </c>
      <c r="L71" s="535" t="s">
        <v>582</v>
      </c>
      <c r="M71" s="535" t="s">
        <v>582</v>
      </c>
      <c r="O71" s="568" t="s">
        <v>28</v>
      </c>
      <c r="P71" s="535">
        <v>0</v>
      </c>
      <c r="Q71" s="535">
        <v>0</v>
      </c>
      <c r="R71" s="535">
        <v>0</v>
      </c>
      <c r="S71" s="535">
        <v>0</v>
      </c>
      <c r="T71" s="535">
        <v>0</v>
      </c>
      <c r="U71" s="535">
        <v>0</v>
      </c>
      <c r="V71" s="535">
        <v>0</v>
      </c>
      <c r="W71" s="535">
        <v>0</v>
      </c>
      <c r="X71" s="535">
        <v>0</v>
      </c>
      <c r="Y71" s="535">
        <v>0</v>
      </c>
    </row>
    <row r="72" spans="3:25">
      <c r="C72" s="523" t="s">
        <v>29</v>
      </c>
      <c r="D72" s="535" t="s">
        <v>582</v>
      </c>
      <c r="E72" s="535" t="s">
        <v>582</v>
      </c>
      <c r="F72" s="535" t="s">
        <v>582</v>
      </c>
      <c r="G72" s="535" t="s">
        <v>582</v>
      </c>
      <c r="H72" s="535" t="s">
        <v>582</v>
      </c>
      <c r="I72" s="535" t="s">
        <v>582</v>
      </c>
      <c r="J72" s="535" t="s">
        <v>582</v>
      </c>
      <c r="K72" s="535" t="s">
        <v>582</v>
      </c>
      <c r="L72" s="535" t="s">
        <v>582</v>
      </c>
      <c r="M72" s="535" t="s">
        <v>582</v>
      </c>
      <c r="O72" s="568" t="s">
        <v>29</v>
      </c>
      <c r="P72" s="535">
        <v>0</v>
      </c>
      <c r="Q72" s="535">
        <v>0</v>
      </c>
      <c r="R72" s="535">
        <v>0</v>
      </c>
      <c r="S72" s="535">
        <v>0</v>
      </c>
      <c r="T72" s="535">
        <v>0</v>
      </c>
      <c r="U72" s="535">
        <v>0</v>
      </c>
      <c r="V72" s="535">
        <v>0</v>
      </c>
      <c r="W72" s="535">
        <v>0</v>
      </c>
      <c r="X72" s="535">
        <v>0</v>
      </c>
      <c r="Y72" s="535">
        <v>0</v>
      </c>
    </row>
    <row r="73" spans="3:25">
      <c r="C73" s="523" t="s">
        <v>23</v>
      </c>
      <c r="D73" s="535">
        <v>0</v>
      </c>
      <c r="E73" s="535">
        <v>0</v>
      </c>
      <c r="F73" s="535">
        <v>0</v>
      </c>
      <c r="G73" s="535">
        <v>0</v>
      </c>
      <c r="H73" s="535">
        <v>0</v>
      </c>
      <c r="I73" s="535">
        <v>0</v>
      </c>
      <c r="J73" s="535">
        <v>0</v>
      </c>
      <c r="K73" s="535">
        <v>0</v>
      </c>
      <c r="L73" s="535">
        <v>0</v>
      </c>
      <c r="M73" s="535">
        <v>0</v>
      </c>
      <c r="O73" s="568" t="s">
        <v>23</v>
      </c>
      <c r="P73" s="535">
        <v>5.1771746295647825</v>
      </c>
      <c r="Q73" s="535">
        <v>5.1771746295647825</v>
      </c>
      <c r="R73" s="535">
        <v>5.1771746295647825</v>
      </c>
      <c r="S73" s="535">
        <v>5.1771746295647825</v>
      </c>
      <c r="T73" s="535">
        <v>0</v>
      </c>
      <c r="U73" s="535">
        <v>25176.254462563076</v>
      </c>
      <c r="V73" s="535">
        <v>25176.254462563076</v>
      </c>
      <c r="W73" s="535">
        <v>25176.254462563076</v>
      </c>
      <c r="X73" s="535">
        <v>25176.254462563076</v>
      </c>
      <c r="Y73" s="535">
        <v>0</v>
      </c>
    </row>
    <row r="74" spans="3:25" ht="28.5">
      <c r="C74" s="523" t="s">
        <v>601</v>
      </c>
      <c r="D74" s="535" t="s">
        <v>582</v>
      </c>
      <c r="E74" s="535" t="s">
        <v>582</v>
      </c>
      <c r="F74" s="535" t="s">
        <v>582</v>
      </c>
      <c r="G74" s="535" t="s">
        <v>582</v>
      </c>
      <c r="H74" s="535" t="s">
        <v>582</v>
      </c>
      <c r="I74" s="535" t="s">
        <v>582</v>
      </c>
      <c r="J74" s="535" t="s">
        <v>582</v>
      </c>
      <c r="K74" s="535" t="s">
        <v>582</v>
      </c>
      <c r="L74" s="535" t="s">
        <v>582</v>
      </c>
      <c r="M74" s="535" t="s">
        <v>582</v>
      </c>
      <c r="O74" s="523" t="str">
        <f>C74</f>
        <v>Small Commercial Demand Response</v>
      </c>
      <c r="P74" s="535">
        <v>0.24677522499999999</v>
      </c>
      <c r="Q74" s="535">
        <v>0.24677522499999999</v>
      </c>
      <c r="R74" s="535">
        <v>0.24677522499999999</v>
      </c>
      <c r="S74" s="535">
        <v>0</v>
      </c>
      <c r="T74" s="535">
        <v>0</v>
      </c>
      <c r="U74" s="535">
        <v>1222.0406190000001</v>
      </c>
      <c r="V74" s="535">
        <v>1222.0406190000001</v>
      </c>
      <c r="W74" s="535">
        <v>1222.0406190000001</v>
      </c>
      <c r="X74" s="535">
        <v>0</v>
      </c>
      <c r="Y74" s="535">
        <v>0</v>
      </c>
    </row>
    <row r="75" spans="3:25">
      <c r="C75" s="523" t="s">
        <v>10</v>
      </c>
      <c r="D75" s="535">
        <v>0</v>
      </c>
      <c r="E75" s="535">
        <v>0</v>
      </c>
      <c r="F75" s="535">
        <v>0</v>
      </c>
      <c r="G75" s="535">
        <v>0</v>
      </c>
      <c r="H75" s="535">
        <v>0</v>
      </c>
      <c r="I75" s="535">
        <v>0</v>
      </c>
      <c r="J75" s="535">
        <v>0</v>
      </c>
      <c r="K75" s="535">
        <v>0</v>
      </c>
      <c r="L75" s="535">
        <v>0</v>
      </c>
      <c r="M75" s="535">
        <v>0</v>
      </c>
      <c r="O75" s="568" t="s">
        <v>10</v>
      </c>
      <c r="P75" s="535">
        <v>0</v>
      </c>
      <c r="Q75" s="535">
        <v>0</v>
      </c>
      <c r="R75" s="535">
        <v>0</v>
      </c>
      <c r="S75" s="535">
        <v>0</v>
      </c>
      <c r="T75" s="535">
        <v>0</v>
      </c>
      <c r="U75" s="535">
        <v>0</v>
      </c>
      <c r="V75" s="535">
        <v>0</v>
      </c>
      <c r="W75" s="535">
        <v>0</v>
      </c>
      <c r="X75" s="535">
        <v>0</v>
      </c>
      <c r="Y75" s="535">
        <v>0</v>
      </c>
    </row>
    <row r="76" spans="3:25" ht="28.5" hidden="1">
      <c r="C76" s="556" t="s">
        <v>514</v>
      </c>
      <c r="D76" s="535"/>
      <c r="E76" s="535"/>
      <c r="F76" s="535"/>
      <c r="G76" s="535"/>
      <c r="H76" s="535"/>
      <c r="I76" s="535"/>
      <c r="J76" s="535"/>
      <c r="K76" s="535"/>
      <c r="L76" s="535"/>
      <c r="M76" s="535"/>
      <c r="O76" s="523"/>
      <c r="P76" s="535"/>
      <c r="Q76" s="535"/>
      <c r="R76" s="535"/>
      <c r="S76" s="535"/>
      <c r="T76" s="535"/>
      <c r="U76" s="535"/>
      <c r="V76" s="535"/>
      <c r="W76" s="535"/>
      <c r="X76" s="535"/>
      <c r="Y76" s="535"/>
    </row>
    <row r="77" spans="3:25" ht="15">
      <c r="C77" s="581" t="s">
        <v>602</v>
      </c>
      <c r="D77" s="543">
        <v>541.73447357702548</v>
      </c>
      <c r="E77" s="543">
        <v>536.22831985452422</v>
      </c>
      <c r="F77" s="543">
        <v>504.16266506253129</v>
      </c>
      <c r="G77" s="543">
        <v>503.9498249253117</v>
      </c>
      <c r="H77" s="543">
        <v>500.58552928402611</v>
      </c>
      <c r="I77" s="543">
        <v>2676207.452468079</v>
      </c>
      <c r="J77" s="543">
        <v>2660670.9087670972</v>
      </c>
      <c r="K77" s="543">
        <v>2571814.0743582821</v>
      </c>
      <c r="L77" s="543">
        <v>2571219.5869306605</v>
      </c>
      <c r="M77" s="543">
        <v>2563091.4155479786</v>
      </c>
      <c r="N77" s="332"/>
      <c r="O77" s="581" t="s">
        <v>602</v>
      </c>
      <c r="P77" s="543">
        <f t="shared" ref="P77:Y77" si="11">SUM(P69:P75)</f>
        <v>17.189541389928632</v>
      </c>
      <c r="Q77" s="543">
        <f t="shared" si="11"/>
        <v>17.189541389928632</v>
      </c>
      <c r="R77" s="543">
        <f t="shared" si="11"/>
        <v>17.189541389928632</v>
      </c>
      <c r="S77" s="543">
        <f t="shared" si="11"/>
        <v>16.942766164928631</v>
      </c>
      <c r="T77" s="543">
        <f t="shared" si="11"/>
        <v>11.76559153536385</v>
      </c>
      <c r="U77" s="543">
        <f t="shared" si="11"/>
        <v>42107.561068773684</v>
      </c>
      <c r="V77" s="543">
        <f t="shared" si="11"/>
        <v>42107.561068773684</v>
      </c>
      <c r="W77" s="543">
        <f t="shared" si="11"/>
        <v>42107.561068773684</v>
      </c>
      <c r="X77" s="543">
        <f t="shared" si="11"/>
        <v>40885.520449773685</v>
      </c>
      <c r="Y77" s="543">
        <f t="shared" si="11"/>
        <v>15709.265987210607</v>
      </c>
    </row>
    <row r="78" spans="3:25">
      <c r="C78" s="523"/>
      <c r="D78" s="524"/>
      <c r="E78" s="524"/>
      <c r="F78" s="524"/>
      <c r="G78" s="524"/>
      <c r="H78" s="524"/>
      <c r="I78" s="524"/>
      <c r="J78" s="524"/>
      <c r="K78" s="524"/>
      <c r="L78" s="524"/>
      <c r="M78" s="524"/>
      <c r="O78" s="523"/>
      <c r="P78" s="524"/>
      <c r="Q78" s="524"/>
      <c r="R78" s="524"/>
      <c r="S78" s="524"/>
      <c r="T78" s="524"/>
      <c r="U78" s="524"/>
      <c r="V78" s="524"/>
      <c r="W78" s="524"/>
      <c r="X78" s="524"/>
      <c r="Y78" s="524"/>
    </row>
    <row r="79" spans="3:25" ht="15">
      <c r="C79" s="525" t="s">
        <v>11</v>
      </c>
      <c r="D79" s="525"/>
      <c r="E79" s="525"/>
      <c r="F79" s="525"/>
      <c r="G79" s="525"/>
      <c r="H79" s="525"/>
      <c r="I79" s="525"/>
      <c r="J79" s="525"/>
      <c r="K79" s="525"/>
      <c r="L79" s="525"/>
      <c r="M79" s="525"/>
      <c r="O79" s="525" t="s">
        <v>11</v>
      </c>
      <c r="P79" s="525"/>
      <c r="Q79" s="525"/>
      <c r="R79" s="525"/>
      <c r="S79" s="525"/>
      <c r="T79" s="525"/>
      <c r="U79" s="525"/>
      <c r="V79" s="525"/>
      <c r="W79" s="525"/>
      <c r="X79" s="525"/>
      <c r="Y79" s="525"/>
    </row>
    <row r="80" spans="3:25" ht="28.5">
      <c r="C80" s="523" t="s">
        <v>12</v>
      </c>
      <c r="D80" s="535" t="s">
        <v>582</v>
      </c>
      <c r="E80" s="535" t="s">
        <v>582</v>
      </c>
      <c r="F80" s="535" t="s">
        <v>582</v>
      </c>
      <c r="G80" s="535" t="s">
        <v>582</v>
      </c>
      <c r="H80" s="535" t="s">
        <v>582</v>
      </c>
      <c r="I80" s="535" t="s">
        <v>582</v>
      </c>
      <c r="J80" s="535" t="s">
        <v>582</v>
      </c>
      <c r="K80" s="535" t="s">
        <v>582</v>
      </c>
      <c r="L80" s="535" t="s">
        <v>582</v>
      </c>
      <c r="M80" s="535" t="s">
        <v>582</v>
      </c>
      <c r="O80" s="568" t="s">
        <v>12</v>
      </c>
      <c r="P80" s="535">
        <v>0</v>
      </c>
      <c r="Q80" s="535">
        <v>0</v>
      </c>
      <c r="R80" s="535">
        <v>0</v>
      </c>
      <c r="S80" s="535">
        <v>0</v>
      </c>
      <c r="T80" s="535">
        <v>0</v>
      </c>
      <c r="U80" s="535">
        <v>0</v>
      </c>
      <c r="V80" s="535">
        <v>0</v>
      </c>
      <c r="W80" s="535">
        <v>0</v>
      </c>
      <c r="X80" s="535">
        <v>0</v>
      </c>
      <c r="Y80" s="535">
        <v>0</v>
      </c>
    </row>
    <row r="81" spans="3:25">
      <c r="C81" s="523" t="s">
        <v>13</v>
      </c>
      <c r="D81" s="535" t="s">
        <v>582</v>
      </c>
      <c r="E81" s="535" t="s">
        <v>582</v>
      </c>
      <c r="F81" s="535" t="s">
        <v>582</v>
      </c>
      <c r="G81" s="535" t="s">
        <v>582</v>
      </c>
      <c r="H81" s="535" t="s">
        <v>582</v>
      </c>
      <c r="I81" s="535" t="s">
        <v>582</v>
      </c>
      <c r="J81" s="535" t="s">
        <v>582</v>
      </c>
      <c r="K81" s="535" t="s">
        <v>582</v>
      </c>
      <c r="L81" s="535" t="s">
        <v>582</v>
      </c>
      <c r="M81" s="535" t="s">
        <v>582</v>
      </c>
      <c r="O81" s="568" t="s">
        <v>13</v>
      </c>
      <c r="P81" s="535">
        <v>0</v>
      </c>
      <c r="Q81" s="535">
        <v>0</v>
      </c>
      <c r="R81" s="535">
        <v>0</v>
      </c>
      <c r="S81" s="535">
        <v>0</v>
      </c>
      <c r="T81" s="535">
        <v>0</v>
      </c>
      <c r="U81" s="535">
        <v>0</v>
      </c>
      <c r="V81" s="535">
        <v>0</v>
      </c>
      <c r="W81" s="535">
        <v>0</v>
      </c>
      <c r="X81" s="535">
        <v>0</v>
      </c>
      <c r="Y81" s="535">
        <v>0</v>
      </c>
    </row>
    <row r="82" spans="3:25">
      <c r="C82" s="523" t="s">
        <v>14</v>
      </c>
      <c r="D82" s="535" t="s">
        <v>582</v>
      </c>
      <c r="E82" s="535" t="s">
        <v>582</v>
      </c>
      <c r="F82" s="535" t="s">
        <v>582</v>
      </c>
      <c r="G82" s="535" t="s">
        <v>582</v>
      </c>
      <c r="H82" s="535" t="s">
        <v>582</v>
      </c>
      <c r="I82" s="535" t="s">
        <v>582</v>
      </c>
      <c r="J82" s="535" t="s">
        <v>582</v>
      </c>
      <c r="K82" s="535" t="s">
        <v>582</v>
      </c>
      <c r="L82" s="535" t="s">
        <v>582</v>
      </c>
      <c r="M82" s="535" t="s">
        <v>582</v>
      </c>
      <c r="O82" s="568" t="s">
        <v>14</v>
      </c>
      <c r="P82" s="535">
        <v>0</v>
      </c>
      <c r="Q82" s="535">
        <v>0</v>
      </c>
      <c r="R82" s="535">
        <v>0</v>
      </c>
      <c r="S82" s="535">
        <v>0</v>
      </c>
      <c r="T82" s="535">
        <v>0</v>
      </c>
      <c r="U82" s="535">
        <v>0</v>
      </c>
      <c r="V82" s="535">
        <v>0</v>
      </c>
      <c r="W82" s="535">
        <v>0</v>
      </c>
      <c r="X82" s="535">
        <v>0</v>
      </c>
      <c r="Y82" s="535">
        <v>0</v>
      </c>
    </row>
    <row r="83" spans="3:25">
      <c r="C83" s="523" t="s">
        <v>27</v>
      </c>
      <c r="D83" s="535">
        <v>58.411909299784291</v>
      </c>
      <c r="E83" s="535">
        <v>58.411909299784291</v>
      </c>
      <c r="F83" s="535">
        <v>58.411909299784291</v>
      </c>
      <c r="G83" s="535">
        <v>58.411909299784291</v>
      </c>
      <c r="H83" s="535">
        <v>58.411909299784291</v>
      </c>
      <c r="I83" s="535">
        <v>381325.03263411968</v>
      </c>
      <c r="J83" s="535">
        <v>381325.03263411968</v>
      </c>
      <c r="K83" s="535">
        <v>381325.03263411968</v>
      </c>
      <c r="L83" s="535">
        <v>381325.03263411968</v>
      </c>
      <c r="M83" s="535">
        <v>381325.03263411968</v>
      </c>
      <c r="O83" s="568" t="s">
        <v>27</v>
      </c>
      <c r="P83" s="535">
        <v>0</v>
      </c>
      <c r="Q83" s="535">
        <v>0</v>
      </c>
      <c r="R83" s="535">
        <v>0</v>
      </c>
      <c r="S83" s="535">
        <v>0</v>
      </c>
      <c r="T83" s="535">
        <v>0</v>
      </c>
      <c r="U83" s="535">
        <v>0</v>
      </c>
      <c r="V83" s="535">
        <v>0</v>
      </c>
      <c r="W83" s="535">
        <v>0</v>
      </c>
      <c r="X83" s="535">
        <v>0</v>
      </c>
      <c r="Y83" s="535">
        <v>0</v>
      </c>
    </row>
    <row r="84" spans="3:25">
      <c r="C84" s="523" t="s">
        <v>10</v>
      </c>
      <c r="D84" s="535">
        <v>0</v>
      </c>
      <c r="E84" s="535">
        <v>0</v>
      </c>
      <c r="F84" s="535">
        <v>0</v>
      </c>
      <c r="G84" s="535">
        <v>0</v>
      </c>
      <c r="H84" s="535">
        <v>0</v>
      </c>
      <c r="I84" s="535">
        <v>0</v>
      </c>
      <c r="J84" s="535">
        <v>0</v>
      </c>
      <c r="K84" s="535">
        <v>0</v>
      </c>
      <c r="L84" s="535">
        <v>0</v>
      </c>
      <c r="M84" s="535">
        <v>0</v>
      </c>
      <c r="O84" s="568" t="s">
        <v>10</v>
      </c>
      <c r="P84" s="535">
        <v>0</v>
      </c>
      <c r="Q84" s="535">
        <v>0</v>
      </c>
      <c r="R84" s="535">
        <v>0</v>
      </c>
      <c r="S84" s="535">
        <v>0</v>
      </c>
      <c r="T84" s="535">
        <v>0</v>
      </c>
      <c r="U84" s="535">
        <v>0</v>
      </c>
      <c r="V84" s="535">
        <v>0</v>
      </c>
      <c r="W84" s="535">
        <v>0</v>
      </c>
      <c r="X84" s="535">
        <v>0</v>
      </c>
      <c r="Y84" s="535">
        <v>0</v>
      </c>
    </row>
    <row r="85" spans="3:25" ht="28.5" hidden="1">
      <c r="C85" s="556" t="s">
        <v>514</v>
      </c>
      <c r="D85" s="535"/>
      <c r="E85" s="535"/>
      <c r="F85" s="535"/>
      <c r="G85" s="535"/>
      <c r="H85" s="535"/>
      <c r="I85" s="535"/>
      <c r="J85" s="535"/>
      <c r="K85" s="535"/>
      <c r="L85" s="535"/>
      <c r="M85" s="535"/>
      <c r="O85" s="523"/>
      <c r="P85" s="535"/>
      <c r="Q85" s="535"/>
      <c r="R85" s="535"/>
      <c r="S85" s="535"/>
      <c r="T85" s="535"/>
      <c r="U85" s="535"/>
      <c r="V85" s="535"/>
      <c r="W85" s="535"/>
      <c r="X85" s="535"/>
      <c r="Y85" s="535"/>
    </row>
    <row r="86" spans="3:25" ht="15">
      <c r="C86" s="581" t="s">
        <v>603</v>
      </c>
      <c r="D86" s="543">
        <v>58.411909299784291</v>
      </c>
      <c r="E86" s="543">
        <v>58.411909299784291</v>
      </c>
      <c r="F86" s="543">
        <v>58.411909299784291</v>
      </c>
      <c r="G86" s="543">
        <v>58.411909299784291</v>
      </c>
      <c r="H86" s="543">
        <v>58.411909299784291</v>
      </c>
      <c r="I86" s="543">
        <v>381325.03263411968</v>
      </c>
      <c r="J86" s="543">
        <v>381325.03263411968</v>
      </c>
      <c r="K86" s="543">
        <v>381325.03263411968</v>
      </c>
      <c r="L86" s="543">
        <v>381325.03263411968</v>
      </c>
      <c r="M86" s="543">
        <v>381325.03263411968</v>
      </c>
      <c r="N86" s="332"/>
      <c r="O86" s="581" t="s">
        <v>603</v>
      </c>
      <c r="P86" s="543">
        <f t="shared" ref="P86:Y86" si="12">SUM(P80:P84)</f>
        <v>0</v>
      </c>
      <c r="Q86" s="543">
        <f t="shared" si="12"/>
        <v>0</v>
      </c>
      <c r="R86" s="543">
        <f t="shared" si="12"/>
        <v>0</v>
      </c>
      <c r="S86" s="543">
        <f t="shared" si="12"/>
        <v>0</v>
      </c>
      <c r="T86" s="543">
        <f t="shared" si="12"/>
        <v>0</v>
      </c>
      <c r="U86" s="543">
        <f t="shared" si="12"/>
        <v>0</v>
      </c>
      <c r="V86" s="543">
        <f t="shared" si="12"/>
        <v>0</v>
      </c>
      <c r="W86" s="543">
        <f t="shared" si="12"/>
        <v>0</v>
      </c>
      <c r="X86" s="543">
        <f t="shared" si="12"/>
        <v>0</v>
      </c>
      <c r="Y86" s="543">
        <f t="shared" si="12"/>
        <v>0</v>
      </c>
    </row>
    <row r="87" spans="3:25">
      <c r="C87" s="523"/>
      <c r="D87" s="524"/>
      <c r="E87" s="524"/>
      <c r="F87" s="524"/>
      <c r="G87" s="524"/>
      <c r="H87" s="524"/>
      <c r="I87" s="524"/>
      <c r="J87" s="524"/>
      <c r="K87" s="524"/>
      <c r="L87" s="524"/>
      <c r="M87" s="524"/>
      <c r="O87" s="523"/>
      <c r="P87" s="524"/>
      <c r="Q87" s="524"/>
      <c r="R87" s="524"/>
      <c r="S87" s="524"/>
      <c r="T87" s="524"/>
      <c r="U87" s="524"/>
      <c r="V87" s="524"/>
      <c r="W87" s="524"/>
      <c r="X87" s="524"/>
      <c r="Y87" s="524"/>
    </row>
    <row r="88" spans="3:25" ht="15">
      <c r="C88" s="525" t="s">
        <v>15</v>
      </c>
      <c r="D88" s="525"/>
      <c r="E88" s="525"/>
      <c r="F88" s="525"/>
      <c r="G88" s="525"/>
      <c r="H88" s="525"/>
      <c r="I88" s="525"/>
      <c r="J88" s="525"/>
      <c r="K88" s="525"/>
      <c r="L88" s="525"/>
      <c r="M88" s="525"/>
      <c r="O88" s="525" t="s">
        <v>15</v>
      </c>
      <c r="P88" s="525"/>
      <c r="Q88" s="525"/>
      <c r="R88" s="525"/>
      <c r="S88" s="525"/>
      <c r="T88" s="525"/>
      <c r="U88" s="525"/>
      <c r="V88" s="525"/>
      <c r="W88" s="525"/>
      <c r="X88" s="525"/>
      <c r="Y88" s="525"/>
    </row>
    <row r="89" spans="3:25" ht="28.5">
      <c r="C89" s="523" t="s">
        <v>15</v>
      </c>
      <c r="D89" s="535" t="s">
        <v>582</v>
      </c>
      <c r="E89" s="535" t="s">
        <v>582</v>
      </c>
      <c r="F89" s="535" t="s">
        <v>582</v>
      </c>
      <c r="G89" s="535" t="s">
        <v>582</v>
      </c>
      <c r="H89" s="535" t="s">
        <v>582</v>
      </c>
      <c r="I89" s="535" t="s">
        <v>582</v>
      </c>
      <c r="J89" s="535" t="s">
        <v>582</v>
      </c>
      <c r="K89" s="535" t="s">
        <v>582</v>
      </c>
      <c r="L89" s="535" t="s">
        <v>582</v>
      </c>
      <c r="M89" s="535" t="s">
        <v>582</v>
      </c>
      <c r="O89" s="568" t="s">
        <v>15</v>
      </c>
      <c r="P89" s="535">
        <v>0</v>
      </c>
      <c r="Q89" s="535">
        <v>0</v>
      </c>
      <c r="R89" s="535">
        <v>0</v>
      </c>
      <c r="S89" s="535">
        <v>0</v>
      </c>
      <c r="T89" s="535">
        <v>0</v>
      </c>
      <c r="U89" s="535">
        <v>0</v>
      </c>
      <c r="V89" s="535">
        <v>0</v>
      </c>
      <c r="W89" s="535">
        <v>0</v>
      </c>
      <c r="X89" s="535">
        <v>0</v>
      </c>
      <c r="Y89" s="535">
        <v>0</v>
      </c>
    </row>
    <row r="90" spans="3:25" ht="28.5" hidden="1">
      <c r="C90" s="557" t="s">
        <v>514</v>
      </c>
      <c r="D90" s="535"/>
      <c r="E90" s="535"/>
      <c r="F90" s="535"/>
      <c r="G90" s="535"/>
      <c r="H90" s="535"/>
      <c r="I90" s="535"/>
      <c r="J90" s="535"/>
      <c r="K90" s="535"/>
      <c r="L90" s="535"/>
      <c r="M90" s="535"/>
      <c r="O90" s="523"/>
      <c r="P90" s="535"/>
      <c r="Q90" s="535"/>
      <c r="R90" s="535"/>
      <c r="S90" s="535"/>
      <c r="T90" s="535"/>
      <c r="U90" s="535"/>
      <c r="V90" s="535"/>
      <c r="W90" s="535"/>
      <c r="X90" s="535"/>
      <c r="Y90" s="535"/>
    </row>
    <row r="91" spans="3:25" ht="30">
      <c r="C91" s="581" t="s">
        <v>604</v>
      </c>
      <c r="D91" s="543" t="s">
        <v>582</v>
      </c>
      <c r="E91" s="543" t="s">
        <v>582</v>
      </c>
      <c r="F91" s="543" t="s">
        <v>582</v>
      </c>
      <c r="G91" s="543" t="s">
        <v>582</v>
      </c>
      <c r="H91" s="543" t="s">
        <v>582</v>
      </c>
      <c r="I91" s="543" t="s">
        <v>582</v>
      </c>
      <c r="J91" s="543" t="s">
        <v>582</v>
      </c>
      <c r="K91" s="543" t="s">
        <v>582</v>
      </c>
      <c r="L91" s="543" t="s">
        <v>582</v>
      </c>
      <c r="M91" s="543" t="s">
        <v>582</v>
      </c>
      <c r="N91" s="332"/>
      <c r="O91" s="581" t="s">
        <v>604</v>
      </c>
      <c r="P91" s="543">
        <f t="shared" ref="P91:Y91" si="13">P89</f>
        <v>0</v>
      </c>
      <c r="Q91" s="543">
        <f t="shared" si="13"/>
        <v>0</v>
      </c>
      <c r="R91" s="543">
        <f t="shared" si="13"/>
        <v>0</v>
      </c>
      <c r="S91" s="543">
        <f t="shared" si="13"/>
        <v>0</v>
      </c>
      <c r="T91" s="543">
        <f t="shared" si="13"/>
        <v>0</v>
      </c>
      <c r="U91" s="543">
        <f t="shared" si="13"/>
        <v>0</v>
      </c>
      <c r="V91" s="543">
        <f t="shared" si="13"/>
        <v>0</v>
      </c>
      <c r="W91" s="543">
        <f t="shared" si="13"/>
        <v>0</v>
      </c>
      <c r="X91" s="543">
        <f t="shared" si="13"/>
        <v>0</v>
      </c>
      <c r="Y91" s="543">
        <f t="shared" si="13"/>
        <v>0</v>
      </c>
    </row>
    <row r="92" spans="3:25">
      <c r="C92" s="523"/>
      <c r="D92" s="535">
        <v>0</v>
      </c>
      <c r="E92" s="535">
        <v>0</v>
      </c>
      <c r="F92" s="535">
        <v>0</v>
      </c>
      <c r="G92" s="535">
        <v>0</v>
      </c>
      <c r="H92" s="535">
        <v>0</v>
      </c>
      <c r="I92" s="535">
        <v>0</v>
      </c>
      <c r="J92" s="535">
        <v>0</v>
      </c>
      <c r="K92" s="535">
        <v>0</v>
      </c>
      <c r="L92" s="535">
        <v>0</v>
      </c>
      <c r="M92" s="535">
        <v>0</v>
      </c>
      <c r="O92" s="523"/>
      <c r="P92" s="535"/>
      <c r="Q92" s="535"/>
      <c r="R92" s="535"/>
      <c r="S92" s="535"/>
      <c r="T92" s="535"/>
      <c r="U92" s="535"/>
      <c r="V92" s="535"/>
      <c r="W92" s="535"/>
      <c r="X92" s="535"/>
      <c r="Y92" s="535"/>
    </row>
    <row r="93" spans="3:25" ht="15">
      <c r="C93" s="525" t="s">
        <v>16</v>
      </c>
      <c r="D93" s="525"/>
      <c r="E93" s="525"/>
      <c r="F93" s="525"/>
      <c r="G93" s="525"/>
      <c r="H93" s="525"/>
      <c r="I93" s="525"/>
      <c r="J93" s="525"/>
      <c r="K93" s="525"/>
      <c r="L93" s="525"/>
      <c r="M93" s="525"/>
      <c r="O93" s="525" t="s">
        <v>16</v>
      </c>
      <c r="P93" s="525"/>
      <c r="Q93" s="525"/>
      <c r="R93" s="525"/>
      <c r="S93" s="525"/>
      <c r="T93" s="525"/>
      <c r="U93" s="525"/>
      <c r="V93" s="525"/>
      <c r="W93" s="525"/>
      <c r="X93" s="525"/>
      <c r="Y93" s="525"/>
    </row>
    <row r="94" spans="3:25" ht="28.5">
      <c r="C94" s="523" t="s">
        <v>17</v>
      </c>
      <c r="D94" s="535">
        <v>340.95133059988012</v>
      </c>
      <c r="E94" s="535">
        <v>340.95133059988012</v>
      </c>
      <c r="F94" s="535">
        <v>340.95133059988012</v>
      </c>
      <c r="G94" s="535">
        <v>340.95133059988012</v>
      </c>
      <c r="H94" s="535">
        <v>340.95133059988012</v>
      </c>
      <c r="I94" s="535">
        <v>1799947.6165938426</v>
      </c>
      <c r="J94" s="535">
        <v>1799947.6165938426</v>
      </c>
      <c r="K94" s="535">
        <v>1799947.6165938426</v>
      </c>
      <c r="L94" s="535">
        <v>1799947.6165938426</v>
      </c>
      <c r="M94" s="535">
        <v>1799947.6165938426</v>
      </c>
      <c r="O94" s="568" t="s">
        <v>17</v>
      </c>
      <c r="P94" s="535">
        <v>0</v>
      </c>
      <c r="Q94" s="535">
        <v>0</v>
      </c>
      <c r="R94" s="535">
        <v>0</v>
      </c>
      <c r="S94" s="535">
        <v>0</v>
      </c>
      <c r="T94" s="535">
        <v>0</v>
      </c>
      <c r="U94" s="535">
        <v>0</v>
      </c>
      <c r="V94" s="535">
        <v>0</v>
      </c>
      <c r="W94" s="535">
        <v>0</v>
      </c>
      <c r="X94" s="535">
        <v>0</v>
      </c>
      <c r="Y94" s="535">
        <v>0</v>
      </c>
    </row>
    <row r="95" spans="3:25" ht="28.5">
      <c r="C95" s="523" t="s">
        <v>18</v>
      </c>
      <c r="D95" s="535">
        <v>278.26174954277303</v>
      </c>
      <c r="E95" s="535">
        <v>278.26174954277303</v>
      </c>
      <c r="F95" s="535">
        <v>278.26174954277303</v>
      </c>
      <c r="G95" s="535">
        <v>278.26174954277303</v>
      </c>
      <c r="H95" s="535">
        <v>278.26174954277303</v>
      </c>
      <c r="I95" s="535">
        <v>1429152.3456516827</v>
      </c>
      <c r="J95" s="535">
        <v>1429152.3456516827</v>
      </c>
      <c r="K95" s="535">
        <v>1429152.3456516827</v>
      </c>
      <c r="L95" s="535">
        <v>1429152.3456516827</v>
      </c>
      <c r="M95" s="535">
        <v>1429152.3456516827</v>
      </c>
      <c r="O95" s="568" t="s">
        <v>18</v>
      </c>
      <c r="P95" s="535">
        <v>21.14275045722691</v>
      </c>
      <c r="Q95" s="535">
        <v>21.14275045722691</v>
      </c>
      <c r="R95" s="535">
        <v>21.14275045722691</v>
      </c>
      <c r="S95" s="535">
        <v>21.142750457226899</v>
      </c>
      <c r="T95" s="535">
        <v>21.142750457226899</v>
      </c>
      <c r="U95" s="535">
        <v>-603133.33365168271</v>
      </c>
      <c r="V95" s="535">
        <v>-603133.33365168271</v>
      </c>
      <c r="W95" s="535">
        <v>-603133.33365168271</v>
      </c>
      <c r="X95" s="535">
        <v>-603133.33365168294</v>
      </c>
      <c r="Y95" s="535">
        <v>-603133.33365168294</v>
      </c>
    </row>
    <row r="96" spans="3:25">
      <c r="C96" s="523" t="s">
        <v>19</v>
      </c>
      <c r="D96" s="535" t="s">
        <v>582</v>
      </c>
      <c r="E96" s="535" t="s">
        <v>582</v>
      </c>
      <c r="F96" s="535" t="s">
        <v>582</v>
      </c>
      <c r="G96" s="535" t="s">
        <v>582</v>
      </c>
      <c r="H96" s="535" t="s">
        <v>582</v>
      </c>
      <c r="I96" s="535" t="s">
        <v>582</v>
      </c>
      <c r="J96" s="535" t="s">
        <v>582</v>
      </c>
      <c r="K96" s="535" t="s">
        <v>582</v>
      </c>
      <c r="L96" s="535" t="s">
        <v>582</v>
      </c>
      <c r="M96" s="535" t="s">
        <v>582</v>
      </c>
      <c r="O96" s="568" t="s">
        <v>19</v>
      </c>
      <c r="P96" s="535">
        <v>0</v>
      </c>
      <c r="Q96" s="535">
        <v>0</v>
      </c>
      <c r="R96" s="535">
        <v>0</v>
      </c>
      <c r="S96" s="535">
        <v>0</v>
      </c>
      <c r="T96" s="535">
        <v>0</v>
      </c>
      <c r="U96" s="535">
        <v>0</v>
      </c>
      <c r="V96" s="535">
        <v>0</v>
      </c>
      <c r="W96" s="535">
        <v>0</v>
      </c>
      <c r="X96" s="535">
        <v>0</v>
      </c>
      <c r="Y96" s="535">
        <v>0</v>
      </c>
    </row>
    <row r="97" spans="3:25" ht="28.5">
      <c r="C97" s="523" t="s">
        <v>20</v>
      </c>
      <c r="D97" s="535" t="s">
        <v>582</v>
      </c>
      <c r="E97" s="535" t="s">
        <v>582</v>
      </c>
      <c r="F97" s="535" t="s">
        <v>582</v>
      </c>
      <c r="G97" s="535" t="s">
        <v>582</v>
      </c>
      <c r="H97" s="535" t="s">
        <v>582</v>
      </c>
      <c r="I97" s="535" t="s">
        <v>582</v>
      </c>
      <c r="J97" s="535" t="s">
        <v>582</v>
      </c>
      <c r="K97" s="535" t="s">
        <v>582</v>
      </c>
      <c r="L97" s="535" t="s">
        <v>582</v>
      </c>
      <c r="M97" s="535" t="s">
        <v>582</v>
      </c>
      <c r="O97" s="568" t="s">
        <v>20</v>
      </c>
      <c r="P97" s="535">
        <v>0</v>
      </c>
      <c r="Q97" s="535">
        <v>0</v>
      </c>
      <c r="R97" s="535">
        <v>0</v>
      </c>
      <c r="S97" s="535">
        <v>0</v>
      </c>
      <c r="T97" s="535">
        <v>0</v>
      </c>
      <c r="U97" s="535">
        <v>0</v>
      </c>
      <c r="V97" s="535">
        <v>0</v>
      </c>
      <c r="W97" s="535">
        <v>0</v>
      </c>
      <c r="X97" s="535">
        <v>0</v>
      </c>
      <c r="Y97" s="535">
        <v>0</v>
      </c>
    </row>
    <row r="98" spans="3:25">
      <c r="C98" s="523" t="s">
        <v>105</v>
      </c>
      <c r="D98" s="535" t="s">
        <v>582</v>
      </c>
      <c r="E98" s="535" t="s">
        <v>582</v>
      </c>
      <c r="F98" s="535" t="s">
        <v>582</v>
      </c>
      <c r="G98" s="535" t="s">
        <v>582</v>
      </c>
      <c r="H98" s="535" t="s">
        <v>582</v>
      </c>
      <c r="I98" s="535" t="s">
        <v>582</v>
      </c>
      <c r="J98" s="535" t="s">
        <v>582</v>
      </c>
      <c r="K98" s="535" t="s">
        <v>582</v>
      </c>
      <c r="L98" s="535" t="s">
        <v>582</v>
      </c>
      <c r="M98" s="535" t="s">
        <v>582</v>
      </c>
      <c r="O98" s="568" t="s">
        <v>105</v>
      </c>
      <c r="P98" s="535">
        <v>0</v>
      </c>
      <c r="Q98" s="535">
        <v>0</v>
      </c>
      <c r="R98" s="535">
        <v>0</v>
      </c>
      <c r="S98" s="535">
        <v>0</v>
      </c>
      <c r="T98" s="535">
        <v>0</v>
      </c>
      <c r="U98" s="535">
        <v>0</v>
      </c>
      <c r="V98" s="535">
        <v>0</v>
      </c>
      <c r="W98" s="535">
        <v>0</v>
      </c>
      <c r="X98" s="535">
        <v>0</v>
      </c>
      <c r="Y98" s="535">
        <v>0</v>
      </c>
    </row>
    <row r="99" spans="3:25" ht="28.5" hidden="1">
      <c r="C99" s="557" t="s">
        <v>514</v>
      </c>
      <c r="D99" s="535"/>
      <c r="E99" s="535"/>
      <c r="F99" s="535"/>
      <c r="G99" s="535"/>
      <c r="H99" s="535"/>
      <c r="I99" s="535"/>
      <c r="J99" s="535"/>
      <c r="K99" s="535"/>
      <c r="L99" s="535"/>
      <c r="M99" s="535"/>
      <c r="O99" s="523"/>
      <c r="P99" s="535"/>
      <c r="Q99" s="535"/>
      <c r="R99" s="535"/>
      <c r="S99" s="535"/>
      <c r="T99" s="535"/>
      <c r="U99" s="535"/>
      <c r="V99" s="535"/>
      <c r="W99" s="535"/>
      <c r="X99" s="535"/>
      <c r="Y99" s="535"/>
    </row>
    <row r="100" spans="3:25" ht="30">
      <c r="C100" s="581" t="s">
        <v>605</v>
      </c>
      <c r="D100" s="543">
        <v>619.2130801426531</v>
      </c>
      <c r="E100" s="543">
        <v>619.2130801426531</v>
      </c>
      <c r="F100" s="543">
        <v>619.2130801426531</v>
      </c>
      <c r="G100" s="543">
        <v>619.2130801426531</v>
      </c>
      <c r="H100" s="543">
        <v>619.2130801426531</v>
      </c>
      <c r="I100" s="543">
        <v>3229099.9622455253</v>
      </c>
      <c r="J100" s="543">
        <v>3229099.9622455253</v>
      </c>
      <c r="K100" s="543">
        <v>3229099.9622455253</v>
      </c>
      <c r="L100" s="543">
        <v>3229099.9622455253</v>
      </c>
      <c r="M100" s="543">
        <v>3229099.9622455253</v>
      </c>
      <c r="N100" s="332"/>
      <c r="O100" s="581" t="s">
        <v>16</v>
      </c>
      <c r="P100" s="543">
        <f t="shared" ref="P100:Y100" si="14">SUM(P94:P98)</f>
        <v>21.14275045722691</v>
      </c>
      <c r="Q100" s="543">
        <f t="shared" si="14"/>
        <v>21.14275045722691</v>
      </c>
      <c r="R100" s="543">
        <f t="shared" si="14"/>
        <v>21.14275045722691</v>
      </c>
      <c r="S100" s="543">
        <f t="shared" si="14"/>
        <v>21.142750457226899</v>
      </c>
      <c r="T100" s="543">
        <f t="shared" si="14"/>
        <v>21.142750457226899</v>
      </c>
      <c r="U100" s="543">
        <f t="shared" si="14"/>
        <v>-603133.33365168271</v>
      </c>
      <c r="V100" s="543">
        <f t="shared" si="14"/>
        <v>-603133.33365168271</v>
      </c>
      <c r="W100" s="543">
        <f t="shared" si="14"/>
        <v>-603133.33365168271</v>
      </c>
      <c r="X100" s="543">
        <f t="shared" si="14"/>
        <v>-603133.33365168294</v>
      </c>
      <c r="Y100" s="543">
        <f t="shared" si="14"/>
        <v>-603133.33365168294</v>
      </c>
    </row>
    <row r="101" spans="3:25" ht="28.5" hidden="1">
      <c r="C101" s="557" t="s">
        <v>514</v>
      </c>
      <c r="D101" s="542"/>
      <c r="E101" s="542"/>
      <c r="F101" s="542"/>
      <c r="G101" s="542"/>
      <c r="H101" s="542"/>
      <c r="I101" s="542"/>
      <c r="J101" s="542"/>
      <c r="K101" s="542"/>
      <c r="L101" s="542"/>
      <c r="M101" s="542"/>
      <c r="O101" s="523"/>
      <c r="P101" s="542"/>
      <c r="Q101" s="542"/>
      <c r="R101" s="542"/>
      <c r="S101" s="542"/>
      <c r="T101" s="542"/>
      <c r="U101" s="542"/>
      <c r="V101" s="542"/>
      <c r="W101" s="542"/>
      <c r="X101" s="542"/>
      <c r="Y101" s="542"/>
    </row>
    <row r="102" spans="3:25">
      <c r="C102" s="139"/>
      <c r="D102" s="65"/>
      <c r="O102" s="523"/>
    </row>
    <row r="103" spans="3:25" ht="15">
      <c r="C103" s="581" t="s">
        <v>606</v>
      </c>
      <c r="D103" s="543">
        <v>2154.6978041063048</v>
      </c>
      <c r="E103" s="543">
        <v>2149.1916503838038</v>
      </c>
      <c r="F103" s="543">
        <v>2110.9850187155234</v>
      </c>
      <c r="G103" s="543">
        <v>2087.2807576599189</v>
      </c>
      <c r="H103" s="543">
        <v>2045.0833631722405</v>
      </c>
      <c r="I103" s="543">
        <v>9314967.6019954868</v>
      </c>
      <c r="J103" s="543">
        <v>9299431.0582945049</v>
      </c>
      <c r="K103" s="543">
        <v>9205082.6281689852</v>
      </c>
      <c r="L103" s="543">
        <v>8629088.8040398266</v>
      </c>
      <c r="M103" s="543">
        <v>8620960.6326571461</v>
      </c>
      <c r="N103" s="332"/>
      <c r="O103" s="581" t="s">
        <v>606</v>
      </c>
      <c r="P103" s="543">
        <f t="shared" ref="P103:Y103" si="15">SUM(P56:P102)/2</f>
        <v>-108.53251557948593</v>
      </c>
      <c r="Q103" s="543">
        <f t="shared" si="15"/>
        <v>-108.53251557948593</v>
      </c>
      <c r="R103" s="543">
        <f t="shared" si="15"/>
        <v>-108.53251557948593</v>
      </c>
      <c r="S103" s="543">
        <f t="shared" si="15"/>
        <v>-108.77929080448595</v>
      </c>
      <c r="T103" s="543">
        <f t="shared" si="15"/>
        <v>-114.19949282459967</v>
      </c>
      <c r="U103" s="543">
        <f t="shared" si="15"/>
        <v>-783447.50881003099</v>
      </c>
      <c r="V103" s="543">
        <f t="shared" si="15"/>
        <v>-783447.50881003099</v>
      </c>
      <c r="W103" s="543">
        <f t="shared" si="15"/>
        <v>-783447.50881003099</v>
      </c>
      <c r="X103" s="543">
        <f t="shared" si="15"/>
        <v>-784669.54942903132</v>
      </c>
      <c r="Y103" s="543">
        <f t="shared" si="15"/>
        <v>-815094.44118162477</v>
      </c>
    </row>
    <row r="104" spans="3:25" ht="15">
      <c r="C104" s="541"/>
      <c r="D104" s="542"/>
      <c r="E104" s="542"/>
      <c r="F104" s="542"/>
      <c r="G104" s="542"/>
      <c r="H104" s="542"/>
      <c r="I104" s="542"/>
      <c r="J104" s="542"/>
      <c r="K104" s="542"/>
      <c r="L104" s="542"/>
      <c r="M104" s="542"/>
      <c r="O104" s="542"/>
      <c r="P104" s="542"/>
      <c r="Q104" s="542"/>
      <c r="R104" s="542"/>
      <c r="S104" s="542"/>
      <c r="T104" s="542"/>
      <c r="U104" s="542"/>
      <c r="V104" s="542"/>
      <c r="W104" s="542"/>
      <c r="X104" s="542"/>
      <c r="Y104" s="542"/>
    </row>
    <row r="105" spans="3:25" ht="15">
      <c r="C105" s="541"/>
      <c r="D105" s="542"/>
      <c r="E105" s="542"/>
      <c r="F105" s="542"/>
      <c r="G105" s="542"/>
      <c r="H105" s="542"/>
      <c r="I105" s="542"/>
      <c r="J105" s="542"/>
      <c r="K105" s="542"/>
      <c r="L105" s="542"/>
      <c r="M105" s="542"/>
      <c r="O105" s="542"/>
      <c r="P105" s="542"/>
      <c r="Q105" s="542"/>
      <c r="R105" s="542"/>
      <c r="S105" s="542"/>
      <c r="T105" s="542"/>
      <c r="U105" s="542"/>
      <c r="V105" s="542"/>
      <c r="W105" s="542"/>
      <c r="X105" s="542"/>
      <c r="Y105" s="542"/>
    </row>
    <row r="106" spans="3:25" ht="15">
      <c r="C106" s="541"/>
      <c r="D106" s="542"/>
      <c r="E106" s="542"/>
      <c r="F106" s="542"/>
      <c r="G106" s="542"/>
      <c r="H106" s="542"/>
      <c r="I106" s="542"/>
      <c r="J106" s="542"/>
      <c r="K106" s="542"/>
      <c r="L106" s="542"/>
      <c r="M106" s="542"/>
      <c r="O106" s="542"/>
      <c r="P106" s="542"/>
      <c r="Q106" s="542"/>
      <c r="R106" s="542"/>
      <c r="S106" s="542"/>
      <c r="T106" s="542"/>
      <c r="U106" s="542"/>
      <c r="V106" s="542"/>
      <c r="W106" s="542"/>
      <c r="X106" s="542"/>
      <c r="Y106" s="542"/>
    </row>
    <row r="107" spans="3:25" ht="15">
      <c r="C107" s="541"/>
      <c r="D107" s="542"/>
      <c r="E107" s="542"/>
      <c r="F107" s="542"/>
      <c r="G107" s="542"/>
      <c r="H107" s="542"/>
      <c r="I107" s="542"/>
      <c r="J107" s="542"/>
      <c r="K107" s="542"/>
      <c r="L107" s="542"/>
      <c r="M107" s="542"/>
      <c r="O107" s="542"/>
      <c r="P107" s="542"/>
      <c r="Q107" s="542"/>
      <c r="R107" s="542"/>
      <c r="S107" s="542"/>
      <c r="T107" s="542"/>
      <c r="U107" s="542"/>
      <c r="V107" s="542"/>
      <c r="W107" s="542"/>
      <c r="X107" s="542"/>
      <c r="Y107" s="542"/>
    </row>
    <row r="108" spans="3:25">
      <c r="C108" s="139"/>
      <c r="D108" s="65"/>
    </row>
    <row r="109" spans="3:25">
      <c r="C109" s="139"/>
      <c r="D109" s="65"/>
      <c r="O109" s="139"/>
    </row>
    <row r="110" spans="3:25" ht="18.75">
      <c r="C110" s="166" t="s">
        <v>504</v>
      </c>
      <c r="D110" s="521"/>
      <c r="I110" s="148"/>
      <c r="O110" s="166" t="s">
        <v>525</v>
      </c>
      <c r="P110" s="521"/>
      <c r="U110" s="148"/>
    </row>
    <row r="111" spans="3:25">
      <c r="C111" s="65"/>
      <c r="D111" s="65"/>
      <c r="O111" s="65"/>
    </row>
    <row r="112" spans="3:25" ht="15">
      <c r="C112" s="764" t="s">
        <v>0</v>
      </c>
      <c r="D112" s="766" t="s">
        <v>501</v>
      </c>
      <c r="E112" s="767"/>
      <c r="F112" s="767"/>
      <c r="G112" s="767"/>
      <c r="H112" s="767"/>
      <c r="I112" s="767" t="s">
        <v>502</v>
      </c>
      <c r="J112" s="767"/>
      <c r="K112" s="767"/>
      <c r="L112" s="767"/>
      <c r="M112" s="768"/>
      <c r="O112" s="764" t="s">
        <v>0</v>
      </c>
      <c r="P112" s="766" t="s">
        <v>501</v>
      </c>
      <c r="Q112" s="767"/>
      <c r="R112" s="767"/>
      <c r="S112" s="767"/>
      <c r="T112" s="767"/>
      <c r="U112" s="767" t="s">
        <v>502</v>
      </c>
      <c r="V112" s="767"/>
      <c r="W112" s="767"/>
      <c r="X112" s="767"/>
      <c r="Y112" s="768"/>
    </row>
    <row r="113" spans="3:25" ht="39.950000000000003" customHeight="1">
      <c r="C113" s="765"/>
      <c r="D113" s="554">
        <v>2012</v>
      </c>
      <c r="E113" s="554">
        <v>2013</v>
      </c>
      <c r="F113" s="554">
        <v>2014</v>
      </c>
      <c r="G113" s="554">
        <v>2015</v>
      </c>
      <c r="H113" s="554">
        <v>2016</v>
      </c>
      <c r="I113" s="554">
        <v>2012</v>
      </c>
      <c r="J113" s="554">
        <v>2013</v>
      </c>
      <c r="K113" s="554">
        <v>2014</v>
      </c>
      <c r="L113" s="554">
        <v>2015</v>
      </c>
      <c r="M113" s="554">
        <v>2016</v>
      </c>
      <c r="O113" s="765"/>
      <c r="P113" s="554">
        <v>2012</v>
      </c>
      <c r="Q113" s="554">
        <v>2013</v>
      </c>
      <c r="R113" s="554">
        <v>2014</v>
      </c>
      <c r="S113" s="554">
        <v>2015</v>
      </c>
      <c r="T113" s="554">
        <v>2016</v>
      </c>
      <c r="U113" s="554">
        <v>2012</v>
      </c>
      <c r="V113" s="554">
        <v>2013</v>
      </c>
      <c r="W113" s="554">
        <v>2014</v>
      </c>
      <c r="X113" s="554">
        <v>2015</v>
      </c>
      <c r="Y113" s="554">
        <v>2016</v>
      </c>
    </row>
    <row r="114" spans="3:25" ht="12.95" customHeight="1">
      <c r="C114" s="522" t="s">
        <v>1</v>
      </c>
      <c r="D114" s="522"/>
      <c r="E114" s="522"/>
      <c r="F114" s="522"/>
      <c r="G114" s="522"/>
      <c r="H114" s="522"/>
      <c r="I114" s="522"/>
      <c r="J114" s="522"/>
      <c r="K114" s="522"/>
      <c r="L114" s="522"/>
      <c r="M114" s="522"/>
      <c r="O114" s="522" t="s">
        <v>1</v>
      </c>
      <c r="P114" s="522"/>
      <c r="Q114" s="522"/>
      <c r="R114" s="522"/>
      <c r="S114" s="522"/>
      <c r="T114" s="522"/>
      <c r="U114" s="522"/>
      <c r="V114" s="522"/>
      <c r="W114" s="522"/>
      <c r="X114" s="522"/>
      <c r="Y114" s="522"/>
    </row>
    <row r="115" spans="3:25">
      <c r="C115" s="523" t="s">
        <v>2</v>
      </c>
      <c r="D115" s="524"/>
      <c r="E115" s="536">
        <v>27.005154097124198</v>
      </c>
      <c r="F115" s="536">
        <v>27.005154097124198</v>
      </c>
      <c r="G115" s="536">
        <v>24.94228367894998</v>
      </c>
      <c r="H115" s="536">
        <v>14.031397065740856</v>
      </c>
      <c r="I115" s="524"/>
      <c r="J115" s="536">
        <v>177849.65903419684</v>
      </c>
      <c r="K115" s="536">
        <v>177849.65903419684</v>
      </c>
      <c r="L115" s="536">
        <v>176004.92804419703</v>
      </c>
      <c r="M115" s="536">
        <v>106719.09484182582</v>
      </c>
      <c r="O115" s="568" t="s">
        <v>2</v>
      </c>
      <c r="P115" s="524"/>
      <c r="Q115" s="536">
        <v>0</v>
      </c>
      <c r="R115" s="536">
        <v>0</v>
      </c>
      <c r="S115" s="536">
        <v>0</v>
      </c>
      <c r="T115" s="536">
        <v>0</v>
      </c>
      <c r="U115" s="524"/>
      <c r="V115" s="536">
        <v>0</v>
      </c>
      <c r="W115" s="536">
        <v>0</v>
      </c>
      <c r="X115" s="536">
        <v>0</v>
      </c>
      <c r="Y115" s="536">
        <v>0</v>
      </c>
    </row>
    <row r="116" spans="3:25">
      <c r="C116" s="523" t="s">
        <v>3</v>
      </c>
      <c r="D116" s="524"/>
      <c r="E116" s="536">
        <v>11.87216788916243</v>
      </c>
      <c r="F116" s="536">
        <v>11.87216788916243</v>
      </c>
      <c r="G116" s="536">
        <v>11.65208423211798</v>
      </c>
      <c r="H116" s="536">
        <v>0</v>
      </c>
      <c r="I116" s="524"/>
      <c r="J116" s="536">
        <v>20973.196773955562</v>
      </c>
      <c r="K116" s="536">
        <v>20973.196773955562</v>
      </c>
      <c r="L116" s="536">
        <v>20776.385990803334</v>
      </c>
      <c r="M116" s="536">
        <v>0</v>
      </c>
      <c r="O116" s="568" t="s">
        <v>3</v>
      </c>
      <c r="P116" s="524"/>
      <c r="Q116" s="536">
        <v>0</v>
      </c>
      <c r="R116" s="536">
        <v>0</v>
      </c>
      <c r="S116" s="536">
        <v>0</v>
      </c>
      <c r="T116" s="536">
        <v>0</v>
      </c>
      <c r="U116" s="524"/>
      <c r="V116" s="536">
        <v>0</v>
      </c>
      <c r="W116" s="536">
        <v>0</v>
      </c>
      <c r="X116" s="536">
        <v>0</v>
      </c>
      <c r="Y116" s="536">
        <v>0</v>
      </c>
    </row>
    <row r="117" spans="3:25">
      <c r="C117" s="523" t="s">
        <v>4</v>
      </c>
      <c r="D117" s="524"/>
      <c r="E117" s="536">
        <v>542.47593218584188</v>
      </c>
      <c r="F117" s="536">
        <v>542.47593218584188</v>
      </c>
      <c r="G117" s="536">
        <v>542.47593218584188</v>
      </c>
      <c r="H117" s="536">
        <v>542.47593218584188</v>
      </c>
      <c r="I117" s="524"/>
      <c r="J117" s="536">
        <v>934123.68906956632</v>
      </c>
      <c r="K117" s="536">
        <v>934123.68906956632</v>
      </c>
      <c r="L117" s="536">
        <v>934123.68906956632</v>
      </c>
      <c r="M117" s="536">
        <v>934123.68906956632</v>
      </c>
      <c r="O117" s="568" t="s">
        <v>4</v>
      </c>
      <c r="P117" s="524"/>
      <c r="Q117" s="536">
        <v>15.565724391205592</v>
      </c>
      <c r="R117" s="536">
        <v>15.565724391205592</v>
      </c>
      <c r="S117" s="536">
        <v>15.565724391205592</v>
      </c>
      <c r="T117" s="536">
        <v>15.565724391205592</v>
      </c>
      <c r="U117" s="524"/>
      <c r="V117" s="536">
        <v>30567.161210501934</v>
      </c>
      <c r="W117" s="536">
        <v>30567.161210501934</v>
      </c>
      <c r="X117" s="536">
        <v>30567.161210501934</v>
      </c>
      <c r="Y117" s="536">
        <v>30567.161210501934</v>
      </c>
    </row>
    <row r="118" spans="3:25" ht="28.5">
      <c r="C118" s="523" t="s">
        <v>5</v>
      </c>
      <c r="D118" s="524"/>
      <c r="E118" s="536">
        <v>5.4205306151762436</v>
      </c>
      <c r="F118" s="536">
        <v>5.4205306151762436</v>
      </c>
      <c r="G118" s="536">
        <v>5.4205306151762436</v>
      </c>
      <c r="H118" s="536">
        <v>5.397649386648192</v>
      </c>
      <c r="I118" s="524"/>
      <c r="J118" s="536">
        <v>32892.725502515925</v>
      </c>
      <c r="K118" s="536">
        <v>32892.725502515925</v>
      </c>
      <c r="L118" s="536">
        <v>32892.725502515925</v>
      </c>
      <c r="M118" s="536">
        <v>32398.561988589463</v>
      </c>
      <c r="O118" s="568" t="s">
        <v>5</v>
      </c>
      <c r="P118" s="524"/>
      <c r="Q118" s="536">
        <v>0</v>
      </c>
      <c r="R118" s="536">
        <v>0</v>
      </c>
      <c r="S118" s="536">
        <v>0</v>
      </c>
      <c r="T118" s="536">
        <v>0</v>
      </c>
      <c r="U118" s="524"/>
      <c r="V118" s="536">
        <v>0</v>
      </c>
      <c r="W118" s="536">
        <v>0</v>
      </c>
      <c r="X118" s="536">
        <v>0</v>
      </c>
      <c r="Y118" s="536">
        <v>0</v>
      </c>
    </row>
    <row r="119" spans="3:25">
      <c r="C119" s="523" t="s">
        <v>6</v>
      </c>
      <c r="D119" s="524"/>
      <c r="E119" s="536">
        <v>34.816637352685902</v>
      </c>
      <c r="F119" s="536">
        <v>34.816637352685902</v>
      </c>
      <c r="G119" s="536">
        <v>34.816637352685902</v>
      </c>
      <c r="H119" s="536">
        <v>31.868340532450205</v>
      </c>
      <c r="I119" s="524"/>
      <c r="J119" s="536">
        <v>630039.40231917438</v>
      </c>
      <c r="K119" s="536">
        <v>630039.40231917438</v>
      </c>
      <c r="L119" s="536">
        <v>630039.40231917438</v>
      </c>
      <c r="M119" s="536">
        <v>566365.34237961902</v>
      </c>
      <c r="O119" s="568" t="s">
        <v>6</v>
      </c>
      <c r="P119" s="524"/>
      <c r="Q119" s="536">
        <v>0</v>
      </c>
      <c r="R119" s="536">
        <v>0</v>
      </c>
      <c r="S119" s="536">
        <v>0</v>
      </c>
      <c r="T119" s="536">
        <v>0</v>
      </c>
      <c r="U119" s="524"/>
      <c r="V119" s="536">
        <v>0</v>
      </c>
      <c r="W119" s="536">
        <v>0</v>
      </c>
      <c r="X119" s="536">
        <v>0</v>
      </c>
      <c r="Y119" s="536">
        <v>0</v>
      </c>
    </row>
    <row r="120" spans="3:25">
      <c r="C120" s="523" t="s">
        <v>610</v>
      </c>
      <c r="D120" s="524"/>
      <c r="E120" s="536" t="s">
        <v>582</v>
      </c>
      <c r="F120" s="536" t="s">
        <v>582</v>
      </c>
      <c r="G120" s="536" t="s">
        <v>582</v>
      </c>
      <c r="H120" s="536" t="s">
        <v>582</v>
      </c>
      <c r="I120" s="524"/>
      <c r="J120" s="536" t="s">
        <v>582</v>
      </c>
      <c r="K120" s="536" t="s">
        <v>582</v>
      </c>
      <c r="L120" s="536" t="s">
        <v>582</v>
      </c>
      <c r="M120" s="536" t="s">
        <v>582</v>
      </c>
      <c r="O120" s="568" t="s">
        <v>610</v>
      </c>
      <c r="P120" s="524"/>
      <c r="Q120" s="536">
        <v>0</v>
      </c>
      <c r="R120" s="536">
        <v>0</v>
      </c>
      <c r="S120" s="536">
        <v>0</v>
      </c>
      <c r="T120" s="536">
        <v>0</v>
      </c>
      <c r="U120" s="524"/>
      <c r="V120" s="536">
        <v>0</v>
      </c>
      <c r="W120" s="536">
        <v>0</v>
      </c>
      <c r="X120" s="536">
        <v>0</v>
      </c>
      <c r="Y120" s="536">
        <v>0</v>
      </c>
    </row>
    <row r="121" spans="3:25" ht="28.5">
      <c r="C121" s="523" t="s">
        <v>33</v>
      </c>
      <c r="D121" s="524"/>
      <c r="E121" s="536">
        <v>0</v>
      </c>
      <c r="F121" s="536">
        <v>0</v>
      </c>
      <c r="G121" s="536">
        <v>0</v>
      </c>
      <c r="H121" s="536">
        <v>0</v>
      </c>
      <c r="I121" s="524"/>
      <c r="J121" s="536">
        <v>0</v>
      </c>
      <c r="K121" s="536">
        <v>0</v>
      </c>
      <c r="L121" s="536">
        <v>0</v>
      </c>
      <c r="M121" s="536">
        <v>0</v>
      </c>
      <c r="O121" s="568" t="s">
        <v>33</v>
      </c>
      <c r="P121" s="524"/>
      <c r="Q121" s="536">
        <v>0</v>
      </c>
      <c r="R121" s="536">
        <v>0</v>
      </c>
      <c r="S121" s="536">
        <v>0</v>
      </c>
      <c r="T121" s="536">
        <v>0</v>
      </c>
      <c r="U121" s="524"/>
      <c r="V121" s="536">
        <v>0</v>
      </c>
      <c r="W121" s="536">
        <v>0</v>
      </c>
      <c r="X121" s="536">
        <v>0</v>
      </c>
      <c r="Y121" s="536">
        <v>0</v>
      </c>
    </row>
    <row r="122" spans="3:25" ht="28.5">
      <c r="C122" s="523" t="s">
        <v>26</v>
      </c>
      <c r="D122" s="524"/>
      <c r="E122" s="536" t="s">
        <v>582</v>
      </c>
      <c r="F122" s="536" t="s">
        <v>582</v>
      </c>
      <c r="G122" s="536" t="s">
        <v>582</v>
      </c>
      <c r="H122" s="536" t="s">
        <v>582</v>
      </c>
      <c r="I122" s="524"/>
      <c r="J122" s="536" t="s">
        <v>582</v>
      </c>
      <c r="K122" s="536" t="s">
        <v>582</v>
      </c>
      <c r="L122" s="536" t="s">
        <v>582</v>
      </c>
      <c r="M122" s="536" t="s">
        <v>582</v>
      </c>
      <c r="O122" s="568" t="s">
        <v>26</v>
      </c>
      <c r="P122" s="524"/>
      <c r="Q122" s="536">
        <v>0</v>
      </c>
      <c r="R122" s="536">
        <v>0</v>
      </c>
      <c r="S122" s="536">
        <v>0</v>
      </c>
      <c r="T122" s="536">
        <v>0</v>
      </c>
      <c r="U122" s="524"/>
      <c r="V122" s="536">
        <v>0</v>
      </c>
      <c r="W122" s="536">
        <v>0</v>
      </c>
      <c r="X122" s="536">
        <v>0</v>
      </c>
      <c r="Y122" s="536">
        <v>0</v>
      </c>
    </row>
    <row r="123" spans="3:25" ht="28.5">
      <c r="C123" s="523" t="s">
        <v>8</v>
      </c>
      <c r="D123" s="524"/>
      <c r="E123" s="536" t="s">
        <v>582</v>
      </c>
      <c r="F123" s="536" t="s">
        <v>582</v>
      </c>
      <c r="G123" s="536" t="s">
        <v>582</v>
      </c>
      <c r="H123" s="536" t="s">
        <v>582</v>
      </c>
      <c r="I123" s="524"/>
      <c r="J123" s="536" t="s">
        <v>582</v>
      </c>
      <c r="K123" s="536" t="s">
        <v>582</v>
      </c>
      <c r="L123" s="536" t="s">
        <v>582</v>
      </c>
      <c r="M123" s="536" t="s">
        <v>582</v>
      </c>
      <c r="O123" s="568" t="s">
        <v>8</v>
      </c>
      <c r="P123" s="524"/>
      <c r="Q123" s="536">
        <v>0</v>
      </c>
      <c r="R123" s="536">
        <v>0</v>
      </c>
      <c r="S123" s="536">
        <v>0</v>
      </c>
      <c r="T123" s="536">
        <v>0</v>
      </c>
      <c r="U123" s="524"/>
      <c r="V123" s="536">
        <v>0</v>
      </c>
      <c r="W123" s="536">
        <v>0</v>
      </c>
      <c r="X123" s="536">
        <v>0</v>
      </c>
      <c r="Y123" s="536">
        <v>0</v>
      </c>
    </row>
    <row r="124" spans="3:25" ht="28.5" hidden="1">
      <c r="C124" s="557" t="s">
        <v>515</v>
      </c>
      <c r="D124" s="524"/>
      <c r="E124" s="536"/>
      <c r="F124" s="536"/>
      <c r="G124" s="536"/>
      <c r="H124" s="536"/>
      <c r="I124" s="524"/>
      <c r="J124" s="536"/>
      <c r="K124" s="536"/>
      <c r="L124" s="536"/>
      <c r="M124" s="536"/>
      <c r="O124" s="523"/>
      <c r="P124" s="524"/>
      <c r="Q124" s="536"/>
      <c r="R124" s="536"/>
      <c r="S124" s="536"/>
      <c r="T124" s="536"/>
      <c r="U124" s="524"/>
      <c r="V124" s="536"/>
      <c r="W124" s="536"/>
      <c r="X124" s="536"/>
      <c r="Y124" s="536"/>
    </row>
    <row r="125" spans="3:25" ht="30">
      <c r="C125" s="581" t="s">
        <v>600</v>
      </c>
      <c r="D125" s="543"/>
      <c r="E125" s="543">
        <f>SUM(E115:E123)</f>
        <v>621.59042213999078</v>
      </c>
      <c r="F125" s="543">
        <f>SUM(F115:F123)</f>
        <v>621.59042213999078</v>
      </c>
      <c r="G125" s="543">
        <f>SUM(G115:G123)</f>
        <v>619.30746806477202</v>
      </c>
      <c r="H125" s="543">
        <f>SUM(H115:H123)</f>
        <v>593.77331917068113</v>
      </c>
      <c r="I125" s="543"/>
      <c r="J125" s="543">
        <f>SUM(J115:J123)</f>
        <v>1795878.6726994091</v>
      </c>
      <c r="K125" s="543">
        <f>SUM(K115:K123)</f>
        <v>1795878.6726994091</v>
      </c>
      <c r="L125" s="543">
        <f>SUM(L115:L123)</f>
        <v>1793837.130926257</v>
      </c>
      <c r="M125" s="543">
        <f>SUM(M115:M123)</f>
        <v>1639606.6882796003</v>
      </c>
      <c r="N125" s="332"/>
      <c r="O125" s="581" t="s">
        <v>600</v>
      </c>
      <c r="P125" s="543"/>
      <c r="Q125" s="543">
        <f>SUM(Q115:Q123)</f>
        <v>15.565724391205592</v>
      </c>
      <c r="R125" s="543">
        <f>SUM(R115:R123)</f>
        <v>15.565724391205592</v>
      </c>
      <c r="S125" s="543">
        <f>SUM(S115:S123)</f>
        <v>15.565724391205592</v>
      </c>
      <c r="T125" s="543">
        <f>SUM(T115:T123)</f>
        <v>15.565724391205592</v>
      </c>
      <c r="U125" s="543"/>
      <c r="V125" s="543">
        <f>SUM(V115:V123)</f>
        <v>30567.161210501934</v>
      </c>
      <c r="W125" s="543">
        <f>SUM(W115:W123)</f>
        <v>30567.161210501934</v>
      </c>
      <c r="X125" s="543">
        <f>SUM(X115:X123)</f>
        <v>30567.161210501934</v>
      </c>
      <c r="Y125" s="543">
        <f>SUM(Y115:Y123)</f>
        <v>30567.161210501934</v>
      </c>
    </row>
    <row r="126" spans="3:25">
      <c r="C126" s="523"/>
      <c r="D126" s="524"/>
      <c r="E126" s="524"/>
      <c r="F126" s="524"/>
      <c r="G126" s="524"/>
      <c r="H126" s="535"/>
      <c r="I126" s="535"/>
      <c r="J126" s="535"/>
      <c r="K126" s="535"/>
      <c r="L126" s="535"/>
      <c r="M126" s="535"/>
      <c r="O126" s="523"/>
      <c r="P126" s="524"/>
      <c r="Q126" s="524"/>
      <c r="R126" s="524"/>
      <c r="S126" s="524"/>
      <c r="T126" s="524"/>
      <c r="U126" s="524"/>
      <c r="V126" s="524"/>
      <c r="W126" s="524"/>
      <c r="X126" s="524"/>
      <c r="Y126" s="524"/>
    </row>
    <row r="127" spans="3:25" ht="15">
      <c r="C127" s="525" t="s">
        <v>9</v>
      </c>
      <c r="D127" s="525"/>
      <c r="E127" s="525"/>
      <c r="F127" s="525"/>
      <c r="G127" s="525"/>
      <c r="H127" s="525"/>
      <c r="I127" s="525"/>
      <c r="J127" s="525"/>
      <c r="K127" s="525"/>
      <c r="L127" s="525"/>
      <c r="M127" s="525"/>
      <c r="O127" s="525" t="s">
        <v>9</v>
      </c>
      <c r="P127" s="525"/>
      <c r="Q127" s="525"/>
      <c r="R127" s="525"/>
      <c r="S127" s="525"/>
      <c r="T127" s="525"/>
      <c r="U127" s="525"/>
      <c r="V127" s="525"/>
      <c r="W127" s="525"/>
      <c r="X127" s="525"/>
      <c r="Y127" s="525"/>
    </row>
    <row r="128" spans="3:25">
      <c r="C128" s="523" t="s">
        <v>27</v>
      </c>
      <c r="D128" s="524"/>
      <c r="E128" s="536">
        <v>1213.1917292937576</v>
      </c>
      <c r="F128" s="536">
        <v>1212.9600747368904</v>
      </c>
      <c r="G128" s="536">
        <v>1191.06680902421</v>
      </c>
      <c r="H128" s="536">
        <v>1191.06680902421</v>
      </c>
      <c r="I128" s="524"/>
      <c r="J128" s="536">
        <v>6472559.0379858185</v>
      </c>
      <c r="K128" s="536">
        <v>6471803.7169553721</v>
      </c>
      <c r="L128" s="536">
        <v>6400284.8743472369</v>
      </c>
      <c r="M128" s="536">
        <v>6400284.8743472369</v>
      </c>
      <c r="O128" s="568" t="s">
        <v>27</v>
      </c>
      <c r="P128" s="524"/>
      <c r="Q128" s="536">
        <v>227.95352329599999</v>
      </c>
      <c r="R128" s="536">
        <v>225.15829816199999</v>
      </c>
      <c r="S128" s="536">
        <v>208.14316554600001</v>
      </c>
      <c r="T128" s="536">
        <v>208.14316554600001</v>
      </c>
      <c r="U128" s="524"/>
      <c r="V128" s="536">
        <v>1328566.197064471</v>
      </c>
      <c r="W128" s="536">
        <v>1318483.1376483231</v>
      </c>
      <c r="X128" s="536">
        <v>1266016.845576833</v>
      </c>
      <c r="Y128" s="536">
        <v>1266016.845576833</v>
      </c>
    </row>
    <row r="129" spans="3:25">
      <c r="C129" s="523" t="s">
        <v>25</v>
      </c>
      <c r="D129" s="524"/>
      <c r="E129" s="536">
        <v>158.68216611816632</v>
      </c>
      <c r="F129" s="536">
        <v>154.65703202612374</v>
      </c>
      <c r="G129" s="536">
        <v>121.23728262195991</v>
      </c>
      <c r="H129" s="536">
        <v>121.23728262195991</v>
      </c>
      <c r="I129" s="524"/>
      <c r="J129" s="536">
        <v>606683.33181317034</v>
      </c>
      <c r="K129" s="536">
        <v>590080.11516778101</v>
      </c>
      <c r="L129" s="536">
        <v>440241.86398408015</v>
      </c>
      <c r="M129" s="536">
        <v>440241.86398408015</v>
      </c>
      <c r="O129" s="568" t="s">
        <v>25</v>
      </c>
      <c r="P129" s="524"/>
      <c r="Q129" s="536">
        <v>0</v>
      </c>
      <c r="R129" s="536">
        <v>0</v>
      </c>
      <c r="S129" s="536">
        <v>0</v>
      </c>
      <c r="T129" s="536">
        <v>0</v>
      </c>
      <c r="U129" s="524"/>
      <c r="V129" s="536">
        <v>0</v>
      </c>
      <c r="W129" s="536">
        <v>0</v>
      </c>
      <c r="X129" s="536">
        <v>0</v>
      </c>
      <c r="Y129" s="536">
        <v>0</v>
      </c>
    </row>
    <row r="130" spans="3:25">
      <c r="C130" s="523" t="s">
        <v>28</v>
      </c>
      <c r="D130" s="524"/>
      <c r="E130" s="536" t="s">
        <v>582</v>
      </c>
      <c r="F130" s="536" t="s">
        <v>582</v>
      </c>
      <c r="G130" s="536" t="s">
        <v>582</v>
      </c>
      <c r="H130" s="536" t="s">
        <v>582</v>
      </c>
      <c r="I130" s="524"/>
      <c r="J130" s="536" t="s">
        <v>582</v>
      </c>
      <c r="K130" s="536" t="s">
        <v>582</v>
      </c>
      <c r="L130" s="536" t="s">
        <v>582</v>
      </c>
      <c r="M130" s="536" t="s">
        <v>582</v>
      </c>
      <c r="O130" s="568" t="s">
        <v>28</v>
      </c>
      <c r="P130" s="524"/>
      <c r="Q130" s="536">
        <v>0</v>
      </c>
      <c r="R130" s="536">
        <v>0</v>
      </c>
      <c r="S130" s="536">
        <v>0</v>
      </c>
      <c r="T130" s="536">
        <v>0</v>
      </c>
      <c r="U130" s="524"/>
      <c r="V130" s="536">
        <v>0</v>
      </c>
      <c r="W130" s="536">
        <v>0</v>
      </c>
      <c r="X130" s="536">
        <v>0</v>
      </c>
      <c r="Y130" s="536">
        <v>0</v>
      </c>
    </row>
    <row r="131" spans="3:25">
      <c r="C131" s="523" t="s">
        <v>29</v>
      </c>
      <c r="D131" s="524"/>
      <c r="E131" s="536" t="s">
        <v>582</v>
      </c>
      <c r="F131" s="536" t="s">
        <v>582</v>
      </c>
      <c r="G131" s="536" t="s">
        <v>582</v>
      </c>
      <c r="H131" s="536" t="s">
        <v>582</v>
      </c>
      <c r="I131" s="524"/>
      <c r="J131" s="536" t="s">
        <v>582</v>
      </c>
      <c r="K131" s="536" t="s">
        <v>582</v>
      </c>
      <c r="L131" s="536" t="s">
        <v>582</v>
      </c>
      <c r="M131" s="536" t="s">
        <v>582</v>
      </c>
      <c r="O131" s="568" t="s">
        <v>29</v>
      </c>
      <c r="P131" s="524"/>
      <c r="Q131" s="536">
        <v>4.3427230000000003</v>
      </c>
      <c r="R131" s="536">
        <v>4.3427230000000003</v>
      </c>
      <c r="S131" s="536">
        <v>4.3427230000000003</v>
      </c>
      <c r="T131" s="536">
        <v>1.528065</v>
      </c>
      <c r="U131" s="524"/>
      <c r="V131" s="536">
        <v>18568.288339999999</v>
      </c>
      <c r="W131" s="536">
        <v>18568.288339999999</v>
      </c>
      <c r="X131" s="536">
        <v>18568.288339999999</v>
      </c>
      <c r="Y131" s="536">
        <v>5050.5524999999998</v>
      </c>
    </row>
    <row r="132" spans="3:25">
      <c r="C132" s="523" t="s">
        <v>23</v>
      </c>
      <c r="D132" s="524"/>
      <c r="E132" s="536">
        <v>67.303270184342168</v>
      </c>
      <c r="F132" s="536">
        <v>67.303270184342168</v>
      </c>
      <c r="G132" s="536">
        <v>67.303270184342168</v>
      </c>
      <c r="H132" s="536">
        <v>0</v>
      </c>
      <c r="I132" s="524"/>
      <c r="J132" s="536">
        <v>327291.30801332003</v>
      </c>
      <c r="K132" s="536">
        <v>327291.30801332003</v>
      </c>
      <c r="L132" s="536">
        <v>327291.30801332003</v>
      </c>
      <c r="M132" s="536">
        <v>0</v>
      </c>
      <c r="O132" s="568" t="s">
        <v>23</v>
      </c>
      <c r="P132" s="524"/>
      <c r="Q132" s="536">
        <v>12.941343347999998</v>
      </c>
      <c r="R132" s="536">
        <v>12.941343347999998</v>
      </c>
      <c r="S132" s="536">
        <v>12.941343347999998</v>
      </c>
      <c r="T132" s="536">
        <v>0</v>
      </c>
      <c r="U132" s="524"/>
      <c r="V132" s="536">
        <v>63163.405370125998</v>
      </c>
      <c r="W132" s="536">
        <v>63163.405370125998</v>
      </c>
      <c r="X132" s="536">
        <v>63163.405370125998</v>
      </c>
      <c r="Y132" s="536">
        <v>0</v>
      </c>
    </row>
    <row r="133" spans="3:25" ht="42.75">
      <c r="C133" s="523" t="s">
        <v>611</v>
      </c>
      <c r="D133" s="524"/>
      <c r="E133" s="536">
        <v>0</v>
      </c>
      <c r="F133" s="536">
        <v>0</v>
      </c>
      <c r="G133" s="536">
        <v>0</v>
      </c>
      <c r="H133" s="536">
        <v>0</v>
      </c>
      <c r="I133" s="524"/>
      <c r="J133" s="536">
        <v>0</v>
      </c>
      <c r="K133" s="536">
        <v>0</v>
      </c>
      <c r="L133" s="536">
        <v>0</v>
      </c>
      <c r="M133" s="536">
        <v>0</v>
      </c>
      <c r="O133" s="568" t="s">
        <v>611</v>
      </c>
      <c r="P133" s="524"/>
      <c r="Q133" s="536">
        <v>0</v>
      </c>
      <c r="R133" s="536">
        <v>0</v>
      </c>
      <c r="S133" s="536">
        <v>0</v>
      </c>
      <c r="T133" s="536">
        <v>0</v>
      </c>
      <c r="U133" s="524"/>
      <c r="V133" s="536">
        <v>0</v>
      </c>
      <c r="W133" s="536">
        <v>0</v>
      </c>
      <c r="X133" s="536">
        <v>0</v>
      </c>
      <c r="Y133" s="536">
        <v>0</v>
      </c>
    </row>
    <row r="134" spans="3:25" ht="28.5">
      <c r="C134" s="523" t="s">
        <v>31</v>
      </c>
      <c r="D134" s="524"/>
      <c r="E134" s="536" t="s">
        <v>582</v>
      </c>
      <c r="F134" s="536" t="s">
        <v>582</v>
      </c>
      <c r="G134" s="536" t="s">
        <v>582</v>
      </c>
      <c r="H134" s="536" t="s">
        <v>582</v>
      </c>
      <c r="I134" s="524"/>
      <c r="J134" s="536" t="s">
        <v>582</v>
      </c>
      <c r="K134" s="536" t="s">
        <v>582</v>
      </c>
      <c r="L134" s="536" t="s">
        <v>582</v>
      </c>
      <c r="M134" s="536" t="s">
        <v>582</v>
      </c>
      <c r="O134" s="568" t="s">
        <v>31</v>
      </c>
      <c r="P134" s="524"/>
      <c r="Q134" s="536">
        <v>0</v>
      </c>
      <c r="R134" s="536">
        <v>0</v>
      </c>
      <c r="S134" s="536">
        <v>0</v>
      </c>
      <c r="T134" s="536">
        <v>0</v>
      </c>
      <c r="U134" s="524"/>
      <c r="V134" s="536">
        <v>0</v>
      </c>
      <c r="W134" s="536">
        <v>0</v>
      </c>
      <c r="X134" s="536">
        <v>0</v>
      </c>
      <c r="Y134" s="536">
        <v>0</v>
      </c>
    </row>
    <row r="135" spans="3:25">
      <c r="C135" s="523" t="s">
        <v>10</v>
      </c>
      <c r="D135" s="524"/>
      <c r="E135" s="536">
        <v>0</v>
      </c>
      <c r="F135" s="536">
        <v>0</v>
      </c>
      <c r="G135" s="536">
        <v>0</v>
      </c>
      <c r="H135" s="536">
        <v>0</v>
      </c>
      <c r="I135" s="524"/>
      <c r="J135" s="536">
        <v>0</v>
      </c>
      <c r="K135" s="536">
        <v>0</v>
      </c>
      <c r="L135" s="536">
        <v>0</v>
      </c>
      <c r="M135" s="536">
        <v>0</v>
      </c>
      <c r="O135" s="568" t="s">
        <v>10</v>
      </c>
      <c r="P135" s="524"/>
      <c r="Q135" s="536">
        <v>0</v>
      </c>
      <c r="R135" s="536">
        <v>0</v>
      </c>
      <c r="S135" s="536">
        <v>0</v>
      </c>
      <c r="T135" s="536">
        <v>0</v>
      </c>
      <c r="U135" s="524"/>
      <c r="V135" s="536">
        <v>0</v>
      </c>
      <c r="W135" s="536">
        <v>0</v>
      </c>
      <c r="X135" s="536">
        <v>0</v>
      </c>
      <c r="Y135" s="536">
        <v>0</v>
      </c>
    </row>
    <row r="136" spans="3:25" ht="28.5" hidden="1">
      <c r="C136" s="557" t="s">
        <v>515</v>
      </c>
      <c r="D136" s="524"/>
      <c r="E136" s="536"/>
      <c r="F136" s="536"/>
      <c r="G136" s="536"/>
      <c r="H136" s="536"/>
      <c r="I136" s="524"/>
      <c r="J136" s="536"/>
      <c r="K136" s="536"/>
      <c r="L136" s="536"/>
      <c r="M136" s="536"/>
      <c r="O136" s="523"/>
      <c r="P136" s="524"/>
      <c r="Q136" s="536"/>
      <c r="R136" s="536"/>
      <c r="S136" s="536"/>
      <c r="T136" s="536"/>
      <c r="U136" s="524"/>
      <c r="V136" s="536"/>
      <c r="W136" s="536"/>
      <c r="X136" s="536"/>
      <c r="Y136" s="536"/>
    </row>
    <row r="137" spans="3:25" ht="15">
      <c r="C137" s="581" t="s">
        <v>602</v>
      </c>
      <c r="D137" s="543"/>
      <c r="E137" s="543">
        <f>SUM(E128:E135)</f>
        <v>1439.1771655962661</v>
      </c>
      <c r="F137" s="543">
        <f t="shared" ref="F137:M137" si="16">SUM(F128:F135)</f>
        <v>1434.9203769473563</v>
      </c>
      <c r="G137" s="543">
        <f t="shared" si="16"/>
        <v>1379.607361830512</v>
      </c>
      <c r="H137" s="543">
        <f t="shared" si="16"/>
        <v>1312.3040916461698</v>
      </c>
      <c r="I137" s="543"/>
      <c r="J137" s="543">
        <f t="shared" si="16"/>
        <v>7406533.677812309</v>
      </c>
      <c r="K137" s="543">
        <f t="shared" si="16"/>
        <v>7389175.1401364729</v>
      </c>
      <c r="L137" s="543">
        <f t="shared" si="16"/>
        <v>7167818.0463446369</v>
      </c>
      <c r="M137" s="543">
        <f t="shared" si="16"/>
        <v>6840526.738331317</v>
      </c>
      <c r="N137" s="332"/>
      <c r="O137" s="581" t="s">
        <v>602</v>
      </c>
      <c r="P137" s="543"/>
      <c r="Q137" s="543">
        <f>SUM(Q128:Q135)</f>
        <v>245.237589644</v>
      </c>
      <c r="R137" s="543">
        <f>SUM(R128:R135)</f>
        <v>242.44236451</v>
      </c>
      <c r="S137" s="543">
        <f>SUM(S128:S135)</f>
        <v>225.42723189400002</v>
      </c>
      <c r="T137" s="543">
        <f>SUM(T128:T135)</f>
        <v>209.671230546</v>
      </c>
      <c r="U137" s="543"/>
      <c r="V137" s="543">
        <f>SUM(V128:V135)</f>
        <v>1410297.8907745969</v>
      </c>
      <c r="W137" s="543">
        <f>SUM(W128:W135)</f>
        <v>1400214.8313584491</v>
      </c>
      <c r="X137" s="543">
        <f>SUM(X128:X135)</f>
        <v>1347748.539286959</v>
      </c>
      <c r="Y137" s="543">
        <f>SUM(Y128:Y135)</f>
        <v>1271067.398076833</v>
      </c>
    </row>
    <row r="138" spans="3:25">
      <c r="C138" s="523"/>
      <c r="D138" s="524"/>
      <c r="E138" s="524"/>
      <c r="F138" s="524"/>
      <c r="G138" s="524"/>
      <c r="H138" s="524"/>
      <c r="I138" s="524"/>
      <c r="J138" s="524"/>
      <c r="K138" s="524"/>
      <c r="L138" s="524"/>
      <c r="M138" s="524"/>
      <c r="O138" s="523"/>
      <c r="P138" s="524"/>
      <c r="Q138" s="524"/>
      <c r="R138" s="524"/>
      <c r="S138" s="524"/>
      <c r="T138" s="524"/>
      <c r="U138" s="524"/>
      <c r="V138" s="524"/>
      <c r="W138" s="524"/>
      <c r="X138" s="524"/>
      <c r="Y138" s="524"/>
    </row>
    <row r="139" spans="3:25" ht="15">
      <c r="C139" s="525" t="s">
        <v>11</v>
      </c>
      <c r="D139" s="525"/>
      <c r="E139" s="525"/>
      <c r="F139" s="525"/>
      <c r="G139" s="525"/>
      <c r="H139" s="525"/>
      <c r="I139" s="525"/>
      <c r="J139" s="525"/>
      <c r="K139" s="525"/>
      <c r="L139" s="525"/>
      <c r="M139" s="525"/>
      <c r="O139" s="525" t="s">
        <v>11</v>
      </c>
      <c r="P139" s="525"/>
      <c r="Q139" s="525"/>
      <c r="R139" s="525"/>
      <c r="S139" s="525"/>
      <c r="T139" s="525"/>
      <c r="U139" s="525"/>
      <c r="V139" s="525"/>
      <c r="W139" s="525"/>
      <c r="X139" s="525"/>
      <c r="Y139" s="525"/>
    </row>
    <row r="140" spans="3:25" ht="28.5">
      <c r="C140" s="523" t="s">
        <v>12</v>
      </c>
      <c r="D140" s="524"/>
      <c r="E140" s="536" t="s">
        <v>582</v>
      </c>
      <c r="F140" s="536" t="s">
        <v>582</v>
      </c>
      <c r="G140" s="536" t="s">
        <v>582</v>
      </c>
      <c r="H140" s="536" t="s">
        <v>582</v>
      </c>
      <c r="I140" s="524"/>
      <c r="J140" s="536" t="s">
        <v>582</v>
      </c>
      <c r="K140" s="536" t="s">
        <v>582</v>
      </c>
      <c r="L140" s="536" t="s">
        <v>582</v>
      </c>
      <c r="M140" s="536" t="s">
        <v>582</v>
      </c>
      <c r="O140" s="568" t="s">
        <v>12</v>
      </c>
      <c r="P140" s="524"/>
      <c r="Q140" s="536">
        <v>0</v>
      </c>
      <c r="R140" s="536">
        <v>0</v>
      </c>
      <c r="S140" s="536">
        <v>0</v>
      </c>
      <c r="T140" s="536">
        <v>0</v>
      </c>
      <c r="U140" s="524"/>
      <c r="V140" s="536">
        <v>0</v>
      </c>
      <c r="W140" s="536">
        <v>0</v>
      </c>
      <c r="X140" s="536">
        <v>0</v>
      </c>
      <c r="Y140" s="536">
        <v>0</v>
      </c>
    </row>
    <row r="141" spans="3:25">
      <c r="C141" s="523" t="s">
        <v>13</v>
      </c>
      <c r="D141" s="524"/>
      <c r="E141" s="536" t="s">
        <v>582</v>
      </c>
      <c r="F141" s="536" t="s">
        <v>582</v>
      </c>
      <c r="G141" s="536" t="s">
        <v>582</v>
      </c>
      <c r="H141" s="536" t="s">
        <v>582</v>
      </c>
      <c r="I141" s="524"/>
      <c r="J141" s="536" t="s">
        <v>582</v>
      </c>
      <c r="K141" s="536" t="s">
        <v>582</v>
      </c>
      <c r="L141" s="536" t="s">
        <v>582</v>
      </c>
      <c r="M141" s="536" t="s">
        <v>582</v>
      </c>
      <c r="O141" s="568" t="s">
        <v>13</v>
      </c>
      <c r="P141" s="524"/>
      <c r="Q141" s="536">
        <v>0</v>
      </c>
      <c r="R141" s="536">
        <v>0</v>
      </c>
      <c r="S141" s="536">
        <v>0</v>
      </c>
      <c r="T141" s="536">
        <v>0</v>
      </c>
      <c r="U141" s="524"/>
      <c r="V141" s="536">
        <v>0</v>
      </c>
      <c r="W141" s="536">
        <v>0</v>
      </c>
      <c r="X141" s="536">
        <v>0</v>
      </c>
      <c r="Y141" s="536">
        <v>0</v>
      </c>
    </row>
    <row r="142" spans="3:25">
      <c r="C142" s="523" t="s">
        <v>14</v>
      </c>
      <c r="D142" s="524"/>
      <c r="E142" s="536" t="s">
        <v>582</v>
      </c>
      <c r="F142" s="536" t="s">
        <v>582</v>
      </c>
      <c r="G142" s="536" t="s">
        <v>582</v>
      </c>
      <c r="H142" s="536" t="s">
        <v>582</v>
      </c>
      <c r="I142" s="524"/>
      <c r="J142" s="536" t="s">
        <v>582</v>
      </c>
      <c r="K142" s="536" t="s">
        <v>582</v>
      </c>
      <c r="L142" s="536" t="s">
        <v>582</v>
      </c>
      <c r="M142" s="536" t="s">
        <v>582</v>
      </c>
      <c r="O142" s="568" t="s">
        <v>14</v>
      </c>
      <c r="P142" s="524"/>
      <c r="Q142" s="536">
        <v>0</v>
      </c>
      <c r="R142" s="536">
        <v>0</v>
      </c>
      <c r="S142" s="536">
        <v>0</v>
      </c>
      <c r="T142" s="536">
        <v>0</v>
      </c>
      <c r="U142" s="524"/>
      <c r="V142" s="536">
        <v>0</v>
      </c>
      <c r="W142" s="536">
        <v>0</v>
      </c>
      <c r="X142" s="536">
        <v>0</v>
      </c>
      <c r="Y142" s="536">
        <v>0</v>
      </c>
    </row>
    <row r="143" spans="3:25">
      <c r="C143" s="523" t="s">
        <v>27</v>
      </c>
      <c r="D143" s="524"/>
      <c r="E143" s="536" t="s">
        <v>582</v>
      </c>
      <c r="F143" s="536" t="s">
        <v>582</v>
      </c>
      <c r="G143" s="536" t="s">
        <v>582</v>
      </c>
      <c r="H143" s="536" t="s">
        <v>582</v>
      </c>
      <c r="I143" s="524"/>
      <c r="J143" s="536" t="s">
        <v>582</v>
      </c>
      <c r="K143" s="536" t="s">
        <v>582</v>
      </c>
      <c r="L143" s="536" t="s">
        <v>582</v>
      </c>
      <c r="M143" s="536" t="s">
        <v>582</v>
      </c>
      <c r="O143" s="568" t="s">
        <v>27</v>
      </c>
      <c r="P143" s="524"/>
      <c r="Q143" s="536">
        <v>0</v>
      </c>
      <c r="R143" s="536">
        <v>0</v>
      </c>
      <c r="S143" s="536">
        <v>0</v>
      </c>
      <c r="T143" s="536">
        <v>0</v>
      </c>
      <c r="U143" s="524"/>
      <c r="V143" s="536">
        <v>0</v>
      </c>
      <c r="W143" s="536">
        <v>0</v>
      </c>
      <c r="X143" s="536">
        <v>0</v>
      </c>
      <c r="Y143" s="536">
        <v>0</v>
      </c>
    </row>
    <row r="144" spans="3:25">
      <c r="C144" s="523" t="s">
        <v>10</v>
      </c>
      <c r="D144" s="524"/>
      <c r="E144" s="536">
        <v>0</v>
      </c>
      <c r="F144" s="536">
        <v>0</v>
      </c>
      <c r="G144" s="536">
        <v>0</v>
      </c>
      <c r="H144" s="536">
        <v>0</v>
      </c>
      <c r="I144" s="524"/>
      <c r="J144" s="536">
        <v>0</v>
      </c>
      <c r="K144" s="536">
        <v>0</v>
      </c>
      <c r="L144" s="536">
        <v>0</v>
      </c>
      <c r="M144" s="536">
        <v>0</v>
      </c>
      <c r="O144" s="568" t="s">
        <v>10</v>
      </c>
      <c r="P144" s="524"/>
      <c r="Q144" s="536">
        <v>0</v>
      </c>
      <c r="R144" s="536">
        <v>0</v>
      </c>
      <c r="S144" s="536">
        <v>0</v>
      </c>
      <c r="T144" s="536">
        <v>0</v>
      </c>
      <c r="U144" s="524"/>
      <c r="V144" s="536">
        <v>0</v>
      </c>
      <c r="W144" s="536">
        <v>0</v>
      </c>
      <c r="X144" s="536">
        <v>0</v>
      </c>
      <c r="Y144" s="536">
        <v>0</v>
      </c>
    </row>
    <row r="145" spans="3:25" ht="28.5" hidden="1">
      <c r="C145" s="557" t="s">
        <v>515</v>
      </c>
      <c r="D145" s="524"/>
      <c r="E145" s="536"/>
      <c r="F145" s="536"/>
      <c r="G145" s="536"/>
      <c r="H145" s="536"/>
      <c r="I145" s="524"/>
      <c r="J145" s="536"/>
      <c r="K145" s="536"/>
      <c r="L145" s="536"/>
      <c r="M145" s="536"/>
      <c r="O145" s="523"/>
      <c r="P145" s="524"/>
      <c r="Q145" s="536"/>
      <c r="R145" s="536"/>
      <c r="S145" s="536"/>
      <c r="T145" s="536"/>
      <c r="U145" s="524"/>
      <c r="V145" s="536"/>
      <c r="W145" s="536"/>
      <c r="X145" s="536"/>
      <c r="Y145" s="536"/>
    </row>
    <row r="146" spans="3:25" ht="15">
      <c r="C146" s="581" t="s">
        <v>603</v>
      </c>
      <c r="D146" s="543"/>
      <c r="E146" s="543">
        <f>SUM(E140:E144)</f>
        <v>0</v>
      </c>
      <c r="F146" s="543">
        <f t="shared" ref="F146:M146" si="17">SUM(F140:F144)</f>
        <v>0</v>
      </c>
      <c r="G146" s="543">
        <f t="shared" si="17"/>
        <v>0</v>
      </c>
      <c r="H146" s="543">
        <f t="shared" si="17"/>
        <v>0</v>
      </c>
      <c r="I146" s="543"/>
      <c r="J146" s="543">
        <f t="shared" si="17"/>
        <v>0</v>
      </c>
      <c r="K146" s="543">
        <f t="shared" si="17"/>
        <v>0</v>
      </c>
      <c r="L146" s="543">
        <f t="shared" si="17"/>
        <v>0</v>
      </c>
      <c r="M146" s="543">
        <f t="shared" si="17"/>
        <v>0</v>
      </c>
      <c r="N146" s="332"/>
      <c r="O146" s="581" t="s">
        <v>603</v>
      </c>
      <c r="P146" s="543"/>
      <c r="Q146" s="543">
        <f>SUM(Q140:Q144)</f>
        <v>0</v>
      </c>
      <c r="R146" s="543">
        <f>SUM(R140:R144)</f>
        <v>0</v>
      </c>
      <c r="S146" s="543">
        <f>SUM(S140:S144)</f>
        <v>0</v>
      </c>
      <c r="T146" s="543">
        <f>SUM(T140:T144)</f>
        <v>0</v>
      </c>
      <c r="U146" s="543"/>
      <c r="V146" s="543">
        <f>SUM(V140:V144)</f>
        <v>0</v>
      </c>
      <c r="W146" s="543">
        <f>SUM(W140:W144)</f>
        <v>0</v>
      </c>
      <c r="X146" s="543">
        <f>SUM(X140:X144)</f>
        <v>0</v>
      </c>
      <c r="Y146" s="543">
        <f>SUM(Y140:Y144)</f>
        <v>0</v>
      </c>
    </row>
    <row r="147" spans="3:25" ht="28.5" hidden="1">
      <c r="C147" s="557" t="s">
        <v>515</v>
      </c>
      <c r="D147" s="524"/>
      <c r="E147" s="536"/>
      <c r="F147" s="536"/>
      <c r="G147" s="536"/>
      <c r="H147" s="536"/>
      <c r="I147" s="536"/>
      <c r="J147" s="536"/>
      <c r="K147" s="536"/>
      <c r="L147" s="536"/>
      <c r="M147" s="536"/>
      <c r="O147" s="523"/>
      <c r="P147" s="524"/>
      <c r="Q147" s="536"/>
      <c r="R147" s="536"/>
      <c r="S147" s="536"/>
      <c r="T147" s="536"/>
      <c r="U147" s="524"/>
      <c r="V147" s="536"/>
      <c r="W147" s="536"/>
      <c r="X147" s="536"/>
      <c r="Y147" s="536"/>
    </row>
    <row r="148" spans="3:25">
      <c r="C148" s="523"/>
      <c r="D148" s="524"/>
      <c r="E148" s="524"/>
      <c r="F148" s="524"/>
      <c r="G148" s="524"/>
      <c r="H148" s="524"/>
      <c r="I148" s="524"/>
      <c r="J148" s="524"/>
      <c r="K148" s="524"/>
      <c r="L148" s="524"/>
      <c r="M148" s="524"/>
      <c r="O148" s="523"/>
      <c r="P148" s="524"/>
      <c r="Q148" s="524"/>
      <c r="R148" s="524"/>
      <c r="S148" s="524"/>
      <c r="T148" s="524"/>
      <c r="U148" s="524"/>
      <c r="V148" s="524"/>
      <c r="W148" s="524"/>
      <c r="X148" s="524"/>
      <c r="Y148" s="524"/>
    </row>
    <row r="149" spans="3:25" ht="15">
      <c r="C149" s="525" t="s">
        <v>15</v>
      </c>
      <c r="D149" s="525"/>
      <c r="E149" s="525"/>
      <c r="F149" s="525"/>
      <c r="G149" s="525"/>
      <c r="H149" s="525"/>
      <c r="I149" s="525"/>
      <c r="J149" s="525"/>
      <c r="K149" s="525"/>
      <c r="L149" s="525"/>
      <c r="M149" s="525"/>
      <c r="O149" s="525" t="s">
        <v>15</v>
      </c>
      <c r="P149" s="525"/>
      <c r="Q149" s="525"/>
      <c r="R149" s="525"/>
      <c r="S149" s="525"/>
      <c r="T149" s="525"/>
      <c r="U149" s="525"/>
      <c r="V149" s="525"/>
      <c r="W149" s="525"/>
      <c r="X149" s="525"/>
      <c r="Y149" s="525"/>
    </row>
    <row r="150" spans="3:25" ht="28.5">
      <c r="C150" s="523" t="s">
        <v>15</v>
      </c>
      <c r="D150" s="524"/>
      <c r="E150" s="536">
        <v>0.41992458049207926</v>
      </c>
      <c r="F150" s="536">
        <v>0.41992458049207926</v>
      </c>
      <c r="G150" s="536">
        <v>0.41992458049207926</v>
      </c>
      <c r="H150" s="536">
        <v>0.41992458049207926</v>
      </c>
      <c r="I150" s="524"/>
      <c r="J150" s="536">
        <v>5138.731201171875</v>
      </c>
      <c r="K150" s="536">
        <v>5138.731201171875</v>
      </c>
      <c r="L150" s="536">
        <v>5094.731201171875</v>
      </c>
      <c r="M150" s="536">
        <v>5094.731201171875</v>
      </c>
      <c r="O150" s="568" t="s">
        <v>15</v>
      </c>
      <c r="P150" s="524"/>
      <c r="Q150" s="536">
        <v>4.48E-2</v>
      </c>
      <c r="R150" s="536">
        <v>4.48E-2</v>
      </c>
      <c r="S150" s="536">
        <v>4.48E-2</v>
      </c>
      <c r="T150" s="536">
        <v>4.0025532000000003E-2</v>
      </c>
      <c r="U150" s="524"/>
      <c r="V150" s="536">
        <v>658</v>
      </c>
      <c r="W150" s="536">
        <v>658</v>
      </c>
      <c r="X150" s="536">
        <v>658</v>
      </c>
      <c r="Y150" s="536">
        <v>566.48934940000004</v>
      </c>
    </row>
    <row r="151" spans="3:25" ht="28.5" hidden="1">
      <c r="C151" s="557" t="s">
        <v>515</v>
      </c>
      <c r="D151" s="524"/>
      <c r="E151" s="536"/>
      <c r="F151" s="536"/>
      <c r="G151" s="536"/>
      <c r="H151" s="536"/>
      <c r="I151" s="524"/>
      <c r="J151" s="536"/>
      <c r="K151" s="536"/>
      <c r="L151" s="536"/>
      <c r="M151" s="536"/>
      <c r="O151" s="523"/>
      <c r="P151" s="524"/>
      <c r="Q151" s="536"/>
      <c r="R151" s="536"/>
      <c r="S151" s="536"/>
      <c r="T151" s="536"/>
      <c r="U151" s="524"/>
      <c r="V151" s="536"/>
      <c r="W151" s="536"/>
      <c r="X151" s="536"/>
      <c r="Y151" s="536"/>
    </row>
    <row r="152" spans="3:25" ht="30">
      <c r="C152" s="581" t="s">
        <v>604</v>
      </c>
      <c r="D152" s="543"/>
      <c r="E152" s="543">
        <f>E150</f>
        <v>0.41992458049207926</v>
      </c>
      <c r="F152" s="543">
        <f>F150</f>
        <v>0.41992458049207926</v>
      </c>
      <c r="G152" s="543">
        <f>G150</f>
        <v>0.41992458049207926</v>
      </c>
      <c r="H152" s="543">
        <f>H150</f>
        <v>0.41992458049207926</v>
      </c>
      <c r="I152" s="543"/>
      <c r="J152" s="543">
        <f>J150</f>
        <v>5138.731201171875</v>
      </c>
      <c r="K152" s="543">
        <f>K150</f>
        <v>5138.731201171875</v>
      </c>
      <c r="L152" s="543">
        <f>L150</f>
        <v>5094.731201171875</v>
      </c>
      <c r="M152" s="543">
        <f>M150</f>
        <v>5094.731201171875</v>
      </c>
      <c r="N152" s="332"/>
      <c r="O152" s="581" t="s">
        <v>604</v>
      </c>
      <c r="P152" s="543"/>
      <c r="Q152" s="543">
        <f>Q150</f>
        <v>4.48E-2</v>
      </c>
      <c r="R152" s="543">
        <f>R150</f>
        <v>4.48E-2</v>
      </c>
      <c r="S152" s="543">
        <f>S150</f>
        <v>4.48E-2</v>
      </c>
      <c r="T152" s="543">
        <f>T150</f>
        <v>4.0025532000000003E-2</v>
      </c>
      <c r="U152" s="543"/>
      <c r="V152" s="543">
        <f>V150</f>
        <v>658</v>
      </c>
      <c r="W152" s="543">
        <f>W150</f>
        <v>658</v>
      </c>
      <c r="X152" s="543">
        <f>X150</f>
        <v>658</v>
      </c>
      <c r="Y152" s="543">
        <f>Y150</f>
        <v>566.48934940000004</v>
      </c>
    </row>
    <row r="153" spans="3:25">
      <c r="C153" s="523"/>
      <c r="D153" s="524"/>
      <c r="E153" s="524"/>
      <c r="F153" s="524"/>
      <c r="G153" s="524"/>
      <c r="H153" s="524"/>
      <c r="I153" s="524"/>
      <c r="J153" s="524"/>
      <c r="K153" s="524"/>
      <c r="L153" s="524"/>
      <c r="M153" s="524"/>
      <c r="O153" s="523"/>
      <c r="P153" s="524"/>
      <c r="Q153" s="524"/>
      <c r="R153" s="524"/>
      <c r="S153" s="524"/>
      <c r="T153" s="524"/>
      <c r="U153" s="524"/>
      <c r="V153" s="524"/>
      <c r="W153" s="524"/>
      <c r="X153" s="524"/>
      <c r="Y153" s="524"/>
    </row>
    <row r="154" spans="3:25" ht="15">
      <c r="C154" s="525" t="s">
        <v>16</v>
      </c>
      <c r="D154" s="525"/>
      <c r="E154" s="525"/>
      <c r="F154" s="525"/>
      <c r="G154" s="525"/>
      <c r="H154" s="525"/>
      <c r="I154" s="525"/>
      <c r="J154" s="525"/>
      <c r="K154" s="525"/>
      <c r="L154" s="525"/>
      <c r="M154" s="525"/>
      <c r="O154" s="525" t="s">
        <v>16</v>
      </c>
      <c r="P154" s="525"/>
      <c r="Q154" s="525"/>
      <c r="R154" s="525"/>
      <c r="S154" s="525"/>
      <c r="T154" s="525"/>
      <c r="U154" s="525"/>
      <c r="V154" s="525"/>
      <c r="W154" s="525"/>
      <c r="X154" s="525"/>
      <c r="Y154" s="525"/>
    </row>
    <row r="155" spans="3:25" ht="28.5">
      <c r="C155" s="523" t="s">
        <v>17</v>
      </c>
      <c r="D155" s="524"/>
      <c r="E155" s="536" t="s">
        <v>582</v>
      </c>
      <c r="F155" s="536" t="s">
        <v>582</v>
      </c>
      <c r="G155" s="536" t="s">
        <v>582</v>
      </c>
      <c r="H155" s="536" t="s">
        <v>582</v>
      </c>
      <c r="I155" s="524"/>
      <c r="J155" s="536" t="s">
        <v>582</v>
      </c>
      <c r="K155" s="536" t="s">
        <v>582</v>
      </c>
      <c r="L155" s="536" t="s">
        <v>582</v>
      </c>
      <c r="M155" s="536" t="s">
        <v>582</v>
      </c>
      <c r="O155" s="568" t="s">
        <v>17</v>
      </c>
      <c r="P155" s="524"/>
      <c r="Q155" s="536">
        <v>0</v>
      </c>
      <c r="R155" s="536">
        <v>0</v>
      </c>
      <c r="S155" s="536">
        <v>0</v>
      </c>
      <c r="T155" s="536">
        <v>0</v>
      </c>
      <c r="U155" s="524"/>
      <c r="V155" s="536">
        <v>0</v>
      </c>
      <c r="W155" s="536">
        <v>0</v>
      </c>
      <c r="X155" s="536">
        <v>0</v>
      </c>
      <c r="Y155" s="536">
        <v>0</v>
      </c>
    </row>
    <row r="156" spans="3:25" ht="28.5">
      <c r="C156" s="523" t="s">
        <v>18</v>
      </c>
      <c r="D156" s="524"/>
      <c r="E156" s="536">
        <v>2.6583271713824193</v>
      </c>
      <c r="F156" s="536">
        <v>2.6583271713824193</v>
      </c>
      <c r="G156" s="536">
        <v>2.6583271713824193</v>
      </c>
      <c r="H156" s="536">
        <v>2.6583271713824193</v>
      </c>
      <c r="I156" s="524"/>
      <c r="J156" s="536">
        <v>2575.4838162140727</v>
      </c>
      <c r="K156" s="536">
        <v>2575.4838162140727</v>
      </c>
      <c r="L156" s="536">
        <v>2575.4838162140727</v>
      </c>
      <c r="M156" s="536">
        <v>2575.4838162140727</v>
      </c>
      <c r="O156" s="568" t="s">
        <v>18</v>
      </c>
      <c r="P156" s="524"/>
      <c r="Q156" s="536">
        <v>0</v>
      </c>
      <c r="R156" s="536">
        <v>0</v>
      </c>
      <c r="S156" s="536">
        <v>0</v>
      </c>
      <c r="T156" s="536">
        <v>0</v>
      </c>
      <c r="U156" s="524"/>
      <c r="V156" s="536">
        <v>0</v>
      </c>
      <c r="W156" s="536">
        <v>0</v>
      </c>
      <c r="X156" s="536">
        <v>0</v>
      </c>
      <c r="Y156" s="536">
        <v>0</v>
      </c>
    </row>
    <row r="157" spans="3:25">
      <c r="C157" s="523" t="s">
        <v>19</v>
      </c>
      <c r="D157" s="524"/>
      <c r="E157" s="536">
        <v>0</v>
      </c>
      <c r="F157" s="536">
        <v>0</v>
      </c>
      <c r="G157" s="536">
        <v>0</v>
      </c>
      <c r="H157" s="536">
        <v>0</v>
      </c>
      <c r="I157" s="524"/>
      <c r="J157" s="536">
        <v>0</v>
      </c>
      <c r="K157" s="536">
        <v>0</v>
      </c>
      <c r="L157" s="536">
        <v>0</v>
      </c>
      <c r="M157" s="536">
        <v>0</v>
      </c>
      <c r="O157" s="568" t="s">
        <v>19</v>
      </c>
      <c r="P157" s="524"/>
      <c r="Q157" s="536">
        <v>0</v>
      </c>
      <c r="R157" s="536">
        <v>0</v>
      </c>
      <c r="S157" s="536">
        <v>0</v>
      </c>
      <c r="T157" s="536">
        <v>0</v>
      </c>
      <c r="U157" s="524"/>
      <c r="V157" s="536">
        <v>0</v>
      </c>
      <c r="W157" s="536">
        <v>0</v>
      </c>
      <c r="X157" s="536">
        <v>0</v>
      </c>
      <c r="Y157" s="536">
        <v>0</v>
      </c>
    </row>
    <row r="158" spans="3:25" ht="28.5">
      <c r="C158" s="523" t="s">
        <v>20</v>
      </c>
      <c r="D158" s="524"/>
      <c r="E158" s="536">
        <v>0</v>
      </c>
      <c r="F158" s="536">
        <v>0</v>
      </c>
      <c r="G158" s="536">
        <v>0</v>
      </c>
      <c r="H158" s="536">
        <v>0</v>
      </c>
      <c r="I158" s="524"/>
      <c r="J158" s="536">
        <v>0</v>
      </c>
      <c r="K158" s="536">
        <v>0</v>
      </c>
      <c r="L158" s="536">
        <v>0</v>
      </c>
      <c r="M158" s="536">
        <v>0</v>
      </c>
      <c r="O158" s="568" t="s">
        <v>20</v>
      </c>
      <c r="P158" s="524"/>
      <c r="Q158" s="536">
        <v>0</v>
      </c>
      <c r="R158" s="536">
        <v>0</v>
      </c>
      <c r="S158" s="536">
        <v>0</v>
      </c>
      <c r="T158" s="536">
        <v>0</v>
      </c>
      <c r="U158" s="524"/>
      <c r="V158" s="536">
        <v>0</v>
      </c>
      <c r="W158" s="536">
        <v>0</v>
      </c>
      <c r="X158" s="536">
        <v>0</v>
      </c>
      <c r="Y158" s="536">
        <v>0</v>
      </c>
    </row>
    <row r="159" spans="3:25">
      <c r="C159" s="523" t="s">
        <v>105</v>
      </c>
      <c r="D159" s="524"/>
      <c r="E159" s="536">
        <v>0</v>
      </c>
      <c r="F159" s="536">
        <v>0</v>
      </c>
      <c r="G159" s="536">
        <v>0</v>
      </c>
      <c r="H159" s="536">
        <v>0</v>
      </c>
      <c r="I159" s="524"/>
      <c r="J159" s="536">
        <v>0</v>
      </c>
      <c r="K159" s="536">
        <v>0</v>
      </c>
      <c r="L159" s="536">
        <v>0</v>
      </c>
      <c r="M159" s="536">
        <v>0</v>
      </c>
      <c r="O159" s="568" t="s">
        <v>105</v>
      </c>
      <c r="P159" s="524"/>
      <c r="Q159" s="536">
        <v>0</v>
      </c>
      <c r="R159" s="536">
        <v>0</v>
      </c>
      <c r="S159" s="536">
        <v>0</v>
      </c>
      <c r="T159" s="536">
        <v>0</v>
      </c>
      <c r="U159" s="524"/>
      <c r="V159" s="536">
        <v>0</v>
      </c>
      <c r="W159" s="536">
        <v>0</v>
      </c>
      <c r="X159" s="536">
        <v>0</v>
      </c>
      <c r="Y159" s="536">
        <v>0</v>
      </c>
    </row>
    <row r="160" spans="3:25" ht="28.5" hidden="1">
      <c r="C160" s="557" t="s">
        <v>515</v>
      </c>
      <c r="D160" s="524"/>
      <c r="E160" s="536"/>
      <c r="F160" s="536"/>
      <c r="G160" s="536"/>
      <c r="H160" s="536"/>
      <c r="I160" s="524"/>
      <c r="J160" s="536"/>
      <c r="K160" s="536"/>
      <c r="L160" s="536"/>
      <c r="M160" s="536"/>
      <c r="O160" s="523"/>
      <c r="P160" s="524"/>
      <c r="Q160" s="536"/>
      <c r="R160" s="536"/>
      <c r="S160" s="536"/>
      <c r="T160" s="536"/>
      <c r="U160" s="524"/>
      <c r="V160" s="536"/>
      <c r="W160" s="536"/>
      <c r="X160" s="536"/>
      <c r="Y160" s="536"/>
    </row>
    <row r="161" spans="3:25" ht="30">
      <c r="C161" s="581" t="s">
        <v>605</v>
      </c>
      <c r="D161" s="543"/>
      <c r="E161" s="543">
        <f>SUM(E155:E159)</f>
        <v>2.6583271713824193</v>
      </c>
      <c r="F161" s="543">
        <f t="shared" ref="F161:M161" si="18">SUM(F155:F159)</f>
        <v>2.6583271713824193</v>
      </c>
      <c r="G161" s="543">
        <f t="shared" si="18"/>
        <v>2.6583271713824193</v>
      </c>
      <c r="H161" s="543">
        <f t="shared" si="18"/>
        <v>2.6583271713824193</v>
      </c>
      <c r="I161" s="543"/>
      <c r="J161" s="543">
        <f t="shared" si="18"/>
        <v>2575.4838162140727</v>
      </c>
      <c r="K161" s="543">
        <f t="shared" si="18"/>
        <v>2575.4838162140727</v>
      </c>
      <c r="L161" s="543">
        <f t="shared" si="18"/>
        <v>2575.4838162140727</v>
      </c>
      <c r="M161" s="543">
        <f t="shared" si="18"/>
        <v>2575.4838162140727</v>
      </c>
      <c r="N161" s="332"/>
      <c r="O161" s="581" t="s">
        <v>16</v>
      </c>
      <c r="P161" s="543"/>
      <c r="Q161" s="543">
        <f>SUM(Q155:Q159)</f>
        <v>0</v>
      </c>
      <c r="R161" s="543">
        <f>SUM(R155:R159)</f>
        <v>0</v>
      </c>
      <c r="S161" s="543">
        <f>SUM(S155:S159)</f>
        <v>0</v>
      </c>
      <c r="T161" s="543">
        <f>SUM(T155:T159)</f>
        <v>0</v>
      </c>
      <c r="U161" s="543"/>
      <c r="V161" s="543">
        <f>SUM(V155:V159)</f>
        <v>0</v>
      </c>
      <c r="W161" s="543">
        <f>SUM(W155:W159)</f>
        <v>0</v>
      </c>
      <c r="X161" s="543">
        <f>SUM(X155:X159)</f>
        <v>0</v>
      </c>
      <c r="Y161" s="543">
        <f>SUM(Y155:Y159)</f>
        <v>0</v>
      </c>
    </row>
    <row r="162" spans="3:25" ht="28.5" hidden="1">
      <c r="C162" s="557" t="s">
        <v>515</v>
      </c>
      <c r="D162" s="155"/>
      <c r="E162" s="500"/>
      <c r="F162" s="500"/>
      <c r="G162" s="500"/>
      <c r="H162" s="500"/>
      <c r="I162" s="500"/>
      <c r="J162" s="500"/>
      <c r="K162" s="500"/>
      <c r="L162" s="500"/>
      <c r="M162" s="500"/>
      <c r="O162" s="523"/>
      <c r="P162" s="155"/>
      <c r="Q162" s="500"/>
      <c r="R162" s="500"/>
      <c r="S162" s="500"/>
      <c r="T162" s="500"/>
      <c r="U162" s="155"/>
      <c r="V162" s="500"/>
      <c r="W162" s="500"/>
      <c r="X162" s="500"/>
      <c r="Y162" s="500"/>
    </row>
    <row r="163" spans="3:25">
      <c r="C163" s="523"/>
      <c r="D163" s="155"/>
      <c r="E163" s="500"/>
      <c r="F163" s="500"/>
      <c r="G163" s="500"/>
      <c r="H163" s="500"/>
      <c r="I163" s="500"/>
      <c r="J163" s="500"/>
      <c r="K163" s="500"/>
      <c r="L163" s="500"/>
      <c r="M163" s="500"/>
      <c r="O163" s="523"/>
      <c r="P163" s="155"/>
      <c r="Q163" s="500"/>
      <c r="R163" s="500"/>
      <c r="S163" s="500"/>
      <c r="T163" s="500"/>
      <c r="U163" s="155"/>
      <c r="V163" s="500"/>
      <c r="W163" s="500"/>
      <c r="X163" s="500"/>
      <c r="Y163" s="500"/>
    </row>
    <row r="164" spans="3:25" ht="15">
      <c r="C164" s="525" t="s">
        <v>106</v>
      </c>
      <c r="D164" s="525"/>
      <c r="E164" s="525"/>
      <c r="F164" s="525"/>
      <c r="G164" s="525"/>
      <c r="H164" s="525"/>
      <c r="I164" s="525"/>
      <c r="J164" s="525"/>
      <c r="K164" s="525"/>
      <c r="L164" s="525"/>
      <c r="M164" s="525"/>
      <c r="O164" s="525" t="s">
        <v>106</v>
      </c>
      <c r="P164" s="525"/>
      <c r="Q164" s="525"/>
      <c r="R164" s="525"/>
      <c r="S164" s="525"/>
      <c r="T164" s="525"/>
      <c r="U164" s="525"/>
      <c r="V164" s="525"/>
      <c r="W164" s="525"/>
      <c r="X164" s="525"/>
      <c r="Y164" s="525"/>
    </row>
    <row r="165" spans="3:25">
      <c r="C165" s="523" t="s">
        <v>108</v>
      </c>
      <c r="D165" s="536"/>
      <c r="E165" s="536">
        <v>0</v>
      </c>
      <c r="F165" s="536">
        <v>0</v>
      </c>
      <c r="G165" s="536">
        <v>0</v>
      </c>
      <c r="H165" s="536">
        <v>0</v>
      </c>
      <c r="I165" s="524"/>
      <c r="J165" s="536">
        <v>0</v>
      </c>
      <c r="K165" s="536">
        <v>0</v>
      </c>
      <c r="L165" s="536">
        <v>0</v>
      </c>
      <c r="M165" s="536">
        <v>0</v>
      </c>
      <c r="O165" s="568" t="s">
        <v>108</v>
      </c>
      <c r="P165" s="536"/>
      <c r="Q165" s="536">
        <v>0</v>
      </c>
      <c r="R165" s="536">
        <v>0</v>
      </c>
      <c r="S165" s="536">
        <v>0</v>
      </c>
      <c r="T165" s="536">
        <v>0</v>
      </c>
      <c r="U165" s="536"/>
      <c r="V165" s="536">
        <v>0</v>
      </c>
      <c r="W165" s="536">
        <v>0</v>
      </c>
      <c r="X165" s="536">
        <v>0</v>
      </c>
      <c r="Y165" s="536">
        <v>0</v>
      </c>
    </row>
    <row r="166" spans="3:25">
      <c r="C166" s="523" t="s">
        <v>107</v>
      </c>
      <c r="D166" s="536"/>
      <c r="E166" s="536">
        <v>0</v>
      </c>
      <c r="F166" s="536">
        <v>0</v>
      </c>
      <c r="G166" s="536">
        <v>0</v>
      </c>
      <c r="H166" s="536">
        <v>0</v>
      </c>
      <c r="I166" s="524"/>
      <c r="J166" s="536">
        <v>0</v>
      </c>
      <c r="K166" s="536">
        <v>0</v>
      </c>
      <c r="L166" s="536">
        <v>0</v>
      </c>
      <c r="M166" s="536">
        <v>0</v>
      </c>
      <c r="O166" s="568" t="s">
        <v>107</v>
      </c>
      <c r="P166" s="536"/>
      <c r="Q166" s="536">
        <v>0</v>
      </c>
      <c r="R166" s="536">
        <v>0</v>
      </c>
      <c r="S166" s="536">
        <v>0</v>
      </c>
      <c r="T166" s="536">
        <v>0</v>
      </c>
      <c r="U166" s="536"/>
      <c r="V166" s="536">
        <v>0</v>
      </c>
      <c r="W166" s="536">
        <v>0</v>
      </c>
      <c r="X166" s="536">
        <v>0</v>
      </c>
      <c r="Y166" s="536">
        <v>0</v>
      </c>
    </row>
    <row r="167" spans="3:25" ht="28.5" hidden="1">
      <c r="C167" s="557" t="s">
        <v>515</v>
      </c>
      <c r="D167" s="536"/>
      <c r="E167" s="536"/>
      <c r="F167" s="536"/>
      <c r="G167" s="536"/>
      <c r="H167" s="536"/>
      <c r="I167" s="524"/>
      <c r="J167" s="536"/>
      <c r="K167" s="536"/>
      <c r="L167" s="536"/>
      <c r="M167" s="536"/>
      <c r="O167" s="523"/>
      <c r="P167" s="536"/>
      <c r="Q167" s="536"/>
      <c r="R167" s="536"/>
      <c r="S167" s="536"/>
      <c r="T167" s="536"/>
      <c r="U167" s="536"/>
      <c r="V167" s="536"/>
      <c r="W167" s="536"/>
      <c r="X167" s="536"/>
      <c r="Y167" s="536"/>
    </row>
    <row r="168" spans="3:25" ht="15">
      <c r="C168" s="581" t="s">
        <v>612</v>
      </c>
      <c r="D168" s="543"/>
      <c r="E168" s="543">
        <f>SUM(E165:E166)</f>
        <v>0</v>
      </c>
      <c r="F168" s="543">
        <f t="shared" ref="F168:M168" si="19">SUM(F165:F166)</f>
        <v>0</v>
      </c>
      <c r="G168" s="543">
        <f t="shared" si="19"/>
        <v>0</v>
      </c>
      <c r="H168" s="543">
        <f t="shared" si="19"/>
        <v>0</v>
      </c>
      <c r="I168" s="543"/>
      <c r="J168" s="543">
        <f t="shared" si="19"/>
        <v>0</v>
      </c>
      <c r="K168" s="543">
        <f t="shared" si="19"/>
        <v>0</v>
      </c>
      <c r="L168" s="543">
        <f t="shared" si="19"/>
        <v>0</v>
      </c>
      <c r="M168" s="543">
        <f t="shared" si="19"/>
        <v>0</v>
      </c>
      <c r="N168" s="332"/>
      <c r="O168" s="581" t="s">
        <v>612</v>
      </c>
      <c r="P168" s="543"/>
      <c r="Q168" s="543">
        <f>SUM(Q165:Q166)</f>
        <v>0</v>
      </c>
      <c r="R168" s="543">
        <f>SUM(R165:R166)</f>
        <v>0</v>
      </c>
      <c r="S168" s="543">
        <f>SUM(S165:S166)</f>
        <v>0</v>
      </c>
      <c r="T168" s="543">
        <f>SUM(T165:T166)</f>
        <v>0</v>
      </c>
      <c r="U168" s="543"/>
      <c r="V168" s="543">
        <f>SUM(V165:V166)</f>
        <v>0</v>
      </c>
      <c r="W168" s="543">
        <f>SUM(W165:W166)</f>
        <v>0</v>
      </c>
      <c r="X168" s="543">
        <f>SUM(X165:X166)</f>
        <v>0</v>
      </c>
      <c r="Y168" s="543">
        <f>SUM(Y165:Y166)</f>
        <v>0</v>
      </c>
    </row>
    <row r="169" spans="3:25" ht="15">
      <c r="C169" s="544"/>
      <c r="D169" s="544"/>
      <c r="E169" s="544"/>
      <c r="F169" s="544"/>
      <c r="G169" s="544"/>
      <c r="H169" s="544"/>
      <c r="I169" s="544"/>
      <c r="J169" s="544"/>
      <c r="K169" s="544"/>
      <c r="L169" s="544"/>
      <c r="M169" s="544"/>
      <c r="O169" s="544"/>
      <c r="P169" s="544"/>
      <c r="Q169" s="544"/>
      <c r="R169" s="544"/>
      <c r="S169" s="544"/>
      <c r="T169" s="544"/>
      <c r="U169" s="544"/>
      <c r="V169" s="544"/>
      <c r="W169" s="544"/>
      <c r="X169" s="544"/>
      <c r="Y169" s="544"/>
    </row>
    <row r="170" spans="3:25" ht="15">
      <c r="C170" s="581" t="s">
        <v>577</v>
      </c>
      <c r="D170" s="543"/>
      <c r="E170" s="543">
        <f>SUM(E115:E169)/2</f>
        <v>2063.8458394881313</v>
      </c>
      <c r="F170" s="543">
        <f>SUM(F115:F169)/2</f>
        <v>2059.5890508392217</v>
      </c>
      <c r="G170" s="543">
        <f>SUM(G115:G169)/2</f>
        <v>2001.9930816471588</v>
      </c>
      <c r="H170" s="543">
        <f>SUM(H115:H169)/2</f>
        <v>1909.1556625687253</v>
      </c>
      <c r="I170" s="543"/>
      <c r="J170" s="543">
        <f>SUM(J115:J169)/2</f>
        <v>9210126.5655291043</v>
      </c>
      <c r="K170" s="543">
        <f>SUM(K115:K169)/2</f>
        <v>9192768.0278532691</v>
      </c>
      <c r="L170" s="543">
        <f>SUM(L115:L169)/2</f>
        <v>8969325.3922882788</v>
      </c>
      <c r="M170" s="543">
        <f>SUM(M115:M169)/2</f>
        <v>8487803.6416283026</v>
      </c>
      <c r="N170" s="332"/>
      <c r="O170" s="581" t="s">
        <v>606</v>
      </c>
      <c r="P170" s="543"/>
      <c r="Q170" s="543">
        <f>SUM(Q115:Q169)/2</f>
        <v>260.84811403520558</v>
      </c>
      <c r="R170" s="543">
        <f>SUM(R115:R169)/2</f>
        <v>258.05288890120556</v>
      </c>
      <c r="S170" s="543">
        <f>SUM(S115:S169)/2</f>
        <v>241.0377562852056</v>
      </c>
      <c r="T170" s="543">
        <f>SUM(T115:T169)/2</f>
        <v>225.27698046920563</v>
      </c>
      <c r="U170" s="543"/>
      <c r="V170" s="543">
        <f>SUM(V115:V169)/2</f>
        <v>1441523.051985099</v>
      </c>
      <c r="W170" s="543">
        <f>SUM(W115:W169)/2</f>
        <v>1431439.9925689511</v>
      </c>
      <c r="X170" s="543">
        <f>SUM(X115:X169)/2</f>
        <v>1378973.700497461</v>
      </c>
      <c r="Y170" s="543">
        <f>SUM(Y115:Y169)/2</f>
        <v>1302201.048636735</v>
      </c>
    </row>
    <row r="171" spans="3:25">
      <c r="H171" s="542"/>
      <c r="I171" s="542"/>
      <c r="J171" s="542"/>
      <c r="K171" s="542"/>
      <c r="L171" s="542"/>
      <c r="M171" s="542"/>
      <c r="O171" s="521"/>
      <c r="P171" s="521"/>
    </row>
    <row r="172" spans="3:25">
      <c r="H172" s="542"/>
      <c r="I172" s="542"/>
      <c r="J172" s="542"/>
      <c r="K172" s="542"/>
      <c r="L172" s="542"/>
      <c r="M172" s="542"/>
      <c r="P172" s="521"/>
    </row>
    <row r="173" spans="3:25" ht="15">
      <c r="C173" s="526" t="s">
        <v>505</v>
      </c>
      <c r="D173" s="526"/>
      <c r="E173" s="526"/>
      <c r="F173" s="527"/>
      <c r="G173" s="527"/>
      <c r="H173" s="542"/>
      <c r="I173" s="542"/>
      <c r="J173" s="542"/>
      <c r="K173" s="542"/>
      <c r="L173" s="542"/>
      <c r="M173" s="542"/>
      <c r="O173" s="526" t="s">
        <v>526</v>
      </c>
      <c r="P173" s="526"/>
      <c r="Q173" s="526"/>
      <c r="R173" s="527"/>
      <c r="S173" s="527"/>
      <c r="T173" s="527"/>
      <c r="U173" s="526"/>
      <c r="V173" s="526"/>
      <c r="W173" s="527"/>
      <c r="X173" s="527"/>
      <c r="Y173" s="527"/>
    </row>
    <row r="174" spans="3:25">
      <c r="C174" s="527"/>
      <c r="D174" s="527"/>
      <c r="E174" s="527"/>
      <c r="F174" s="527"/>
      <c r="G174" s="527"/>
      <c r="O174" s="527"/>
      <c r="P174" s="527"/>
      <c r="Q174" s="527"/>
      <c r="R174" s="527"/>
      <c r="S174" s="527"/>
      <c r="T174" s="527"/>
      <c r="U174" s="527"/>
      <c r="V174" s="527"/>
      <c r="W174" s="527"/>
      <c r="X174" s="527"/>
      <c r="Y174" s="527"/>
    </row>
    <row r="175" spans="3:25" ht="15">
      <c r="C175" s="764" t="s">
        <v>0</v>
      </c>
      <c r="D175" s="766" t="s">
        <v>501</v>
      </c>
      <c r="E175" s="767"/>
      <c r="F175" s="767"/>
      <c r="G175" s="767"/>
      <c r="H175" s="767"/>
      <c r="I175" s="767" t="s">
        <v>502</v>
      </c>
      <c r="J175" s="767"/>
      <c r="K175" s="767"/>
      <c r="L175" s="767"/>
      <c r="M175" s="768"/>
      <c r="N175" s="552"/>
      <c r="O175" s="764" t="s">
        <v>0</v>
      </c>
      <c r="P175" s="766" t="s">
        <v>501</v>
      </c>
      <c r="Q175" s="767"/>
      <c r="R175" s="767"/>
      <c r="S175" s="767"/>
      <c r="T175" s="767"/>
      <c r="U175" s="767" t="s">
        <v>502</v>
      </c>
      <c r="V175" s="767"/>
      <c r="W175" s="767"/>
      <c r="X175" s="767"/>
      <c r="Y175" s="768"/>
    </row>
    <row r="176" spans="3:25" ht="15">
      <c r="C176" s="765"/>
      <c r="D176" s="554">
        <v>2012</v>
      </c>
      <c r="E176" s="554">
        <v>2013</v>
      </c>
      <c r="F176" s="554">
        <v>2014</v>
      </c>
      <c r="G176" s="554">
        <v>2015</v>
      </c>
      <c r="H176" s="554">
        <v>2016</v>
      </c>
      <c r="I176" s="554">
        <v>2012</v>
      </c>
      <c r="J176" s="554">
        <v>2013</v>
      </c>
      <c r="K176" s="554">
        <v>2014</v>
      </c>
      <c r="L176" s="554">
        <v>2015</v>
      </c>
      <c r="M176" s="554">
        <v>2016</v>
      </c>
      <c r="N176" s="552"/>
      <c r="O176" s="765"/>
      <c r="P176" s="554">
        <v>2012</v>
      </c>
      <c r="Q176" s="554">
        <v>2013</v>
      </c>
      <c r="R176" s="554">
        <v>2014</v>
      </c>
      <c r="S176" s="554">
        <v>2015</v>
      </c>
      <c r="T176" s="554">
        <v>2016</v>
      </c>
      <c r="U176" s="554">
        <v>2012</v>
      </c>
      <c r="V176" s="554">
        <v>2013</v>
      </c>
      <c r="W176" s="554">
        <v>2014</v>
      </c>
      <c r="X176" s="554">
        <v>2015</v>
      </c>
      <c r="Y176" s="554">
        <v>2016</v>
      </c>
    </row>
    <row r="177" spans="3:25" ht="15">
      <c r="C177" s="528" t="s">
        <v>1</v>
      </c>
      <c r="D177" s="528"/>
      <c r="E177" s="528"/>
      <c r="F177" s="528"/>
      <c r="G177" s="528"/>
      <c r="H177" s="528"/>
      <c r="I177" s="528"/>
      <c r="J177" s="528"/>
      <c r="K177" s="528"/>
      <c r="L177" s="528"/>
      <c r="M177" s="528"/>
      <c r="O177" s="528" t="s">
        <v>1</v>
      </c>
      <c r="P177" s="528"/>
      <c r="Q177" s="528"/>
      <c r="R177" s="528"/>
      <c r="S177" s="528"/>
      <c r="T177" s="528"/>
      <c r="U177" s="528"/>
      <c r="V177" s="528"/>
      <c r="W177" s="528"/>
      <c r="X177" s="528"/>
      <c r="Y177" s="528"/>
    </row>
    <row r="178" spans="3:25">
      <c r="C178" s="529" t="s">
        <v>2</v>
      </c>
      <c r="D178" s="530"/>
      <c r="E178" s="530"/>
      <c r="F178" s="540">
        <v>17.768261317038355</v>
      </c>
      <c r="G178" s="540">
        <v>17.768261317038355</v>
      </c>
      <c r="H178" s="540">
        <v>16.61563699103835</v>
      </c>
      <c r="I178" s="540"/>
      <c r="J178" s="540"/>
      <c r="K178" s="540">
        <v>110847.75399914755</v>
      </c>
      <c r="L178" s="540">
        <v>110847.75399914755</v>
      </c>
      <c r="M178" s="540">
        <v>109719.76429748055</v>
      </c>
      <c r="O178" s="589" t="s">
        <v>2</v>
      </c>
      <c r="P178" s="530"/>
      <c r="Q178" s="530"/>
      <c r="R178" s="540" t="s">
        <v>582</v>
      </c>
      <c r="S178" s="540" t="s">
        <v>582</v>
      </c>
      <c r="T178" s="540" t="s">
        <v>582</v>
      </c>
      <c r="U178" s="530"/>
      <c r="V178" s="530"/>
      <c r="W178" s="540" t="s">
        <v>582</v>
      </c>
      <c r="X178" s="540" t="s">
        <v>582</v>
      </c>
      <c r="Y178" s="540" t="s">
        <v>582</v>
      </c>
    </row>
    <row r="179" spans="3:25">
      <c r="C179" s="531" t="s">
        <v>3</v>
      </c>
      <c r="D179" s="532"/>
      <c r="E179" s="532"/>
      <c r="F179" s="540">
        <v>30.250338459999998</v>
      </c>
      <c r="G179" s="540">
        <v>30.250338459999998</v>
      </c>
      <c r="H179" s="540">
        <v>30.250338459999998</v>
      </c>
      <c r="I179" s="540"/>
      <c r="J179" s="540"/>
      <c r="K179" s="540">
        <v>53938.222179999997</v>
      </c>
      <c r="L179" s="540">
        <v>53938.222179999997</v>
      </c>
      <c r="M179" s="540">
        <v>53938.222179999997</v>
      </c>
      <c r="O179" s="590" t="s">
        <v>3</v>
      </c>
      <c r="P179" s="532"/>
      <c r="Q179" s="532"/>
      <c r="R179" s="540" t="s">
        <v>582</v>
      </c>
      <c r="S179" s="540" t="s">
        <v>582</v>
      </c>
      <c r="T179" s="540" t="s">
        <v>582</v>
      </c>
      <c r="U179" s="532"/>
      <c r="V179" s="532"/>
      <c r="W179" s="540" t="s">
        <v>582</v>
      </c>
      <c r="X179" s="540" t="s">
        <v>582</v>
      </c>
      <c r="Y179" s="540" t="s">
        <v>582</v>
      </c>
    </row>
    <row r="180" spans="3:25">
      <c r="C180" s="531" t="s">
        <v>4</v>
      </c>
      <c r="D180" s="532"/>
      <c r="E180" s="532"/>
      <c r="F180" s="540">
        <v>519.79748895900002</v>
      </c>
      <c r="G180" s="540">
        <v>519.79748895900002</v>
      </c>
      <c r="H180" s="540">
        <v>519.79748895900002</v>
      </c>
      <c r="I180" s="540"/>
      <c r="J180" s="540"/>
      <c r="K180" s="540">
        <v>899719.01400545402</v>
      </c>
      <c r="L180" s="540">
        <v>899719.01400545402</v>
      </c>
      <c r="M180" s="540">
        <v>899719.01400545402</v>
      </c>
      <c r="O180" s="590" t="s">
        <v>4</v>
      </c>
      <c r="P180" s="532"/>
      <c r="Q180" s="532"/>
      <c r="R180" s="540">
        <v>25.141810098999997</v>
      </c>
      <c r="S180" s="540">
        <v>25.141810098999997</v>
      </c>
      <c r="T180" s="540">
        <v>25.141810098999997</v>
      </c>
      <c r="U180" s="532"/>
      <c r="V180" s="532"/>
      <c r="W180" s="540">
        <v>44516.756170399996</v>
      </c>
      <c r="X180" s="540">
        <v>44516.756170399996</v>
      </c>
      <c r="Y180" s="540">
        <v>44516.756170399996</v>
      </c>
    </row>
    <row r="181" spans="3:25" ht="28.5">
      <c r="C181" s="531" t="s">
        <v>5</v>
      </c>
      <c r="D181" s="532"/>
      <c r="E181" s="532"/>
      <c r="F181" s="540">
        <v>12.152691670999999</v>
      </c>
      <c r="G181" s="540">
        <v>11.714044318999999</v>
      </c>
      <c r="H181" s="540">
        <v>10.041842797999999</v>
      </c>
      <c r="I181" s="540"/>
      <c r="J181" s="540"/>
      <c r="K181" s="540">
        <v>181320.80167439699</v>
      </c>
      <c r="L181" s="540">
        <v>174333.445450417</v>
      </c>
      <c r="M181" s="540">
        <v>147696.40392139601</v>
      </c>
      <c r="O181" s="590" t="s">
        <v>5</v>
      </c>
      <c r="P181" s="532"/>
      <c r="Q181" s="532"/>
      <c r="R181" s="540">
        <v>3.9E-2</v>
      </c>
      <c r="S181" s="540">
        <v>3.7999999999999999E-2</v>
      </c>
      <c r="T181" s="540">
        <v>3.3000000000000002E-2</v>
      </c>
      <c r="U181" s="532"/>
      <c r="V181" s="532"/>
      <c r="W181" s="540">
        <v>555</v>
      </c>
      <c r="X181" s="540">
        <v>528</v>
      </c>
      <c r="Y181" s="540">
        <v>456</v>
      </c>
    </row>
    <row r="182" spans="3:25">
      <c r="C182" s="531" t="s">
        <v>6</v>
      </c>
      <c r="D182" s="532"/>
      <c r="E182" s="532"/>
      <c r="F182" s="540">
        <v>27.845661070999999</v>
      </c>
      <c r="G182" s="540">
        <v>26.316947365000001</v>
      </c>
      <c r="H182" s="540">
        <v>21.099835522999999</v>
      </c>
      <c r="I182" s="540"/>
      <c r="J182" s="540"/>
      <c r="K182" s="540">
        <v>404156.08860724402</v>
      </c>
      <c r="L182" s="540">
        <v>379804.711142043</v>
      </c>
      <c r="M182" s="540">
        <v>296699.64097909199</v>
      </c>
      <c r="O182" s="590" t="s">
        <v>6</v>
      </c>
      <c r="P182" s="532"/>
      <c r="Q182" s="532"/>
      <c r="R182" s="540" t="s">
        <v>582</v>
      </c>
      <c r="S182" s="540" t="s">
        <v>582</v>
      </c>
      <c r="T182" s="540" t="s">
        <v>582</v>
      </c>
      <c r="U182" s="532"/>
      <c r="V182" s="532"/>
      <c r="W182" s="540" t="s">
        <v>582</v>
      </c>
      <c r="X182" s="540" t="s">
        <v>582</v>
      </c>
      <c r="Y182" s="540" t="s">
        <v>582</v>
      </c>
    </row>
    <row r="183" spans="3:25">
      <c r="C183" s="531" t="s">
        <v>610</v>
      </c>
      <c r="D183" s="532"/>
      <c r="E183" s="532"/>
      <c r="F183" s="540" t="s">
        <v>582</v>
      </c>
      <c r="G183" s="540" t="s">
        <v>582</v>
      </c>
      <c r="H183" s="540" t="s">
        <v>582</v>
      </c>
      <c r="I183" s="540"/>
      <c r="J183" s="540"/>
      <c r="K183" s="540" t="s">
        <v>582</v>
      </c>
      <c r="L183" s="540" t="s">
        <v>582</v>
      </c>
      <c r="M183" s="540" t="s">
        <v>582</v>
      </c>
      <c r="O183" s="590" t="s">
        <v>610</v>
      </c>
      <c r="P183" s="532"/>
      <c r="Q183" s="532"/>
      <c r="R183" s="540" t="s">
        <v>582</v>
      </c>
      <c r="S183" s="540" t="s">
        <v>582</v>
      </c>
      <c r="T183" s="540" t="s">
        <v>582</v>
      </c>
      <c r="U183" s="532"/>
      <c r="V183" s="532"/>
      <c r="W183" s="540" t="s">
        <v>582</v>
      </c>
      <c r="X183" s="540" t="s">
        <v>582</v>
      </c>
      <c r="Y183" s="540" t="s">
        <v>582</v>
      </c>
    </row>
    <row r="184" spans="3:25" ht="28.5">
      <c r="C184" s="531" t="s">
        <v>33</v>
      </c>
      <c r="D184" s="532"/>
      <c r="E184" s="532"/>
      <c r="F184" s="540">
        <v>0</v>
      </c>
      <c r="G184" s="540">
        <v>0</v>
      </c>
      <c r="H184" s="540">
        <v>0</v>
      </c>
      <c r="I184" s="540"/>
      <c r="J184" s="540"/>
      <c r="K184" s="540">
        <v>0</v>
      </c>
      <c r="L184" s="540">
        <v>0</v>
      </c>
      <c r="M184" s="540">
        <v>0</v>
      </c>
      <c r="O184" s="590" t="s">
        <v>33</v>
      </c>
      <c r="P184" s="532"/>
      <c r="Q184" s="532"/>
      <c r="R184" s="540" t="s">
        <v>582</v>
      </c>
      <c r="S184" s="540" t="s">
        <v>582</v>
      </c>
      <c r="T184" s="540" t="s">
        <v>582</v>
      </c>
      <c r="U184" s="532"/>
      <c r="V184" s="532"/>
      <c r="W184" s="540" t="s">
        <v>582</v>
      </c>
      <c r="X184" s="540" t="s">
        <v>582</v>
      </c>
      <c r="Y184" s="540" t="s">
        <v>582</v>
      </c>
    </row>
    <row r="185" spans="3:25" ht="28.5">
      <c r="C185" s="531" t="s">
        <v>26</v>
      </c>
      <c r="D185" s="532"/>
      <c r="E185" s="532"/>
      <c r="F185" s="540" t="s">
        <v>582</v>
      </c>
      <c r="G185" s="540" t="s">
        <v>582</v>
      </c>
      <c r="H185" s="540" t="s">
        <v>582</v>
      </c>
      <c r="I185" s="540"/>
      <c r="J185" s="540"/>
      <c r="K185" s="540" t="s">
        <v>582</v>
      </c>
      <c r="L185" s="540" t="s">
        <v>582</v>
      </c>
      <c r="M185" s="540" t="s">
        <v>582</v>
      </c>
      <c r="O185" s="590" t="s">
        <v>26</v>
      </c>
      <c r="P185" s="532"/>
      <c r="Q185" s="532"/>
      <c r="R185" s="540" t="s">
        <v>582</v>
      </c>
      <c r="S185" s="540" t="s">
        <v>582</v>
      </c>
      <c r="T185" s="540" t="s">
        <v>582</v>
      </c>
      <c r="U185" s="532"/>
      <c r="V185" s="532"/>
      <c r="W185" s="540" t="s">
        <v>582</v>
      </c>
      <c r="X185" s="540" t="s">
        <v>582</v>
      </c>
      <c r="Y185" s="540" t="s">
        <v>582</v>
      </c>
    </row>
    <row r="186" spans="3:25" ht="28.5">
      <c r="C186" s="531" t="s">
        <v>8</v>
      </c>
      <c r="D186" s="532"/>
      <c r="E186" s="532"/>
      <c r="F186" s="540" t="s">
        <v>582</v>
      </c>
      <c r="G186" s="540" t="s">
        <v>582</v>
      </c>
      <c r="H186" s="540" t="s">
        <v>582</v>
      </c>
      <c r="I186" s="540"/>
      <c r="J186" s="540"/>
      <c r="K186" s="540" t="s">
        <v>582</v>
      </c>
      <c r="L186" s="540" t="s">
        <v>582</v>
      </c>
      <c r="M186" s="540" t="s">
        <v>582</v>
      </c>
      <c r="O186" s="590" t="s">
        <v>8</v>
      </c>
      <c r="P186" s="532"/>
      <c r="Q186" s="532"/>
      <c r="R186" s="540">
        <v>0.57332235099999995</v>
      </c>
      <c r="S186" s="540">
        <v>0.57332235099999995</v>
      </c>
      <c r="T186" s="540">
        <v>0.57332235099999995</v>
      </c>
      <c r="U186" s="532"/>
      <c r="V186" s="532"/>
      <c r="W186" s="540">
        <v>3460.6026000000002</v>
      </c>
      <c r="X186" s="540">
        <v>3460.6026000000002</v>
      </c>
      <c r="Y186" s="540">
        <v>3460.6026000000002</v>
      </c>
    </row>
    <row r="187" spans="3:25" ht="28.5" hidden="1">
      <c r="C187" s="557" t="s">
        <v>516</v>
      </c>
      <c r="D187" s="532"/>
      <c r="E187" s="532"/>
      <c r="F187" s="540"/>
      <c r="G187" s="540"/>
      <c r="H187" s="540"/>
      <c r="I187" s="540"/>
      <c r="J187" s="540"/>
      <c r="K187" s="540"/>
      <c r="L187" s="540"/>
      <c r="M187" s="540"/>
      <c r="O187" s="531"/>
      <c r="P187" s="532"/>
      <c r="Q187" s="532"/>
      <c r="R187" s="540"/>
      <c r="S187" s="540"/>
      <c r="T187" s="540"/>
      <c r="U187" s="532"/>
      <c r="V187" s="532"/>
      <c r="W187" s="540"/>
      <c r="X187" s="540"/>
      <c r="Y187" s="540"/>
    </row>
    <row r="188" spans="3:25" ht="30">
      <c r="C188" s="581" t="s">
        <v>600</v>
      </c>
      <c r="D188" s="543"/>
      <c r="E188" s="543"/>
      <c r="F188" s="543">
        <f>SUM(F178:F186)</f>
        <v>607.81444147803836</v>
      </c>
      <c r="G188" s="543">
        <f t="shared" ref="G188:H188" si="20">SUM(G178:G186)</f>
        <v>605.84708042003842</v>
      </c>
      <c r="H188" s="543">
        <f t="shared" si="20"/>
        <v>597.80514273103836</v>
      </c>
      <c r="I188" s="543"/>
      <c r="J188" s="543"/>
      <c r="K188" s="543">
        <f t="shared" ref="K188" si="21">SUM(K178:K186)</f>
        <v>1649981.8804662426</v>
      </c>
      <c r="L188" s="543">
        <f t="shared" ref="L188" si="22">SUM(L178:L186)</f>
        <v>1618643.1467770617</v>
      </c>
      <c r="M188" s="543">
        <f t="shared" ref="M188" si="23">SUM(M178:M186)</f>
        <v>1507773.0453834226</v>
      </c>
      <c r="N188" s="332"/>
      <c r="O188" s="581" t="s">
        <v>600</v>
      </c>
      <c r="P188" s="543"/>
      <c r="Q188" s="543"/>
      <c r="R188" s="543">
        <f>SUM(R178:R186)</f>
        <v>25.75413245</v>
      </c>
      <c r="S188" s="543">
        <f>SUM(S178:S186)</f>
        <v>25.753132449999999</v>
      </c>
      <c r="T188" s="543">
        <f>SUM(T178:T186)</f>
        <v>25.74813245</v>
      </c>
      <c r="U188" s="543"/>
      <c r="V188" s="543"/>
      <c r="W188" s="543">
        <f>SUM(W178:W186)</f>
        <v>48532.358770399995</v>
      </c>
      <c r="X188" s="543">
        <f>SUM(X178:X186)</f>
        <v>48505.358770399995</v>
      </c>
      <c r="Y188" s="543">
        <f>SUM(Y178:Y186)</f>
        <v>48433.358770399995</v>
      </c>
    </row>
    <row r="189" spans="3:25" ht="28.5" hidden="1">
      <c r="C189" s="557" t="s">
        <v>516</v>
      </c>
      <c r="D189" s="532"/>
      <c r="E189" s="532"/>
      <c r="F189" s="555"/>
      <c r="G189" s="555"/>
      <c r="H189" s="555"/>
      <c r="I189" s="540"/>
      <c r="J189" s="540"/>
      <c r="K189" s="555"/>
      <c r="L189" s="555"/>
      <c r="M189" s="555"/>
      <c r="O189" s="531"/>
      <c r="P189" s="532"/>
      <c r="Q189" s="532"/>
      <c r="R189" s="555"/>
      <c r="S189" s="555"/>
      <c r="T189" s="555"/>
      <c r="U189" s="532"/>
      <c r="V189" s="532"/>
      <c r="W189" s="555"/>
      <c r="X189" s="555"/>
      <c r="Y189" s="555"/>
    </row>
    <row r="190" spans="3:25">
      <c r="C190" s="531"/>
      <c r="D190" s="532"/>
      <c r="E190" s="532"/>
      <c r="F190" s="532"/>
      <c r="G190" s="532"/>
      <c r="H190" s="532"/>
      <c r="I190" s="540"/>
      <c r="J190" s="540"/>
      <c r="K190" s="532"/>
      <c r="L190" s="532"/>
      <c r="M190" s="532"/>
      <c r="O190" s="531"/>
      <c r="P190" s="532"/>
      <c r="Q190" s="532"/>
      <c r="R190" s="532"/>
      <c r="S190" s="532"/>
      <c r="T190" s="532"/>
      <c r="U190" s="532"/>
      <c r="V190" s="532"/>
      <c r="W190" s="532"/>
      <c r="X190" s="532"/>
      <c r="Y190" s="532"/>
    </row>
    <row r="191" spans="3:25" ht="15">
      <c r="C191" s="533" t="s">
        <v>9</v>
      </c>
      <c r="D191" s="533"/>
      <c r="E191" s="533"/>
      <c r="F191" s="533"/>
      <c r="G191" s="533"/>
      <c r="H191" s="533"/>
      <c r="I191" s="533"/>
      <c r="J191" s="533"/>
      <c r="K191" s="533"/>
      <c r="L191" s="533"/>
      <c r="M191" s="533"/>
      <c r="O191" s="533" t="s">
        <v>9</v>
      </c>
      <c r="P191" s="533"/>
      <c r="Q191" s="533"/>
      <c r="R191" s="533"/>
      <c r="S191" s="533"/>
      <c r="T191" s="533"/>
      <c r="U191" s="533"/>
      <c r="V191" s="533"/>
      <c r="W191" s="533"/>
      <c r="X191" s="533"/>
      <c r="Y191" s="533"/>
    </row>
    <row r="192" spans="3:25">
      <c r="C192" s="531" t="s">
        <v>27</v>
      </c>
      <c r="D192" s="532"/>
      <c r="E192" s="532"/>
      <c r="F192" s="540">
        <v>874.35473774399998</v>
      </c>
      <c r="G192" s="540">
        <v>864.58878100899994</v>
      </c>
      <c r="H192" s="540">
        <v>864.58878100899994</v>
      </c>
      <c r="I192" s="540"/>
      <c r="J192" s="540"/>
      <c r="K192" s="540">
        <v>4809871.7848453997</v>
      </c>
      <c r="L192" s="540">
        <v>4779517.5760743804</v>
      </c>
      <c r="M192" s="540">
        <v>4779517.5760743804</v>
      </c>
      <c r="O192" s="590" t="s">
        <v>27</v>
      </c>
      <c r="P192" s="532"/>
      <c r="Q192" s="532"/>
      <c r="R192" s="540">
        <v>240.1735381</v>
      </c>
      <c r="S192" s="540">
        <v>240.1735381</v>
      </c>
      <c r="T192" s="540">
        <v>240.1735381</v>
      </c>
      <c r="U192" s="532"/>
      <c r="V192" s="532"/>
      <c r="W192" s="540">
        <v>1664522.7560000001</v>
      </c>
      <c r="X192" s="540">
        <v>1664522.7560000001</v>
      </c>
      <c r="Y192" s="540">
        <v>1664522.7560000001</v>
      </c>
    </row>
    <row r="193" spans="3:25">
      <c r="C193" s="531" t="s">
        <v>25</v>
      </c>
      <c r="D193" s="532"/>
      <c r="E193" s="532"/>
      <c r="F193" s="540">
        <v>181.11468934999999</v>
      </c>
      <c r="G193" s="540">
        <v>175.95162400000001</v>
      </c>
      <c r="H193" s="540">
        <v>143.91168878299999</v>
      </c>
      <c r="I193" s="540"/>
      <c r="J193" s="540"/>
      <c r="K193" s="540">
        <v>628825.66501826397</v>
      </c>
      <c r="L193" s="540">
        <v>610461.48172854295</v>
      </c>
      <c r="M193" s="540">
        <v>488331.87529526302</v>
      </c>
      <c r="O193" s="590" t="s">
        <v>25</v>
      </c>
      <c r="P193" s="532"/>
      <c r="Q193" s="532"/>
      <c r="R193" s="540" t="s">
        <v>582</v>
      </c>
      <c r="S193" s="540" t="s">
        <v>582</v>
      </c>
      <c r="T193" s="540" t="s">
        <v>582</v>
      </c>
      <c r="U193" s="532"/>
      <c r="V193" s="532"/>
      <c r="W193" s="540" t="s">
        <v>582</v>
      </c>
      <c r="X193" s="540" t="s">
        <v>582</v>
      </c>
      <c r="Y193" s="540" t="s">
        <v>582</v>
      </c>
    </row>
    <row r="194" spans="3:25">
      <c r="C194" s="531" t="s">
        <v>28</v>
      </c>
      <c r="D194" s="532"/>
      <c r="E194" s="532"/>
      <c r="F194" s="540" t="s">
        <v>582</v>
      </c>
      <c r="G194" s="540" t="s">
        <v>582</v>
      </c>
      <c r="H194" s="540" t="s">
        <v>582</v>
      </c>
      <c r="I194" s="540"/>
      <c r="J194" s="540"/>
      <c r="K194" s="540" t="s">
        <v>582</v>
      </c>
      <c r="L194" s="540" t="s">
        <v>582</v>
      </c>
      <c r="M194" s="540" t="s">
        <v>582</v>
      </c>
      <c r="O194" s="590" t="s">
        <v>28</v>
      </c>
      <c r="P194" s="532"/>
      <c r="Q194" s="532"/>
      <c r="R194" s="540" t="s">
        <v>582</v>
      </c>
      <c r="S194" s="540" t="s">
        <v>582</v>
      </c>
      <c r="T194" s="540" t="s">
        <v>582</v>
      </c>
      <c r="U194" s="532"/>
      <c r="V194" s="532"/>
      <c r="W194" s="540" t="s">
        <v>582</v>
      </c>
      <c r="X194" s="540" t="s">
        <v>582</v>
      </c>
      <c r="Y194" s="540" t="s">
        <v>582</v>
      </c>
    </row>
    <row r="195" spans="3:25">
      <c r="C195" s="531" t="s">
        <v>29</v>
      </c>
      <c r="D195" s="532"/>
      <c r="E195" s="532"/>
      <c r="F195" s="540" t="s">
        <v>582</v>
      </c>
      <c r="G195" s="540" t="s">
        <v>582</v>
      </c>
      <c r="H195" s="540" t="s">
        <v>582</v>
      </c>
      <c r="I195" s="540"/>
      <c r="J195" s="540"/>
      <c r="K195" s="540" t="s">
        <v>582</v>
      </c>
      <c r="L195" s="540" t="s">
        <v>582</v>
      </c>
      <c r="M195" s="540" t="s">
        <v>582</v>
      </c>
      <c r="O195" s="590" t="s">
        <v>29</v>
      </c>
      <c r="P195" s="532"/>
      <c r="Q195" s="532"/>
      <c r="R195" s="540">
        <v>17.697180450000001</v>
      </c>
      <c r="S195" s="540">
        <v>17.697180450000001</v>
      </c>
      <c r="T195" s="540">
        <v>17.697180450000001</v>
      </c>
      <c r="U195" s="532"/>
      <c r="V195" s="532"/>
      <c r="W195" s="540">
        <v>72321.586679999993</v>
      </c>
      <c r="X195" s="540">
        <v>72321.586679999993</v>
      </c>
      <c r="Y195" s="540">
        <v>72321.586679999993</v>
      </c>
    </row>
    <row r="196" spans="3:25">
      <c r="C196" s="531" t="s">
        <v>23</v>
      </c>
      <c r="D196" s="532"/>
      <c r="E196" s="532"/>
      <c r="F196" s="540">
        <v>17.625353246</v>
      </c>
      <c r="G196" s="540">
        <v>17.625353246</v>
      </c>
      <c r="H196" s="540">
        <v>17.625353246</v>
      </c>
      <c r="I196" s="540"/>
      <c r="J196" s="540"/>
      <c r="K196" s="540">
        <v>96901.535593948996</v>
      </c>
      <c r="L196" s="540">
        <v>96901.535593948996</v>
      </c>
      <c r="M196" s="540">
        <v>96901.535593948996</v>
      </c>
      <c r="O196" s="590" t="s">
        <v>23</v>
      </c>
      <c r="P196" s="532"/>
      <c r="Q196" s="532"/>
      <c r="R196" s="540">
        <v>1.169006E-2</v>
      </c>
      <c r="S196" s="540">
        <v>1.169006E-2</v>
      </c>
      <c r="T196" s="540">
        <v>1.169006E-2</v>
      </c>
      <c r="U196" s="532"/>
      <c r="V196" s="532"/>
      <c r="W196" s="540">
        <v>64.270189810000005</v>
      </c>
      <c r="X196" s="540">
        <v>64.270189810000005</v>
      </c>
      <c r="Y196" s="540">
        <v>64.270189810000005</v>
      </c>
    </row>
    <row r="197" spans="3:25" ht="42.75">
      <c r="C197" s="531" t="s">
        <v>611</v>
      </c>
      <c r="D197" s="532"/>
      <c r="E197" s="532"/>
      <c r="F197" s="540">
        <v>0</v>
      </c>
      <c r="G197" s="540">
        <v>0</v>
      </c>
      <c r="H197" s="540">
        <v>0</v>
      </c>
      <c r="I197" s="540"/>
      <c r="J197" s="540"/>
      <c r="K197" s="540">
        <v>0</v>
      </c>
      <c r="L197" s="540">
        <v>0</v>
      </c>
      <c r="M197" s="540">
        <v>0</v>
      </c>
      <c r="O197" s="590" t="s">
        <v>611</v>
      </c>
      <c r="P197" s="532"/>
      <c r="Q197" s="532"/>
      <c r="R197" s="540" t="s">
        <v>582</v>
      </c>
      <c r="S197" s="540" t="s">
        <v>582</v>
      </c>
      <c r="T197" s="540" t="s">
        <v>582</v>
      </c>
      <c r="U197" s="532"/>
      <c r="V197" s="532"/>
      <c r="W197" s="540" t="s">
        <v>582</v>
      </c>
      <c r="X197" s="540" t="s">
        <v>582</v>
      </c>
      <c r="Y197" s="540" t="s">
        <v>582</v>
      </c>
    </row>
    <row r="198" spans="3:25" ht="28.5">
      <c r="C198" s="531" t="s">
        <v>31</v>
      </c>
      <c r="D198" s="532"/>
      <c r="E198" s="532"/>
      <c r="F198" s="540" t="s">
        <v>582</v>
      </c>
      <c r="G198" s="540" t="s">
        <v>582</v>
      </c>
      <c r="H198" s="540" t="s">
        <v>582</v>
      </c>
      <c r="I198" s="540"/>
      <c r="J198" s="540"/>
      <c r="K198" s="540" t="s">
        <v>582</v>
      </c>
      <c r="L198" s="540" t="s">
        <v>582</v>
      </c>
      <c r="M198" s="540" t="s">
        <v>582</v>
      </c>
      <c r="O198" s="590" t="s">
        <v>31</v>
      </c>
      <c r="P198" s="532"/>
      <c r="Q198" s="532"/>
      <c r="R198" s="540" t="s">
        <v>582</v>
      </c>
      <c r="S198" s="540" t="s">
        <v>582</v>
      </c>
      <c r="T198" s="540" t="s">
        <v>582</v>
      </c>
      <c r="U198" s="532"/>
      <c r="V198" s="532"/>
      <c r="W198" s="540" t="s">
        <v>582</v>
      </c>
      <c r="X198" s="540" t="s">
        <v>582</v>
      </c>
      <c r="Y198" s="540" t="s">
        <v>582</v>
      </c>
    </row>
    <row r="199" spans="3:25">
      <c r="C199" s="531" t="s">
        <v>10</v>
      </c>
      <c r="D199" s="532"/>
      <c r="E199" s="532"/>
      <c r="F199" s="540">
        <v>0</v>
      </c>
      <c r="G199" s="540">
        <v>0</v>
      </c>
      <c r="H199" s="540">
        <v>0</v>
      </c>
      <c r="I199" s="540"/>
      <c r="J199" s="540"/>
      <c r="K199" s="540">
        <v>0</v>
      </c>
      <c r="L199" s="540">
        <v>0</v>
      </c>
      <c r="M199" s="540">
        <v>0</v>
      </c>
      <c r="O199" s="590" t="s">
        <v>10</v>
      </c>
      <c r="P199" s="532"/>
      <c r="Q199" s="532"/>
      <c r="R199" s="540" t="s">
        <v>582</v>
      </c>
      <c r="S199" s="540" t="s">
        <v>582</v>
      </c>
      <c r="T199" s="540" t="s">
        <v>582</v>
      </c>
      <c r="U199" s="532"/>
      <c r="V199" s="532"/>
      <c r="W199" s="540" t="s">
        <v>582</v>
      </c>
      <c r="X199" s="540" t="s">
        <v>582</v>
      </c>
      <c r="Y199" s="540" t="s">
        <v>582</v>
      </c>
    </row>
    <row r="200" spans="3:25" ht="28.5" hidden="1">
      <c r="C200" s="557" t="s">
        <v>516</v>
      </c>
      <c r="D200" s="532"/>
      <c r="E200" s="532"/>
      <c r="F200" s="540"/>
      <c r="G200" s="540"/>
      <c r="H200" s="540"/>
      <c r="I200" s="540"/>
      <c r="J200" s="540"/>
      <c r="K200" s="540"/>
      <c r="L200" s="540"/>
      <c r="M200" s="540"/>
      <c r="O200" s="531"/>
      <c r="P200" s="532"/>
      <c r="Q200" s="532"/>
      <c r="R200" s="540"/>
      <c r="S200" s="540"/>
      <c r="T200" s="540"/>
      <c r="U200" s="532"/>
      <c r="V200" s="532"/>
      <c r="W200" s="540"/>
      <c r="X200" s="540"/>
      <c r="Y200" s="540"/>
    </row>
    <row r="201" spans="3:25" ht="15">
      <c r="C201" s="581" t="s">
        <v>602</v>
      </c>
      <c r="D201" s="543"/>
      <c r="E201" s="543"/>
      <c r="F201" s="543">
        <f>SUM(F192:F199)</f>
        <v>1073.0947803399999</v>
      </c>
      <c r="G201" s="543">
        <f>SUM(G192:G199)</f>
        <v>1058.1657582549999</v>
      </c>
      <c r="H201" s="543">
        <f>SUM(H192:H199)</f>
        <v>1026.1258230379999</v>
      </c>
      <c r="I201" s="543"/>
      <c r="J201" s="543"/>
      <c r="K201" s="543">
        <f>SUM(K192:K199)</f>
        <v>5535598.9854576131</v>
      </c>
      <c r="L201" s="543">
        <f>SUM(L192:L199)</f>
        <v>5486880.5933968723</v>
      </c>
      <c r="M201" s="543">
        <f>SUM(M192:M199)</f>
        <v>5364750.9869635925</v>
      </c>
      <c r="N201" s="332"/>
      <c r="O201" s="581" t="s">
        <v>602</v>
      </c>
      <c r="P201" s="543"/>
      <c r="Q201" s="543"/>
      <c r="R201" s="543">
        <f>SUM(R192:R199)</f>
        <v>257.88240860999997</v>
      </c>
      <c r="S201" s="543">
        <f>SUM(S192:S199)</f>
        <v>257.88240860999997</v>
      </c>
      <c r="T201" s="543">
        <f>SUM(T192:T199)</f>
        <v>257.88240860999997</v>
      </c>
      <c r="U201" s="543"/>
      <c r="V201" s="543"/>
      <c r="W201" s="543">
        <f>SUM(W192:W199)</f>
        <v>1736908.6128698101</v>
      </c>
      <c r="X201" s="543">
        <f>SUM(X192:X199)</f>
        <v>1736908.6128698101</v>
      </c>
      <c r="Y201" s="543">
        <f>SUM(Y192:Y199)</f>
        <v>1736908.6128698101</v>
      </c>
    </row>
    <row r="202" spans="3:25" ht="28.5" hidden="1">
      <c r="C202" s="557" t="s">
        <v>516</v>
      </c>
      <c r="D202" s="532"/>
      <c r="E202" s="532"/>
      <c r="F202" s="555"/>
      <c r="G202" s="555"/>
      <c r="H202" s="540"/>
      <c r="I202" s="540"/>
      <c r="J202" s="540"/>
      <c r="K202" s="540"/>
      <c r="L202" s="540"/>
      <c r="M202" s="540"/>
      <c r="O202" s="531"/>
      <c r="P202" s="532"/>
      <c r="Q202" s="532"/>
      <c r="R202" s="555"/>
      <c r="S202" s="555"/>
      <c r="T202" s="555"/>
      <c r="U202" s="532"/>
      <c r="V202" s="532"/>
      <c r="W202" s="555"/>
      <c r="X202" s="555"/>
      <c r="Y202" s="555"/>
    </row>
    <row r="203" spans="3:25">
      <c r="C203" s="531"/>
      <c r="D203" s="532"/>
      <c r="E203" s="532"/>
      <c r="F203" s="532"/>
      <c r="G203" s="532"/>
      <c r="H203" s="535"/>
      <c r="I203" s="535"/>
      <c r="J203" s="535"/>
      <c r="K203" s="535"/>
      <c r="L203" s="535"/>
      <c r="M203" s="535"/>
      <c r="O203" s="531"/>
      <c r="P203" s="532"/>
      <c r="Q203" s="532"/>
      <c r="R203" s="532"/>
      <c r="S203" s="532"/>
      <c r="T203" s="532"/>
      <c r="U203" s="532"/>
      <c r="V203" s="532"/>
      <c r="W203" s="532"/>
      <c r="X203" s="532"/>
      <c r="Y203" s="532"/>
    </row>
    <row r="204" spans="3:25" ht="15">
      <c r="C204" s="533" t="s">
        <v>11</v>
      </c>
      <c r="D204" s="533"/>
      <c r="E204" s="533"/>
      <c r="F204" s="533"/>
      <c r="G204" s="533"/>
      <c r="H204" s="533"/>
      <c r="I204" s="533"/>
      <c r="J204" s="533"/>
      <c r="K204" s="533"/>
      <c r="L204" s="533"/>
      <c r="M204" s="533"/>
      <c r="O204" s="533" t="s">
        <v>11</v>
      </c>
      <c r="P204" s="533"/>
      <c r="Q204" s="533"/>
      <c r="R204" s="533"/>
      <c r="S204" s="533"/>
      <c r="T204" s="533"/>
      <c r="U204" s="533"/>
      <c r="V204" s="533"/>
      <c r="W204" s="533"/>
      <c r="X204" s="533"/>
      <c r="Y204" s="533"/>
    </row>
    <row r="205" spans="3:25" ht="28.5">
      <c r="C205" s="531" t="s">
        <v>12</v>
      </c>
      <c r="D205" s="532"/>
      <c r="E205" s="532"/>
      <c r="F205" s="540" t="s">
        <v>582</v>
      </c>
      <c r="G205" s="540" t="s">
        <v>582</v>
      </c>
      <c r="H205" s="540" t="s">
        <v>582</v>
      </c>
      <c r="I205" s="540"/>
      <c r="J205" s="540"/>
      <c r="K205" s="540" t="s">
        <v>582</v>
      </c>
      <c r="L205" s="540" t="s">
        <v>582</v>
      </c>
      <c r="M205" s="540" t="s">
        <v>582</v>
      </c>
      <c r="O205" s="590" t="s">
        <v>12</v>
      </c>
      <c r="P205" s="532"/>
      <c r="Q205" s="532"/>
      <c r="R205" s="540" t="s">
        <v>582</v>
      </c>
      <c r="S205" s="540" t="s">
        <v>582</v>
      </c>
      <c r="T205" s="540" t="s">
        <v>582</v>
      </c>
      <c r="U205" s="532"/>
      <c r="V205" s="532"/>
      <c r="W205" s="540" t="s">
        <v>582</v>
      </c>
      <c r="X205" s="540" t="s">
        <v>582</v>
      </c>
      <c r="Y205" s="540" t="s">
        <v>582</v>
      </c>
    </row>
    <row r="206" spans="3:25">
      <c r="C206" s="531" t="s">
        <v>13</v>
      </c>
      <c r="D206" s="532"/>
      <c r="E206" s="532"/>
      <c r="F206" s="540" t="s">
        <v>582</v>
      </c>
      <c r="G206" s="540" t="s">
        <v>582</v>
      </c>
      <c r="H206" s="540" t="s">
        <v>582</v>
      </c>
      <c r="I206" s="540"/>
      <c r="J206" s="540"/>
      <c r="K206" s="540" t="s">
        <v>582</v>
      </c>
      <c r="L206" s="540" t="s">
        <v>582</v>
      </c>
      <c r="M206" s="540" t="s">
        <v>582</v>
      </c>
      <c r="O206" s="590" t="s">
        <v>13</v>
      </c>
      <c r="P206" s="532"/>
      <c r="Q206" s="532"/>
      <c r="R206" s="540" t="s">
        <v>582</v>
      </c>
      <c r="S206" s="540" t="s">
        <v>582</v>
      </c>
      <c r="T206" s="540" t="s">
        <v>582</v>
      </c>
      <c r="U206" s="532"/>
      <c r="V206" s="532"/>
      <c r="W206" s="540" t="s">
        <v>582</v>
      </c>
      <c r="X206" s="540" t="s">
        <v>582</v>
      </c>
      <c r="Y206" s="540" t="s">
        <v>582</v>
      </c>
    </row>
    <row r="207" spans="3:25">
      <c r="C207" s="531" t="s">
        <v>14</v>
      </c>
      <c r="D207" s="532"/>
      <c r="E207" s="532"/>
      <c r="F207" s="540">
        <v>5.66676</v>
      </c>
      <c r="G207" s="540">
        <v>5.66676</v>
      </c>
      <c r="H207" s="540">
        <v>5.66676</v>
      </c>
      <c r="I207" s="540"/>
      <c r="J207" s="540"/>
      <c r="K207" s="540">
        <v>42413.608800000002</v>
      </c>
      <c r="L207" s="540">
        <v>42413.608800000002</v>
      </c>
      <c r="M207" s="540">
        <v>42413.608800000002</v>
      </c>
      <c r="O207" s="590" t="s">
        <v>14</v>
      </c>
      <c r="P207" s="532"/>
      <c r="Q207" s="532"/>
      <c r="R207" s="540">
        <v>40.331897999999995</v>
      </c>
      <c r="S207" s="540">
        <v>18.956897999999999</v>
      </c>
      <c r="T207" s="540">
        <v>18.779399999999999</v>
      </c>
      <c r="U207" s="532"/>
      <c r="V207" s="532"/>
      <c r="W207" s="540">
        <v>547496.54749999999</v>
      </c>
      <c r="X207" s="540">
        <v>111896.54751</v>
      </c>
      <c r="Y207" s="540">
        <v>101428.85520000001</v>
      </c>
    </row>
    <row r="208" spans="3:25">
      <c r="C208" s="531" t="s">
        <v>27</v>
      </c>
      <c r="D208" s="532"/>
      <c r="E208" s="532"/>
      <c r="F208" s="540" t="s">
        <v>582</v>
      </c>
      <c r="G208" s="540" t="s">
        <v>582</v>
      </c>
      <c r="H208" s="540" t="s">
        <v>582</v>
      </c>
      <c r="I208" s="540"/>
      <c r="J208" s="540"/>
      <c r="K208" s="540" t="s">
        <v>582</v>
      </c>
      <c r="L208" s="540" t="s">
        <v>582</v>
      </c>
      <c r="M208" s="540" t="s">
        <v>582</v>
      </c>
      <c r="O208" s="590" t="s">
        <v>27</v>
      </c>
      <c r="P208" s="532"/>
      <c r="Q208" s="532"/>
      <c r="R208" s="540" t="s">
        <v>582</v>
      </c>
      <c r="S208" s="540" t="s">
        <v>582</v>
      </c>
      <c r="T208" s="540" t="s">
        <v>582</v>
      </c>
      <c r="U208" s="532"/>
      <c r="V208" s="532"/>
      <c r="W208" s="540" t="s">
        <v>582</v>
      </c>
      <c r="X208" s="540" t="s">
        <v>582</v>
      </c>
      <c r="Y208" s="540" t="s">
        <v>582</v>
      </c>
    </row>
    <row r="209" spans="3:25">
      <c r="C209" s="531" t="s">
        <v>10</v>
      </c>
      <c r="D209" s="532"/>
      <c r="E209" s="532"/>
      <c r="F209" s="540">
        <v>0</v>
      </c>
      <c r="G209" s="540">
        <v>0</v>
      </c>
      <c r="H209" s="540">
        <v>0</v>
      </c>
      <c r="I209" s="540"/>
      <c r="J209" s="540"/>
      <c r="K209" s="540">
        <v>0</v>
      </c>
      <c r="L209" s="540">
        <v>0</v>
      </c>
      <c r="M209" s="540">
        <v>0</v>
      </c>
      <c r="O209" s="590" t="s">
        <v>10</v>
      </c>
      <c r="P209" s="532"/>
      <c r="Q209" s="532"/>
      <c r="R209" s="540" t="s">
        <v>582</v>
      </c>
      <c r="S209" s="540" t="s">
        <v>582</v>
      </c>
      <c r="T209" s="540" t="s">
        <v>582</v>
      </c>
      <c r="U209" s="532"/>
      <c r="V209" s="532"/>
      <c r="W209" s="540" t="s">
        <v>582</v>
      </c>
      <c r="X209" s="540" t="s">
        <v>582</v>
      </c>
      <c r="Y209" s="540" t="s">
        <v>582</v>
      </c>
    </row>
    <row r="210" spans="3:25" ht="28.5" hidden="1">
      <c r="C210" s="557" t="s">
        <v>516</v>
      </c>
      <c r="D210" s="532"/>
      <c r="E210" s="532"/>
      <c r="F210" s="540"/>
      <c r="G210" s="540"/>
      <c r="H210" s="540"/>
      <c r="I210" s="540"/>
      <c r="J210" s="540"/>
      <c r="K210" s="540"/>
      <c r="L210" s="540"/>
      <c r="M210" s="540"/>
      <c r="O210" s="531"/>
      <c r="P210" s="532"/>
      <c r="Q210" s="532"/>
      <c r="R210" s="540"/>
      <c r="S210" s="540"/>
      <c r="T210" s="540"/>
      <c r="U210" s="532"/>
      <c r="V210" s="532"/>
      <c r="W210" s="540"/>
      <c r="X210" s="540"/>
      <c r="Y210" s="540"/>
    </row>
    <row r="211" spans="3:25" ht="15">
      <c r="C211" s="581" t="s">
        <v>603</v>
      </c>
      <c r="D211" s="543"/>
      <c r="E211" s="543"/>
      <c r="F211" s="543">
        <f>SUM(F205:F209)</f>
        <v>5.66676</v>
      </c>
      <c r="G211" s="543">
        <f>SUM(G205:G209)</f>
        <v>5.66676</v>
      </c>
      <c r="H211" s="543">
        <f>SUM(H205:H209)</f>
        <v>5.66676</v>
      </c>
      <c r="I211" s="543"/>
      <c r="J211" s="543"/>
      <c r="K211" s="543">
        <f>SUM(K205:K209)</f>
        <v>42413.608800000002</v>
      </c>
      <c r="L211" s="543">
        <f>SUM(L205:L209)</f>
        <v>42413.608800000002</v>
      </c>
      <c r="M211" s="543">
        <f>SUM(M205:M209)</f>
        <v>42413.608800000002</v>
      </c>
      <c r="N211" s="332"/>
      <c r="O211" s="581" t="s">
        <v>603</v>
      </c>
      <c r="P211" s="543"/>
      <c r="Q211" s="543"/>
      <c r="R211" s="543">
        <f>SUM(R205:R209)</f>
        <v>40.331897999999995</v>
      </c>
      <c r="S211" s="543">
        <f>SUM(S205:S209)</f>
        <v>18.956897999999999</v>
      </c>
      <c r="T211" s="543">
        <f>SUM(T205:T209)</f>
        <v>18.779399999999999</v>
      </c>
      <c r="U211" s="543"/>
      <c r="V211" s="543"/>
      <c r="W211" s="543">
        <f>SUM(W205:W209)</f>
        <v>547496.54749999999</v>
      </c>
      <c r="X211" s="543">
        <f>SUM(X205:X209)</f>
        <v>111896.54751</v>
      </c>
      <c r="Y211" s="543">
        <f>SUM(Y205:Y209)</f>
        <v>101428.85520000001</v>
      </c>
    </row>
    <row r="212" spans="3:25" ht="28.5" hidden="1">
      <c r="C212" s="557" t="s">
        <v>516</v>
      </c>
      <c r="D212" s="532"/>
      <c r="E212" s="532"/>
      <c r="F212" s="555"/>
      <c r="G212" s="555"/>
      <c r="H212" s="555"/>
      <c r="I212" s="555"/>
      <c r="J212" s="555"/>
      <c r="K212" s="555"/>
      <c r="L212" s="555"/>
      <c r="M212" s="555"/>
      <c r="O212" s="531"/>
      <c r="P212" s="532"/>
      <c r="Q212" s="532"/>
      <c r="R212" s="555"/>
      <c r="S212" s="555"/>
      <c r="T212" s="555"/>
      <c r="U212" s="532"/>
      <c r="V212" s="532"/>
      <c r="W212" s="555"/>
      <c r="X212" s="555"/>
      <c r="Y212" s="555"/>
    </row>
    <row r="213" spans="3:25">
      <c r="C213" s="531"/>
      <c r="D213" s="532"/>
      <c r="E213" s="532"/>
      <c r="F213" s="532"/>
      <c r="G213" s="532"/>
      <c r="H213" s="532"/>
      <c r="I213" s="532"/>
      <c r="J213" s="532"/>
      <c r="K213" s="532"/>
      <c r="L213" s="532"/>
      <c r="M213" s="532"/>
      <c r="O213" s="531"/>
      <c r="P213" s="532"/>
      <c r="Q213" s="532"/>
      <c r="R213" s="532"/>
      <c r="S213" s="532"/>
      <c r="T213" s="532"/>
      <c r="U213" s="532"/>
      <c r="V213" s="532"/>
      <c r="W213" s="532"/>
      <c r="X213" s="532"/>
      <c r="Y213" s="532"/>
    </row>
    <row r="214" spans="3:25" ht="15">
      <c r="C214" s="533" t="s">
        <v>15</v>
      </c>
      <c r="D214" s="533"/>
      <c r="E214" s="533"/>
      <c r="F214" s="533"/>
      <c r="G214" s="533"/>
      <c r="H214" s="533"/>
      <c r="I214" s="533"/>
      <c r="J214" s="533"/>
      <c r="K214" s="533"/>
      <c r="L214" s="533"/>
      <c r="M214" s="533"/>
      <c r="O214" s="533" t="s">
        <v>15</v>
      </c>
      <c r="P214" s="533"/>
      <c r="Q214" s="533"/>
      <c r="R214" s="533"/>
      <c r="S214" s="533"/>
      <c r="T214" s="533"/>
      <c r="U214" s="533"/>
      <c r="V214" s="533"/>
      <c r="W214" s="533"/>
      <c r="X214" s="533"/>
      <c r="Y214" s="533"/>
    </row>
    <row r="215" spans="3:25" ht="28.5">
      <c r="C215" s="531" t="s">
        <v>15</v>
      </c>
      <c r="D215" s="532"/>
      <c r="E215" s="532"/>
      <c r="F215" s="540">
        <v>29.867328213</v>
      </c>
      <c r="G215" s="540">
        <v>29.817828509000002</v>
      </c>
      <c r="H215" s="540">
        <v>28.341847727000001</v>
      </c>
      <c r="I215" s="540"/>
      <c r="J215" s="540"/>
      <c r="K215" s="540">
        <v>323489.73411083198</v>
      </c>
      <c r="L215" s="540">
        <v>322536.83289623301</v>
      </c>
      <c r="M215" s="540">
        <v>294123.23746776598</v>
      </c>
      <c r="O215" s="590" t="s">
        <v>15</v>
      </c>
      <c r="P215" s="532"/>
      <c r="Q215" s="532"/>
      <c r="R215" s="540">
        <v>0</v>
      </c>
      <c r="S215" s="540">
        <v>0</v>
      </c>
      <c r="T215" s="540">
        <v>0</v>
      </c>
      <c r="U215" s="532"/>
      <c r="V215" s="532"/>
      <c r="W215" s="540">
        <v>30422.884119999999</v>
      </c>
      <c r="X215" s="540">
        <v>30406.468949999999</v>
      </c>
      <c r="Y215" s="540">
        <v>30406.468949999999</v>
      </c>
    </row>
    <row r="216" spans="3:25" ht="28.5" hidden="1">
      <c r="C216" s="557" t="s">
        <v>516</v>
      </c>
      <c r="D216" s="532"/>
      <c r="E216" s="532"/>
      <c r="F216" s="540"/>
      <c r="G216" s="540"/>
      <c r="H216" s="540"/>
      <c r="I216" s="540"/>
      <c r="J216" s="540"/>
      <c r="K216" s="540"/>
      <c r="L216" s="540"/>
      <c r="M216" s="540"/>
      <c r="O216" s="531"/>
      <c r="P216" s="532"/>
      <c r="Q216" s="532"/>
      <c r="R216" s="540"/>
      <c r="S216" s="540"/>
      <c r="T216" s="540"/>
      <c r="U216" s="532"/>
      <c r="V216" s="532"/>
      <c r="W216" s="540"/>
      <c r="X216" s="540"/>
      <c r="Y216" s="540"/>
    </row>
    <row r="217" spans="3:25" ht="30">
      <c r="C217" s="581" t="s">
        <v>604</v>
      </c>
      <c r="D217" s="543"/>
      <c r="E217" s="543"/>
      <c r="F217" s="543">
        <f>F215</f>
        <v>29.867328213</v>
      </c>
      <c r="G217" s="543">
        <f>G215</f>
        <v>29.817828509000002</v>
      </c>
      <c r="H217" s="543">
        <f>H215</f>
        <v>28.341847727000001</v>
      </c>
      <c r="I217" s="543"/>
      <c r="J217" s="543"/>
      <c r="K217" s="543">
        <f>K215</f>
        <v>323489.73411083198</v>
      </c>
      <c r="L217" s="543">
        <f>L215</f>
        <v>322536.83289623301</v>
      </c>
      <c r="M217" s="543">
        <f>M215</f>
        <v>294123.23746776598</v>
      </c>
      <c r="N217" s="332"/>
      <c r="O217" s="581" t="s">
        <v>604</v>
      </c>
      <c r="P217" s="543"/>
      <c r="Q217" s="543"/>
      <c r="R217" s="543">
        <f>R215</f>
        <v>0</v>
      </c>
      <c r="S217" s="543">
        <f>S215</f>
        <v>0</v>
      </c>
      <c r="T217" s="543">
        <f>T215</f>
        <v>0</v>
      </c>
      <c r="U217" s="543"/>
      <c r="V217" s="543"/>
      <c r="W217" s="543">
        <f>W215</f>
        <v>30422.884119999999</v>
      </c>
      <c r="X217" s="543">
        <f>X215</f>
        <v>30406.468949999999</v>
      </c>
      <c r="Y217" s="543">
        <f>Y215</f>
        <v>30406.468949999999</v>
      </c>
    </row>
    <row r="218" spans="3:25">
      <c r="C218" s="531"/>
      <c r="D218" s="532"/>
      <c r="E218" s="532"/>
      <c r="F218" s="532"/>
      <c r="G218" s="532"/>
      <c r="H218" s="532"/>
      <c r="I218" s="532"/>
      <c r="J218" s="532"/>
      <c r="K218" s="532"/>
      <c r="L218" s="532"/>
      <c r="M218" s="532"/>
      <c r="O218" s="531"/>
      <c r="P218" s="532"/>
      <c r="Q218" s="532"/>
      <c r="R218" s="532"/>
      <c r="S218" s="532"/>
      <c r="T218" s="532"/>
      <c r="U218" s="532"/>
      <c r="V218" s="532"/>
      <c r="W218" s="532"/>
      <c r="X218" s="532"/>
      <c r="Y218" s="532"/>
    </row>
    <row r="219" spans="3:25" ht="15">
      <c r="C219" s="534" t="s">
        <v>16</v>
      </c>
      <c r="D219" s="534"/>
      <c r="E219" s="533"/>
      <c r="F219" s="533"/>
      <c r="G219" s="533"/>
      <c r="H219" s="533"/>
      <c r="I219" s="533"/>
      <c r="J219" s="533"/>
      <c r="K219" s="533"/>
      <c r="L219" s="533"/>
      <c r="M219" s="533"/>
      <c r="O219" s="534" t="s">
        <v>16</v>
      </c>
      <c r="P219" s="534"/>
      <c r="Q219" s="533"/>
      <c r="R219" s="533"/>
      <c r="S219" s="533"/>
      <c r="T219" s="533"/>
      <c r="U219" s="533"/>
      <c r="V219" s="533"/>
      <c r="W219" s="533"/>
      <c r="X219" s="533"/>
      <c r="Y219" s="533"/>
    </row>
    <row r="220" spans="3:25" ht="28.5">
      <c r="C220" s="531" t="s">
        <v>17</v>
      </c>
      <c r="D220" s="532"/>
      <c r="E220" s="532"/>
      <c r="F220" s="540" t="s">
        <v>582</v>
      </c>
      <c r="G220" s="540" t="s">
        <v>582</v>
      </c>
      <c r="H220" s="540" t="s">
        <v>582</v>
      </c>
      <c r="I220" s="540"/>
      <c r="J220" s="540"/>
      <c r="K220" s="540" t="s">
        <v>582</v>
      </c>
      <c r="L220" s="540" t="s">
        <v>582</v>
      </c>
      <c r="M220" s="540" t="s">
        <v>582</v>
      </c>
      <c r="O220" s="590" t="s">
        <v>17</v>
      </c>
      <c r="P220" s="532"/>
      <c r="Q220" s="532"/>
      <c r="R220" s="540" t="s">
        <v>582</v>
      </c>
      <c r="S220" s="540" t="s">
        <v>582</v>
      </c>
      <c r="T220" s="540" t="s">
        <v>582</v>
      </c>
      <c r="U220" s="532"/>
      <c r="V220" s="532"/>
      <c r="W220" s="540" t="s">
        <v>582</v>
      </c>
      <c r="X220" s="540" t="s">
        <v>582</v>
      </c>
      <c r="Y220" s="540" t="s">
        <v>582</v>
      </c>
    </row>
    <row r="221" spans="3:25" ht="28.5">
      <c r="C221" s="531" t="s">
        <v>18</v>
      </c>
      <c r="D221" s="532"/>
      <c r="E221" s="532"/>
      <c r="F221" s="540" t="s">
        <v>582</v>
      </c>
      <c r="G221" s="540" t="s">
        <v>582</v>
      </c>
      <c r="H221" s="540" t="s">
        <v>582</v>
      </c>
      <c r="I221" s="540"/>
      <c r="J221" s="540"/>
      <c r="K221" s="540" t="s">
        <v>582</v>
      </c>
      <c r="L221" s="540" t="s">
        <v>582</v>
      </c>
      <c r="M221" s="540" t="s">
        <v>582</v>
      </c>
      <c r="O221" s="590" t="s">
        <v>18</v>
      </c>
      <c r="P221" s="532"/>
      <c r="Q221" s="532"/>
      <c r="R221" s="540">
        <v>25</v>
      </c>
      <c r="S221" s="540">
        <v>25</v>
      </c>
      <c r="T221" s="540">
        <v>25</v>
      </c>
      <c r="U221" s="532"/>
      <c r="V221" s="532"/>
      <c r="W221" s="540">
        <v>128400</v>
      </c>
      <c r="X221" s="540">
        <v>128400</v>
      </c>
      <c r="Y221" s="540">
        <v>128400</v>
      </c>
    </row>
    <row r="222" spans="3:25">
      <c r="C222" s="531" t="s">
        <v>19</v>
      </c>
      <c r="D222" s="532"/>
      <c r="E222" s="532"/>
      <c r="F222" s="540">
        <v>0</v>
      </c>
      <c r="G222" s="540">
        <v>0</v>
      </c>
      <c r="H222" s="540">
        <v>0</v>
      </c>
      <c r="I222" s="540"/>
      <c r="J222" s="540"/>
      <c r="K222" s="540">
        <v>0</v>
      </c>
      <c r="L222" s="540">
        <v>0</v>
      </c>
      <c r="M222" s="540">
        <v>0</v>
      </c>
      <c r="O222" s="590" t="s">
        <v>19</v>
      </c>
      <c r="P222" s="532"/>
      <c r="Q222" s="532"/>
      <c r="R222" s="540">
        <v>0</v>
      </c>
      <c r="S222" s="540">
        <v>0</v>
      </c>
      <c r="T222" s="540">
        <v>0</v>
      </c>
      <c r="U222" s="532"/>
      <c r="V222" s="532"/>
      <c r="W222" s="540">
        <v>0</v>
      </c>
      <c r="X222" s="540">
        <v>0</v>
      </c>
      <c r="Y222" s="540">
        <v>0</v>
      </c>
    </row>
    <row r="223" spans="3:25" ht="28.5">
      <c r="C223" s="531" t="s">
        <v>20</v>
      </c>
      <c r="D223" s="532"/>
      <c r="E223" s="532"/>
      <c r="F223" s="540">
        <v>0</v>
      </c>
      <c r="G223" s="540">
        <v>0</v>
      </c>
      <c r="H223" s="540">
        <v>0</v>
      </c>
      <c r="I223" s="540"/>
      <c r="J223" s="540"/>
      <c r="K223" s="540">
        <v>0</v>
      </c>
      <c r="L223" s="540">
        <v>0</v>
      </c>
      <c r="M223" s="540">
        <v>0</v>
      </c>
      <c r="O223" s="590" t="s">
        <v>20</v>
      </c>
      <c r="P223" s="532"/>
      <c r="Q223" s="532"/>
      <c r="R223" s="540">
        <v>0</v>
      </c>
      <c r="S223" s="540">
        <v>0</v>
      </c>
      <c r="T223" s="540">
        <v>0</v>
      </c>
      <c r="U223" s="532"/>
      <c r="V223" s="532"/>
      <c r="W223" s="540">
        <v>0</v>
      </c>
      <c r="X223" s="540">
        <v>0</v>
      </c>
      <c r="Y223" s="540">
        <v>0</v>
      </c>
    </row>
    <row r="224" spans="3:25">
      <c r="C224" s="531" t="s">
        <v>105</v>
      </c>
      <c r="D224" s="532"/>
      <c r="E224" s="532"/>
      <c r="F224" s="540">
        <v>0</v>
      </c>
      <c r="G224" s="540">
        <v>0</v>
      </c>
      <c r="H224" s="540">
        <v>0</v>
      </c>
      <c r="I224" s="540"/>
      <c r="J224" s="540"/>
      <c r="K224" s="540">
        <v>0</v>
      </c>
      <c r="L224" s="540">
        <v>0</v>
      </c>
      <c r="M224" s="540">
        <v>0</v>
      </c>
      <c r="O224" s="590" t="s">
        <v>105</v>
      </c>
      <c r="P224" s="532"/>
      <c r="Q224" s="532"/>
      <c r="R224" s="540">
        <v>0</v>
      </c>
      <c r="S224" s="540">
        <v>0</v>
      </c>
      <c r="T224" s="540">
        <v>0</v>
      </c>
      <c r="U224" s="532"/>
      <c r="V224" s="532"/>
      <c r="W224" s="540">
        <v>0</v>
      </c>
      <c r="X224" s="540">
        <v>0</v>
      </c>
      <c r="Y224" s="540">
        <v>0</v>
      </c>
    </row>
    <row r="225" spans="3:25" ht="28.5" hidden="1">
      <c r="C225" s="557" t="s">
        <v>516</v>
      </c>
      <c r="D225" s="532"/>
      <c r="E225" s="532"/>
      <c r="F225" s="540"/>
      <c r="G225" s="540"/>
      <c r="H225" s="540"/>
      <c r="I225" s="540"/>
      <c r="J225" s="540"/>
      <c r="K225" s="540"/>
      <c r="L225" s="540"/>
      <c r="M225" s="540"/>
      <c r="O225" s="531"/>
      <c r="P225" s="532"/>
      <c r="Q225" s="532"/>
      <c r="R225" s="540"/>
      <c r="S225" s="540"/>
      <c r="T225" s="540"/>
      <c r="U225" s="532"/>
      <c r="V225" s="532"/>
      <c r="W225" s="540"/>
      <c r="X225" s="540"/>
      <c r="Y225" s="540"/>
    </row>
    <row r="226" spans="3:25" ht="30">
      <c r="C226" s="581" t="s">
        <v>605</v>
      </c>
      <c r="D226" s="543"/>
      <c r="E226" s="543"/>
      <c r="F226" s="543">
        <f>SUM(F220:F224)</f>
        <v>0</v>
      </c>
      <c r="G226" s="543">
        <f>SUM(G220:G224)</f>
        <v>0</v>
      </c>
      <c r="H226" s="543">
        <f>SUM(H220:H224)</f>
        <v>0</v>
      </c>
      <c r="I226" s="543"/>
      <c r="J226" s="543"/>
      <c r="K226" s="543">
        <f>SUM(K220:K224)</f>
        <v>0</v>
      </c>
      <c r="L226" s="543">
        <f>SUM(L220:L224)</f>
        <v>0</v>
      </c>
      <c r="M226" s="543">
        <f>SUM(M220:M224)</f>
        <v>0</v>
      </c>
      <c r="N226" s="332"/>
      <c r="O226" s="581" t="s">
        <v>16</v>
      </c>
      <c r="P226" s="543"/>
      <c r="Q226" s="543"/>
      <c r="R226" s="543">
        <f>SUM(R220:R224)</f>
        <v>25</v>
      </c>
      <c r="S226" s="543">
        <f>SUM(S220:S224)</f>
        <v>25</v>
      </c>
      <c r="T226" s="543">
        <f>SUM(T220:T224)</f>
        <v>25</v>
      </c>
      <c r="U226" s="543"/>
      <c r="V226" s="543"/>
      <c r="W226" s="543">
        <f>SUM(W220:W224)</f>
        <v>128400</v>
      </c>
      <c r="X226" s="543">
        <f>SUM(X220:X224)</f>
        <v>128400</v>
      </c>
      <c r="Y226" s="543">
        <f>SUM(Y220:Y224)</f>
        <v>128400</v>
      </c>
    </row>
    <row r="227" spans="3:25">
      <c r="C227" s="523"/>
      <c r="D227" s="155"/>
      <c r="E227" s="500"/>
      <c r="F227" s="500"/>
      <c r="G227" s="500"/>
      <c r="H227" s="500"/>
      <c r="I227" s="500"/>
      <c r="J227" s="500"/>
      <c r="K227" s="500"/>
      <c r="L227" s="500"/>
      <c r="M227" s="500"/>
      <c r="O227" s="523"/>
      <c r="P227" s="155"/>
      <c r="Q227" s="500"/>
      <c r="R227" s="500"/>
      <c r="S227" s="500"/>
      <c r="T227" s="500"/>
      <c r="U227" s="155"/>
      <c r="V227" s="500"/>
      <c r="W227" s="500"/>
      <c r="X227" s="500"/>
      <c r="Y227" s="500"/>
    </row>
    <row r="228" spans="3:25" ht="15">
      <c r="C228" s="525" t="s">
        <v>106</v>
      </c>
      <c r="D228" s="525"/>
      <c r="E228" s="525"/>
      <c r="F228" s="525"/>
      <c r="G228" s="525"/>
      <c r="H228" s="525"/>
      <c r="I228" s="525"/>
      <c r="J228" s="525"/>
      <c r="K228" s="525"/>
      <c r="L228" s="525"/>
      <c r="M228" s="525"/>
      <c r="O228" s="525" t="s">
        <v>106</v>
      </c>
      <c r="P228" s="525"/>
      <c r="Q228" s="525"/>
      <c r="R228" s="525"/>
      <c r="S228" s="525"/>
      <c r="T228" s="525"/>
      <c r="U228" s="525"/>
      <c r="V228" s="525"/>
      <c r="W228" s="525"/>
      <c r="X228" s="525"/>
      <c r="Y228" s="525"/>
    </row>
    <row r="229" spans="3:25">
      <c r="C229" s="523" t="s">
        <v>108</v>
      </c>
      <c r="D229" s="536"/>
      <c r="E229" s="536"/>
      <c r="F229" s="540">
        <v>0</v>
      </c>
      <c r="G229" s="540">
        <v>0</v>
      </c>
      <c r="H229" s="540">
        <v>0</v>
      </c>
      <c r="I229" s="540"/>
      <c r="J229" s="540"/>
      <c r="K229" s="540">
        <v>0</v>
      </c>
      <c r="L229" s="540">
        <v>0</v>
      </c>
      <c r="M229" s="540">
        <v>0</v>
      </c>
      <c r="O229" s="568" t="s">
        <v>108</v>
      </c>
      <c r="P229" s="536"/>
      <c r="Q229" s="536"/>
      <c r="R229" s="540">
        <v>0</v>
      </c>
      <c r="S229" s="540">
        <v>0</v>
      </c>
      <c r="T229" s="540">
        <v>0</v>
      </c>
      <c r="U229" s="536"/>
      <c r="V229" s="536"/>
      <c r="W229" s="540">
        <v>0</v>
      </c>
      <c r="X229" s="540">
        <v>0</v>
      </c>
      <c r="Y229" s="540">
        <v>0</v>
      </c>
    </row>
    <row r="230" spans="3:25">
      <c r="C230" s="523" t="s">
        <v>107</v>
      </c>
      <c r="D230" s="536"/>
      <c r="E230" s="536"/>
      <c r="F230" s="540">
        <v>0</v>
      </c>
      <c r="G230" s="540">
        <v>0</v>
      </c>
      <c r="H230" s="540">
        <v>0</v>
      </c>
      <c r="I230" s="540"/>
      <c r="J230" s="540"/>
      <c r="K230" s="540">
        <v>0</v>
      </c>
      <c r="L230" s="540">
        <v>0</v>
      </c>
      <c r="M230" s="540">
        <v>0</v>
      </c>
      <c r="O230" s="568" t="s">
        <v>107</v>
      </c>
      <c r="P230" s="536"/>
      <c r="Q230" s="536"/>
      <c r="R230" s="540">
        <v>0</v>
      </c>
      <c r="S230" s="540">
        <v>0</v>
      </c>
      <c r="T230" s="540">
        <v>0</v>
      </c>
      <c r="U230" s="536"/>
      <c r="V230" s="536"/>
      <c r="W230" s="540">
        <v>0</v>
      </c>
      <c r="X230" s="540">
        <v>0</v>
      </c>
      <c r="Y230" s="540">
        <v>0</v>
      </c>
    </row>
    <row r="231" spans="3:25" ht="28.5" hidden="1">
      <c r="C231" s="557" t="s">
        <v>516</v>
      </c>
      <c r="D231" s="536"/>
      <c r="E231" s="536"/>
      <c r="F231" s="540"/>
      <c r="G231" s="540"/>
      <c r="H231" s="540"/>
      <c r="I231" s="540"/>
      <c r="J231" s="540"/>
      <c r="K231" s="540"/>
      <c r="L231" s="540"/>
      <c r="M231" s="540"/>
      <c r="O231" s="523"/>
      <c r="P231" s="536"/>
      <c r="Q231" s="536"/>
      <c r="R231" s="540"/>
      <c r="S231" s="540"/>
      <c r="T231" s="540"/>
      <c r="U231" s="536"/>
      <c r="V231" s="536"/>
      <c r="W231" s="540"/>
      <c r="X231" s="540"/>
      <c r="Y231" s="540"/>
    </row>
    <row r="232" spans="3:25" ht="15">
      <c r="C232" s="581" t="s">
        <v>612</v>
      </c>
      <c r="D232" s="543"/>
      <c r="E232" s="543"/>
      <c r="F232" s="543">
        <f>SUM(F229:F230)</f>
        <v>0</v>
      </c>
      <c r="G232" s="543">
        <f>SUM(G229:G230)</f>
        <v>0</v>
      </c>
      <c r="H232" s="543">
        <f>SUM(H229:H230)</f>
        <v>0</v>
      </c>
      <c r="I232" s="543"/>
      <c r="J232" s="543"/>
      <c r="K232" s="543">
        <v>0</v>
      </c>
      <c r="L232" s="543">
        <v>0</v>
      </c>
      <c r="M232" s="543">
        <v>0</v>
      </c>
      <c r="N232" s="332"/>
      <c r="O232" s="581" t="s">
        <v>612</v>
      </c>
      <c r="P232" s="543"/>
      <c r="Q232" s="543"/>
      <c r="R232" s="543">
        <f>SUM(R229:R230)</f>
        <v>0</v>
      </c>
      <c r="S232" s="543">
        <f>SUM(S229:S230)</f>
        <v>0</v>
      </c>
      <c r="T232" s="543">
        <f>SUM(T229:T230)</f>
        <v>0</v>
      </c>
      <c r="U232" s="543"/>
      <c r="V232" s="543"/>
      <c r="W232" s="543">
        <f>SUM(W229:W230)</f>
        <v>0</v>
      </c>
      <c r="X232" s="543">
        <f>SUM(X229:X230)</f>
        <v>0</v>
      </c>
      <c r="Y232" s="543">
        <f>SUM(Y229:Y230)</f>
        <v>0</v>
      </c>
    </row>
    <row r="233" spans="3:25" ht="15">
      <c r="H233" s="535"/>
      <c r="I233" s="535"/>
      <c r="J233" s="535"/>
      <c r="K233" s="535"/>
      <c r="L233" s="535"/>
      <c r="M233" s="535"/>
      <c r="O233" s="544"/>
      <c r="P233" s="544"/>
      <c r="Q233" s="544"/>
      <c r="R233" s="544"/>
      <c r="S233" s="544"/>
      <c r="T233" s="544"/>
      <c r="U233" s="544"/>
      <c r="V233" s="544"/>
      <c r="W233" s="544"/>
      <c r="X233" s="544"/>
      <c r="Y233" s="544"/>
    </row>
    <row r="234" spans="3:25" ht="15">
      <c r="C234" s="581" t="s">
        <v>606</v>
      </c>
      <c r="D234" s="543"/>
      <c r="E234" s="543"/>
      <c r="F234" s="543">
        <f>SUM(F178:F233)/2</f>
        <v>1716.4433100310382</v>
      </c>
      <c r="G234" s="543">
        <f>SUM(G178:G233)/2</f>
        <v>1699.4974271840383</v>
      </c>
      <c r="H234" s="543">
        <f>SUM(H178:H233)/2</f>
        <v>1657.9395734960385</v>
      </c>
      <c r="I234" s="543"/>
      <c r="J234" s="543"/>
      <c r="K234" s="543">
        <f>SUM(K178:K233)/2</f>
        <v>7551484.2088346872</v>
      </c>
      <c r="L234" s="543">
        <f>SUM(L178:L233)/2</f>
        <v>7470474.1818701662</v>
      </c>
      <c r="M234" s="543">
        <f>SUM(M178:M233)/2</f>
        <v>7209060.8786147805</v>
      </c>
      <c r="N234" s="332"/>
      <c r="O234" s="581" t="s">
        <v>606</v>
      </c>
      <c r="P234" s="543"/>
      <c r="Q234" s="543"/>
      <c r="R234" s="543">
        <f>SUM(R178:R233)/2</f>
        <v>348.96843906000004</v>
      </c>
      <c r="S234" s="543">
        <f>SUM(S178:S233)/2</f>
        <v>327.59243906</v>
      </c>
      <c r="T234" s="543">
        <f>SUM(T178:T233)/2</f>
        <v>327.40994105999999</v>
      </c>
      <c r="U234" s="543"/>
      <c r="V234" s="543"/>
      <c r="W234" s="543">
        <f>SUM(W178:W233)/2</f>
        <v>2491760.4032602096</v>
      </c>
      <c r="X234" s="543">
        <f>SUM(X178:X233)/2</f>
        <v>2056116.9881002102</v>
      </c>
      <c r="Y234" s="543">
        <f>SUM(Y178:Y233)/2</f>
        <v>2045577.2957902104</v>
      </c>
    </row>
    <row r="235" spans="3:25" ht="15">
      <c r="C235" s="537"/>
      <c r="D235" s="538"/>
      <c r="E235" s="538"/>
      <c r="F235" s="538"/>
      <c r="G235" s="538"/>
      <c r="H235" s="538"/>
      <c r="I235" s="538"/>
      <c r="J235" s="538"/>
      <c r="K235" s="538"/>
      <c r="L235" s="538"/>
      <c r="M235" s="538"/>
      <c r="O235" s="537"/>
      <c r="P235" s="538"/>
      <c r="Q235" s="538"/>
      <c r="R235" s="538"/>
      <c r="S235" s="538"/>
      <c r="T235" s="538"/>
      <c r="U235" s="538"/>
      <c r="V235" s="538"/>
      <c r="W235" s="538"/>
      <c r="X235" s="538"/>
      <c r="Y235" s="538"/>
    </row>
    <row r="236" spans="3:25" ht="15">
      <c r="C236" s="537"/>
      <c r="D236" s="538"/>
      <c r="E236" s="538"/>
      <c r="F236" s="538"/>
      <c r="G236" s="538"/>
      <c r="H236" s="538"/>
      <c r="I236" s="538"/>
      <c r="J236" s="538"/>
      <c r="K236" s="538"/>
      <c r="L236" s="538"/>
      <c r="M236" s="538"/>
      <c r="O236" s="537"/>
      <c r="P236" s="538"/>
      <c r="Q236" s="538"/>
      <c r="R236" s="538"/>
      <c r="S236" s="538"/>
      <c r="T236" s="538"/>
      <c r="U236" s="538"/>
      <c r="V236" s="538"/>
      <c r="W236" s="538"/>
      <c r="X236" s="538"/>
      <c r="Y236" s="538"/>
    </row>
    <row r="237" spans="3:25" ht="15">
      <c r="G237" s="538"/>
      <c r="H237" s="538"/>
      <c r="I237" s="538"/>
      <c r="J237" s="538"/>
      <c r="K237" s="538"/>
      <c r="L237" s="538"/>
      <c r="M237" s="538"/>
      <c r="O237" s="521"/>
      <c r="P237" s="521"/>
    </row>
    <row r="238" spans="3:25">
      <c r="H238" s="542"/>
      <c r="I238" s="542"/>
      <c r="J238" s="542"/>
      <c r="K238" s="542"/>
      <c r="L238" s="542"/>
      <c r="M238" s="542"/>
      <c r="O238" s="521"/>
      <c r="P238" s="521"/>
    </row>
    <row r="239" spans="3:25" ht="15">
      <c r="C239" s="526" t="s">
        <v>506</v>
      </c>
      <c r="D239" s="526"/>
      <c r="E239" s="526"/>
      <c r="F239" s="527"/>
      <c r="G239" s="527"/>
      <c r="H239" s="542"/>
      <c r="I239" s="542"/>
      <c r="J239" s="542"/>
      <c r="K239" s="542"/>
      <c r="L239" s="542"/>
      <c r="M239" s="542"/>
      <c r="O239" s="526" t="s">
        <v>527</v>
      </c>
      <c r="P239" s="526"/>
      <c r="Q239" s="526"/>
      <c r="R239" s="527"/>
      <c r="S239" s="527"/>
      <c r="T239" s="527"/>
      <c r="U239" s="526"/>
      <c r="V239" s="526"/>
      <c r="W239" s="527"/>
      <c r="X239" s="527"/>
      <c r="Y239" s="527"/>
    </row>
    <row r="240" spans="3:25">
      <c r="C240" s="527"/>
      <c r="D240" s="527"/>
      <c r="E240" s="527"/>
      <c r="F240" s="527"/>
      <c r="G240" s="527"/>
      <c r="H240" s="542"/>
      <c r="I240" s="542"/>
      <c r="J240" s="542"/>
      <c r="K240" s="542"/>
      <c r="L240" s="542"/>
      <c r="M240" s="542"/>
      <c r="O240" s="527"/>
      <c r="P240" s="527"/>
      <c r="Q240" s="527"/>
      <c r="R240" s="527"/>
      <c r="S240" s="527"/>
      <c r="T240" s="527"/>
      <c r="U240" s="527"/>
      <c r="V240" s="527"/>
      <c r="W240" s="527"/>
      <c r="X240" s="527"/>
      <c r="Y240" s="527"/>
    </row>
    <row r="241" spans="3:25" ht="15">
      <c r="C241" s="764" t="s">
        <v>0</v>
      </c>
      <c r="D241" s="766" t="s">
        <v>501</v>
      </c>
      <c r="E241" s="767"/>
      <c r="F241" s="767"/>
      <c r="G241" s="767"/>
      <c r="H241" s="767"/>
      <c r="I241" s="767" t="s">
        <v>502</v>
      </c>
      <c r="J241" s="767"/>
      <c r="K241" s="767"/>
      <c r="L241" s="767"/>
      <c r="M241" s="768"/>
      <c r="N241" s="552"/>
      <c r="O241" s="764" t="s">
        <v>0</v>
      </c>
      <c r="P241" s="772" t="s">
        <v>501</v>
      </c>
      <c r="Q241" s="773"/>
      <c r="R241" s="773"/>
      <c r="S241" s="773"/>
      <c r="T241" s="774"/>
      <c r="U241" s="772" t="s">
        <v>502</v>
      </c>
      <c r="V241" s="773"/>
      <c r="W241" s="773"/>
      <c r="X241" s="773"/>
      <c r="Y241" s="774"/>
    </row>
    <row r="242" spans="3:25" ht="15">
      <c r="C242" s="765"/>
      <c r="D242" s="554">
        <v>2012</v>
      </c>
      <c r="E242" s="554">
        <v>2013</v>
      </c>
      <c r="F242" s="554">
        <v>2014</v>
      </c>
      <c r="G242" s="554">
        <v>2015</v>
      </c>
      <c r="H242" s="554">
        <v>2016</v>
      </c>
      <c r="I242" s="554">
        <v>2012</v>
      </c>
      <c r="J242" s="554">
        <v>2013</v>
      </c>
      <c r="K242" s="554">
        <v>2014</v>
      </c>
      <c r="L242" s="554">
        <v>2015</v>
      </c>
      <c r="M242" s="554">
        <v>2016</v>
      </c>
      <c r="N242" s="552"/>
      <c r="O242" s="765"/>
      <c r="P242" s="551">
        <v>2012</v>
      </c>
      <c r="Q242" s="551">
        <v>2013</v>
      </c>
      <c r="R242" s="551">
        <v>2014</v>
      </c>
      <c r="S242" s="551">
        <v>2015</v>
      </c>
      <c r="T242" s="551">
        <v>2016</v>
      </c>
      <c r="U242" s="551">
        <v>2012</v>
      </c>
      <c r="V242" s="551">
        <v>2013</v>
      </c>
      <c r="W242" s="551">
        <v>2014</v>
      </c>
      <c r="X242" s="551">
        <v>2015</v>
      </c>
      <c r="Y242" s="551">
        <v>2016</v>
      </c>
    </row>
    <row r="243" spans="3:25" ht="15">
      <c r="C243" s="528" t="s">
        <v>1</v>
      </c>
      <c r="D243" s="528"/>
      <c r="E243" s="528"/>
      <c r="F243" s="528"/>
      <c r="G243" s="528"/>
      <c r="H243" s="528"/>
      <c r="I243" s="528"/>
      <c r="J243" s="528"/>
      <c r="K243" s="528"/>
      <c r="L243" s="528"/>
      <c r="M243" s="528"/>
      <c r="O243" s="528" t="s">
        <v>1</v>
      </c>
      <c r="P243" s="528"/>
      <c r="Q243" s="528"/>
      <c r="R243" s="528"/>
      <c r="S243" s="528"/>
      <c r="T243" s="528"/>
      <c r="U243" s="528"/>
      <c r="V243" s="528"/>
      <c r="W243" s="528"/>
      <c r="X243" s="528"/>
      <c r="Y243" s="528"/>
    </row>
    <row r="244" spans="3:25">
      <c r="C244" s="529" t="s">
        <v>2</v>
      </c>
      <c r="D244" s="530"/>
      <c r="E244" s="530"/>
      <c r="F244" s="540"/>
      <c r="G244" s="540">
        <v>17.476668526582305</v>
      </c>
      <c r="H244" s="540">
        <v>17.476668526582305</v>
      </c>
      <c r="I244" s="530"/>
      <c r="J244" s="530"/>
      <c r="K244" s="530"/>
      <c r="L244" s="540">
        <v>118339.78091338358</v>
      </c>
      <c r="M244" s="540">
        <v>118339.78091338358</v>
      </c>
      <c r="O244" s="589" t="s">
        <v>2</v>
      </c>
      <c r="P244" s="530"/>
      <c r="Q244" s="530"/>
      <c r="R244" s="540"/>
      <c r="S244" s="540">
        <v>0</v>
      </c>
      <c r="T244" s="540">
        <v>0</v>
      </c>
      <c r="U244" s="530"/>
      <c r="V244" s="530"/>
      <c r="W244" s="540"/>
      <c r="X244" s="540">
        <v>0</v>
      </c>
      <c r="Y244" s="540">
        <v>0</v>
      </c>
    </row>
    <row r="245" spans="3:25">
      <c r="C245" s="531" t="s">
        <v>3</v>
      </c>
      <c r="D245" s="532"/>
      <c r="E245" s="532"/>
      <c r="F245" s="540"/>
      <c r="G245" s="540">
        <v>28.79997977</v>
      </c>
      <c r="H245" s="540">
        <v>28.79997977</v>
      </c>
      <c r="I245" s="530"/>
      <c r="J245" s="530"/>
      <c r="K245" s="530"/>
      <c r="L245" s="540">
        <v>51352.143040000003</v>
      </c>
      <c r="M245" s="540">
        <v>51352.143040000003</v>
      </c>
      <c r="O245" s="590" t="s">
        <v>3</v>
      </c>
      <c r="P245" s="532"/>
      <c r="Q245" s="532"/>
      <c r="R245" s="540"/>
      <c r="S245" s="540">
        <v>0</v>
      </c>
      <c r="T245" s="540">
        <v>0</v>
      </c>
      <c r="U245" s="532"/>
      <c r="V245" s="532"/>
      <c r="W245" s="540"/>
      <c r="X245" s="540">
        <v>0</v>
      </c>
      <c r="Y245" s="540">
        <v>0</v>
      </c>
    </row>
    <row r="246" spans="3:25">
      <c r="C246" s="531" t="s">
        <v>4</v>
      </c>
      <c r="D246" s="532"/>
      <c r="E246" s="532"/>
      <c r="F246" s="540"/>
      <c r="G246" s="540">
        <v>604.072949945</v>
      </c>
      <c r="H246" s="540">
        <v>604.072949945</v>
      </c>
      <c r="I246" s="530"/>
      <c r="J246" s="530"/>
      <c r="K246" s="530"/>
      <c r="L246" s="540">
        <v>1119473.7531839998</v>
      </c>
      <c r="M246" s="540">
        <v>1119473.7531839998</v>
      </c>
      <c r="O246" s="590" t="s">
        <v>4</v>
      </c>
      <c r="P246" s="532"/>
      <c r="Q246" s="532"/>
      <c r="R246" s="540"/>
      <c r="S246" s="540">
        <v>0</v>
      </c>
      <c r="T246" s="540">
        <v>0</v>
      </c>
      <c r="U246" s="532"/>
      <c r="V246" s="532"/>
      <c r="W246" s="540"/>
      <c r="X246" s="540">
        <v>0</v>
      </c>
      <c r="Y246" s="540">
        <v>0</v>
      </c>
    </row>
    <row r="247" spans="3:25" ht="28.5">
      <c r="C247" s="531" t="s">
        <v>5</v>
      </c>
      <c r="D247" s="532"/>
      <c r="E247" s="532"/>
      <c r="F247" s="540"/>
      <c r="G247" s="540">
        <v>49.409197319999997</v>
      </c>
      <c r="H247" s="540">
        <v>48.019700280000002</v>
      </c>
      <c r="I247" s="530"/>
      <c r="J247" s="530"/>
      <c r="K247" s="530"/>
      <c r="L247" s="540">
        <v>662303.56330000004</v>
      </c>
      <c r="M247" s="540">
        <v>640142.66520000005</v>
      </c>
      <c r="O247" s="590" t="s">
        <v>5</v>
      </c>
      <c r="P247" s="532"/>
      <c r="Q247" s="532"/>
      <c r="R247" s="540"/>
      <c r="S247" s="540">
        <v>0</v>
      </c>
      <c r="T247" s="540">
        <v>0</v>
      </c>
      <c r="U247" s="532"/>
      <c r="V247" s="532"/>
      <c r="W247" s="540"/>
      <c r="X247" s="540">
        <v>0</v>
      </c>
      <c r="Y247" s="540">
        <v>0</v>
      </c>
    </row>
    <row r="248" spans="3:25">
      <c r="C248" s="531" t="s">
        <v>6</v>
      </c>
      <c r="D248" s="532"/>
      <c r="E248" s="532"/>
      <c r="F248" s="540"/>
      <c r="G248" s="540">
        <v>165.1696819</v>
      </c>
      <c r="H248" s="540">
        <v>152.63529639999999</v>
      </c>
      <c r="I248" s="530"/>
      <c r="J248" s="530"/>
      <c r="K248" s="530"/>
      <c r="L248" s="540">
        <v>2508163.537</v>
      </c>
      <c r="M248" s="540">
        <v>2308499.236</v>
      </c>
      <c r="O248" s="590" t="s">
        <v>6</v>
      </c>
      <c r="P248" s="532"/>
      <c r="Q248" s="532"/>
      <c r="R248" s="540"/>
      <c r="S248" s="540">
        <v>0</v>
      </c>
      <c r="T248" s="540">
        <v>0</v>
      </c>
      <c r="U248" s="532"/>
      <c r="V248" s="532"/>
      <c r="W248" s="540"/>
      <c r="X248" s="540">
        <v>0</v>
      </c>
      <c r="Y248" s="540">
        <v>0</v>
      </c>
    </row>
    <row r="249" spans="3:25">
      <c r="C249" s="531" t="s">
        <v>610</v>
      </c>
      <c r="D249" s="532"/>
      <c r="E249" s="532"/>
      <c r="F249" s="540"/>
      <c r="G249" s="540" t="s">
        <v>582</v>
      </c>
      <c r="H249" s="540" t="s">
        <v>582</v>
      </c>
      <c r="I249" s="530"/>
      <c r="J249" s="530"/>
      <c r="K249" s="530"/>
      <c r="L249" s="540" t="s">
        <v>582</v>
      </c>
      <c r="M249" s="540" t="s">
        <v>582</v>
      </c>
      <c r="O249" s="590" t="s">
        <v>610</v>
      </c>
      <c r="P249" s="532"/>
      <c r="Q249" s="532"/>
      <c r="R249" s="540"/>
      <c r="S249" s="540">
        <v>0</v>
      </c>
      <c r="T249" s="540">
        <v>0</v>
      </c>
      <c r="U249" s="532"/>
      <c r="V249" s="532"/>
      <c r="W249" s="540"/>
      <c r="X249" s="540">
        <v>0</v>
      </c>
      <c r="Y249" s="540">
        <v>0</v>
      </c>
    </row>
    <row r="250" spans="3:25" ht="28.5">
      <c r="C250" s="531" t="s">
        <v>33</v>
      </c>
      <c r="D250" s="532"/>
      <c r="E250" s="532"/>
      <c r="F250" s="540"/>
      <c r="G250" s="540">
        <v>0</v>
      </c>
      <c r="H250" s="540">
        <v>0</v>
      </c>
      <c r="I250" s="530"/>
      <c r="J250" s="530"/>
      <c r="K250" s="530"/>
      <c r="L250" s="540">
        <v>0</v>
      </c>
      <c r="M250" s="540">
        <v>0</v>
      </c>
      <c r="O250" s="590" t="s">
        <v>33</v>
      </c>
      <c r="P250" s="532"/>
      <c r="Q250" s="532"/>
      <c r="R250" s="540"/>
      <c r="S250" s="540">
        <v>0</v>
      </c>
      <c r="T250" s="540">
        <v>0</v>
      </c>
      <c r="U250" s="532"/>
      <c r="V250" s="532"/>
      <c r="W250" s="540"/>
      <c r="X250" s="540">
        <v>0</v>
      </c>
      <c r="Y250" s="540">
        <v>0</v>
      </c>
    </row>
    <row r="251" spans="3:25" ht="28.5">
      <c r="C251" s="531" t="s">
        <v>26</v>
      </c>
      <c r="D251" s="532"/>
      <c r="E251" s="532"/>
      <c r="F251" s="540"/>
      <c r="G251" s="540" t="s">
        <v>582</v>
      </c>
      <c r="H251" s="540" t="s">
        <v>582</v>
      </c>
      <c r="I251" s="530"/>
      <c r="J251" s="530"/>
      <c r="K251" s="530"/>
      <c r="L251" s="540" t="s">
        <v>582</v>
      </c>
      <c r="M251" s="540" t="s">
        <v>582</v>
      </c>
      <c r="O251" s="590" t="s">
        <v>26</v>
      </c>
      <c r="P251" s="532"/>
      <c r="Q251" s="532"/>
      <c r="R251" s="540"/>
      <c r="S251" s="540">
        <v>0</v>
      </c>
      <c r="T251" s="540">
        <v>0</v>
      </c>
      <c r="U251" s="532"/>
      <c r="V251" s="532"/>
      <c r="W251" s="540"/>
      <c r="X251" s="540">
        <v>0</v>
      </c>
      <c r="Y251" s="540">
        <v>0</v>
      </c>
    </row>
    <row r="252" spans="3:25" ht="28.5">
      <c r="C252" s="531" t="s">
        <v>8</v>
      </c>
      <c r="D252" s="532"/>
      <c r="E252" s="532"/>
      <c r="F252" s="540"/>
      <c r="G252" s="540">
        <v>1.5231500899999999</v>
      </c>
      <c r="H252" s="540">
        <v>1.5231500899999999</v>
      </c>
      <c r="I252" s="530"/>
      <c r="J252" s="530"/>
      <c r="K252" s="530"/>
      <c r="L252" s="540">
        <v>8242.2805520000002</v>
      </c>
      <c r="M252" s="540">
        <v>8242.2805520000002</v>
      </c>
      <c r="O252" s="590" t="s">
        <v>8</v>
      </c>
      <c r="P252" s="532"/>
      <c r="Q252" s="532"/>
      <c r="R252" s="540"/>
      <c r="S252" s="540">
        <v>0</v>
      </c>
      <c r="T252" s="540">
        <v>0</v>
      </c>
      <c r="U252" s="532"/>
      <c r="V252" s="532"/>
      <c r="W252" s="540"/>
      <c r="X252" s="540">
        <v>0</v>
      </c>
      <c r="Y252" s="540">
        <v>0</v>
      </c>
    </row>
    <row r="253" spans="3:25" ht="28.5" hidden="1">
      <c r="C253" s="557" t="s">
        <v>517</v>
      </c>
      <c r="D253" s="532"/>
      <c r="E253" s="532"/>
      <c r="F253" s="540"/>
      <c r="G253" s="540"/>
      <c r="H253" s="540"/>
      <c r="I253" s="530"/>
      <c r="J253" s="530"/>
      <c r="K253" s="530"/>
      <c r="L253" s="540"/>
      <c r="M253" s="540"/>
      <c r="O253" s="531"/>
      <c r="P253" s="532"/>
      <c r="Q253" s="532"/>
      <c r="R253" s="540"/>
      <c r="S253" s="540"/>
      <c r="T253" s="540"/>
      <c r="U253" s="532"/>
      <c r="V253" s="532"/>
      <c r="W253" s="540"/>
      <c r="X253" s="540"/>
      <c r="Y253" s="540"/>
    </row>
    <row r="254" spans="3:25" ht="30">
      <c r="C254" s="581" t="s">
        <v>600</v>
      </c>
      <c r="D254" s="543"/>
      <c r="E254" s="543"/>
      <c r="F254" s="543"/>
      <c r="G254" s="543">
        <f>SUM(G244:G252)</f>
        <v>866.45162755158219</v>
      </c>
      <c r="H254" s="543">
        <f>SUM(H244:H252)</f>
        <v>852.52774501158228</v>
      </c>
      <c r="I254" s="543"/>
      <c r="J254" s="543"/>
      <c r="K254" s="543"/>
      <c r="L254" s="543">
        <f>SUM(L244:L252)</f>
        <v>4467875.0579893831</v>
      </c>
      <c r="M254" s="543">
        <f>SUM(M244:M252)</f>
        <v>4246049.8588893833</v>
      </c>
      <c r="N254" s="332"/>
      <c r="O254" s="581" t="s">
        <v>600</v>
      </c>
      <c r="P254" s="543"/>
      <c r="Q254" s="543"/>
      <c r="R254" s="543"/>
      <c r="S254" s="543">
        <f>SUM(S244:S252)</f>
        <v>0</v>
      </c>
      <c r="T254" s="543">
        <f>SUM(T244:T252)</f>
        <v>0</v>
      </c>
      <c r="U254" s="543"/>
      <c r="V254" s="543"/>
      <c r="W254" s="543"/>
      <c r="X254" s="543">
        <f>SUM(X244:X252)</f>
        <v>0</v>
      </c>
      <c r="Y254" s="543">
        <f>SUM(Y244:Y252)</f>
        <v>0</v>
      </c>
    </row>
    <row r="255" spans="3:25" ht="28.5" hidden="1">
      <c r="C255" s="557" t="s">
        <v>517</v>
      </c>
      <c r="D255" s="532"/>
      <c r="E255" s="532"/>
      <c r="F255" s="555"/>
      <c r="G255" s="555"/>
      <c r="H255" s="540"/>
      <c r="I255" s="535"/>
      <c r="J255" s="535"/>
      <c r="K255" s="535"/>
      <c r="L255" s="540"/>
      <c r="M255" s="540"/>
      <c r="O255" s="531"/>
      <c r="P255" s="532"/>
      <c r="Q255" s="532"/>
      <c r="R255" s="555"/>
      <c r="S255" s="555"/>
      <c r="T255" s="555"/>
      <c r="U255" s="532"/>
      <c r="V255" s="532"/>
      <c r="W255" s="555"/>
      <c r="X255" s="555"/>
      <c r="Y255" s="555"/>
    </row>
    <row r="256" spans="3:25">
      <c r="C256" s="531"/>
      <c r="D256" s="532"/>
      <c r="E256" s="532"/>
      <c r="F256" s="532"/>
      <c r="G256" s="532"/>
      <c r="H256" s="535"/>
      <c r="I256" s="535"/>
      <c r="J256" s="535"/>
      <c r="K256" s="535"/>
      <c r="L256" s="535"/>
      <c r="M256" s="535"/>
      <c r="O256" s="531"/>
      <c r="P256" s="532"/>
      <c r="Q256" s="532"/>
      <c r="R256" s="532"/>
      <c r="S256" s="532"/>
      <c r="T256" s="532"/>
      <c r="U256" s="532"/>
      <c r="V256" s="532"/>
      <c r="W256" s="532"/>
      <c r="X256" s="532"/>
      <c r="Y256" s="532"/>
    </row>
    <row r="257" spans="3:25" ht="15">
      <c r="C257" s="533" t="s">
        <v>9</v>
      </c>
      <c r="D257" s="533"/>
      <c r="E257" s="533"/>
      <c r="F257" s="533"/>
      <c r="G257" s="533"/>
      <c r="H257" s="534"/>
      <c r="I257" s="534"/>
      <c r="J257" s="534"/>
      <c r="K257" s="534"/>
      <c r="L257" s="534"/>
      <c r="M257" s="534"/>
      <c r="O257" s="533" t="s">
        <v>9</v>
      </c>
      <c r="P257" s="533"/>
      <c r="Q257" s="533"/>
      <c r="R257" s="533"/>
      <c r="S257" s="533"/>
      <c r="T257" s="533"/>
      <c r="U257" s="533"/>
      <c r="V257" s="533"/>
      <c r="W257" s="533"/>
      <c r="X257" s="533"/>
      <c r="Y257" s="533"/>
    </row>
    <row r="258" spans="3:25">
      <c r="C258" s="531" t="s">
        <v>27</v>
      </c>
      <c r="D258" s="532"/>
      <c r="E258" s="532"/>
      <c r="F258" s="540"/>
      <c r="G258" s="540">
        <v>1547.9553940000001</v>
      </c>
      <c r="H258" s="540">
        <v>1547.9553940000001</v>
      </c>
      <c r="I258" s="530"/>
      <c r="J258" s="530"/>
      <c r="K258" s="530"/>
      <c r="L258" s="540">
        <f>11000239.31-'8. Street lighting'!D6</f>
        <v>10460359.550000001</v>
      </c>
      <c r="M258" s="540">
        <f>11000239.31-'8. Street lighting'!D6</f>
        <v>10460359.550000001</v>
      </c>
      <c r="O258" s="590" t="s">
        <v>27</v>
      </c>
      <c r="P258" s="532"/>
      <c r="Q258" s="532"/>
      <c r="R258" s="540"/>
      <c r="S258" s="540">
        <v>0</v>
      </c>
      <c r="T258" s="540">
        <v>0</v>
      </c>
      <c r="U258" s="532"/>
      <c r="V258" s="532"/>
      <c r="W258" s="540"/>
      <c r="X258" s="540">
        <v>0</v>
      </c>
      <c r="Y258" s="540">
        <v>0</v>
      </c>
    </row>
    <row r="259" spans="3:25">
      <c r="C259" s="531" t="s">
        <v>25</v>
      </c>
      <c r="D259" s="532"/>
      <c r="E259" s="532"/>
      <c r="F259" s="540"/>
      <c r="G259" s="540">
        <v>402.91324550000002</v>
      </c>
      <c r="H259" s="540">
        <v>366.00415040000001</v>
      </c>
      <c r="I259" s="530"/>
      <c r="J259" s="530"/>
      <c r="K259" s="530"/>
      <c r="L259" s="540">
        <v>1462473.763</v>
      </c>
      <c r="M259" s="540">
        <v>1323295.575</v>
      </c>
      <c r="O259" s="590" t="s">
        <v>25</v>
      </c>
      <c r="P259" s="532"/>
      <c r="Q259" s="532"/>
      <c r="R259" s="540"/>
      <c r="S259" s="540">
        <v>0</v>
      </c>
      <c r="T259" s="540">
        <v>0</v>
      </c>
      <c r="U259" s="532"/>
      <c r="V259" s="532"/>
      <c r="W259" s="540"/>
      <c r="X259" s="540">
        <v>0</v>
      </c>
      <c r="Y259" s="540">
        <v>0</v>
      </c>
    </row>
    <row r="260" spans="3:25">
      <c r="C260" s="531" t="s">
        <v>28</v>
      </c>
      <c r="D260" s="532"/>
      <c r="E260" s="532"/>
      <c r="F260" s="540"/>
      <c r="G260" s="540" t="s">
        <v>582</v>
      </c>
      <c r="H260" s="540" t="s">
        <v>582</v>
      </c>
      <c r="I260" s="530"/>
      <c r="J260" s="530"/>
      <c r="K260" s="530"/>
      <c r="L260" s="540" t="s">
        <v>582</v>
      </c>
      <c r="M260" s="540" t="s">
        <v>582</v>
      </c>
      <c r="O260" s="590" t="s">
        <v>28</v>
      </c>
      <c r="P260" s="532"/>
      <c r="Q260" s="532"/>
      <c r="R260" s="540"/>
      <c r="S260" s="540">
        <v>0</v>
      </c>
      <c r="T260" s="540">
        <v>0</v>
      </c>
      <c r="U260" s="532"/>
      <c r="V260" s="532"/>
      <c r="W260" s="540"/>
      <c r="X260" s="540">
        <v>0</v>
      </c>
      <c r="Y260" s="540">
        <v>0</v>
      </c>
    </row>
    <row r="261" spans="3:25">
      <c r="C261" s="531" t="s">
        <v>29</v>
      </c>
      <c r="D261" s="532"/>
      <c r="E261" s="532"/>
      <c r="F261" s="540"/>
      <c r="G261" s="540">
        <v>3.3517746399999999</v>
      </c>
      <c r="H261" s="540">
        <v>3.3517746399999999</v>
      </c>
      <c r="I261" s="530"/>
      <c r="J261" s="530"/>
      <c r="K261" s="530"/>
      <c r="L261" s="540">
        <v>16509.95061</v>
      </c>
      <c r="M261" s="540">
        <v>16509.95061</v>
      </c>
      <c r="O261" s="590" t="s">
        <v>29</v>
      </c>
      <c r="P261" s="532"/>
      <c r="Q261" s="532"/>
      <c r="R261" s="540"/>
      <c r="S261" s="540">
        <v>0</v>
      </c>
      <c r="T261" s="540">
        <v>0</v>
      </c>
      <c r="U261" s="532"/>
      <c r="V261" s="532"/>
      <c r="W261" s="540"/>
      <c r="X261" s="540">
        <v>0</v>
      </c>
      <c r="Y261" s="540">
        <v>0</v>
      </c>
    </row>
    <row r="262" spans="3:25">
      <c r="C262" s="531" t="s">
        <v>23</v>
      </c>
      <c r="D262" s="532"/>
      <c r="E262" s="532"/>
      <c r="F262" s="540"/>
      <c r="G262" s="540">
        <v>120.30237459999999</v>
      </c>
      <c r="H262" s="540">
        <v>120.30237459999999</v>
      </c>
      <c r="I262" s="530"/>
      <c r="J262" s="530"/>
      <c r="K262" s="530"/>
      <c r="L262" s="540">
        <v>587462.13049999997</v>
      </c>
      <c r="M262" s="540">
        <v>587462.13049999997</v>
      </c>
      <c r="O262" s="590" t="s">
        <v>23</v>
      </c>
      <c r="P262" s="532"/>
      <c r="Q262" s="532"/>
      <c r="R262" s="540"/>
      <c r="S262" s="540">
        <v>0</v>
      </c>
      <c r="T262" s="540">
        <v>0</v>
      </c>
      <c r="U262" s="532"/>
      <c r="V262" s="532"/>
      <c r="W262" s="540"/>
      <c r="X262" s="540">
        <v>0</v>
      </c>
      <c r="Y262" s="540">
        <v>0</v>
      </c>
    </row>
    <row r="263" spans="3:25" ht="42.75">
      <c r="C263" s="531" t="s">
        <v>611</v>
      </c>
      <c r="D263" s="532"/>
      <c r="E263" s="532"/>
      <c r="F263" s="540"/>
      <c r="G263" s="540">
        <v>0</v>
      </c>
      <c r="H263" s="540">
        <v>0</v>
      </c>
      <c r="I263" s="530"/>
      <c r="J263" s="530"/>
      <c r="K263" s="530"/>
      <c r="L263" s="540">
        <v>0</v>
      </c>
      <c r="M263" s="540">
        <v>0</v>
      </c>
      <c r="O263" s="590" t="s">
        <v>611</v>
      </c>
      <c r="P263" s="532"/>
      <c r="Q263" s="532"/>
      <c r="R263" s="540"/>
      <c r="S263" s="540">
        <v>0</v>
      </c>
      <c r="T263" s="540">
        <v>0</v>
      </c>
      <c r="U263" s="532"/>
      <c r="V263" s="532"/>
      <c r="W263" s="540"/>
      <c r="X263" s="540">
        <v>0</v>
      </c>
      <c r="Y263" s="540">
        <v>0</v>
      </c>
    </row>
    <row r="264" spans="3:25" ht="28.5">
      <c r="C264" s="531" t="s">
        <v>31</v>
      </c>
      <c r="D264" s="532"/>
      <c r="E264" s="532"/>
      <c r="F264" s="540"/>
      <c r="G264" s="540" t="s">
        <v>582</v>
      </c>
      <c r="H264" s="540" t="s">
        <v>582</v>
      </c>
      <c r="I264" s="530"/>
      <c r="J264" s="530"/>
      <c r="K264" s="530"/>
      <c r="L264" s="540" t="s">
        <v>582</v>
      </c>
      <c r="M264" s="540" t="s">
        <v>582</v>
      </c>
      <c r="O264" s="590" t="s">
        <v>31</v>
      </c>
      <c r="P264" s="532"/>
      <c r="Q264" s="532"/>
      <c r="R264" s="540"/>
      <c r="S264" s="540">
        <v>0</v>
      </c>
      <c r="T264" s="540">
        <v>0</v>
      </c>
      <c r="U264" s="532"/>
      <c r="V264" s="532"/>
      <c r="W264" s="540"/>
      <c r="X264" s="540">
        <v>0</v>
      </c>
      <c r="Y264" s="540">
        <v>0</v>
      </c>
    </row>
    <row r="265" spans="3:25">
      <c r="C265" s="531" t="s">
        <v>10</v>
      </c>
      <c r="D265" s="532"/>
      <c r="E265" s="532"/>
      <c r="F265" s="540"/>
      <c r="G265" s="540">
        <v>0</v>
      </c>
      <c r="H265" s="540">
        <v>0</v>
      </c>
      <c r="I265" s="530"/>
      <c r="J265" s="530"/>
      <c r="K265" s="530"/>
      <c r="L265" s="540">
        <v>0</v>
      </c>
      <c r="M265" s="540">
        <v>0</v>
      </c>
      <c r="O265" s="590" t="s">
        <v>10</v>
      </c>
      <c r="P265" s="532"/>
      <c r="Q265" s="532"/>
      <c r="R265" s="540"/>
      <c r="S265" s="540">
        <v>0</v>
      </c>
      <c r="T265" s="540">
        <v>0</v>
      </c>
      <c r="U265" s="532"/>
      <c r="V265" s="532"/>
      <c r="W265" s="540"/>
      <c r="X265" s="540">
        <v>0</v>
      </c>
      <c r="Y265" s="540">
        <v>0</v>
      </c>
    </row>
    <row r="266" spans="3:25" ht="28.5" hidden="1">
      <c r="C266" s="557" t="s">
        <v>517</v>
      </c>
      <c r="D266" s="532"/>
      <c r="E266" s="532"/>
      <c r="F266" s="540"/>
      <c r="G266" s="540"/>
      <c r="H266" s="540"/>
      <c r="I266" s="530"/>
      <c r="J266" s="530"/>
      <c r="K266" s="530"/>
      <c r="L266" s="540"/>
      <c r="M266" s="540"/>
      <c r="O266" s="531"/>
      <c r="P266" s="532"/>
      <c r="Q266" s="532"/>
      <c r="R266" s="540"/>
      <c r="S266" s="540"/>
      <c r="T266" s="540"/>
      <c r="U266" s="532"/>
      <c r="V266" s="532"/>
      <c r="W266" s="540"/>
      <c r="X266" s="540"/>
      <c r="Y266" s="540"/>
    </row>
    <row r="267" spans="3:25" ht="15">
      <c r="C267" s="581" t="s">
        <v>602</v>
      </c>
      <c r="D267" s="543"/>
      <c r="E267" s="543"/>
      <c r="F267" s="543"/>
      <c r="G267" s="543">
        <f>SUM(G258:G265)</f>
        <v>2074.5227887400001</v>
      </c>
      <c r="H267" s="543">
        <f>SUM(H258:H265)</f>
        <v>2037.6136936400001</v>
      </c>
      <c r="I267" s="543"/>
      <c r="J267" s="543"/>
      <c r="K267" s="543"/>
      <c r="L267" s="543">
        <f>SUM(L258:L265)</f>
        <v>12526805.394110002</v>
      </c>
      <c r="M267" s="543">
        <f>SUM(M258:M265)</f>
        <v>12387627.206110001</v>
      </c>
      <c r="N267" s="332"/>
      <c r="O267" s="581" t="s">
        <v>602</v>
      </c>
      <c r="P267" s="543"/>
      <c r="Q267" s="543"/>
      <c r="R267" s="543"/>
      <c r="S267" s="543">
        <v>0</v>
      </c>
      <c r="T267" s="543">
        <v>0</v>
      </c>
      <c r="U267" s="543"/>
      <c r="V267" s="543"/>
      <c r="W267" s="543"/>
      <c r="X267" s="543">
        <v>0</v>
      </c>
      <c r="Y267" s="543">
        <v>0</v>
      </c>
    </row>
    <row r="268" spans="3:25" ht="28.5" hidden="1">
      <c r="C268" s="557" t="s">
        <v>517</v>
      </c>
      <c r="D268" s="532"/>
      <c r="E268" s="532"/>
      <c r="F268" s="555"/>
      <c r="G268" s="555"/>
      <c r="H268" s="540"/>
      <c r="I268" s="535"/>
      <c r="J268" s="535"/>
      <c r="K268" s="535"/>
      <c r="L268" s="540"/>
      <c r="M268" s="540"/>
      <c r="O268" s="531"/>
      <c r="P268" s="532"/>
      <c r="Q268" s="532"/>
      <c r="R268" s="555"/>
      <c r="S268" s="555"/>
      <c r="T268" s="555"/>
      <c r="U268" s="532"/>
      <c r="V268" s="532"/>
      <c r="W268" s="555"/>
      <c r="X268" s="555"/>
      <c r="Y268" s="555"/>
    </row>
    <row r="269" spans="3:25">
      <c r="C269" s="531"/>
      <c r="D269" s="532"/>
      <c r="E269" s="532"/>
      <c r="F269" s="532"/>
      <c r="G269" s="532"/>
      <c r="H269" s="535"/>
      <c r="I269" s="535"/>
      <c r="J269" s="535"/>
      <c r="K269" s="535"/>
      <c r="L269" s="535"/>
      <c r="M269" s="535"/>
      <c r="O269" s="531"/>
      <c r="P269" s="532"/>
      <c r="Q269" s="532"/>
      <c r="R269" s="532"/>
      <c r="S269" s="532"/>
      <c r="T269" s="532"/>
      <c r="U269" s="532"/>
      <c r="V269" s="532"/>
      <c r="W269" s="532"/>
      <c r="X269" s="532"/>
      <c r="Y269" s="532"/>
    </row>
    <row r="270" spans="3:25" ht="15">
      <c r="C270" s="533" t="s">
        <v>11</v>
      </c>
      <c r="D270" s="533"/>
      <c r="E270" s="533"/>
      <c r="F270" s="533"/>
      <c r="G270" s="533"/>
      <c r="H270" s="534"/>
      <c r="I270" s="534"/>
      <c r="J270" s="534"/>
      <c r="K270" s="534"/>
      <c r="L270" s="534"/>
      <c r="M270" s="534"/>
      <c r="O270" s="533" t="s">
        <v>11</v>
      </c>
      <c r="P270" s="533"/>
      <c r="Q270" s="533"/>
      <c r="R270" s="533"/>
      <c r="S270" s="533"/>
      <c r="T270" s="533"/>
      <c r="U270" s="533"/>
      <c r="V270" s="533"/>
      <c r="W270" s="533"/>
      <c r="X270" s="533"/>
      <c r="Y270" s="533"/>
    </row>
    <row r="271" spans="3:25" ht="28.5">
      <c r="C271" s="531" t="s">
        <v>12</v>
      </c>
      <c r="D271" s="532"/>
      <c r="E271" s="532"/>
      <c r="F271" s="540"/>
      <c r="G271" s="540" t="s">
        <v>582</v>
      </c>
      <c r="H271" s="540" t="s">
        <v>582</v>
      </c>
      <c r="I271" s="530"/>
      <c r="J271" s="530"/>
      <c r="K271" s="530"/>
      <c r="L271" s="540" t="s">
        <v>582</v>
      </c>
      <c r="M271" s="540" t="s">
        <v>582</v>
      </c>
      <c r="O271" s="590" t="s">
        <v>12</v>
      </c>
      <c r="P271" s="532"/>
      <c r="Q271" s="532"/>
      <c r="R271" s="540"/>
      <c r="S271" s="540">
        <v>0</v>
      </c>
      <c r="T271" s="540">
        <v>0</v>
      </c>
      <c r="U271" s="532"/>
      <c r="V271" s="532"/>
      <c r="W271" s="540"/>
      <c r="X271" s="540">
        <v>0</v>
      </c>
      <c r="Y271" s="540">
        <v>0</v>
      </c>
    </row>
    <row r="272" spans="3:25">
      <c r="C272" s="531" t="s">
        <v>13</v>
      </c>
      <c r="D272" s="532"/>
      <c r="E272" s="532"/>
      <c r="F272" s="540"/>
      <c r="G272" s="540" t="s">
        <v>582</v>
      </c>
      <c r="H272" s="540" t="s">
        <v>582</v>
      </c>
      <c r="I272" s="530"/>
      <c r="J272" s="530"/>
      <c r="K272" s="530"/>
      <c r="L272" s="540" t="s">
        <v>582</v>
      </c>
      <c r="M272" s="540" t="s">
        <v>582</v>
      </c>
      <c r="O272" s="590" t="s">
        <v>13</v>
      </c>
      <c r="P272" s="532"/>
      <c r="Q272" s="532"/>
      <c r="R272" s="540"/>
      <c r="S272" s="540">
        <v>0</v>
      </c>
      <c r="T272" s="540">
        <v>0</v>
      </c>
      <c r="U272" s="532"/>
      <c r="V272" s="532"/>
      <c r="W272" s="540"/>
      <c r="X272" s="540">
        <v>0</v>
      </c>
      <c r="Y272" s="540">
        <v>0</v>
      </c>
    </row>
    <row r="273" spans="3:25">
      <c r="C273" s="531" t="s">
        <v>14</v>
      </c>
      <c r="D273" s="532"/>
      <c r="E273" s="532"/>
      <c r="F273" s="540"/>
      <c r="G273" s="540">
        <v>129.93156540000001</v>
      </c>
      <c r="H273" s="540">
        <v>129.93156540000001</v>
      </c>
      <c r="I273" s="530"/>
      <c r="J273" s="530"/>
      <c r="K273" s="530"/>
      <c r="L273" s="540">
        <v>1208675.5677</v>
      </c>
      <c r="M273" s="540">
        <v>1208675.5677</v>
      </c>
      <c r="O273" s="590" t="s">
        <v>14</v>
      </c>
      <c r="P273" s="532"/>
      <c r="Q273" s="532"/>
      <c r="R273" s="540"/>
      <c r="S273" s="540">
        <v>0</v>
      </c>
      <c r="T273" s="540">
        <v>0</v>
      </c>
      <c r="U273" s="532"/>
      <c r="V273" s="532"/>
      <c r="W273" s="540"/>
      <c r="X273" s="540">
        <v>0</v>
      </c>
      <c r="Y273" s="540">
        <v>0</v>
      </c>
    </row>
    <row r="274" spans="3:25">
      <c r="C274" s="531" t="s">
        <v>27</v>
      </c>
      <c r="D274" s="532"/>
      <c r="E274" s="532"/>
      <c r="F274" s="540"/>
      <c r="G274" s="540" t="s">
        <v>582</v>
      </c>
      <c r="H274" s="540" t="s">
        <v>582</v>
      </c>
      <c r="I274" s="530"/>
      <c r="J274" s="530"/>
      <c r="K274" s="530"/>
      <c r="L274" s="540" t="s">
        <v>582</v>
      </c>
      <c r="M274" s="540" t="s">
        <v>582</v>
      </c>
      <c r="O274" s="590" t="s">
        <v>27</v>
      </c>
      <c r="P274" s="532"/>
      <c r="Q274" s="532"/>
      <c r="R274" s="540"/>
      <c r="S274" s="540">
        <v>0</v>
      </c>
      <c r="T274" s="540">
        <v>0</v>
      </c>
      <c r="U274" s="532"/>
      <c r="V274" s="532"/>
      <c r="W274" s="540"/>
      <c r="X274" s="540">
        <v>0</v>
      </c>
      <c r="Y274" s="540">
        <v>0</v>
      </c>
    </row>
    <row r="275" spans="3:25">
      <c r="C275" s="531" t="s">
        <v>10</v>
      </c>
      <c r="D275" s="532"/>
      <c r="E275" s="532"/>
      <c r="F275" s="540"/>
      <c r="G275" s="540">
        <v>0</v>
      </c>
      <c r="H275" s="540">
        <v>0</v>
      </c>
      <c r="I275" s="530"/>
      <c r="J275" s="530"/>
      <c r="K275" s="530"/>
      <c r="L275" s="540">
        <v>0</v>
      </c>
      <c r="M275" s="540">
        <v>0</v>
      </c>
      <c r="O275" s="590" t="s">
        <v>10</v>
      </c>
      <c r="P275" s="532"/>
      <c r="Q275" s="532"/>
      <c r="R275" s="540"/>
      <c r="S275" s="540">
        <v>0</v>
      </c>
      <c r="T275" s="540">
        <v>0</v>
      </c>
      <c r="U275" s="532"/>
      <c r="V275" s="532"/>
      <c r="W275" s="540"/>
      <c r="X275" s="540">
        <v>0</v>
      </c>
      <c r="Y275" s="540">
        <v>0</v>
      </c>
    </row>
    <row r="276" spans="3:25" ht="28.5" hidden="1">
      <c r="C276" s="557" t="s">
        <v>517</v>
      </c>
      <c r="D276" s="532"/>
      <c r="E276" s="532"/>
      <c r="F276" s="540"/>
      <c r="G276" s="540"/>
      <c r="H276" s="540"/>
      <c r="I276" s="530"/>
      <c r="J276" s="530"/>
      <c r="K276" s="530"/>
      <c r="L276" s="540"/>
      <c r="M276" s="540"/>
      <c r="O276" s="531"/>
      <c r="P276" s="532"/>
      <c r="Q276" s="532"/>
      <c r="R276" s="540"/>
      <c r="S276" s="540"/>
      <c r="T276" s="540"/>
      <c r="U276" s="532"/>
      <c r="V276" s="532"/>
      <c r="W276" s="540"/>
      <c r="X276" s="540"/>
      <c r="Y276" s="540"/>
    </row>
    <row r="277" spans="3:25" ht="15">
      <c r="C277" s="581" t="s">
        <v>603</v>
      </c>
      <c r="D277" s="543"/>
      <c r="E277" s="543"/>
      <c r="F277" s="543"/>
      <c r="G277" s="543">
        <f>SUM(G271:G275)</f>
        <v>129.93156540000001</v>
      </c>
      <c r="H277" s="543">
        <f>SUM(H271:H275)</f>
        <v>129.93156540000001</v>
      </c>
      <c r="I277" s="543"/>
      <c r="J277" s="543"/>
      <c r="K277" s="543"/>
      <c r="L277" s="543">
        <f>SUM(L271:L275)</f>
        <v>1208675.5677</v>
      </c>
      <c r="M277" s="543">
        <f>SUM(M271:M275)</f>
        <v>1208675.5677</v>
      </c>
      <c r="N277" s="332"/>
      <c r="O277" s="581" t="s">
        <v>603</v>
      </c>
      <c r="P277" s="543"/>
      <c r="Q277" s="543"/>
      <c r="R277" s="543"/>
      <c r="S277" s="543">
        <f>SUM(S271:S275)</f>
        <v>0</v>
      </c>
      <c r="T277" s="543">
        <f>SUM(T271:T275)</f>
        <v>0</v>
      </c>
      <c r="U277" s="543"/>
      <c r="V277" s="543"/>
      <c r="W277" s="543"/>
      <c r="X277" s="543">
        <f>SUM(X271:X275)</f>
        <v>0</v>
      </c>
      <c r="Y277" s="543">
        <f>SUM(Y271:Y275)</f>
        <v>0</v>
      </c>
    </row>
    <row r="278" spans="3:25" ht="28.5" hidden="1">
      <c r="C278" s="557" t="s">
        <v>517</v>
      </c>
      <c r="D278" s="532"/>
      <c r="E278" s="532"/>
      <c r="F278" s="555"/>
      <c r="G278" s="555"/>
      <c r="H278" s="540"/>
      <c r="I278" s="535"/>
      <c r="J278" s="535"/>
      <c r="K278" s="535"/>
      <c r="L278" s="540"/>
      <c r="M278" s="540"/>
      <c r="O278" s="531"/>
      <c r="P278" s="532"/>
      <c r="Q278" s="532"/>
      <c r="R278" s="555"/>
      <c r="S278" s="555"/>
      <c r="T278" s="555"/>
      <c r="U278" s="532"/>
      <c r="V278" s="532"/>
      <c r="W278" s="555"/>
      <c r="X278" s="555"/>
      <c r="Y278" s="555"/>
    </row>
    <row r="279" spans="3:25">
      <c r="C279" s="531"/>
      <c r="D279" s="532"/>
      <c r="E279" s="532"/>
      <c r="F279" s="532"/>
      <c r="G279" s="532"/>
      <c r="H279" s="535"/>
      <c r="I279" s="535"/>
      <c r="J279" s="535"/>
      <c r="K279" s="535"/>
      <c r="L279" s="535"/>
      <c r="M279" s="535"/>
      <c r="O279" s="531"/>
      <c r="P279" s="532"/>
      <c r="Q279" s="532"/>
      <c r="R279" s="532"/>
      <c r="S279" s="532"/>
      <c r="T279" s="532"/>
      <c r="U279" s="532"/>
      <c r="V279" s="532"/>
      <c r="W279" s="532"/>
      <c r="X279" s="532"/>
      <c r="Y279" s="532"/>
    </row>
    <row r="280" spans="3:25" ht="15">
      <c r="C280" s="533" t="s">
        <v>15</v>
      </c>
      <c r="D280" s="533"/>
      <c r="E280" s="533"/>
      <c r="F280" s="533"/>
      <c r="G280" s="533"/>
      <c r="H280" s="534"/>
      <c r="I280" s="534"/>
      <c r="J280" s="534"/>
      <c r="K280" s="534"/>
      <c r="L280" s="534"/>
      <c r="M280" s="534"/>
      <c r="O280" s="533" t="s">
        <v>15</v>
      </c>
      <c r="P280" s="533"/>
      <c r="Q280" s="533"/>
      <c r="R280" s="533"/>
      <c r="S280" s="533"/>
      <c r="T280" s="533"/>
      <c r="U280" s="533"/>
      <c r="V280" s="533"/>
      <c r="W280" s="533"/>
      <c r="X280" s="533"/>
      <c r="Y280" s="533"/>
    </row>
    <row r="281" spans="3:25" ht="28.5">
      <c r="C281" s="531" t="s">
        <v>15</v>
      </c>
      <c r="D281" s="532"/>
      <c r="E281" s="532"/>
      <c r="F281" s="540"/>
      <c r="G281" s="540">
        <v>39.656006550000001</v>
      </c>
      <c r="H281" s="540">
        <v>37.86565238</v>
      </c>
      <c r="I281" s="530"/>
      <c r="J281" s="530"/>
      <c r="K281" s="530"/>
      <c r="L281" s="540">
        <v>403604.0613</v>
      </c>
      <c r="M281" s="540">
        <v>369261.46600000001</v>
      </c>
      <c r="O281" s="590" t="s">
        <v>15</v>
      </c>
      <c r="P281" s="532"/>
      <c r="Q281" s="532"/>
      <c r="R281" s="540"/>
      <c r="S281" s="540">
        <v>0</v>
      </c>
      <c r="T281" s="540">
        <v>0</v>
      </c>
      <c r="U281" s="532"/>
      <c r="V281" s="532"/>
      <c r="W281" s="540"/>
      <c r="X281" s="540">
        <v>0</v>
      </c>
      <c r="Y281" s="540">
        <v>0</v>
      </c>
    </row>
    <row r="282" spans="3:25" ht="28.5" hidden="1">
      <c r="C282" s="557" t="s">
        <v>517</v>
      </c>
      <c r="D282" s="532"/>
      <c r="E282" s="532"/>
      <c r="F282" s="540"/>
      <c r="G282" s="540"/>
      <c r="H282" s="540"/>
      <c r="I282" s="530"/>
      <c r="J282" s="530"/>
      <c r="K282" s="530"/>
      <c r="L282" s="540"/>
      <c r="M282" s="540"/>
      <c r="O282" s="531"/>
      <c r="P282" s="532"/>
      <c r="Q282" s="532"/>
      <c r="R282" s="540"/>
      <c r="S282" s="540"/>
      <c r="T282" s="540"/>
      <c r="U282" s="532"/>
      <c r="V282" s="532"/>
      <c r="W282" s="540"/>
      <c r="X282" s="540"/>
      <c r="Y282" s="540"/>
    </row>
    <row r="283" spans="3:25" ht="30">
      <c r="C283" s="581" t="s">
        <v>604</v>
      </c>
      <c r="D283" s="543"/>
      <c r="E283" s="543"/>
      <c r="F283" s="543"/>
      <c r="G283" s="543">
        <f>G281</f>
        <v>39.656006550000001</v>
      </c>
      <c r="H283" s="543">
        <f>H281</f>
        <v>37.86565238</v>
      </c>
      <c r="I283" s="543"/>
      <c r="J283" s="543"/>
      <c r="K283" s="543"/>
      <c r="L283" s="543">
        <f>L281</f>
        <v>403604.0613</v>
      </c>
      <c r="M283" s="543">
        <f>M281</f>
        <v>369261.46600000001</v>
      </c>
      <c r="N283" s="332"/>
      <c r="O283" s="581" t="s">
        <v>604</v>
      </c>
      <c r="P283" s="543"/>
      <c r="Q283" s="543"/>
      <c r="R283" s="543"/>
      <c r="S283" s="543">
        <f>S281</f>
        <v>0</v>
      </c>
      <c r="T283" s="543">
        <f>T281</f>
        <v>0</v>
      </c>
      <c r="U283" s="543"/>
      <c r="V283" s="543"/>
      <c r="W283" s="543"/>
      <c r="X283" s="543">
        <f>X281</f>
        <v>0</v>
      </c>
      <c r="Y283" s="543">
        <f>Y281</f>
        <v>0</v>
      </c>
    </row>
    <row r="284" spans="3:25">
      <c r="C284" s="531"/>
      <c r="D284" s="532"/>
      <c r="E284" s="532"/>
      <c r="F284" s="532"/>
      <c r="G284" s="532"/>
      <c r="H284" s="535"/>
      <c r="I284" s="535"/>
      <c r="J284" s="535"/>
      <c r="K284" s="535"/>
      <c r="L284" s="535"/>
      <c r="M284" s="535"/>
      <c r="O284" s="531"/>
      <c r="P284" s="532"/>
      <c r="Q284" s="532"/>
      <c r="R284" s="532"/>
      <c r="S284" s="532"/>
      <c r="T284" s="532"/>
      <c r="U284" s="532"/>
      <c r="V284" s="532"/>
      <c r="W284" s="532"/>
      <c r="X284" s="532"/>
      <c r="Y284" s="532"/>
    </row>
    <row r="285" spans="3:25" ht="15">
      <c r="C285" s="534" t="s">
        <v>16</v>
      </c>
      <c r="D285" s="534"/>
      <c r="E285" s="533"/>
      <c r="F285" s="533"/>
      <c r="G285" s="533"/>
      <c r="H285" s="534"/>
      <c r="I285" s="534"/>
      <c r="J285" s="534"/>
      <c r="K285" s="534"/>
      <c r="L285" s="534"/>
      <c r="M285" s="534"/>
      <c r="O285" s="534" t="s">
        <v>16</v>
      </c>
      <c r="P285" s="534"/>
      <c r="Q285" s="533"/>
      <c r="R285" s="533"/>
      <c r="S285" s="533"/>
      <c r="T285" s="533"/>
      <c r="U285" s="533"/>
      <c r="V285" s="533"/>
      <c r="W285" s="533"/>
      <c r="X285" s="533"/>
      <c r="Y285" s="533"/>
    </row>
    <row r="286" spans="3:25" ht="28.5">
      <c r="C286" s="531" t="s">
        <v>17</v>
      </c>
      <c r="D286" s="532"/>
      <c r="E286" s="532"/>
      <c r="F286" s="540"/>
      <c r="G286" s="540">
        <v>0</v>
      </c>
      <c r="H286" s="540">
        <v>0</v>
      </c>
      <c r="I286" s="530"/>
      <c r="J286" s="530"/>
      <c r="K286" s="530"/>
      <c r="L286" s="540">
        <v>0</v>
      </c>
      <c r="M286" s="540">
        <v>0</v>
      </c>
      <c r="O286" s="590" t="s">
        <v>17</v>
      </c>
      <c r="P286" s="532"/>
      <c r="Q286" s="532"/>
      <c r="R286" s="540"/>
      <c r="S286" s="540">
        <v>0</v>
      </c>
      <c r="T286" s="540">
        <v>0</v>
      </c>
      <c r="U286" s="532"/>
      <c r="V286" s="532"/>
      <c r="W286" s="540"/>
      <c r="X286" s="540">
        <v>0</v>
      </c>
      <c r="Y286" s="540">
        <v>0</v>
      </c>
    </row>
    <row r="287" spans="3:25" ht="28.5">
      <c r="C287" s="531" t="s">
        <v>18</v>
      </c>
      <c r="D287" s="532"/>
      <c r="E287" s="532"/>
      <c r="F287" s="540"/>
      <c r="G287" s="540">
        <v>0</v>
      </c>
      <c r="H287" s="540">
        <v>0</v>
      </c>
      <c r="I287" s="530"/>
      <c r="J287" s="530"/>
      <c r="K287" s="530"/>
      <c r="L287" s="540">
        <v>0</v>
      </c>
      <c r="M287" s="540">
        <v>0</v>
      </c>
      <c r="O287" s="590" t="s">
        <v>18</v>
      </c>
      <c r="P287" s="532"/>
      <c r="Q287" s="532"/>
      <c r="R287" s="540"/>
      <c r="S287" s="540">
        <v>0</v>
      </c>
      <c r="T287" s="540">
        <v>0</v>
      </c>
      <c r="U287" s="532"/>
      <c r="V287" s="532"/>
      <c r="W287" s="540"/>
      <c r="X287" s="540">
        <v>0</v>
      </c>
      <c r="Y287" s="540">
        <v>0</v>
      </c>
    </row>
    <row r="288" spans="3:25">
      <c r="C288" s="531" t="s">
        <v>19</v>
      </c>
      <c r="D288" s="532"/>
      <c r="E288" s="532"/>
      <c r="F288" s="540"/>
      <c r="G288" s="540">
        <v>0</v>
      </c>
      <c r="H288" s="540">
        <v>0</v>
      </c>
      <c r="I288" s="530"/>
      <c r="J288" s="530"/>
      <c r="K288" s="530"/>
      <c r="L288" s="540">
        <v>0</v>
      </c>
      <c r="M288" s="540">
        <v>0</v>
      </c>
      <c r="O288" s="590" t="s">
        <v>19</v>
      </c>
      <c r="P288" s="532"/>
      <c r="Q288" s="532"/>
      <c r="R288" s="540"/>
      <c r="S288" s="540">
        <v>0</v>
      </c>
      <c r="T288" s="540">
        <v>0</v>
      </c>
      <c r="U288" s="532"/>
      <c r="V288" s="532"/>
      <c r="W288" s="540"/>
      <c r="X288" s="540">
        <v>0</v>
      </c>
      <c r="Y288" s="540">
        <v>0</v>
      </c>
    </row>
    <row r="289" spans="3:25" ht="28.5">
      <c r="C289" s="531" t="s">
        <v>20</v>
      </c>
      <c r="D289" s="532"/>
      <c r="E289" s="532"/>
      <c r="F289" s="540"/>
      <c r="G289" s="540">
        <v>0</v>
      </c>
      <c r="H289" s="540">
        <v>0</v>
      </c>
      <c r="I289" s="530"/>
      <c r="J289" s="530"/>
      <c r="K289" s="530"/>
      <c r="L289" s="540">
        <v>0</v>
      </c>
      <c r="M289" s="540">
        <v>0</v>
      </c>
      <c r="O289" s="590" t="s">
        <v>20</v>
      </c>
      <c r="P289" s="532"/>
      <c r="Q289" s="532"/>
      <c r="R289" s="540"/>
      <c r="S289" s="540">
        <v>0</v>
      </c>
      <c r="T289" s="540">
        <v>0</v>
      </c>
      <c r="U289" s="532"/>
      <c r="V289" s="532"/>
      <c r="W289" s="540"/>
      <c r="X289" s="540">
        <v>0</v>
      </c>
      <c r="Y289" s="540">
        <v>0</v>
      </c>
    </row>
    <row r="290" spans="3:25">
      <c r="C290" s="531" t="s">
        <v>105</v>
      </c>
      <c r="D290" s="532"/>
      <c r="E290" s="532"/>
      <c r="F290" s="540"/>
      <c r="G290" s="540">
        <v>0</v>
      </c>
      <c r="H290" s="540">
        <v>0</v>
      </c>
      <c r="I290" s="530"/>
      <c r="J290" s="530"/>
      <c r="K290" s="530"/>
      <c r="L290" s="540">
        <v>0</v>
      </c>
      <c r="M290" s="540">
        <v>0</v>
      </c>
      <c r="O290" s="590" t="s">
        <v>105</v>
      </c>
      <c r="P290" s="532"/>
      <c r="Q290" s="532"/>
      <c r="R290" s="540"/>
      <c r="S290" s="540">
        <v>0</v>
      </c>
      <c r="T290" s="540">
        <v>0</v>
      </c>
      <c r="U290" s="532"/>
      <c r="V290" s="532"/>
      <c r="W290" s="540"/>
      <c r="X290" s="540">
        <v>0</v>
      </c>
      <c r="Y290" s="540">
        <v>0</v>
      </c>
    </row>
    <row r="291" spans="3:25" ht="28.5" hidden="1">
      <c r="C291" s="557" t="s">
        <v>517</v>
      </c>
      <c r="D291" s="532"/>
      <c r="E291" s="532"/>
      <c r="F291" s="540"/>
      <c r="G291" s="540"/>
      <c r="H291" s="540"/>
      <c r="I291" s="530"/>
      <c r="J291" s="530"/>
      <c r="K291" s="530"/>
      <c r="L291" s="540"/>
      <c r="M291" s="540"/>
      <c r="O291" s="531"/>
      <c r="P291" s="532"/>
      <c r="Q291" s="532"/>
      <c r="R291" s="540"/>
      <c r="S291" s="540"/>
      <c r="T291" s="540"/>
      <c r="U291" s="532"/>
      <c r="V291" s="532"/>
      <c r="W291" s="540"/>
      <c r="X291" s="540"/>
      <c r="Y291" s="540"/>
    </row>
    <row r="292" spans="3:25" ht="30">
      <c r="C292" s="581" t="s">
        <v>605</v>
      </c>
      <c r="D292" s="543"/>
      <c r="E292" s="543"/>
      <c r="F292" s="543"/>
      <c r="G292" s="543">
        <f>SUM(G286:G290)</f>
        <v>0</v>
      </c>
      <c r="H292" s="543">
        <f>SUM(H286:H290)</f>
        <v>0</v>
      </c>
      <c r="I292" s="543"/>
      <c r="J292" s="543"/>
      <c r="K292" s="543"/>
      <c r="L292" s="543">
        <f>SUM(L286:L290)</f>
        <v>0</v>
      </c>
      <c r="M292" s="543">
        <f>SUM(M286:M290)</f>
        <v>0</v>
      </c>
      <c r="N292" s="332"/>
      <c r="O292" s="581" t="s">
        <v>16</v>
      </c>
      <c r="P292" s="543"/>
      <c r="Q292" s="543"/>
      <c r="R292" s="543"/>
      <c r="S292" s="543">
        <f>SUM(S286:S290)</f>
        <v>0</v>
      </c>
      <c r="T292" s="543">
        <f>SUM(T286:T290)</f>
        <v>0</v>
      </c>
      <c r="U292" s="543"/>
      <c r="V292" s="543"/>
      <c r="W292" s="543"/>
      <c r="X292" s="543">
        <f>SUM(X286:X290)</f>
        <v>0</v>
      </c>
      <c r="Y292" s="543">
        <f>SUM(Y286:Y290)</f>
        <v>0</v>
      </c>
    </row>
    <row r="293" spans="3:25" ht="28.5" hidden="1">
      <c r="C293" s="557" t="s">
        <v>517</v>
      </c>
      <c r="D293" s="539"/>
      <c r="E293" s="539"/>
      <c r="F293" s="553"/>
      <c r="G293" s="553"/>
      <c r="H293" s="540"/>
      <c r="I293" s="535"/>
      <c r="J293" s="535"/>
      <c r="K293" s="535"/>
      <c r="L293" s="540"/>
      <c r="M293" s="540"/>
      <c r="O293" s="531"/>
      <c r="P293" s="539"/>
      <c r="Q293" s="539"/>
      <c r="R293" s="553"/>
      <c r="S293" s="553"/>
      <c r="T293" s="553"/>
      <c r="U293" s="539"/>
      <c r="V293" s="539"/>
      <c r="W293" s="553"/>
      <c r="X293" s="553"/>
      <c r="Y293" s="553"/>
    </row>
    <row r="294" spans="3:25">
      <c r="C294" s="523"/>
      <c r="D294" s="155"/>
      <c r="E294" s="500"/>
      <c r="F294" s="500"/>
      <c r="G294" s="500"/>
      <c r="H294" s="535"/>
      <c r="I294" s="535"/>
      <c r="J294" s="535"/>
      <c r="K294" s="535"/>
      <c r="L294" s="535"/>
      <c r="M294" s="535"/>
      <c r="O294" s="523"/>
      <c r="P294" s="155"/>
      <c r="Q294" s="500"/>
      <c r="R294" s="500"/>
      <c r="S294" s="500"/>
      <c r="T294" s="500"/>
      <c r="U294" s="155"/>
      <c r="V294" s="500"/>
      <c r="W294" s="500"/>
      <c r="X294" s="500"/>
      <c r="Y294" s="500"/>
    </row>
    <row r="295" spans="3:25" ht="15">
      <c r="C295" s="525" t="s">
        <v>106</v>
      </c>
      <c r="D295" s="525"/>
      <c r="E295" s="525"/>
      <c r="F295" s="525"/>
      <c r="G295" s="525"/>
      <c r="H295" s="534"/>
      <c r="I295" s="534"/>
      <c r="J295" s="534"/>
      <c r="K295" s="534"/>
      <c r="L295" s="534"/>
      <c r="M295" s="534"/>
      <c r="O295" s="525" t="s">
        <v>106</v>
      </c>
      <c r="P295" s="525"/>
      <c r="Q295" s="525"/>
      <c r="R295" s="525"/>
      <c r="S295" s="525"/>
      <c r="T295" s="525"/>
      <c r="U295" s="525"/>
      <c r="V295" s="525"/>
      <c r="W295" s="525"/>
      <c r="X295" s="525"/>
      <c r="Y295" s="525"/>
    </row>
    <row r="296" spans="3:25" ht="15">
      <c r="C296" s="523" t="s">
        <v>108</v>
      </c>
      <c r="D296" s="536"/>
      <c r="E296" s="536"/>
      <c r="F296" s="540"/>
      <c r="G296" s="540">
        <v>0</v>
      </c>
      <c r="H296" s="540">
        <v>0</v>
      </c>
      <c r="I296" s="530"/>
      <c r="J296" s="530"/>
      <c r="K296" s="530"/>
      <c r="L296" s="540">
        <v>0</v>
      </c>
      <c r="M296" s="540">
        <v>0</v>
      </c>
      <c r="O296" s="568" t="s">
        <v>108</v>
      </c>
      <c r="P296" s="546"/>
      <c r="Q296" s="546"/>
      <c r="R296" s="546"/>
      <c r="S296" s="540">
        <v>0</v>
      </c>
      <c r="T296" s="540">
        <v>0</v>
      </c>
      <c r="U296" s="546"/>
      <c r="V296" s="546"/>
      <c r="W296" s="546"/>
      <c r="X296" s="540">
        <v>0</v>
      </c>
      <c r="Y296" s="540">
        <v>0</v>
      </c>
    </row>
    <row r="297" spans="3:25">
      <c r="C297" s="523" t="s">
        <v>107</v>
      </c>
      <c r="D297" s="536"/>
      <c r="E297" s="536"/>
      <c r="F297" s="540"/>
      <c r="G297" s="540">
        <v>0</v>
      </c>
      <c r="H297" s="540">
        <v>0</v>
      </c>
      <c r="I297" s="530"/>
      <c r="J297" s="530"/>
      <c r="K297" s="530"/>
      <c r="L297" s="540">
        <v>0</v>
      </c>
      <c r="M297" s="540">
        <v>0</v>
      </c>
      <c r="O297" s="568" t="s">
        <v>107</v>
      </c>
      <c r="P297" s="536"/>
      <c r="Q297" s="536"/>
      <c r="R297" s="540"/>
      <c r="S297" s="540">
        <v>0</v>
      </c>
      <c r="T297" s="540">
        <v>0</v>
      </c>
      <c r="U297" s="536"/>
      <c r="V297" s="536"/>
      <c r="W297" s="540"/>
      <c r="X297" s="540">
        <v>0</v>
      </c>
      <c r="Y297" s="540">
        <v>0</v>
      </c>
    </row>
    <row r="298" spans="3:25" ht="28.5" hidden="1">
      <c r="C298" s="557" t="s">
        <v>517</v>
      </c>
      <c r="D298" s="536"/>
      <c r="E298" s="536"/>
      <c r="F298" s="540"/>
      <c r="G298" s="540"/>
      <c r="H298" s="540"/>
      <c r="I298" s="530"/>
      <c r="J298" s="530"/>
      <c r="K298" s="530"/>
      <c r="L298" s="540"/>
      <c r="M298" s="540"/>
      <c r="O298" s="523"/>
      <c r="P298" s="536"/>
      <c r="Q298" s="536"/>
      <c r="R298" s="540"/>
      <c r="S298" s="540"/>
      <c r="T298" s="540"/>
      <c r="U298" s="536"/>
      <c r="V298" s="536"/>
      <c r="W298" s="540"/>
      <c r="X298" s="540"/>
      <c r="Y298" s="540"/>
    </row>
    <row r="299" spans="3:25" ht="15">
      <c r="C299" s="581" t="s">
        <v>612</v>
      </c>
      <c r="D299" s="543"/>
      <c r="E299" s="543"/>
      <c r="F299" s="543"/>
      <c r="G299" s="543">
        <f>SUM(G296:G297)</f>
        <v>0</v>
      </c>
      <c r="H299" s="543">
        <f>SUM(H296:H297)</f>
        <v>0</v>
      </c>
      <c r="I299" s="543"/>
      <c r="J299" s="543"/>
      <c r="K299" s="543"/>
      <c r="L299" s="543">
        <f>SUM(L296:L297)</f>
        <v>0</v>
      </c>
      <c r="M299" s="543">
        <f>SUM(M296:M297)</f>
        <v>0</v>
      </c>
      <c r="N299" s="332"/>
      <c r="O299" s="581" t="s">
        <v>612</v>
      </c>
      <c r="P299" s="543"/>
      <c r="Q299" s="543"/>
      <c r="R299" s="543"/>
      <c r="S299" s="543">
        <f>SUM(S296:S297)</f>
        <v>0</v>
      </c>
      <c r="T299" s="543">
        <f>SUM(T296:T297)</f>
        <v>0</v>
      </c>
      <c r="U299" s="543"/>
      <c r="V299" s="543"/>
      <c r="W299" s="543"/>
      <c r="X299" s="543">
        <f>SUM(X296:X297)</f>
        <v>0</v>
      </c>
      <c r="Y299" s="543">
        <f>SUM(Y296:Y297)</f>
        <v>0</v>
      </c>
    </row>
    <row r="300" spans="3:25" ht="15">
      <c r="H300" s="542"/>
      <c r="I300" s="542"/>
      <c r="J300" s="542"/>
      <c r="K300" s="542"/>
      <c r="L300" s="542"/>
      <c r="M300" s="542"/>
      <c r="O300" s="544"/>
      <c r="P300" s="544"/>
      <c r="Q300" s="544"/>
      <c r="R300" s="544"/>
      <c r="S300" s="544"/>
      <c r="T300" s="544"/>
      <c r="U300" s="544"/>
      <c r="V300" s="544"/>
      <c r="W300" s="544"/>
      <c r="X300" s="544"/>
      <c r="Y300" s="544"/>
    </row>
    <row r="301" spans="3:25" ht="15">
      <c r="C301" s="581" t="s">
        <v>606</v>
      </c>
      <c r="D301" s="543"/>
      <c r="E301" s="543"/>
      <c r="F301" s="543"/>
      <c r="G301" s="543">
        <f>SUM(G243:G300)/2</f>
        <v>3110.5619882415822</v>
      </c>
      <c r="H301" s="543">
        <f>SUM(H243:H300)/2</f>
        <v>3057.9386564315823</v>
      </c>
      <c r="I301" s="543"/>
      <c r="J301" s="543"/>
      <c r="K301" s="543"/>
      <c r="L301" s="543">
        <f>SUM(L243:L300)/2</f>
        <v>18606960.081099384</v>
      </c>
      <c r="M301" s="543">
        <f>SUM(M243:M300)/2</f>
        <v>18211614.098699383</v>
      </c>
      <c r="N301" s="332"/>
      <c r="O301" s="581" t="s">
        <v>606</v>
      </c>
      <c r="P301" s="543"/>
      <c r="Q301" s="543"/>
      <c r="R301" s="543"/>
      <c r="S301" s="543">
        <f>SUM(S244:S300)/2</f>
        <v>0</v>
      </c>
      <c r="T301" s="543">
        <f>SUM(T244:T300)/2</f>
        <v>0</v>
      </c>
      <c r="U301" s="543"/>
      <c r="V301" s="543"/>
      <c r="W301" s="543"/>
      <c r="X301" s="543">
        <f>SUM(X244:X300)/2</f>
        <v>0</v>
      </c>
      <c r="Y301" s="543">
        <f>SUM(Y244:Y300)/2</f>
        <v>0</v>
      </c>
    </row>
    <row r="302" spans="3:25" ht="15">
      <c r="C302" s="545"/>
      <c r="D302" s="545"/>
      <c r="E302" s="545"/>
      <c r="F302" s="545"/>
      <c r="H302" s="542"/>
      <c r="I302" s="542"/>
      <c r="J302" s="542"/>
      <c r="K302" s="542"/>
      <c r="L302" s="542"/>
      <c r="M302" s="542"/>
      <c r="O302" s="545"/>
      <c r="P302" s="521"/>
      <c r="X302" s="545"/>
    </row>
    <row r="303" spans="3:25" ht="15" hidden="1">
      <c r="C303" s="545"/>
      <c r="D303" s="545"/>
      <c r="E303" s="545"/>
      <c r="F303" s="545"/>
      <c r="H303" s="542"/>
      <c r="I303" s="542"/>
      <c r="J303" s="542"/>
      <c r="K303" s="542"/>
      <c r="L303" s="542"/>
      <c r="M303" s="542"/>
      <c r="O303" s="545"/>
      <c r="P303" s="521"/>
      <c r="X303" s="545"/>
    </row>
    <row r="304" spans="3:25" hidden="1">
      <c r="H304" s="542"/>
      <c r="I304" s="542"/>
      <c r="J304" s="542"/>
      <c r="K304" s="542"/>
      <c r="L304" s="542"/>
      <c r="M304" s="542"/>
      <c r="O304" s="521"/>
      <c r="P304" s="521"/>
    </row>
    <row r="305" spans="3:21" ht="15" hidden="1">
      <c r="C305" s="526" t="s">
        <v>507</v>
      </c>
      <c r="H305" s="542"/>
      <c r="I305" s="542"/>
      <c r="J305" s="542"/>
      <c r="K305" s="542"/>
      <c r="L305" s="542"/>
      <c r="M305" s="542"/>
      <c r="O305" s="526" t="s">
        <v>508</v>
      </c>
      <c r="P305" s="521"/>
    </row>
    <row r="306" spans="3:21" hidden="1">
      <c r="L306" s="542"/>
      <c r="M306" s="542"/>
    </row>
    <row r="307" spans="3:21" hidden="1">
      <c r="L307" s="542"/>
      <c r="M307" s="542"/>
    </row>
    <row r="308" spans="3:21" hidden="1">
      <c r="L308" s="542"/>
      <c r="M308" s="542"/>
    </row>
    <row r="309" spans="3:21" ht="15">
      <c r="C309" s="526" t="s">
        <v>528</v>
      </c>
    </row>
    <row r="311" spans="3:21" ht="59.1" customHeight="1">
      <c r="C311" s="770" t="s">
        <v>509</v>
      </c>
      <c r="D311" s="550" t="str">
        <f>'2.  CDM Allocation'!C24</f>
        <v>Residential</v>
      </c>
      <c r="E311" s="550" t="str">
        <f>'2.  CDM Allocation'!D24</f>
        <v>GS &lt; 50 kW</v>
      </c>
      <c r="F311" s="550" t="str">
        <f>'2.  CDM Allocation'!E24</f>
        <v>GS 50 to 2,999 kW</v>
      </c>
      <c r="G311" s="550" t="str">
        <f>'2.  CDM Allocation'!F24</f>
        <v>GS 50 to 2,999 kW with owned transformer</v>
      </c>
      <c r="H311" s="550" t="str">
        <f>'2.  CDM Allocation'!G24</f>
        <v>GS 3,000 to 4,999 kW</v>
      </c>
      <c r="I311" s="550" t="str">
        <f>'2.  CDM Allocation'!H24</f>
        <v>GS 3,000 to 4,999 kW with owned transformer</v>
      </c>
      <c r="J311" s="550" t="str">
        <f>'2.  CDM Allocation'!I24</f>
        <v>Large Use</v>
      </c>
      <c r="K311" s="550" t="str">
        <f>'2.  CDM Allocation'!J24</f>
        <v>Large Use with owned transformer</v>
      </c>
      <c r="L311" s="550" t="str">
        <f>'2.  CDM Allocation'!K24</f>
        <v>Unmetered Scattered Load</v>
      </c>
      <c r="M311" s="550" t="str">
        <f>'2.  CDM Allocation'!L24</f>
        <v>Sentinel Lighting</v>
      </c>
      <c r="N311" s="550" t="str">
        <f>'2.  CDM Allocation'!M24</f>
        <v>Street Lighting</v>
      </c>
      <c r="O311" s="65"/>
    </row>
    <row r="312" spans="3:21" ht="15">
      <c r="C312" s="771"/>
      <c r="D312" s="549" t="str">
        <f>'2.  CDM Allocation'!C25</f>
        <v>kWh</v>
      </c>
      <c r="E312" s="549" t="str">
        <f>'2.  CDM Allocation'!D25</f>
        <v>kWh</v>
      </c>
      <c r="F312" s="549" t="str">
        <f>'2.  CDM Allocation'!E25</f>
        <v>kW</v>
      </c>
      <c r="G312" s="549" t="str">
        <f>'2.  CDM Allocation'!F25</f>
        <v>kW</v>
      </c>
      <c r="H312" s="549" t="str">
        <f>'2.  CDM Allocation'!G25</f>
        <v>kW</v>
      </c>
      <c r="I312" s="549" t="str">
        <f>'2.  CDM Allocation'!H25</f>
        <v>kW</v>
      </c>
      <c r="J312" s="549" t="str">
        <f>'2.  CDM Allocation'!I25</f>
        <v>kW</v>
      </c>
      <c r="K312" s="549" t="str">
        <f>'2.  CDM Allocation'!J25</f>
        <v>kW</v>
      </c>
      <c r="L312" s="599" t="str">
        <f>'2.  CDM Allocation'!K25</f>
        <v>kWh</v>
      </c>
      <c r="M312" s="599" t="str">
        <f>'2.  CDM Allocation'!L25</f>
        <v>kW</v>
      </c>
      <c r="N312" s="599" t="str">
        <f>'2.  CDM Allocation'!M25</f>
        <v>kW</v>
      </c>
      <c r="O312" s="559"/>
      <c r="P312" s="559"/>
      <c r="Q312" s="559"/>
      <c r="R312" s="559"/>
      <c r="S312" s="559"/>
      <c r="T312" s="302"/>
    </row>
    <row r="313" spans="3:21" ht="15">
      <c r="C313" s="547">
        <v>2011</v>
      </c>
      <c r="D313" s="547"/>
      <c r="E313" s="547"/>
      <c r="F313" s="547"/>
      <c r="G313" s="547"/>
      <c r="H313" s="547"/>
      <c r="I313" s="547"/>
      <c r="J313" s="547"/>
      <c r="K313" s="547"/>
      <c r="L313" s="547"/>
      <c r="M313" s="547"/>
      <c r="N313" s="547"/>
      <c r="O313" s="559"/>
      <c r="P313" s="559"/>
      <c r="Q313" s="559"/>
      <c r="R313" s="559"/>
      <c r="S313" s="559"/>
      <c r="T313" s="302"/>
    </row>
    <row r="314" spans="3:21">
      <c r="C314" s="548" t="s">
        <v>518</v>
      </c>
      <c r="D314" s="563">
        <f>IF(D$312="kW",SUMPRODUCT($D57:$D97,'4.  2011-14 LRAM'!H22:H62,'4.  2011-14 LRAM'!$E22:$E62)+SUMPRODUCT($P57:$P97,'4.  2011-14 LRAM'!H22:H62,'4.  2011-14 LRAM'!$E22:$E62),SUMPRODUCT($I57:$I97,'4.  2011-14 LRAM'!H22:H62)+SUMPRODUCT($U57:$U97,'4.  2011-14 LRAM'!H22:H62))</f>
        <v>2805913.4184206403</v>
      </c>
      <c r="E314" s="563">
        <f>IF(E$312="kW",SUMPRODUCT($D57:$D97,'4.  2011-14 LRAM'!I22:I62,'4.  2011-14 LRAM'!$E22:$E62)+SUMPRODUCT($P57:$P97,'4.  2011-14 LRAM'!I22:I62,'4.  2011-14 LRAM'!$E22:$E62),SUMPRODUCT($I57:$I97,'4.  2011-14 LRAM'!I22:I62)+SUMPRODUCT($U57:$U97,'4.  2011-14 LRAM'!I22:I62))</f>
        <v>893024.20853267983</v>
      </c>
      <c r="F314" s="563">
        <f>IF(F$312="kW",SUMPRODUCT($D57:$D97,'4.  2011-14 LRAM'!J22:J62,'4.  2011-14 LRAM'!$E22:$E62)+SUMPRODUCT($P57:$P97,'4.  2011-14 LRAM'!J22:J62,'4.  2011-14 LRAM'!$E22:$E62),SUMPRODUCT($I57:$I97,'4.  2011-14 LRAM'!J22:J62)+SUMPRODUCT($U57:$U97,'4.  2011-14 LRAM'!J22:J62))</f>
        <v>7540.3356483795515</v>
      </c>
      <c r="G314" s="563">
        <f>IF(G$312="kW",SUMPRODUCT($D57:$D97,'4.  2011-14 LRAM'!K22:K62,'4.  2011-14 LRAM'!$E22:$E62)+SUMPRODUCT($P57:$P97,'4.  2011-14 LRAM'!K22:K62,'4.  2011-14 LRAM'!$E22:$E62),SUMPRODUCT($I57:$I97,'4.  2011-14 LRAM'!K22:K62)+SUMPRODUCT($U57:$U97,'4.  2011-14 LRAM'!K22:K62))</f>
        <v>4763.3745118744146</v>
      </c>
      <c r="H314" s="563">
        <f>IF(H$312="kW",SUMPRODUCT($D57:$D97,'4.  2011-14 LRAM'!L22:L62,'4.  2011-14 LRAM'!$E22:$E62)+SUMPRODUCT($P57:$P97,'4.  2011-14 LRAM'!L22:L62,'4.  2011-14 LRAM'!$E22:$E62),SUMPRODUCT($I57:$I97,'4.  2011-14 LRAM'!L22:L62)+SUMPRODUCT($U57:$U97,'4.  2011-14 LRAM'!L22:L62))</f>
        <v>0</v>
      </c>
      <c r="I314" s="563">
        <f>IF(I$312="kW",SUMPRODUCT($D57:$D97,'4.  2011-14 LRAM'!M22:M62,'4.  2011-14 LRAM'!$E22:$E62)+SUMPRODUCT($P57:$P97,'4.  2011-14 LRAM'!M22:M62,'4.  2011-14 LRAM'!$E22:$E62),SUMPRODUCT($I57:$I97,'4.  2011-14 LRAM'!M22:M62)+SUMPRODUCT($U57:$U97,'4.  2011-14 LRAM'!M22:M62))</f>
        <v>0</v>
      </c>
      <c r="J314" s="563">
        <f>IF(J$312="kW",SUMPRODUCT($D57:$D97,'4.  2011-14 LRAM'!N22:N62,'4.  2011-14 LRAM'!$E22:$E62)+SUMPRODUCT($P57:$P97,'4.  2011-14 LRAM'!N22:N62,'4.  2011-14 LRAM'!$E22:$E62),SUMPRODUCT($I57:$I97,'4.  2011-14 LRAM'!N22:N62)+SUMPRODUCT($U57:$U97,'4.  2011-14 LRAM'!N22:N62))</f>
        <v>0</v>
      </c>
      <c r="K314" s="563">
        <f>IF(K$312="kW",SUMPRODUCT($D57:$D97,'4.  2011-14 LRAM'!O22:O62,'4.  2011-14 LRAM'!$E22:$E62)+SUMPRODUCT($P57:$P97,'4.  2011-14 LRAM'!O22:O62,'4.  2011-14 LRAM'!$E22:$E62),SUMPRODUCT($I57:$I97,'4.  2011-14 LRAM'!O22:O62)+SUMPRODUCT($U57:$U97,'4.  2011-14 LRAM'!O22:O62))</f>
        <v>239.9684892631947</v>
      </c>
      <c r="L314" s="563">
        <f>IF(L$312="kW",SUMPRODUCT($D57:$D97,'4.  2011-14 LRAM'!P22:P62,'4.  2011-14 LRAM'!$E22:$E62)+SUMPRODUCT($P57:$P97,'4.  2011-14 LRAM'!P22:P62,'4.  2011-14 LRAM'!$E22:$E62),SUMPRODUCT($I57:$I97,'4.  2011-14 LRAM'!P22:P62)+SUMPRODUCT($U57:$U97,'4.  2011-14 LRAM'!P22:P62))</f>
        <v>0</v>
      </c>
      <c r="M314" s="563">
        <f>IF(M$312="kW",SUMPRODUCT($D57:$D97,'4.  2011-14 LRAM'!Q22:Q62,'4.  2011-14 LRAM'!$E22:$E62)+SUMPRODUCT($P57:$P97,'4.  2011-14 LRAM'!Q22:Q62,'4.  2011-14 LRAM'!$E22:$E62),SUMPRODUCT($I57:$I97,'4.  2011-14 LRAM'!Q22:Q62)+SUMPRODUCT($U57:$U97,'4.  2011-14 LRAM'!Q22:Q62))</f>
        <v>0</v>
      </c>
      <c r="N314" s="563">
        <f>IF(N$312="kW",SUMPRODUCT($D57:$D97,'4.  2011-14 LRAM'!R22:R62,'4.  2011-14 LRAM'!$E22:$E62)+SUMPRODUCT($P57:$P97,'4.  2011-14 LRAM'!R22:R62,'4.  2011-14 LRAM'!$E22:$E62),SUMPRODUCT($I57:$I97,'4.  2011-14 LRAM'!R22:R62)+SUMPRODUCT($U57:$U97,'4.  2011-14 LRAM'!R22:R62))</f>
        <v>0</v>
      </c>
      <c r="O314" s="560"/>
      <c r="P314" s="560"/>
      <c r="Q314" s="559"/>
      <c r="R314" s="559"/>
      <c r="S314" s="560"/>
      <c r="T314" s="561"/>
      <c r="U314" s="302"/>
    </row>
    <row r="315" spans="3:21">
      <c r="C315" s="548" t="s">
        <v>510</v>
      </c>
      <c r="D315" s="563">
        <f>IF(D$312="kW",SUMPRODUCT($E57:$E97,'4.  2011-14 LRAM'!H22:H62,'4.  2011-14 LRAM'!$E22:$E62)+SUMPRODUCT($Q57:$Q97,'4.  2011-14 LRAM'!H22:H62,'4.  2011-14 LRAM'!$E22:$E62),SUMPRODUCT($J57:$J97,'4.  2011-14 LRAM'!H22:H62)+SUMPRODUCT($V57:$V97,'4.  2011-14 LRAM'!H22:H62))</f>
        <v>2805913.4184206403</v>
      </c>
      <c r="E315" s="563">
        <f>IF(E$312="kW",SUMPRODUCT($E57:$E97,'4.  2011-14 LRAM'!I22:I62,'4.  2011-14 LRAM'!$E22:$E62)+SUMPRODUCT($Q57:$Q97,'4.  2011-14 LRAM'!I22:I62,'4.  2011-14 LRAM'!$E22:$E62),SUMPRODUCT($J57:$J97,'4.  2011-14 LRAM'!I22:I62)+SUMPRODUCT($V57:$V97,'4.  2011-14 LRAM'!I22:I62))</f>
        <v>877487.66483169806</v>
      </c>
      <c r="F315" s="563">
        <f>IF(F$312="kW",SUMPRODUCT($E57:$E97,'4.  2011-14 LRAM'!J22:J62,'4.  2011-14 LRAM'!$E22:$E62)+SUMPRODUCT($Q57:$Q97,'4.  2011-14 LRAM'!J22:J62,'4.  2011-14 LRAM'!$E22:$E62),SUMPRODUCT($J57:$J97,'4.  2011-14 LRAM'!J22:J62)+SUMPRODUCT($V57:$V97,'4.  2011-14 LRAM'!J22:J62))</f>
        <v>7540.3356483795515</v>
      </c>
      <c r="G315" s="563">
        <f>IF(G$312="kW",SUMPRODUCT($E57:$E97,'4.  2011-14 LRAM'!K22:K62,'4.  2011-14 LRAM'!$E22:$E62)+SUMPRODUCT($Q57:$Q97,'4.  2011-14 LRAM'!K22:K62,'4.  2011-14 LRAM'!$E22:$E62),SUMPRODUCT($J57:$J97,'4.  2011-14 LRAM'!K22:K62)+SUMPRODUCT($V57:$V97,'4.  2011-14 LRAM'!K22:K62))</f>
        <v>4763.3745118744146</v>
      </c>
      <c r="H315" s="563">
        <f>IF(H$312="kW",SUMPRODUCT($E57:$E97,'4.  2011-14 LRAM'!L22:L62,'4.  2011-14 LRAM'!$E22:$E62)+SUMPRODUCT($Q57:$Q97,'4.  2011-14 LRAM'!L22:L62,'4.  2011-14 LRAM'!$E22:$E62),SUMPRODUCT($J57:$J97,'4.  2011-14 LRAM'!L22:L62)+SUMPRODUCT($V57:$V97,'4.  2011-14 LRAM'!L22:L62))</f>
        <v>0</v>
      </c>
      <c r="I315" s="563">
        <f>IF(I$312="kW",SUMPRODUCT($E57:$E97,'4.  2011-14 LRAM'!M22:M62,'4.  2011-14 LRAM'!$E22:$E62)+SUMPRODUCT($Q57:$Q97,'4.  2011-14 LRAM'!M22:M62,'4.  2011-14 LRAM'!$E22:$E62),SUMPRODUCT($J57:$J97,'4.  2011-14 LRAM'!M22:M62)+SUMPRODUCT($V57:$V97,'4.  2011-14 LRAM'!M22:M62))</f>
        <v>0</v>
      </c>
      <c r="J315" s="563">
        <f>IF(J$312="kW",SUMPRODUCT($E57:$E97,'4.  2011-14 LRAM'!N22:N62,'4.  2011-14 LRAM'!$E22:$E62)+SUMPRODUCT($Q57:$Q97,'4.  2011-14 LRAM'!N22:N62,'4.  2011-14 LRAM'!$E22:$E62),SUMPRODUCT($J57:$J97,'4.  2011-14 LRAM'!N22:N62)+SUMPRODUCT($V57:$V97,'4.  2011-14 LRAM'!N22:N62))</f>
        <v>0</v>
      </c>
      <c r="K315" s="563">
        <f>IF(K$312="kW",SUMPRODUCT($E57:$E97,'4.  2011-14 LRAM'!O22:O62,'4.  2011-14 LRAM'!$E22:$E62)+SUMPRODUCT($Q57:$Q97,'4.  2011-14 LRAM'!O22:O62,'4.  2011-14 LRAM'!$E22:$E62),SUMPRODUCT($J57:$J97,'4.  2011-14 LRAM'!O22:O62)+SUMPRODUCT($V57:$V97,'4.  2011-14 LRAM'!O22:O62))</f>
        <v>239.9684892631947</v>
      </c>
      <c r="L315" s="563">
        <f>IF(L$312="kW",SUMPRODUCT($E57:$E97,'4.  2011-14 LRAM'!P22:P62,'4.  2011-14 LRAM'!$E22:$E62)+SUMPRODUCT($Q57:$Q97,'4.  2011-14 LRAM'!P22:P62,'4.  2011-14 LRAM'!$E22:$E62),SUMPRODUCT($J57:$J97,'4.  2011-14 LRAM'!P22:P62)+SUMPRODUCT($V57:$V97,'4.  2011-14 LRAM'!P22:P62))</f>
        <v>0</v>
      </c>
      <c r="M315" s="563">
        <f>IF(M$312="kW",SUMPRODUCT($E57:$E97,'4.  2011-14 LRAM'!Q22:Q62,'4.  2011-14 LRAM'!$E22:$E62)+SUMPRODUCT($Q57:$Q97,'4.  2011-14 LRAM'!Q22:Q62,'4.  2011-14 LRAM'!$E22:$E62),SUMPRODUCT($J57:$J97,'4.  2011-14 LRAM'!Q22:Q62)+SUMPRODUCT($V57:$V97,'4.  2011-14 LRAM'!Q22:Q62))</f>
        <v>0</v>
      </c>
      <c r="N315" s="563">
        <f>IF(N$312="kW",SUMPRODUCT($E57:$E97,'4.  2011-14 LRAM'!R22:R62,'4.  2011-14 LRAM'!$E22:$E62)+SUMPRODUCT($Q57:$Q97,'4.  2011-14 LRAM'!R22:R62,'4.  2011-14 LRAM'!$E22:$E62),SUMPRODUCT($J57:$J97,'4.  2011-14 LRAM'!R22:R62)+SUMPRODUCT($V57:$V97,'4.  2011-14 LRAM'!R22:R62))</f>
        <v>0</v>
      </c>
      <c r="O315" s="559"/>
      <c r="P315" s="559"/>
      <c r="Q315" s="559"/>
      <c r="R315" s="559"/>
      <c r="S315" s="560"/>
      <c r="T315" s="561"/>
      <c r="U315" s="302"/>
    </row>
    <row r="316" spans="3:21">
      <c r="C316" s="548" t="s">
        <v>511</v>
      </c>
      <c r="D316" s="563">
        <f>IF(D$312="kW",SUMPRODUCT($F57:$F97,'4.  2011-14 LRAM'!H22:H62,'4.  2011-14 LRAM'!$E22:$E62)+SUMPRODUCT($R57:$R97,'4.  2011-14 LRAM'!H22:H62,'4.  2011-14 LRAM'!$E22:$E62),SUMPRODUCT($K57:$K97,'4.  2011-14 LRAM'!H22:H62)+SUMPRODUCT($W57:$W97,'4.  2011-14 LRAM'!H22:H62))</f>
        <v>2800421.8227039366</v>
      </c>
      <c r="E316" s="563">
        <f>IF(E$312="kW",SUMPRODUCT($F57:$F97,'4.  2011-14 LRAM'!I22:I62,'4.  2011-14 LRAM'!$E22:$E62)+SUMPRODUCT($R57:$R97,'4.  2011-14 LRAM'!I22:I62,'4.  2011-14 LRAM'!$E22:$E62),SUMPRODUCT($K57:$K97,'4.  2011-14 LRAM'!I22:I62)+SUMPRODUCT($W57:$W97,'4.  2011-14 LRAM'!I22:I62))</f>
        <v>788630.83042288315</v>
      </c>
      <c r="F316" s="563">
        <f>IF(F$312="kW",SUMPRODUCT($F57:$F97,'4.  2011-14 LRAM'!J22:J62,'4.  2011-14 LRAM'!$E22:$E62)+SUMPRODUCT($R57:$R97,'4.  2011-14 LRAM'!J22:J62,'4.  2011-14 LRAM'!$E22:$E62),SUMPRODUCT($K57:$K97,'4.  2011-14 LRAM'!J22:J62)+SUMPRODUCT($W57:$W97,'4.  2011-14 LRAM'!J22:J62))</f>
        <v>7540.3356483795515</v>
      </c>
      <c r="G316" s="563">
        <f>IF(G$312="kW",SUMPRODUCT($F57:$F97,'4.  2011-14 LRAM'!K22:K62,'4.  2011-14 LRAM'!$E22:$E62)+SUMPRODUCT($R57:$R97,'4.  2011-14 LRAM'!K22:K62,'4.  2011-14 LRAM'!$E22:$E62),SUMPRODUCT($K57:$K97,'4.  2011-14 LRAM'!K22:K62)+SUMPRODUCT($W57:$W97,'4.  2011-14 LRAM'!K22:K62))</f>
        <v>4763.3745118744146</v>
      </c>
      <c r="H316" s="563">
        <f>IF(H$312="kW",SUMPRODUCT($F57:$F97,'4.  2011-14 LRAM'!L22:L62,'4.  2011-14 LRAM'!$E22:$E62)+SUMPRODUCT($R57:$R97,'4.  2011-14 LRAM'!L22:L62,'4.  2011-14 LRAM'!$E22:$E62),SUMPRODUCT($K57:$K97,'4.  2011-14 LRAM'!L22:L62)+SUMPRODUCT($W57:$W97,'4.  2011-14 LRAM'!L22:L62))</f>
        <v>0</v>
      </c>
      <c r="I316" s="563">
        <f>IF(I$312="kW",SUMPRODUCT($F57:$F97,'4.  2011-14 LRAM'!M22:M62,'4.  2011-14 LRAM'!$E22:$E62)+SUMPRODUCT($R57:$R97,'4.  2011-14 LRAM'!M22:M62,'4.  2011-14 LRAM'!$E22:$E62),SUMPRODUCT($K57:$K97,'4.  2011-14 LRAM'!M22:M62)+SUMPRODUCT($W57:$W97,'4.  2011-14 LRAM'!M22:M62))</f>
        <v>0</v>
      </c>
      <c r="J316" s="563">
        <f>IF(J$312="kW",SUMPRODUCT($F57:$F97,'4.  2011-14 LRAM'!N22:N62,'4.  2011-14 LRAM'!$E22:$E62)+SUMPRODUCT($R57:$R97,'4.  2011-14 LRAM'!N22:N62,'4.  2011-14 LRAM'!$E22:$E62),SUMPRODUCT($K57:$K97,'4.  2011-14 LRAM'!N22:N62)+SUMPRODUCT($W57:$W97,'4.  2011-14 LRAM'!N22:N62))</f>
        <v>0</v>
      </c>
      <c r="K316" s="563">
        <f>IF(K$312="kW",SUMPRODUCT($F57:$F97,'4.  2011-14 LRAM'!O22:O62,'4.  2011-14 LRAM'!$E22:$E62)+SUMPRODUCT($R57:$R97,'4.  2011-14 LRAM'!O22:O62,'4.  2011-14 LRAM'!$E22:$E62),SUMPRODUCT($K57:$K97,'4.  2011-14 LRAM'!O22:O62)+SUMPRODUCT($W57:$W97,'4.  2011-14 LRAM'!O22:O62))</f>
        <v>239.9684892631947</v>
      </c>
      <c r="L316" s="563">
        <f>IF(L$312="kW",SUMPRODUCT($F57:$F97,'4.  2011-14 LRAM'!P22:P62,'4.  2011-14 LRAM'!$E22:$E62)+SUMPRODUCT($R57:$R97,'4.  2011-14 LRAM'!P22:P62,'4.  2011-14 LRAM'!$E22:$E62),SUMPRODUCT($K57:$K97,'4.  2011-14 LRAM'!P22:P62)+SUMPRODUCT($W57:$W97,'4.  2011-14 LRAM'!P22:P62))</f>
        <v>0</v>
      </c>
      <c r="M316" s="563">
        <f>IF(M$312="kW",SUMPRODUCT($F57:$F97,'4.  2011-14 LRAM'!Q22:Q62,'4.  2011-14 LRAM'!$E22:$E62)+SUMPRODUCT($R57:$R97,'4.  2011-14 LRAM'!Q22:Q62,'4.  2011-14 LRAM'!$E22:$E62),SUMPRODUCT($K57:$K97,'4.  2011-14 LRAM'!Q22:Q62)+SUMPRODUCT($W57:$W97,'4.  2011-14 LRAM'!Q22:Q62))</f>
        <v>0</v>
      </c>
      <c r="N316" s="563">
        <f>IF(N$312="kW",SUMPRODUCT($F57:$F97,'4.  2011-14 LRAM'!R22:R62,'4.  2011-14 LRAM'!$E22:$E62)+SUMPRODUCT($R57:$R97,'4.  2011-14 LRAM'!R22:R62,'4.  2011-14 LRAM'!$E22:$E62),SUMPRODUCT($K57:$K97,'4.  2011-14 LRAM'!R22:R62)+SUMPRODUCT($W57:$W97,'4.  2011-14 LRAM'!R22:R62))</f>
        <v>0</v>
      </c>
      <c r="O316" s="559"/>
      <c r="P316" s="559"/>
      <c r="Q316" s="559"/>
      <c r="R316" s="559"/>
      <c r="S316" s="560"/>
      <c r="T316" s="561"/>
      <c r="U316" s="302"/>
    </row>
    <row r="317" spans="3:21">
      <c r="C317" s="548" t="s">
        <v>512</v>
      </c>
      <c r="D317" s="563">
        <f>IF(D$312="kW",SUMPRODUCT($G57:$G97,'4.  2011-14 LRAM'!H22:H62,'4.  2011-14 LRAM'!$E22:$E62)+SUMPRODUCT($S57:$S97,'4.  2011-14 LRAM'!H22:H62,'4.  2011-14 LRAM'!$E22:$E62),SUMPRODUCT($L57:$L97,'4.  2011-14 LRAM'!H22:H62)+SUMPRODUCT($X57:$X97,'4.  2011-14 LRAM'!H22:H62))</f>
        <v>2225022.4860024005</v>
      </c>
      <c r="E317" s="563">
        <f>IF(E$312="kW",SUMPRODUCT($G57:$G97,'4.  2011-14 LRAM'!I22:I62,'4.  2011-14 LRAM'!$E22:$E62)+SUMPRODUCT($S57:$S97,'4.  2011-14 LRAM'!I22:I62,'4.  2011-14 LRAM'!$E22:$E62),SUMPRODUCT($L57:$L97,'4.  2011-14 LRAM'!I22:I62)+SUMPRODUCT($X57:$X97,'4.  2011-14 LRAM'!I22:I62))</f>
        <v>788036.34299526107</v>
      </c>
      <c r="F317" s="563">
        <f>IF(F$312="kW",SUMPRODUCT($G57:$G97,'4.  2011-14 LRAM'!J22:J62,'4.  2011-14 LRAM'!$E22:$E62)+SUMPRODUCT($S57:$S97,'4.  2011-14 LRAM'!J22:J62,'4.  2011-14 LRAM'!$E22:$E62),SUMPRODUCT($L57:$L97,'4.  2011-14 LRAM'!J22:J62)+SUMPRODUCT($X57:$X97,'4.  2011-14 LRAM'!J22:J62))</f>
        <v>7540.3356483795515</v>
      </c>
      <c r="G317" s="563">
        <f>IF(G$312="kW",SUMPRODUCT($G57:$G97,'4.  2011-14 LRAM'!K22:K62,'4.  2011-14 LRAM'!$E22:$E62)+SUMPRODUCT($S57:$S97,'4.  2011-14 LRAM'!K22:K62,'4.  2011-14 LRAM'!$E22:$E62),SUMPRODUCT($L57:$L97,'4.  2011-14 LRAM'!K22:K62)+SUMPRODUCT($X57:$X97,'4.  2011-14 LRAM'!K22:K62))</f>
        <v>4763.3745118744146</v>
      </c>
      <c r="H317" s="563">
        <f>IF(H$312="kW",SUMPRODUCT($G57:$G97,'4.  2011-14 LRAM'!L22:L62,'4.  2011-14 LRAM'!$E22:$E62)+SUMPRODUCT($S57:$S97,'4.  2011-14 LRAM'!L22:L62,'4.  2011-14 LRAM'!$E22:$E62),SUMPRODUCT($L57:$L97,'4.  2011-14 LRAM'!L22:L62)+SUMPRODUCT($X57:$X97,'4.  2011-14 LRAM'!L22:L62))</f>
        <v>0</v>
      </c>
      <c r="I317" s="563">
        <f>IF(I$312="kW",SUMPRODUCT($G57:$G97,'4.  2011-14 LRAM'!M22:M62,'4.  2011-14 LRAM'!$E22:$E62)+SUMPRODUCT($S57:$S97,'4.  2011-14 LRAM'!M22:M62,'4.  2011-14 LRAM'!$E22:$E62),SUMPRODUCT($L57:$L97,'4.  2011-14 LRAM'!M22:M62)+SUMPRODUCT($X57:$X97,'4.  2011-14 LRAM'!M22:M62))</f>
        <v>0</v>
      </c>
      <c r="J317" s="563">
        <f>IF(J$312="kW",SUMPRODUCT($G57:$G97,'4.  2011-14 LRAM'!N22:N62,'4.  2011-14 LRAM'!$E22:$E62)+SUMPRODUCT($S57:$S97,'4.  2011-14 LRAM'!N22:N62,'4.  2011-14 LRAM'!$E22:$E62),SUMPRODUCT($L57:$L97,'4.  2011-14 LRAM'!N22:N62)+SUMPRODUCT($X57:$X97,'4.  2011-14 LRAM'!N22:N62))</f>
        <v>0</v>
      </c>
      <c r="K317" s="563">
        <f>IF(K$312="kW",SUMPRODUCT($G57:$G97,'4.  2011-14 LRAM'!O22:O62,'4.  2011-14 LRAM'!$E22:$E62)+SUMPRODUCT($S57:$S97,'4.  2011-14 LRAM'!O22:O62,'4.  2011-14 LRAM'!$E22:$E62),SUMPRODUCT($L57:$L97,'4.  2011-14 LRAM'!O22:O62)+SUMPRODUCT($X57:$X97,'4.  2011-14 LRAM'!O22:O62))</f>
        <v>239.9684892631947</v>
      </c>
      <c r="L317" s="563">
        <f>IF(L$312="kW",SUMPRODUCT($G57:$G97,'4.  2011-14 LRAM'!P22:P62,'4.  2011-14 LRAM'!$E22:$E62)+SUMPRODUCT($S57:$S97,'4.  2011-14 LRAM'!P22:P62,'4.  2011-14 LRAM'!$E22:$E62),SUMPRODUCT($L57:$L97,'4.  2011-14 LRAM'!P22:P62)+SUMPRODUCT($X57:$X97,'4.  2011-14 LRAM'!P22:P62))</f>
        <v>0</v>
      </c>
      <c r="M317" s="563">
        <f>IF(M$312="kW",SUMPRODUCT($G57:$G97,'4.  2011-14 LRAM'!Q22:Q62,'4.  2011-14 LRAM'!$E22:$E62)+SUMPRODUCT($S57:$S97,'4.  2011-14 LRAM'!Q22:Q62,'4.  2011-14 LRAM'!$E22:$E62),SUMPRODUCT($L57:$L97,'4.  2011-14 LRAM'!Q22:Q62)+SUMPRODUCT($X57:$X97,'4.  2011-14 LRAM'!Q22:Q62))</f>
        <v>0</v>
      </c>
      <c r="N317" s="563">
        <f>IF(N$312="kW",SUMPRODUCT($G57:$G97,'4.  2011-14 LRAM'!R22:R62,'4.  2011-14 LRAM'!$E22:$E62)+SUMPRODUCT($S57:$S97,'4.  2011-14 LRAM'!R22:R62,'4.  2011-14 LRAM'!$E22:$E62),SUMPRODUCT($L57:$L97,'4.  2011-14 LRAM'!R22:R62)+SUMPRODUCT($X57:$X97,'4.  2011-14 LRAM'!R22:R62))</f>
        <v>0</v>
      </c>
      <c r="O317" s="559"/>
      <c r="P317" s="559"/>
      <c r="Q317" s="559"/>
      <c r="R317" s="559"/>
      <c r="S317" s="560"/>
      <c r="T317" s="561"/>
      <c r="U317" s="302"/>
    </row>
    <row r="318" spans="3:21">
      <c r="C318" s="548" t="s">
        <v>513</v>
      </c>
      <c r="D318" s="563">
        <f>IF(D$312="kW",SUMPRODUCT($H57:$H97,'4.  2011-14 LRAM'!H22:H62,'4.  2011-14 LRAM'!$E24:$E64)+SUMPRODUCT($T57:$T97,'4.  2011-14 LRAM'!H22:H62,'4.  2011-14 LRAM'!$E22:$E62),SUMPRODUCT($M57:$M97,'4.  2011-14 LRAM'!H22:H62)+SUMPRODUCT($Y57:$Y97,'4.  2011-14 LRAM'!H22:H62))</f>
        <v>2219773.8487123703</v>
      </c>
      <c r="E318" s="563">
        <f>IF(E$312="kW",SUMPRODUCT($H57:$H97,'4.  2011-14 LRAM'!I22:I62,'4.  2011-14 LRAM'!$E24:$E64)+SUMPRODUCT($T57:$T97,'4.  2011-14 LRAM'!I22:I62,'4.  2011-14 LRAM'!$E22:$E62),SUMPRODUCT($M57:$M97,'4.  2011-14 LRAM'!I22:I62)+SUMPRODUCT($Y57:$Y97,'4.  2011-14 LRAM'!I22:I62))</f>
        <v>754731.91715001629</v>
      </c>
      <c r="F318" s="563">
        <f>IF(F$312="kW",SUMPRODUCT($H57:$H97,'4.  2011-14 LRAM'!J22:J62,'4.  2011-14 LRAM'!$E22:$E62)+SUMPRODUCT($T57:$T97,'4.  2011-14 LRAM'!J22:J62,'4.  2011-14 LRAM'!$E22:$E62),SUMPRODUCT($M57:$M97,'4.  2011-14 LRAM'!J22:J62)+SUMPRODUCT($Y57:$Y97,'4.  2011-14 LRAM'!J22:J62))</f>
        <v>7540.3356483795515</v>
      </c>
      <c r="G318" s="563">
        <f>IF(G$312="kW",SUMPRODUCT($H57:$H97,'4.  2011-14 LRAM'!K22:K62,'4.  2011-14 LRAM'!$E24:$E64)+SUMPRODUCT($T57:$T97,'4.  2011-14 LRAM'!K22:K62,'4.  2011-14 LRAM'!$E22:$E62),SUMPRODUCT($M57:$M97,'4.  2011-14 LRAM'!K22:K62)+SUMPRODUCT($Y57:$Y97,'4.  2011-14 LRAM'!K22:K62))</f>
        <v>2883.1976771821473</v>
      </c>
      <c r="H318" s="563">
        <f>IF(H$312="kW",SUMPRODUCT($H57:$H97,'4.  2011-14 LRAM'!L22:L62,'4.  2011-14 LRAM'!$E24:$E64)+SUMPRODUCT($T57:$T97,'4.  2011-14 LRAM'!L22:L62,'4.  2011-14 LRAM'!$E22:$E62),SUMPRODUCT($M57:$M97,'4.  2011-14 LRAM'!L22:L62)+SUMPRODUCT($Y57:$Y97,'4.  2011-14 LRAM'!L22:L62))</f>
        <v>0</v>
      </c>
      <c r="I318" s="563">
        <f>IF(I$312="kW",SUMPRODUCT($H57:$H97,'4.  2011-14 LRAM'!M22:M62,'4.  2011-14 LRAM'!$E24:$E64)+SUMPRODUCT($T57:$T97,'4.  2011-14 LRAM'!M22:M62,'4.  2011-14 LRAM'!$E22:$E62),SUMPRODUCT($M57:$M97,'4.  2011-14 LRAM'!M22:M62)+SUMPRODUCT($Y57:$Y97,'4.  2011-14 LRAM'!M22:M62))</f>
        <v>0</v>
      </c>
      <c r="J318" s="563">
        <f>IF(J$312="kW",SUMPRODUCT($H57:$H97,'4.  2011-14 LRAM'!N22:N62,'4.  2011-14 LRAM'!$E24:$E64)+SUMPRODUCT($T57:$T97,'4.  2011-14 LRAM'!N22:N62,'4.  2011-14 LRAM'!$E22:$E62),SUMPRODUCT($M57:$M97,'4.  2011-14 LRAM'!N22:N62)+SUMPRODUCT($Y57:$Y97,'4.  2011-14 LRAM'!N22:N62))</f>
        <v>0</v>
      </c>
      <c r="K318" s="563">
        <f>IF(K$312="kW",SUMPRODUCT($H57:$H97,'4.  2011-14 LRAM'!O22:O62,'4.  2011-14 LRAM'!$E24:$E64)+SUMPRODUCT($T57:$T97,'4.  2011-14 LRAM'!O22:O62,'4.  2011-14 LRAM'!$E22:$E62),SUMPRODUCT($M57:$M97,'4.  2011-14 LRAM'!O22:O62)+SUMPRODUCT($Y57:$Y97,'4.  2011-14 LRAM'!O22:O62))</f>
        <v>145.24925325854647</v>
      </c>
      <c r="L318" s="563">
        <f>IF(L$312="kW",SUMPRODUCT($H57:$H97,'4.  2011-14 LRAM'!P22:P62,'4.  2011-14 LRAM'!$E24:$E64)+SUMPRODUCT($T57:$T97,'4.  2011-14 LRAM'!P22:P62,'4.  2011-14 LRAM'!$E22:$E62),SUMPRODUCT($M57:$M97,'4.  2011-14 LRAM'!P22:P62)+SUMPRODUCT($Y57:$Y97,'4.  2011-14 LRAM'!P22:P62))</f>
        <v>0</v>
      </c>
      <c r="M318" s="563">
        <f>IF(M$312="kW",SUMPRODUCT($H57:$H97,'4.  2011-14 LRAM'!Q22:Q62,'4.  2011-14 LRAM'!$E24:$E64)+SUMPRODUCT($T57:$T97,'4.  2011-14 LRAM'!Q22:Q62,'4.  2011-14 LRAM'!$E22:$E62),SUMPRODUCT($M57:$M97,'4.  2011-14 LRAM'!Q22:Q62)+SUMPRODUCT($Y57:$Y97,'4.  2011-14 LRAM'!Q22:Q62))</f>
        <v>0</v>
      </c>
      <c r="N318" s="563">
        <f>IF(N$312="kW",SUMPRODUCT($H57:$H97,'4.  2011-14 LRAM'!R22:R62,'4.  2011-14 LRAM'!$E24:$E64)+SUMPRODUCT($T57:$T97,'4.  2011-14 LRAM'!R22:R62,'4.  2011-14 LRAM'!$E22:$E62),SUMPRODUCT($M57:$M97,'4.  2011-14 LRAM'!R22:R62)+SUMPRODUCT($Y57:$Y97,'4.  2011-14 LRAM'!R22:R62))</f>
        <v>0</v>
      </c>
      <c r="O318" s="559"/>
      <c r="P318" s="559"/>
      <c r="Q318" s="559"/>
      <c r="R318" s="559"/>
      <c r="S318" s="560"/>
      <c r="T318" s="561"/>
      <c r="U318" s="302"/>
    </row>
    <row r="319" spans="3:21" ht="15">
      <c r="C319" s="547">
        <v>2012</v>
      </c>
      <c r="D319" s="564"/>
      <c r="E319" s="564"/>
      <c r="F319" s="564"/>
      <c r="G319" s="564"/>
      <c r="H319" s="564"/>
      <c r="I319" s="564"/>
      <c r="J319" s="564"/>
      <c r="K319" s="564"/>
      <c r="L319" s="564"/>
      <c r="M319" s="564"/>
      <c r="N319" s="564"/>
      <c r="O319" s="560"/>
      <c r="P319" s="560"/>
      <c r="Q319" s="559"/>
      <c r="R319" s="559"/>
      <c r="S319" s="559"/>
      <c r="T319" s="302"/>
      <c r="U319" s="302"/>
    </row>
    <row r="320" spans="3:21">
      <c r="C320" s="548" t="s">
        <v>510</v>
      </c>
      <c r="D320" s="563">
        <f>IF(D$312="kW",SUMPRODUCT($E115:$E159,'4.  2011-14 LRAM'!H90:H134,'4.  2011-14 LRAM'!$E90:$E134)+SUMPRODUCT($Q115:$Q159,'4.  2011-14 LRAM'!H90:H134,'4.  2011-14 LRAM'!$E90:$E134),SUMPRODUCT($J115:$J159,'4.  2011-14 LRAM'!H90:H134)+SUMPRODUCT($V115:$V159,'4.  2011-14 LRAM'!H90:H134))</f>
        <v>1832242.565111083</v>
      </c>
      <c r="E320" s="563">
        <f>IF(E$312="kW",SUMPRODUCT($E115:$E159,'4.  2011-14 LRAM'!I90:I134,'4.  2011-14 LRAM'!$E90:$E134)+SUMPRODUCT($Q115:$Q159,'4.  2011-14 LRAM'!I90:I134,'4.  2011-14 LRAM'!$E90:$E134),SUMPRODUCT($J115:$J159,'4.  2011-14 LRAM'!I90:I134)+SUMPRODUCT($V115:$V159,'4.  2011-14 LRAM'!I90:I134))</f>
        <v>1753516.682611756</v>
      </c>
      <c r="F320" s="563">
        <f>IF(F$312="kW",SUMPRODUCT($E115:$E159,'4.  2011-14 LRAM'!J90:J134,'4.  2011-14 LRAM'!$E90:$E134)+SUMPRODUCT($Q115:$Q159,'4.  2011-14 LRAM'!J90:J134,'4.  2011-14 LRAM'!$E90:$E134),SUMPRODUCT($J115:$J159,'4.  2011-14 LRAM'!J90:J134)+SUMPRODUCT($V115:$V159,'4.  2011-14 LRAM'!J90:J134))</f>
        <v>9208.4936736883592</v>
      </c>
      <c r="G320" s="563">
        <f>IF(G$312="kW",SUMPRODUCT($E115:$E159,'4.  2011-14 LRAM'!K90:K134,'4.  2011-14 LRAM'!$E90:$E134)+SUMPRODUCT($Q115:$Q159,'4.  2011-14 LRAM'!K90:K134,'4.  2011-14 LRAM'!$E90:$E134),SUMPRODUCT($J115:$J159,'4.  2011-14 LRAM'!K90:K134)+SUMPRODUCT($V115:$V159,'4.  2011-14 LRAM'!K90:K134))</f>
        <v>6087.7397149793223</v>
      </c>
      <c r="H320" s="563">
        <f>IF(H$312="kW",SUMPRODUCT($E115:$E159,'4.  2011-14 LRAM'!L90:L134,'4.  2011-14 LRAM'!$E90:$E134)+SUMPRODUCT($Q115:$Q159,'4.  2011-14 LRAM'!L90:L134,'4.  2011-14 LRAM'!$E90:$E134),SUMPRODUCT($J115:$J159,'4.  2011-14 LRAM'!L90:L134)+SUMPRODUCT($V115:$V159,'4.  2011-14 LRAM'!L90:L134))</f>
        <v>0</v>
      </c>
      <c r="I320" s="563">
        <f>IF(I$312="kW",SUMPRODUCT($E115:$E159,'4.  2011-14 LRAM'!M90:M134,'4.  2011-14 LRAM'!$E90:$E134)+SUMPRODUCT($Q115:$Q159,'4.  2011-14 LRAM'!M90:M134,'4.  2011-14 LRAM'!$E90:$E134),SUMPRODUCT($J115:$J159,'4.  2011-14 LRAM'!M90:M134)+SUMPRODUCT($V115:$V159,'4.  2011-14 LRAM'!M90:M134))</f>
        <v>42.771005023273929</v>
      </c>
      <c r="J320" s="563">
        <f>IF(J$312="kW",SUMPRODUCT($E115:$E159,'4.  2011-14 LRAM'!N90:N134,'4.  2011-14 LRAM'!$E90:$E134)+SUMPRODUCT($Q115:$Q159,'4.  2011-14 LRAM'!N90:N134,'4.  2011-14 LRAM'!$E90:$E134),SUMPRODUCT($J115:$J159,'4.  2011-14 LRAM'!N90:N134)+SUMPRODUCT($V115:$V159,'4.  2011-14 LRAM'!N90:N134))</f>
        <v>0</v>
      </c>
      <c r="K320" s="563">
        <f>IF(K$312="kW",SUMPRODUCT($E115:$E159,'4.  2011-14 LRAM'!O90:O134,'4.  2011-14 LRAM'!$E90:$E134)+SUMPRODUCT($Q115:$Q159,'4.  2011-14 LRAM'!O90:O134,'4.  2011-14 LRAM'!$E90:$E134),SUMPRODUCT($J115:$J159,'4.  2011-14 LRAM'!O90:O134)+SUMPRODUCT($V115:$V159,'4.  2011-14 LRAM'!O90:O134))</f>
        <v>356.42504186061609</v>
      </c>
      <c r="L320" s="563">
        <f>IF(L$312="kW",SUMPRODUCT($E115:$E159,'4.  2011-14 LRAM'!P90:P134,'4.  2011-14 LRAM'!$E90:$E134)+SUMPRODUCT($Q115:$Q159,'4.  2011-14 LRAM'!P90:P134,'4.  2011-14 LRAM'!$E90:$E134),SUMPRODUCT($J115:$J159,'4.  2011-14 LRAM'!P90:P134)+SUMPRODUCT($V115:$V159,'4.  2011-14 LRAM'!P90:P134))</f>
        <v>0</v>
      </c>
      <c r="M320" s="563">
        <f>IF(M$312="kW",SUMPRODUCT($E115:$E159,'4.  2011-14 LRAM'!Q90:Q134,'4.  2011-14 LRAM'!$E90:$E134)+SUMPRODUCT($Q115:$Q159,'4.  2011-14 LRAM'!Q90:Q134,'4.  2011-14 LRAM'!$E90:$E134),SUMPRODUCT($J115:$J159,'4.  2011-14 LRAM'!Q90:Q134)+SUMPRODUCT($V115:$V159,'4.  2011-14 LRAM'!Q90:Q134))</f>
        <v>0</v>
      </c>
      <c r="N320" s="563">
        <f>IF(N$312="kW",SUMPRODUCT($E115:$E159,'4.  2011-14 LRAM'!R90:R134,'4.  2011-14 LRAM'!$E90:$E134)+SUMPRODUCT($Q115:$Q159,'4.  2011-14 LRAM'!R90:R134,'4.  2011-14 LRAM'!$E90:$E134),SUMPRODUCT($J115:$J159,'4.  2011-14 LRAM'!R90:R134)+SUMPRODUCT($V115:$V159,'4.  2011-14 LRAM'!R90:R134))</f>
        <v>0</v>
      </c>
      <c r="O320" s="559"/>
      <c r="P320" s="559"/>
      <c r="Q320" s="559"/>
      <c r="R320" s="559"/>
      <c r="S320" s="560"/>
      <c r="T320" s="561"/>
      <c r="U320" s="302"/>
    </row>
    <row r="321" spans="2:21">
      <c r="C321" s="548" t="s">
        <v>511</v>
      </c>
      <c r="D321" s="563">
        <f>IF(D$312="kW",SUMPRODUCT($F115:$F159,'4.  2011-14 LRAM'!H90:H134,'4.  2011-14 LRAM'!$E90:$E134)+SUMPRODUCT($R115:$R159,'4.  2011-14 LRAM'!H90:H134,'4.  2011-14 LRAM'!$E90:$E134),SUMPRODUCT($K115:$K159,'4.  2011-14 LRAM'!H90:H134)+SUMPRODUCT($W115:$W159,'4.  2011-14 LRAM'!H90:H134))</f>
        <v>1832242.565111083</v>
      </c>
      <c r="E321" s="563">
        <f>IF(E$312="kW",SUMPRODUCT($F115:$F159,'4.  2011-14 LRAM'!I90:I134,'4.  2011-14 LRAM'!$E90:$E134)+SUMPRODUCT($R115:$R159,'4.  2011-14 LRAM'!I90:I134,'4.  2011-14 LRAM'!$E90:$E134),SUMPRODUCT($K115:$K159,'4.  2011-14 LRAM'!I90:I134)+SUMPRODUCT($W115:$W159,'4.  2011-14 LRAM'!I90:I134))</f>
        <v>1735862.6022528668</v>
      </c>
      <c r="F321" s="563">
        <f>IF(F$312="kW",SUMPRODUCT($F115:$F159,'4.  2011-14 LRAM'!J90:J134,'4.  2011-14 LRAM'!$E90:$E134)+SUMPRODUCT($R115:$R159,'4.  2011-14 LRAM'!J90:J134,'4.  2011-14 LRAM'!$E90:$E134),SUMPRODUCT($K115:$K159,'4.  2011-14 LRAM'!J90:J134)+SUMPRODUCT($W115:$W159,'4.  2011-14 LRAM'!J90:J134))</f>
        <v>9189.3292581682781</v>
      </c>
      <c r="G321" s="563">
        <f>IF(G$312="kW",SUMPRODUCT($F115:$F159,'4.  2011-14 LRAM'!K90:K134,'4.  2011-14 LRAM'!$E90:$E134)+SUMPRODUCT($R115:$R159,'4.  2011-14 LRAM'!K90:K134,'4.  2011-14 LRAM'!$E90:$E134),SUMPRODUCT($K115:$K159,'4.  2011-14 LRAM'!K90:K134)+SUMPRODUCT($W115:$W159,'4.  2011-14 LRAM'!K90:K134))</f>
        <v>6074.9534564995174</v>
      </c>
      <c r="H321" s="563">
        <f>IF(H$312="kW",SUMPRODUCT($F115:$F159,'4.  2011-14 LRAM'!L90:L134,'4.  2011-14 LRAM'!$E90:$E134)+SUMPRODUCT($R115:$R159,'4.  2011-14 LRAM'!L90:L134,'4.  2011-14 LRAM'!$E90:$E134),SUMPRODUCT($K115:$K159,'4.  2011-14 LRAM'!L90:L134)+SUMPRODUCT($W115:$W159,'4.  2011-14 LRAM'!L90:L134))</f>
        <v>0</v>
      </c>
      <c r="I321" s="563">
        <f>IF(I$312="kW",SUMPRODUCT($F115:$F159,'4.  2011-14 LRAM'!M90:M134,'4.  2011-14 LRAM'!$E90:$E134)+SUMPRODUCT($R115:$R159,'4.  2011-14 LRAM'!M90:M134,'4.  2011-14 LRAM'!$E90:$E134),SUMPRODUCT($K115:$K159,'4.  2011-14 LRAM'!M90:M134)+SUMPRODUCT($W115:$W159,'4.  2011-14 LRAM'!M90:M134))</f>
        <v>42.681171825523542</v>
      </c>
      <c r="J321" s="563">
        <f>IF(J$312="kW",SUMPRODUCT($F115:$F159,'4.  2011-14 LRAM'!N90:N134,'4.  2011-14 LRAM'!$E90:$E134)+SUMPRODUCT($R115:$R159,'4.  2011-14 LRAM'!N90:N134,'4.  2011-14 LRAM'!$E90:$E134),SUMPRODUCT($K115:$K159,'4.  2011-14 LRAM'!N90:N134)+SUMPRODUCT($W115:$W159,'4.  2011-14 LRAM'!N90:N134))</f>
        <v>0</v>
      </c>
      <c r="K321" s="563">
        <f>IF(K$312="kW",SUMPRODUCT($F115:$F159,'4.  2011-14 LRAM'!O90:O134,'4.  2011-14 LRAM'!$E90:$E134)+SUMPRODUCT($R115:$R159,'4.  2011-14 LRAM'!O90:O134,'4.  2011-14 LRAM'!$E90:$E134),SUMPRODUCT($K115:$K159,'4.  2011-14 LRAM'!O90:O134)+SUMPRODUCT($W115:$W159,'4.  2011-14 LRAM'!O90:O134))</f>
        <v>355.67643187936284</v>
      </c>
      <c r="L321" s="563">
        <f>IF(L$312="kW",SUMPRODUCT($F115:$F159,'4.  2011-14 LRAM'!P90:P134,'4.  2011-14 LRAM'!$E90:$E134)+SUMPRODUCT($R115:$R159,'4.  2011-14 LRAM'!P90:P134,'4.  2011-14 LRAM'!$E90:$E134),SUMPRODUCT($K115:$K159,'4.  2011-14 LRAM'!P90:P134)+SUMPRODUCT($W115:$W159,'4.  2011-14 LRAM'!P90:P134))</f>
        <v>0</v>
      </c>
      <c r="M321" s="563">
        <f>IF(M$312="kW",SUMPRODUCT($F115:$F159,'4.  2011-14 LRAM'!Q90:Q134,'4.  2011-14 LRAM'!$E90:$E134)+SUMPRODUCT($R115:$R159,'4.  2011-14 LRAM'!Q90:Q134,'4.  2011-14 LRAM'!$E90:$E134),SUMPRODUCT($K115:$K159,'4.  2011-14 LRAM'!Q90:Q134)+SUMPRODUCT($W115:$W159,'4.  2011-14 LRAM'!Q90:Q134))</f>
        <v>0</v>
      </c>
      <c r="N321" s="563">
        <f>IF(N$312="kW",SUMPRODUCT($F115:$F159,'4.  2011-14 LRAM'!R90:R134,'4.  2011-14 LRAM'!$E90:$E134)+SUMPRODUCT($R115:$R159,'4.  2011-14 LRAM'!R90:R134,'4.  2011-14 LRAM'!$E90:$E134),SUMPRODUCT($K115:$K159,'4.  2011-14 LRAM'!R90:R134)+SUMPRODUCT($W115:$W159,'4.  2011-14 LRAM'!R90:R134))</f>
        <v>0</v>
      </c>
      <c r="O321" s="559"/>
      <c r="P321" s="559"/>
      <c r="Q321" s="559"/>
      <c r="R321" s="559"/>
      <c r="S321" s="560"/>
      <c r="T321" s="561"/>
      <c r="U321" s="302"/>
    </row>
    <row r="322" spans="2:21">
      <c r="C322" s="548" t="s">
        <v>512</v>
      </c>
      <c r="D322" s="563">
        <f>IF(D$312="kW",SUMPRODUCT($G115:$G166,'4.  2011-14 LRAM'!H90:H141,'4.  2011-14 LRAM'!$E90:$E141)+SUMPRODUCT($S115:$S166,'4.  2011-14 LRAM'!H90:H141,'4.  2011-14 LRAM'!$E90:$E141),SUMPRODUCT($L115:$L166,'4.  2011-14 LRAM'!H90:H141)+SUMPRODUCT($X115:$X166,'4.  2011-14 LRAM'!H90:H141))</f>
        <v>1830157.0233379309</v>
      </c>
      <c r="E322" s="563">
        <f>IF(E$312="kW",SUMPRODUCT($G115:$G166,'4.  2011-14 LRAM'!I90:I141,'4.  2011-14 LRAM'!$E90:$E141)+SUMPRODUCT($S115:$S166,'4.  2011-14 LRAM'!I90:I141,'4.  2011-14 LRAM'!$E90:$E141),SUMPRODUCT($L115:$L166,'4.  2011-14 LRAM'!I90:I141)+SUMPRODUCT($X115:$X166,'4.  2011-14 LRAM'!I90:I141))</f>
        <v>1574003.045885222</v>
      </c>
      <c r="F322" s="563">
        <f>IF(F$312="kW",SUMPRODUCT($G115:$G166,'4.  2011-14 LRAM'!J90:J141,'4.  2011-14 LRAM'!$E90:$E141)+SUMPRODUCT($S115:$S166,'4.  2011-14 LRAM'!J90:J141,'4.  2011-14 LRAM'!$E90:$E141),SUMPRODUCT($L115:$L166,'4.  2011-14 LRAM'!J90:J141)+SUMPRODUCT($X115:$X166,'4.  2011-14 LRAM'!J90:J141))</f>
        <v>8942.9842464912235</v>
      </c>
      <c r="G322" s="563">
        <f>IF(G$312="kW",SUMPRODUCT($G115:$G166,'4.  2011-14 LRAM'!K90:K141,'4.  2011-14 LRAM'!$E90:$E141)+SUMPRODUCT($S115:$S166,'4.  2011-14 LRAM'!K90:K141,'4.  2011-14 LRAM'!$E90:$E141),SUMPRODUCT($L115:$L166,'4.  2011-14 LRAM'!K90:K141)+SUMPRODUCT($X115:$X166,'4.  2011-14 LRAM'!K90:K141))</f>
        <v>5910.595144021233</v>
      </c>
      <c r="H322" s="563">
        <f>IF(H$312="kW",SUMPRODUCT($G115:$G166,'4.  2011-14 LRAM'!L90:L141,'4.  2011-14 LRAM'!$E90:$E141)+SUMPRODUCT($S115:$S166,'4.  2011-14 LRAM'!L90:L141,'4.  2011-14 LRAM'!$E90:$E141),SUMPRODUCT($L115:$L166,'4.  2011-14 LRAM'!L90:L141)+SUMPRODUCT($X115:$X166,'4.  2011-14 LRAM'!L90:L141))</f>
        <v>0</v>
      </c>
      <c r="I322" s="563">
        <f>IF(I$312="kW",SUMPRODUCT($G115:$G166,'4.  2011-14 LRAM'!M90:M141,'4.  2011-14 LRAM'!$E90:$E141)+SUMPRODUCT($S115:$S166,'4.  2011-14 LRAM'!M90:M141,'4.  2011-14 LRAM'!$E90:$E141),SUMPRODUCT($L115:$L166,'4.  2011-14 LRAM'!M90:M141)+SUMPRODUCT($X115:$X166,'4.  2011-14 LRAM'!M90:M141))</f>
        <v>41.526429583287353</v>
      </c>
      <c r="J322" s="563">
        <f>IF(J$312="kW",SUMPRODUCT($G115:$G166,'4.  2011-14 LRAM'!N90:N141,'4.  2011-14 LRAM'!$E90:$E141)+SUMPRODUCT($S115:$S166,'4.  2011-14 LRAM'!N90:N141,'4.  2011-14 LRAM'!$E90:$E141),SUMPRODUCT($L115:$L166,'4.  2011-14 LRAM'!N90:N141)+SUMPRODUCT($X115:$X166,'4.  2011-14 LRAM'!N90:N141))</f>
        <v>0</v>
      </c>
      <c r="K322" s="563">
        <f>IF(K$312="kW",SUMPRODUCT($G115:$G166,'4.  2011-14 LRAM'!O90:O141,'4.  2011-14 LRAM'!$E90:$E141)+SUMPRODUCT($S115:$S166,'4.  2011-14 LRAM'!O90:O141,'4.  2011-14 LRAM'!$E90:$E141),SUMPRODUCT($L115:$L166,'4.  2011-14 LRAM'!O90:O141)+SUMPRODUCT($X115:$X166,'4.  2011-14 LRAM'!O90:O141))</f>
        <v>346.05357986072795</v>
      </c>
      <c r="L322" s="563">
        <f>IF(L$312="kW",SUMPRODUCT($G115:$G166,'4.  2011-14 LRAM'!P90:P141,'4.  2011-14 LRAM'!$E90:$E141)+SUMPRODUCT($S115:$S166,'4.  2011-14 LRAM'!P90:P141,'4.  2011-14 LRAM'!$E90:$E141),SUMPRODUCT($L115:$L166,'4.  2011-14 LRAM'!P90:P141)+SUMPRODUCT($X115:$X166,'4.  2011-14 LRAM'!P90:P141))</f>
        <v>0</v>
      </c>
      <c r="M322" s="563">
        <f>IF(M$312="kW",SUMPRODUCT($G115:$G166,'4.  2011-14 LRAM'!Q90:Q141,'4.  2011-14 LRAM'!$E90:$E141)+SUMPRODUCT($S115:$S166,'4.  2011-14 LRAM'!Q90:Q141,'4.  2011-14 LRAM'!$E90:$E141),SUMPRODUCT($L115:$L166,'4.  2011-14 LRAM'!Q90:Q141)+SUMPRODUCT($X115:$X166,'4.  2011-14 LRAM'!Q90:Q141))</f>
        <v>0</v>
      </c>
      <c r="N322" s="563">
        <f>IF(N$312="kW",SUMPRODUCT($G115:$G166,'4.  2011-14 LRAM'!R90:R141,'4.  2011-14 LRAM'!$E90:$E141)+SUMPRODUCT($S115:$S166,'4.  2011-14 LRAM'!R90:R141,'4.  2011-14 LRAM'!$E90:$E141),SUMPRODUCT($L115:$L166,'4.  2011-14 LRAM'!R90:R141)+SUMPRODUCT($X115:$X166,'4.  2011-14 LRAM'!R90:R141))</f>
        <v>0</v>
      </c>
      <c r="O322" s="559"/>
      <c r="P322" s="559"/>
      <c r="Q322" s="559"/>
      <c r="R322" s="559"/>
      <c r="S322" s="560"/>
      <c r="T322" s="561"/>
      <c r="U322" s="302"/>
    </row>
    <row r="323" spans="2:21">
      <c r="C323" s="548" t="s">
        <v>513</v>
      </c>
      <c r="D323" s="563">
        <f>IF(D$312="kW",SUMPRODUCT($H115:$H166,'4.  2011-14 LRAM'!H90:H141,'4.  2011-14 LRAM'!$E90:$E141)+SUMPRODUCT($T115:$T166,'4.  2011-14 LRAM'!H90:H141,'4.  2011-14 LRAM'!$E90:$E141),SUMPRODUCT($M115:$M166,'4.  2011-14 LRAM'!H90:H141)+SUMPRODUCT($Y115:$Y166,'4.  2011-14 LRAM'!H90:H141))</f>
        <v>1675835.0700406742</v>
      </c>
      <c r="E323" s="563">
        <f>IF(E$312="kW",SUMPRODUCT($H115:$H166,'4.  2011-14 LRAM'!I90:I141,'4.  2011-14 LRAM'!$E90:$E141)+SUMPRODUCT($T115:$T166,'4.  2011-14 LRAM'!I90:I141,'4.  2011-14 LRAM'!$E90:$E141),SUMPRODUCT($M115:$M166,'4.  2011-14 LRAM'!I90:I141)+SUMPRODUCT($Y115:$Y166,'4.  2011-14 LRAM'!I90:I141))</f>
        <v>1183548.3325017761</v>
      </c>
      <c r="F323" s="563">
        <f>IF(F$312="kW",SUMPRODUCT($H115:$H166,'4.  2011-14 LRAM'!J90:J141,'4.  2011-14 LRAM'!$E90:$E141)+SUMPRODUCT($T115:$T166,'4.  2011-14 LRAM'!J90:J141,'4.  2011-14 LRAM'!$E90:$E141),SUMPRODUCT($M115:$M166,'4.  2011-14 LRAM'!J90:J141)+SUMPRODUCT($Y115:$Y166,'4.  2011-14 LRAM'!J90:J141))</f>
        <v>8909.2083504912243</v>
      </c>
      <c r="G323" s="563">
        <f>IF(G$312="kW",SUMPRODUCT($H115:$H166,'4.  2011-14 LRAM'!K90:K141,'4.  2011-14 LRAM'!$E90:$E141)+SUMPRODUCT($T115:$T166,'4.  2011-14 LRAM'!K90:K141,'4.  2011-14 LRAM'!$E90:$E141),SUMPRODUCT($M115:$M166,'4.  2011-14 LRAM'!K90:K141)+SUMPRODUCT($Y115:$Y166,'4.  2011-14 LRAM'!K90:K141))</f>
        <v>5910.595144021233</v>
      </c>
      <c r="H323" s="563">
        <f>IF(H$312="kW",SUMPRODUCT($H115:$H166,'4.  2011-14 LRAM'!L90:L141,'4.  2011-14 LRAM'!$E90:$E141)+SUMPRODUCT($T115:$T166,'4.  2011-14 LRAM'!L90:L141,'4.  2011-14 LRAM'!$E90:$E141),SUMPRODUCT($M115:$M166,'4.  2011-14 LRAM'!L90:L141)+SUMPRODUCT($Y115:$Y166,'4.  2011-14 LRAM'!L90:L141))</f>
        <v>0</v>
      </c>
      <c r="I323" s="563">
        <f>IF(I$312="kW",SUMPRODUCT($H115:$H166,'4.  2011-14 LRAM'!M90:M141,'4.  2011-14 LRAM'!$E90:$E141)+SUMPRODUCT($T115:$T166,'4.  2011-14 LRAM'!M90:M141,'4.  2011-14 LRAM'!$E90:$E141),SUMPRODUCT($M115:$M166,'4.  2011-14 LRAM'!M90:M141)+SUMPRODUCT($Y115:$Y166,'4.  2011-14 LRAM'!M90:M141))</f>
        <v>41.526429583287353</v>
      </c>
      <c r="J323" s="563">
        <f>IF(J$312="kW",SUMPRODUCT($H115:$H166,'4.  2011-14 LRAM'!N90:N141,'4.  2011-14 LRAM'!$E90:$E141)+SUMPRODUCT($T115:$T166,'4.  2011-14 LRAM'!N90:N141,'4.  2011-14 LRAM'!$E90:$E141),SUMPRODUCT($M115:$M166,'4.  2011-14 LRAM'!N90:N141)+SUMPRODUCT($Y115:$Y166,'4.  2011-14 LRAM'!N90:N141))</f>
        <v>0</v>
      </c>
      <c r="K323" s="563">
        <f>IF(K$312="kW",SUMPRODUCT($H115:$H166,'4.  2011-14 LRAM'!O90:O141,'4.  2011-14 LRAM'!$E90:$E141)+SUMPRODUCT($T115:$T166,'4.  2011-14 LRAM'!O90:O141,'4.  2011-14 LRAM'!$E90:$E141),SUMPRODUCT($M115:$M166,'4.  2011-14 LRAM'!O90:O141)+SUMPRODUCT($Y115:$Y166,'4.  2011-14 LRAM'!O90:O141))</f>
        <v>346.05357986072795</v>
      </c>
      <c r="L323" s="563">
        <f>IF(L$312="kW",SUMPRODUCT($H115:$H166,'4.  2011-14 LRAM'!P90:P141,'4.  2011-14 LRAM'!$E90:$E141)+SUMPRODUCT($T115:$T166,'4.  2011-14 LRAM'!P90:P141,'4.  2011-14 LRAM'!$E90:$E141),SUMPRODUCT($M115:$M166,'4.  2011-14 LRAM'!P90:P141)+SUMPRODUCT($Y115:$Y166,'4.  2011-14 LRAM'!P90:P141))</f>
        <v>0</v>
      </c>
      <c r="M323" s="563">
        <f>IF(M$312="kW",SUMPRODUCT($H115:$H166,'4.  2011-14 LRAM'!Q90:Q141,'4.  2011-14 LRAM'!$E90:$E141)+SUMPRODUCT($T115:$T166,'4.  2011-14 LRAM'!Q90:Q141,'4.  2011-14 LRAM'!$E90:$E141),SUMPRODUCT($M115:$M166,'4.  2011-14 LRAM'!Q90:Q141)+SUMPRODUCT($Y115:$Y166,'4.  2011-14 LRAM'!Q90:Q141))</f>
        <v>0</v>
      </c>
      <c r="N323" s="563">
        <f>IF(N$312="kW",SUMPRODUCT($H115:$H166,'4.  2011-14 LRAM'!R90:R141,'4.  2011-14 LRAM'!$E90:$E141)+SUMPRODUCT($T115:$T166,'4.  2011-14 LRAM'!R90:R141,'4.  2011-14 LRAM'!$E90:$E141),SUMPRODUCT($M115:$M166,'4.  2011-14 LRAM'!R90:R141)+SUMPRODUCT($Y115:$Y166,'4.  2011-14 LRAM'!R90:R141))</f>
        <v>0</v>
      </c>
      <c r="O323" s="559"/>
      <c r="P323" s="559"/>
      <c r="Q323" s="559"/>
      <c r="R323" s="559"/>
      <c r="S323" s="560"/>
      <c r="T323" s="561"/>
      <c r="U323" s="302"/>
    </row>
    <row r="324" spans="2:21" ht="15">
      <c r="C324" s="547">
        <v>2013</v>
      </c>
      <c r="D324" s="564"/>
      <c r="E324" s="564"/>
      <c r="F324" s="564"/>
      <c r="G324" s="564"/>
      <c r="H324" s="564"/>
      <c r="I324" s="564"/>
      <c r="J324" s="564"/>
      <c r="K324" s="564"/>
      <c r="L324" s="564"/>
      <c r="M324" s="564"/>
      <c r="N324" s="564"/>
      <c r="O324" s="560"/>
      <c r="P324" s="560"/>
      <c r="Q324" s="559"/>
      <c r="R324" s="559"/>
      <c r="S324" s="559"/>
      <c r="T324" s="302"/>
      <c r="U324" s="302"/>
    </row>
    <row r="325" spans="2:21">
      <c r="C325" s="548" t="s">
        <v>511</v>
      </c>
      <c r="D325" s="563">
        <f>IF(D$312="kW",SUMPRODUCT($F$178:$F$230,'4.  2011-14 LRAM'!H169:H221,'4.  2011-14 LRAM'!$E169:$E221)+SUMPRODUCT($R178:$R230,'4.  2011-14 LRAM'!H169:H221,'4.  2011-14 LRAM'!$E169:$E221),SUMPRODUCT($K178:$K230,'4.  2011-14 LRAM'!H169:H221)+SUMPRODUCT($W178:$W230,'4.  2011-14 LRAM'!H169:H221))</f>
        <v>2054098.2375918212</v>
      </c>
      <c r="E325" s="563">
        <f>IF(E$312="kW",SUMPRODUCT($F178:$F230,'4.  2011-14 LRAM'!I169:I221,'4.  2011-14 LRAM'!$E169:$E221)+SUMPRODUCT($R178:$R230,'4.  2011-14 LRAM'!I169:I221,'4.  2011-14 LRAM'!$E169:$E221),SUMPRODUCT($K178:$K230,'4.  2011-14 LRAM'!I169:I221)+SUMPRODUCT($W178:$W230,'4.  2011-14 LRAM'!I169:I221))</f>
        <v>2070067.4747403529</v>
      </c>
      <c r="F325" s="563">
        <f>IF(F$312="kW",SUMPRODUCT($F178:$F230,'4.  2011-14 LRAM'!J169:J221,'4.  2011-14 LRAM'!$E169:$E221)+SUMPRODUCT($R178:$R230,'4.  2011-14 LRAM'!J169:J221,'4.  2011-14 LRAM'!$E169:$E221),SUMPRODUCT($K178:$K230,'4.  2011-14 LRAM'!J169:J221)+SUMPRODUCT($W178:$W230,'4.  2011-14 LRAM'!J169:J221))</f>
        <v>7084.3178768447387</v>
      </c>
      <c r="G325" s="563">
        <f>IF(G$312="kW",SUMPRODUCT($F178:$F230,'4.  2011-14 LRAM'!K169:K221,'4.  2011-14 LRAM'!$E169:$E221)+SUMPRODUCT($R178:$R230,'4.  2011-14 LRAM'!K169:K221,'4.  2011-14 LRAM'!$E169:$E221),SUMPRODUCT($K178:$K230,'4.  2011-14 LRAM'!K169:K221)+SUMPRODUCT($W178:$W230,'4.  2011-14 LRAM'!K169:K221))</f>
        <v>2954.1343383597341</v>
      </c>
      <c r="H325" s="563">
        <f>IF(H$312="kW",SUMPRODUCT($F178:$F230,'4.  2011-14 LRAM'!L169:L221,'4.  2011-14 LRAM'!$E169:$E221)+SUMPRODUCT($R178:$R230,'4.  2011-14 LRAM'!L169:L221,'4.  2011-14 LRAM'!$E169:$E221),SUMPRODUCT($K178:$K230,'4.  2011-14 LRAM'!L169:L221)+SUMPRODUCT($W178:$W230,'4.  2011-14 LRAM'!L169:L221))</f>
        <v>0</v>
      </c>
      <c r="I325" s="563">
        <f>IF(I$312="kW",SUMPRODUCT($F178:$F230,'4.  2011-14 LRAM'!M169:M221,'4.  2011-14 LRAM'!$E169:$E221)+SUMPRODUCT($R178:$R230,'4.  2011-14 LRAM'!M169:M221,'4.  2011-14 LRAM'!$E169:$E221),SUMPRODUCT($K178:$K230,'4.  2011-14 LRAM'!M169:M221)+SUMPRODUCT($W178:$W230,'4.  2011-14 LRAM'!M169:M221))</f>
        <v>363.06884844720798</v>
      </c>
      <c r="J325" s="563">
        <f>IF(J$312="kW",SUMPRODUCT($F178:$F230,'4.  2011-14 LRAM'!N169:N221,'4.  2011-14 LRAM'!$E169:$E221)+SUMPRODUCT($R178:$R230,'4.  2011-14 LRAM'!N169:N221,'4.  2011-14 LRAM'!$E169:$E221),SUMPRODUCT($K178:$K230,'4.  2011-14 LRAM'!N169:N221)+SUMPRODUCT($W178:$W230,'4.  2011-14 LRAM'!N169:N221))</f>
        <v>0</v>
      </c>
      <c r="K325" s="563">
        <f>IF(K$312="kW",SUMPRODUCT($F178:$F230,'4.  2011-14 LRAM'!O169:O221,'4.  2011-14 LRAM'!$E169:$E221)+SUMPRODUCT($R178:$R230,'4.  2011-14 LRAM'!O169:O221,'4.  2011-14 LRAM'!$E169:$E221),SUMPRODUCT($K178:$K230,'4.  2011-14 LRAM'!O169:O221)+SUMPRODUCT($W178:$W230,'4.  2011-14 LRAM'!O169:O221))</f>
        <v>1431.1680447146518</v>
      </c>
      <c r="L325" s="563">
        <f>IF(L$312="kW",SUMPRODUCT($F178:$F230,'4.  2011-14 LRAM'!P169:P221,'4.  2011-14 LRAM'!$E169:$E221)+SUMPRODUCT($R178:$R230,'4.  2011-14 LRAM'!P169:P221,'4.  2011-14 LRAM'!$E169:$E221),SUMPRODUCT($K178:$K230,'4.  2011-14 LRAM'!P169:P221)+SUMPRODUCT($W178:$W230,'4.  2011-14 LRAM'!P169:P221))</f>
        <v>0</v>
      </c>
      <c r="M325" s="563">
        <f>IF(M$312="kW",SUMPRODUCT($F178:$F230,'4.  2011-14 LRAM'!Q169:Q221,'4.  2011-14 LRAM'!$E169:$E221)+SUMPRODUCT($R178:$R230,'4.  2011-14 LRAM'!Q169:Q221,'4.  2011-14 LRAM'!$E169:$E221),SUMPRODUCT($K178:$K230,'4.  2011-14 LRAM'!Q169:Q221)+SUMPRODUCT($W178:$W230,'4.  2011-14 LRAM'!Q169:Q221))</f>
        <v>0</v>
      </c>
      <c r="N325" s="563">
        <f>IF(N$312="kW",SUMPRODUCT($F178:$F230,'4.  2011-14 LRAM'!R169:R221,'4.  2011-14 LRAM'!$E169:$E221)+SUMPRODUCT($R178:$R230,'4.  2011-14 LRAM'!R169:R221,'4.  2011-14 LRAM'!$E169:$E221),SUMPRODUCT($K178:$K230,'4.  2011-14 LRAM'!R169:R221)+SUMPRODUCT($W178:$W230,'4.  2011-14 LRAM'!R169:R221))</f>
        <v>0</v>
      </c>
      <c r="O325" s="559"/>
      <c r="P325" s="559"/>
      <c r="Q325" s="559"/>
      <c r="R325" s="559"/>
      <c r="S325" s="560"/>
      <c r="T325" s="561"/>
      <c r="U325" s="302"/>
    </row>
    <row r="326" spans="2:21">
      <c r="C326" s="548" t="s">
        <v>512</v>
      </c>
      <c r="D326" s="563">
        <f>IF(D$312="kW",SUMPRODUCT($G178:$G230,'4.  2011-14 LRAM'!H169:H221,'4.  2011-14 LRAM'!$E169:$E221)+SUMPRODUCT($S178:$S230,'4.  2011-14 LRAM'!H169:H221,'4.  2011-14 LRAM'!$E169:$E221),SUMPRODUCT($L178:$L230,'4.  2011-14 LRAM'!H169:H221)+SUMPRODUCT($X178:$X230,'4.  2011-14 LRAM'!H169:H221))</f>
        <v>2021755.351507908</v>
      </c>
      <c r="E326" s="563">
        <f>IF(E$312="kW",SUMPRODUCT($G178:$G230,'4.  2011-14 LRAM'!I169:I221,'4.  2011-14 LRAM'!$E169:$E221)+SUMPRODUCT($S178:$S230,'4.  2011-14 LRAM'!I169:I221,'4.  2011-14 LRAM'!$E169:$E221),SUMPRODUCT($L178:$L230,'4.  2011-14 LRAM'!I169:I221)+SUMPRODUCT($X178:$X230,'4.  2011-14 LRAM'!I169:I221))</f>
        <v>2046423.0116458214</v>
      </c>
      <c r="F326" s="563">
        <f>IF(F$312="kW",SUMPRODUCT($G178:$G230,'4.  2011-14 LRAM'!J169:J221,'4.  2011-14 LRAM'!$E169:$E221)+SUMPRODUCT($S178:$S230,'4.  2011-14 LRAM'!J169:J221,'4.  2011-14 LRAM'!$E169:$E221),SUMPRODUCT($L178:$L230,'4.  2011-14 LRAM'!J169:J221)+SUMPRODUCT($X178:$X230,'4.  2011-14 LRAM'!J169:J221))</f>
        <v>6879.9282955093695</v>
      </c>
      <c r="G326" s="563">
        <f>IF(G$312="kW",SUMPRODUCT($G178:$G230,'4.  2011-14 LRAM'!K169:K221,'4.  2011-14 LRAM'!$E169:$E221)+SUMPRODUCT($S178:$S230,'4.  2011-14 LRAM'!K169:K221,'4.  2011-14 LRAM'!$E169:$E221),SUMPRODUCT($L178:$L230,'4.  2011-14 LRAM'!K169:K221)+SUMPRODUCT($X178:$X230,'4.  2011-14 LRAM'!K169:K221))</f>
        <v>2972.5136494166918</v>
      </c>
      <c r="H326" s="563">
        <f>IF(H$312="kW",SUMPRODUCT($G178:$G230,'4.  2011-14 LRAM'!L169:L221,'4.  2011-14 LRAM'!$E169:$E221)+SUMPRODUCT($S178:$S230,'4.  2011-14 LRAM'!L169:L221,'4.  2011-14 LRAM'!$E169:$E221),SUMPRODUCT($L178:$L230,'4.  2011-14 LRAM'!L169:L221)+SUMPRODUCT($X178:$X230,'4.  2011-14 LRAM'!L169:L221))</f>
        <v>0</v>
      </c>
      <c r="I326" s="563">
        <f>IF(I$312="kW",SUMPRODUCT($G178:$G230,'4.  2011-14 LRAM'!M169:M221,'4.  2011-14 LRAM'!$E169:$E221)+SUMPRODUCT($S178:$S230,'4.  2011-14 LRAM'!M169:M221,'4.  2011-14 LRAM'!$E169:$E221),SUMPRODUCT($L178:$L230,'4.  2011-14 LRAM'!M169:M221)+SUMPRODUCT($X178:$X230,'4.  2011-14 LRAM'!M169:M221))</f>
        <v>359.88748935331091</v>
      </c>
      <c r="J326" s="563">
        <f>IF(J$312="kW",SUMPRODUCT($G178:$G230,'4.  2011-14 LRAM'!N169:N221,'4.  2011-14 LRAM'!$E169:$E221)+SUMPRODUCT($S178:$S230,'4.  2011-14 LRAM'!N169:N221,'4.  2011-14 LRAM'!$E169:$E221),SUMPRODUCT($L178:$L230,'4.  2011-14 LRAM'!N169:N221)+SUMPRODUCT($X178:$X230,'4.  2011-14 LRAM'!N169:N221))</f>
        <v>0</v>
      </c>
      <c r="K326" s="563">
        <f>IF(K$312="kW",SUMPRODUCT($G178:$G230,'4.  2011-14 LRAM'!O169:O221,'4.  2011-14 LRAM'!$E169:$E221)+SUMPRODUCT($S178:$S230,'4.  2011-14 LRAM'!O169:O221,'4.  2011-14 LRAM'!$E169:$E221),SUMPRODUCT($L178:$L230,'4.  2011-14 LRAM'!O169:O221)+SUMPRODUCT($X178:$X230,'4.  2011-14 LRAM'!O169:O221))</f>
        <v>1265.4776132794386</v>
      </c>
      <c r="L326" s="563">
        <f>IF(L$312="kW",SUMPRODUCT($G178:$G230,'4.  2011-14 LRAM'!P169:P221,'4.  2011-14 LRAM'!$E169:$E221)+SUMPRODUCT($S178:$S230,'4.  2011-14 LRAM'!P169:P221,'4.  2011-14 LRAM'!$E169:$E221),SUMPRODUCT($L178:$L230,'4.  2011-14 LRAM'!P169:P221)+SUMPRODUCT($X178:$X230,'4.  2011-14 LRAM'!P169:P221))</f>
        <v>0</v>
      </c>
      <c r="M326" s="563">
        <f>IF(M$312="kW",SUMPRODUCT($G178:$G230,'4.  2011-14 LRAM'!Q169:Q221,'4.  2011-14 LRAM'!$E169:$E221)+SUMPRODUCT($S178:$S230,'4.  2011-14 LRAM'!Q169:Q221,'4.  2011-14 LRAM'!$E169:$E221),SUMPRODUCT($L178:$L230,'4.  2011-14 LRAM'!Q169:Q221)+SUMPRODUCT($X178:$X230,'4.  2011-14 LRAM'!Q169:Q221))</f>
        <v>0</v>
      </c>
      <c r="N326" s="563">
        <f>IF(N$312="kW",SUMPRODUCT($G178:$G230,'4.  2011-14 LRAM'!R169:R221,'4.  2011-14 LRAM'!$E169:$E221)+SUMPRODUCT($S178:$S230,'4.  2011-14 LRAM'!R169:R221,'4.  2011-14 LRAM'!$E169:$E221),SUMPRODUCT($L178:$L230,'4.  2011-14 LRAM'!R169:R221)+SUMPRODUCT($X178:$X230,'4.  2011-14 LRAM'!R169:R221))</f>
        <v>0</v>
      </c>
      <c r="O326" s="559"/>
      <c r="P326" s="559"/>
      <c r="Q326" s="559"/>
      <c r="R326" s="559"/>
      <c r="S326" s="560"/>
      <c r="T326" s="561"/>
      <c r="U326" s="302"/>
    </row>
    <row r="327" spans="2:21">
      <c r="C327" s="548" t="s">
        <v>513</v>
      </c>
      <c r="D327" s="563">
        <f>IF(D$312="kW",SUMPRODUCT($H178:$H230,'4.  2011-14 LRAM'!H169:H221,'4.  2011-14 LRAM'!$E169:$E221)+SUMPRODUCT($T178:$T230,'4.  2011-14 LRAM'!H169:H221,'4.  2011-14 LRAM'!$E169:$E221),SUMPRODUCT($M178:$M230,'4.  2011-14 LRAM'!H169:H221)+SUMPRODUCT($Y178:$Y230,'4.  2011-14 LRAM'!H169:H221))</f>
        <v>1882399.6546858018</v>
      </c>
      <c r="E327" s="563">
        <f>IF(E$312="kW",SUMPRODUCT($H178:$H230,'4.  2011-14 LRAM'!I169:I221,'4.  2011-14 LRAM'!$E169:$E221)+SUMPRODUCT($T178:$T230,'4.  2011-14 LRAM'!I169:I221,'4.  2011-14 LRAM'!$E169:$E221),SUMPRODUCT($M178:$M230,'4.  2011-14 LRAM'!I169:I221)+SUMPRODUCT($Y178:$Y230,'4.  2011-14 LRAM'!I169:I221))</f>
        <v>1928537.4289443535</v>
      </c>
      <c r="F327" s="563">
        <f>IF(F$312="kW",SUMPRODUCT($H178:$H230,'4.  2011-14 LRAM'!J169:J221,'4.  2011-14 LRAM'!$E169:$E221)+SUMPRODUCT($T178:$T230,'4.  2011-14 LRAM'!J169:J221,'4.  2011-14 LRAM'!$E169:$E221),SUMPRODUCT($M178:$M230,'4.  2011-14 LRAM'!J169:J221)+SUMPRODUCT($Y178:$Y230,'4.  2011-14 LRAM'!J169:J221))</f>
        <v>6866.262672176993</v>
      </c>
      <c r="G327" s="563">
        <f>IF(G$312="kW",SUMPRODUCT($H178:$H230,'4.  2011-14 LRAM'!K169:K221,'4.  2011-14 LRAM'!$E169:$E221)+SUMPRODUCT($T178:$T230,'4.  2011-14 LRAM'!K169:K221,'4.  2011-14 LRAM'!$E169:$E221),SUMPRODUCT($M178:$M230,'4.  2011-14 LRAM'!K169:K221)+SUMPRODUCT($Y178:$Y230,'4.  2011-14 LRAM'!K169:K221))</f>
        <v>2972.8882875047352</v>
      </c>
      <c r="H327" s="563">
        <f>IF(H$312="kW",SUMPRODUCT($H178:$H230,'4.  2011-14 LRAM'!L169:L221,'4.  2011-14 LRAM'!$E169:$E221)+SUMPRODUCT($T178:$T230,'4.  2011-14 LRAM'!L169:L221,'4.  2011-14 LRAM'!$E169:$E221),SUMPRODUCT($M178:$M230,'4.  2011-14 LRAM'!L169:L221)+SUMPRODUCT($Y178:$Y230,'4.  2011-14 LRAM'!L169:L221))</f>
        <v>0</v>
      </c>
      <c r="I327" s="563">
        <f>IF(I$312="kW",SUMPRODUCT($H178:$H230,'4.  2011-14 LRAM'!M169:M221,'4.  2011-14 LRAM'!$E169:$E221)+SUMPRODUCT($T178:$T230,'4.  2011-14 LRAM'!M169:M221,'4.  2011-14 LRAM'!$E169:$E221),SUMPRODUCT($M178:$M230,'4.  2011-14 LRAM'!M169:M221)+SUMPRODUCT($Y178:$Y230,'4.  2011-14 LRAM'!M169:M221))</f>
        <v>359.88748935331091</v>
      </c>
      <c r="J327" s="563">
        <f>IF(J$312="kW",SUMPRODUCT($H178:$H230,'4.  2011-14 LRAM'!N169:N221,'4.  2011-14 LRAM'!$E169:$E221)+SUMPRODUCT($T178:$T230,'4.  2011-14 LRAM'!N169:N221,'4.  2011-14 LRAM'!$E169:$E221),SUMPRODUCT($M178:$M230,'4.  2011-14 LRAM'!N169:N221)+SUMPRODUCT($Y178:$Y230,'4.  2011-14 LRAM'!N169:N221))</f>
        <v>0</v>
      </c>
      <c r="K327" s="563">
        <f>IF(K$312="kW",SUMPRODUCT($H178:$H230,'4.  2011-14 LRAM'!O169:O221,'4.  2011-14 LRAM'!$E169:$E221)+SUMPRODUCT($T178:$T230,'4.  2011-14 LRAM'!O169:O221,'4.  2011-14 LRAM'!$E169:$E221),SUMPRODUCT($M178:$M230,'4.  2011-14 LRAM'!O169:O221)+SUMPRODUCT($Y178:$Y230,'4.  2011-14 LRAM'!O169:O221))</f>
        <v>1264.1814142546464</v>
      </c>
      <c r="L327" s="563">
        <f>IF(L$312="kW",SUMPRODUCT($H178:$H230,'4.  2011-14 LRAM'!P169:P221,'4.  2011-14 LRAM'!$E169:$E221)+SUMPRODUCT($T178:$T230,'4.  2011-14 LRAM'!P169:P221,'4.  2011-14 LRAM'!$E169:$E221),SUMPRODUCT($M178:$M230,'4.  2011-14 LRAM'!P169:P221)+SUMPRODUCT($Y178:$Y230,'4.  2011-14 LRAM'!P169:P221))</f>
        <v>0</v>
      </c>
      <c r="M327" s="563">
        <f>IF(M$312="kW",SUMPRODUCT($H178:$H230,'4.  2011-14 LRAM'!Q169:Q221,'4.  2011-14 LRAM'!$E169:$E221)+SUMPRODUCT($T178:$T230,'4.  2011-14 LRAM'!Q169:Q221,'4.  2011-14 LRAM'!$E169:$E221),SUMPRODUCT($M178:$M230,'4.  2011-14 LRAM'!Q169:Q221)+SUMPRODUCT($Y178:$Y230,'4.  2011-14 LRAM'!Q169:Q221))</f>
        <v>0</v>
      </c>
      <c r="N327" s="563">
        <f>IF(N$312="kW",SUMPRODUCT($H178:$H230,'4.  2011-14 LRAM'!R169:R221,'4.  2011-14 LRAM'!$E169:$E221)+SUMPRODUCT($T178:$T230,'4.  2011-14 LRAM'!R169:R221,'4.  2011-14 LRAM'!$E169:$E221),SUMPRODUCT($M178:$M230,'4.  2011-14 LRAM'!R169:R221)+SUMPRODUCT($Y178:$Y230,'4.  2011-14 LRAM'!R169:R221))</f>
        <v>0</v>
      </c>
      <c r="O327" s="559"/>
      <c r="P327" s="559"/>
      <c r="Q327" s="559"/>
      <c r="R327" s="559"/>
      <c r="S327" s="560"/>
      <c r="T327" s="561"/>
      <c r="U327" s="302"/>
    </row>
    <row r="328" spans="2:21" ht="15">
      <c r="C328" s="547">
        <v>2014</v>
      </c>
      <c r="D328" s="564"/>
      <c r="E328" s="564"/>
      <c r="F328" s="564"/>
      <c r="G328" s="564"/>
      <c r="H328" s="564"/>
      <c r="I328" s="564"/>
      <c r="J328" s="564"/>
      <c r="K328" s="564"/>
      <c r="L328" s="564"/>
      <c r="M328" s="564"/>
      <c r="N328" s="564"/>
      <c r="O328" s="560"/>
      <c r="P328" s="560"/>
      <c r="Q328" s="559"/>
      <c r="R328" s="559"/>
      <c r="S328" s="559"/>
      <c r="T328" s="302"/>
      <c r="U328" s="302"/>
    </row>
    <row r="329" spans="2:21">
      <c r="C329" s="548" t="s">
        <v>512</v>
      </c>
      <c r="D329" s="563">
        <f>IF(D$312="kW",SUMPRODUCT($G244:$G297,'4.  2011-14 LRAM'!H249:H302,'4.  2011-14 LRAM'!$E249:$E302)+SUMPRODUCT($S244:$S297,'4.  2011-14 LRAM'!H249:H302,'4.  2011-14 LRAM'!$E249:$E302),SUMPRODUCT($L244:$L297,'4.  2011-14 LRAM'!H249:H302)+SUMPRODUCT($X244:$X297,'4.  2011-14 LRAM'!H249:H302))</f>
        <v>4882538.8566695964</v>
      </c>
      <c r="E329" s="563">
        <f>IF(E$312="kW",SUMPRODUCT($G244:$G297,'4.  2011-14 LRAM'!I249:I302,'4.  2011-14 LRAM'!$E249:$E302)+SUMPRODUCT($S244:$S297,'4.  2011-14 LRAM'!I249:I302,'4.  2011-14 LRAM'!$E249:$E302),SUMPRODUCT($L244:$L297,'4.  2011-14 LRAM'!I249:I302)+SUMPRODUCT($X244:$X297,'4.  2011-14 LRAM'!I249:I302))</f>
        <v>2441854.084614954</v>
      </c>
      <c r="F329" s="563">
        <f>IF(F$312="kW",SUMPRODUCT($G244:$G297,'4.  2011-14 LRAM'!J249:J302,'4.  2011-14 LRAM'!$E249:$E302)+SUMPRODUCT($S244:$S297,'4.  2011-14 LRAM'!J249:J302,'4.  2011-14 LRAM'!$E249:$E302),SUMPRODUCT($L244:$L297,'4.  2011-14 LRAM'!J249:J302)+SUMPRODUCT($X244:$X297,'4.  2011-14 LRAM'!J249:J302))</f>
        <v>7715.0623423503494</v>
      </c>
      <c r="G329" s="563">
        <f>IF(G$312="kW",SUMPRODUCT($G244:$G297,'4.  2011-14 LRAM'!K249:K302,'4.  2011-14 LRAM'!$E249:$E302)+SUMPRODUCT($S244:$S297,'4.  2011-14 LRAM'!K249:K302,'4.  2011-14 LRAM'!$E249:$E302),SUMPRODUCT($L244:$L297,'4.  2011-14 LRAM'!K249:K302)+SUMPRODUCT($X244:$X297,'4.  2011-14 LRAM'!K249:K302))</f>
        <v>10074.044802793471</v>
      </c>
      <c r="H329" s="563">
        <f>IF(H$312="kW",SUMPRODUCT($G244:$G297,'4.  2011-14 LRAM'!L249:L302,'4.  2011-14 LRAM'!$E249:$E302)+SUMPRODUCT($S244:$S297,'4.  2011-14 LRAM'!L249:L302,'4.  2011-14 LRAM'!$E249:$E302),SUMPRODUCT($L244:$L297,'4.  2011-14 LRAM'!L249:L302)+SUMPRODUCT($X244:$X297,'4.  2011-14 LRAM'!L249:L302))</f>
        <v>0</v>
      </c>
      <c r="I329" s="563">
        <f>IF(I$312="kW",SUMPRODUCT($G244:$G297,'4.  2011-14 LRAM'!M249:M302,'4.  2011-14 LRAM'!$E249:$E302)+SUMPRODUCT($S244:$S297,'4.  2011-14 LRAM'!M249:M302,'4.  2011-14 LRAM'!$E249:$E302),SUMPRODUCT($L244:$L297,'4.  2011-14 LRAM'!M249:M302)+SUMPRODUCT($X244:$X297,'4.  2011-14 LRAM'!M249:M302))</f>
        <v>14.854592638502067</v>
      </c>
      <c r="J329" s="563">
        <f>IF(J$312="kW",SUMPRODUCT($G244:$G297,'4.  2011-14 LRAM'!N249:N302,'4.  2011-14 LRAM'!$E249:$E302)+SUMPRODUCT($S244:$S297,'4.  2011-14 LRAM'!N249:N302,'4.  2011-14 LRAM'!$E249:$E302),SUMPRODUCT($L244:$L297,'4.  2011-14 LRAM'!N249:N302)+SUMPRODUCT($X244:$X297,'4.  2011-14 LRAM'!N249:N302))</f>
        <v>0</v>
      </c>
      <c r="K329" s="563">
        <f>IF(K$312="kW",SUMPRODUCT($G244:$G297,'4.  2011-14 LRAM'!O249:O302,'4.  2011-14 LRAM'!$E249:$E302)+SUMPRODUCT($S244:$S297,'4.  2011-14 LRAM'!O249:O302,'4.  2011-14 LRAM'!$E249:$E302),SUMPRODUCT($L244:$L297,'4.  2011-14 LRAM'!O249:O302)+SUMPRODUCT($X244:$X297,'4.  2011-14 LRAM'!O249:O302))</f>
        <v>1964.5004439268828</v>
      </c>
      <c r="L329" s="563">
        <f>IF(L$312="kW",SUMPRODUCT($G244:$G297,'4.  2011-14 LRAM'!P249:P302,'4.  2011-14 LRAM'!$E249:$E302)+SUMPRODUCT($S244:$S297,'4.  2011-14 LRAM'!P249:P302,'4.  2011-14 LRAM'!$E249:$E302),SUMPRODUCT($L244:$L297,'4.  2011-14 LRAM'!P249:P302)+SUMPRODUCT($X244:$X297,'4.  2011-14 LRAM'!P249:P302))</f>
        <v>0</v>
      </c>
      <c r="M329" s="563">
        <f>IF(M$312="kW",SUMPRODUCT($G244:$G297,'4.  2011-14 LRAM'!Q249:Q302,'4.  2011-14 LRAM'!$E249:$E302)+SUMPRODUCT($S244:$S297,'4.  2011-14 LRAM'!Q249:Q302,'4.  2011-14 LRAM'!$E249:$E302),SUMPRODUCT($L244:$L297,'4.  2011-14 LRAM'!Q249:Q302)+SUMPRODUCT($X244:$X297,'4.  2011-14 LRAM'!Q249:Q302))</f>
        <v>0</v>
      </c>
      <c r="N329" s="563">
        <f>'8. Street lighting'!E74</f>
        <v>1049.6736000000001</v>
      </c>
      <c r="O329" s="559"/>
      <c r="P329" s="302"/>
      <c r="Q329" s="302"/>
      <c r="R329" s="302"/>
      <c r="S329" s="561"/>
      <c r="T329" s="561"/>
      <c r="U329" s="302"/>
    </row>
    <row r="330" spans="2:21">
      <c r="C330" s="548" t="s">
        <v>513</v>
      </c>
      <c r="D330" s="563">
        <f>IF(D$312="kW",SUMPRODUCT($H244:$H297,'4.  2011-14 LRAM'!H249:H302,'4.  2011-14 LRAM'!$E249:$E302)+SUMPRODUCT($T244:$T297,'4.  2011-14 LRAM'!H249:H302,'4.  2011-14 LRAM'!$E249:$E302),SUMPRODUCT($M244:$M297,'4.  2011-14 LRAM'!H249:H302)+SUMPRODUCT($Y244:$Y297,'4.  2011-14 LRAM'!H249:H302))</f>
        <v>4626371.0622695964</v>
      </c>
      <c r="E330" s="563">
        <f>IF(E$312="kW",SUMPRODUCT($H244:$H297,'4.  2011-14 LRAM'!I249:I302,'4.  2011-14 LRAM'!$E249:$E302)+SUMPRODUCT($T244:$T297,'4.  2011-14 LRAM'!I249:I302,'4.  2011-14 LRAM'!$E249:$E302),SUMPRODUCT($M244:$M297,'4.  2011-14 LRAM'!I249:I302)+SUMPRODUCT($Y244:$Y297,'4.  2011-14 LRAM'!I249:I302))</f>
        <v>2317896.6440998102</v>
      </c>
      <c r="F330" s="563">
        <f>IF(F$312="kW",SUMPRODUCT($H244:$H297,'4.  2011-14 LRAM'!J249:J302,'4.  2011-14 LRAM'!$E249:$E302)+SUMPRODUCT($T244:$T297,'4.  2011-14 LRAM'!J249:J302,'4.  2011-14 LRAM'!$E249:$E302),SUMPRODUCT($M244:$M297,'4.  2011-14 LRAM'!J249:J302)+SUMPRODUCT($Y244:$Y297,'4.  2011-14 LRAM'!J249:J302))</f>
        <v>7667.0060351432567</v>
      </c>
      <c r="G330" s="563">
        <f>IF(G$312="kW",SUMPRODUCT($H244:$H297,'4.  2011-14 LRAM'!K249:K302,'4.  2011-14 LRAM'!$E249:$E302)+SUMPRODUCT($T244:$T297,'4.  2011-14 LRAM'!K249:K302,'4.  2011-14 LRAM'!$E249:$E302),SUMPRODUCT($M244:$M297,'4.  2011-14 LRAM'!K249:K302)+SUMPRODUCT($Y244:$Y297,'4.  2011-14 LRAM'!K249:K302))</f>
        <v>10074.044802793471</v>
      </c>
      <c r="H330" s="563">
        <f>IF(H$312="kW",SUMPRODUCT($H244:$H297,'4.  2011-14 LRAM'!L249:L302,'4.  2011-14 LRAM'!$E249:$E302)+SUMPRODUCT($T244:$T297,'4.  2011-14 LRAM'!L249:L302,'4.  2011-14 LRAM'!$E249:$E302),SUMPRODUCT($M244:$M297,'4.  2011-14 LRAM'!L249:L302)+SUMPRODUCT($Y244:$Y297,'4.  2011-14 LRAM'!L249:L302))</f>
        <v>0</v>
      </c>
      <c r="I330" s="563">
        <f>IF(I$312="kW",SUMPRODUCT($H244:$H297,'4.  2011-14 LRAM'!M249:M302,'4.  2011-14 LRAM'!$E249:$E302)+SUMPRODUCT($T244:$T297,'4.  2011-14 LRAM'!M249:M302,'4.  2011-14 LRAM'!$E249:$E302),SUMPRODUCT($M244:$M297,'4.  2011-14 LRAM'!M249:M302)+SUMPRODUCT($Y244:$Y297,'4.  2011-14 LRAM'!M249:M302))</f>
        <v>14.854592638502067</v>
      </c>
      <c r="J330" s="563">
        <f>IF(J$312="kW",SUMPRODUCT($H244:$H297,'4.  2011-14 LRAM'!N249:N302,'4.  2011-14 LRAM'!$E249:$E302)+SUMPRODUCT($T244:$T297,'4.  2011-14 LRAM'!N249:N302,'4.  2011-14 LRAM'!$E249:$E302),SUMPRODUCT($M244:$M297,'4.  2011-14 LRAM'!N249:N302)+SUMPRODUCT($Y244:$Y297,'4.  2011-14 LRAM'!N249:N302))</f>
        <v>0</v>
      </c>
      <c r="K330" s="563">
        <f>IF(K$312="kW",SUMPRODUCT($H244:$H297,'4.  2011-14 LRAM'!O249:O302,'4.  2011-14 LRAM'!$E249:$E302)+SUMPRODUCT($T244:$T297,'4.  2011-14 LRAM'!O249:O302,'4.  2011-14 LRAM'!$E249:$E302),SUMPRODUCT($M244:$M297,'4.  2011-14 LRAM'!O249:O302)+SUMPRODUCT($Y244:$Y297,'4.  2011-14 LRAM'!O249:O302))</f>
        <v>1964.5004439268828</v>
      </c>
      <c r="L330" s="563">
        <f>IF(L$312="kW",SUMPRODUCT($H244:$H297,'4.  2011-14 LRAM'!P249:P302,'4.  2011-14 LRAM'!$E249:$E302)+SUMPRODUCT($T244:$T297,'4.  2011-14 LRAM'!P249:P302,'4.  2011-14 LRAM'!$E249:$E302),SUMPRODUCT($M244:$M297,'4.  2011-14 LRAM'!P249:P302)+SUMPRODUCT($Y244:$Y297,'4.  2011-14 LRAM'!P249:P302))</f>
        <v>0</v>
      </c>
      <c r="M330" s="563">
        <f>IF(M$312="kW",SUMPRODUCT($H244:$H297,'4.  2011-14 LRAM'!Q249:Q302,'4.  2011-14 LRAM'!$E249:$E302)+SUMPRODUCT($T244:$T297,'4.  2011-14 LRAM'!Q249:Q302,'4.  2011-14 LRAM'!$E249:$E302),SUMPRODUCT($M244:$M297,'4.  2011-14 LRAM'!Q249:Q302)+SUMPRODUCT($Y244:$Y297,'4.  2011-14 LRAM'!Q249:Q302))</f>
        <v>0</v>
      </c>
      <c r="N330" s="563">
        <f>N329</f>
        <v>1049.6736000000001</v>
      </c>
      <c r="O330" s="559"/>
      <c r="P330" s="302"/>
      <c r="Q330" s="302"/>
      <c r="R330" s="302"/>
      <c r="S330" s="561"/>
      <c r="T330" s="561"/>
      <c r="U330" s="302"/>
    </row>
    <row r="331" spans="2:21" ht="15" hidden="1">
      <c r="C331" s="547">
        <v>2015</v>
      </c>
      <c r="D331" s="547"/>
      <c r="E331" s="547"/>
      <c r="F331" s="547"/>
      <c r="G331" s="547"/>
      <c r="H331" s="547"/>
      <c r="I331" s="547"/>
      <c r="J331" s="547"/>
      <c r="K331" s="547"/>
      <c r="M331" s="302"/>
      <c r="N331" s="302"/>
      <c r="O331" s="562"/>
      <c r="P331" s="302"/>
      <c r="Q331" s="302"/>
      <c r="R331" s="302"/>
      <c r="S331" s="302"/>
      <c r="T331" s="302"/>
    </row>
    <row r="332" spans="2:21" hidden="1">
      <c r="C332" s="548" t="s">
        <v>513</v>
      </c>
      <c r="D332" s="563"/>
      <c r="E332" s="548"/>
      <c r="F332" s="548"/>
      <c r="G332" s="548"/>
      <c r="H332" s="548"/>
      <c r="I332" s="548"/>
      <c r="J332" s="548"/>
      <c r="K332" s="548"/>
    </row>
    <row r="333" spans="2:21">
      <c r="C333" s="341"/>
      <c r="D333" s="341"/>
      <c r="E333" s="341"/>
      <c r="F333" s="341"/>
      <c r="G333" s="341"/>
      <c r="H333" s="341"/>
      <c r="I333" s="341"/>
      <c r="J333" s="341"/>
      <c r="K333" s="341"/>
      <c r="O333" s="565"/>
    </row>
    <row r="334" spans="2:21">
      <c r="B334" s="565"/>
      <c r="C334" s="636" t="s">
        <v>523</v>
      </c>
      <c r="D334" s="769" t="s">
        <v>576</v>
      </c>
      <c r="E334" s="769"/>
      <c r="F334" s="769"/>
      <c r="G334" s="769"/>
      <c r="H334" s="769"/>
      <c r="I334" s="769"/>
      <c r="J334" s="769"/>
      <c r="K334" s="769"/>
      <c r="L334" s="769"/>
      <c r="M334" s="769"/>
      <c r="N334" s="769"/>
    </row>
    <row r="335" spans="2:21">
      <c r="D335" s="569"/>
    </row>
  </sheetData>
  <mergeCells count="43">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C241:C242"/>
    <mergeCell ref="D241:H241"/>
    <mergeCell ref="I241:M241"/>
    <mergeCell ref="O54:O55"/>
    <mergeCell ref="C54:C55"/>
    <mergeCell ref="D112:H112"/>
    <mergeCell ref="I112:M112"/>
    <mergeCell ref="C175:C176"/>
    <mergeCell ref="D175:H175"/>
    <mergeCell ref="I175:M175"/>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F315 D319:J321 D324:J324 D314 F314 D316:E316 D326:J328 E325:J325" formulaRange="1"/>
  </ignoredErrors>
  <drawing r:id="rId1"/>
  <legacy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65"/>
  <sheetViews>
    <sheetView zoomScale="90" zoomScaleNormal="90" zoomScalePageLayoutView="90" workbookViewId="0">
      <pane ySplit="3" topLeftCell="A4" activePane="bottomLeft" state="frozen"/>
      <selection activeCell="C6" sqref="C6"/>
      <selection pane="bottomLeft" activeCell="C6" sqref="C6"/>
    </sheetView>
  </sheetViews>
  <sheetFormatPr defaultColWidth="8.85546875" defaultRowHeight="15" outlineLevelRow="1"/>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9" width="10.42578125" style="26" customWidth="1"/>
    <col min="20" max="20" width="10.85546875" style="26" customWidth="1"/>
    <col min="21" max="21" width="4.140625" style="26" customWidth="1"/>
    <col min="22" max="16384" width="8.85546875" style="26"/>
  </cols>
  <sheetData>
    <row r="1" spans="1:24" ht="153" customHeight="1">
      <c r="E1" s="2"/>
      <c r="G1" s="2"/>
      <c r="I1" s="2"/>
      <c r="J1" s="2"/>
      <c r="K1" s="2"/>
      <c r="L1" s="2"/>
      <c r="M1" s="2"/>
      <c r="N1" s="2"/>
      <c r="O1" s="2"/>
      <c r="T1" s="2"/>
      <c r="U1" s="2"/>
      <c r="V1" s="2"/>
      <c r="W1" s="2"/>
      <c r="X1" s="2"/>
    </row>
    <row r="3" spans="1:24" ht="20.25">
      <c r="A3" s="2"/>
      <c r="B3" s="775" t="s">
        <v>204</v>
      </c>
      <c r="C3" s="775"/>
      <c r="D3" s="775"/>
      <c r="E3" s="775"/>
      <c r="F3" s="775"/>
      <c r="G3" s="775"/>
      <c r="H3" s="775"/>
      <c r="I3" s="775"/>
      <c r="J3" s="775"/>
      <c r="K3" s="775"/>
      <c r="L3" s="775"/>
      <c r="M3" s="775"/>
      <c r="N3" s="775"/>
      <c r="O3" s="775"/>
      <c r="P3" s="775"/>
      <c r="Q3" s="775"/>
      <c r="R3" s="775"/>
      <c r="S3" s="775"/>
      <c r="T3" s="775"/>
      <c r="U3" s="2"/>
      <c r="V3" s="2"/>
      <c r="W3" s="3"/>
      <c r="X3" s="2"/>
    </row>
    <row r="4" spans="1:24" ht="14.25" customHeight="1" outlineLevel="1">
      <c r="B4" s="60"/>
      <c r="C4" s="386"/>
      <c r="D4" s="386"/>
      <c r="E4" s="387"/>
      <c r="F4" s="387"/>
      <c r="G4" s="387"/>
      <c r="H4" s="387"/>
      <c r="I4" s="387"/>
      <c r="J4" s="387"/>
      <c r="K4" s="387"/>
      <c r="L4" s="387"/>
      <c r="M4" s="387"/>
      <c r="N4" s="387"/>
      <c r="O4" s="387"/>
      <c r="P4" s="387"/>
      <c r="Q4" s="387"/>
      <c r="R4" s="387"/>
      <c r="S4" s="387"/>
      <c r="T4" s="387"/>
      <c r="W4" s="3"/>
    </row>
    <row r="5" spans="1:24" s="23" customFormat="1" ht="18.75" outlineLevel="1">
      <c r="A5" s="64"/>
      <c r="B5" s="196"/>
      <c r="C5" s="365" t="s">
        <v>396</v>
      </c>
      <c r="D5" s="368" t="s">
        <v>492</v>
      </c>
      <c r="E5" s="387"/>
      <c r="F5" s="387"/>
      <c r="G5" s="387"/>
      <c r="H5" s="387"/>
      <c r="I5" s="388"/>
      <c r="J5" s="388"/>
      <c r="K5" s="388"/>
      <c r="L5" s="388"/>
      <c r="M5" s="388"/>
      <c r="N5" s="387"/>
      <c r="O5" s="387"/>
      <c r="P5" s="387"/>
      <c r="Q5" s="387"/>
      <c r="R5" s="387"/>
      <c r="S5" s="387"/>
      <c r="T5" s="47"/>
    </row>
    <row r="6" spans="1:24" s="23" customFormat="1" ht="18.75" customHeight="1" outlineLevel="1">
      <c r="B6" s="196"/>
      <c r="C6" s="383"/>
      <c r="D6" s="368" t="s">
        <v>353</v>
      </c>
      <c r="E6" s="383"/>
      <c r="F6" s="383"/>
      <c r="G6" s="383"/>
      <c r="H6" s="383"/>
      <c r="I6" s="388"/>
      <c r="J6" s="388"/>
      <c r="K6" s="388"/>
      <c r="L6" s="388"/>
      <c r="M6" s="388"/>
      <c r="N6" s="383"/>
      <c r="O6" s="383"/>
      <c r="P6" s="383"/>
      <c r="Q6" s="383"/>
      <c r="R6" s="383"/>
      <c r="S6" s="383"/>
      <c r="T6" s="47"/>
    </row>
    <row r="7" spans="1:24" s="23" customFormat="1" ht="49.5" customHeight="1" outlineLevel="1">
      <c r="B7" s="196"/>
      <c r="C7" s="383"/>
      <c r="D7" s="748" t="s">
        <v>370</v>
      </c>
      <c r="E7" s="748"/>
      <c r="F7" s="748"/>
      <c r="G7" s="748"/>
      <c r="H7" s="748"/>
      <c r="I7" s="748"/>
      <c r="J7" s="748"/>
      <c r="K7" s="748"/>
      <c r="L7" s="748"/>
      <c r="M7" s="748"/>
      <c r="N7" s="748"/>
      <c r="O7" s="748"/>
      <c r="P7" s="748"/>
      <c r="Q7" s="748"/>
      <c r="R7" s="748"/>
      <c r="S7" s="748"/>
      <c r="T7" s="748"/>
    </row>
    <row r="8" spans="1:24" s="23" customFormat="1" ht="12" customHeight="1" outlineLevel="1">
      <c r="B8" s="196"/>
      <c r="C8" s="383"/>
      <c r="D8" s="368"/>
      <c r="E8" s="383"/>
      <c r="F8" s="383"/>
      <c r="G8" s="383"/>
      <c r="H8" s="383"/>
      <c r="I8" s="388"/>
      <c r="J8" s="388"/>
      <c r="K8" s="388"/>
      <c r="L8" s="388"/>
      <c r="M8" s="388"/>
      <c r="N8" s="383"/>
      <c r="O8" s="383"/>
      <c r="P8" s="383"/>
      <c r="Q8" s="383"/>
      <c r="R8" s="383"/>
      <c r="S8" s="383"/>
      <c r="T8" s="47"/>
    </row>
    <row r="9" spans="1:24" s="23" customFormat="1" ht="18.75" customHeight="1" outlineLevel="1">
      <c r="B9" s="196"/>
      <c r="C9" s="83" t="s">
        <v>334</v>
      </c>
      <c r="D9" s="213" t="s">
        <v>360</v>
      </c>
      <c r="E9" s="213"/>
      <c r="F9" s="213"/>
      <c r="G9" s="212"/>
      <c r="H9" s="383"/>
      <c r="I9" s="184"/>
      <c r="J9" s="184"/>
      <c r="K9" s="184"/>
      <c r="L9" s="184"/>
      <c r="M9" s="184"/>
      <c r="N9" s="212"/>
      <c r="O9" s="212"/>
      <c r="P9" s="598"/>
      <c r="Q9" s="598"/>
      <c r="R9" s="598"/>
      <c r="S9" s="598"/>
      <c r="T9" s="81"/>
    </row>
    <row r="10" spans="1:24" s="23" customFormat="1" ht="18.75" customHeight="1" outlineLevel="1">
      <c r="B10" s="196"/>
      <c r="C10" s="236"/>
      <c r="D10" s="311" t="s">
        <v>335</v>
      </c>
      <c r="E10" s="236"/>
      <c r="F10" s="212"/>
      <c r="G10" s="212"/>
      <c r="H10" s="383"/>
      <c r="I10" s="184"/>
      <c r="J10" s="184"/>
      <c r="K10" s="184"/>
      <c r="L10" s="184"/>
      <c r="M10" s="184"/>
      <c r="N10" s="212"/>
      <c r="O10" s="212"/>
      <c r="P10" s="598"/>
      <c r="Q10" s="598"/>
      <c r="R10" s="598"/>
      <c r="S10" s="598"/>
    </row>
    <row r="11" spans="1:24" s="23" customFormat="1" ht="6.75" customHeight="1" outlineLevel="1">
      <c r="B11" s="236"/>
      <c r="C11" s="236"/>
      <c r="D11" s="311"/>
      <c r="E11" s="236"/>
      <c r="F11" s="236"/>
      <c r="G11" s="236"/>
      <c r="H11" s="383"/>
      <c r="I11" s="184"/>
      <c r="J11" s="184"/>
      <c r="K11" s="184"/>
      <c r="L11" s="184"/>
      <c r="M11" s="184"/>
      <c r="N11" s="236"/>
      <c r="O11" s="236"/>
      <c r="P11" s="598"/>
      <c r="Q11" s="598"/>
      <c r="R11" s="598"/>
      <c r="S11" s="598"/>
    </row>
    <row r="12" spans="1:24" ht="8.25" customHeight="1">
      <c r="B12" s="60"/>
      <c r="C12" s="60"/>
      <c r="D12" s="195"/>
      <c r="E12" s="61"/>
      <c r="F12" s="61"/>
      <c r="G12" s="61"/>
      <c r="H12" s="387"/>
      <c r="I12" s="185"/>
      <c r="J12" s="185"/>
      <c r="K12" s="185"/>
      <c r="L12" s="185"/>
      <c r="M12" s="185"/>
      <c r="N12" s="61"/>
      <c r="O12" s="61"/>
      <c r="P12" s="61"/>
      <c r="Q12" s="61"/>
      <c r="R12" s="61"/>
      <c r="S12" s="61"/>
      <c r="T12" s="61"/>
      <c r="W12" s="3"/>
    </row>
    <row r="13" spans="1:24" s="303" customFormat="1" ht="17.25" customHeight="1">
      <c r="B13" s="776" t="s">
        <v>484</v>
      </c>
      <c r="C13" s="776"/>
      <c r="D13" s="304"/>
      <c r="E13" s="305" t="s">
        <v>485</v>
      </c>
      <c r="F13" s="305"/>
      <c r="G13" s="305"/>
      <c r="H13" s="186"/>
      <c r="I13" s="305"/>
      <c r="J13" s="306"/>
      <c r="K13" s="306"/>
      <c r="L13" s="306"/>
      <c r="M13" s="306"/>
      <c r="N13" s="306"/>
      <c r="O13" s="306"/>
      <c r="P13" s="306"/>
      <c r="Q13" s="306"/>
      <c r="R13" s="306"/>
      <c r="S13" s="306"/>
      <c r="T13" s="306"/>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76.5">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2,999 kW</v>
      </c>
      <c r="L15" s="174" t="str">
        <f>'1.  LRAMVA Summary'!F21</f>
        <v>GS 50 to 2,999 kW with owned transformer</v>
      </c>
      <c r="M15" s="174" t="str">
        <f>'1.  LRAMVA Summary'!G21</f>
        <v>GS 3,000 to 4,999 kW</v>
      </c>
      <c r="N15" s="174" t="str">
        <f>'1.  LRAMVA Summary'!H21</f>
        <v>GS 3,000 to 4,999 kW with owned transformer</v>
      </c>
      <c r="O15" s="174" t="str">
        <f>'1.  LRAMVA Summary'!I21</f>
        <v>Large Use</v>
      </c>
      <c r="P15" s="174" t="str">
        <f>'1.  LRAMVA Summary'!J21</f>
        <v>Large Use with owned transformer</v>
      </c>
      <c r="Q15" s="174" t="str">
        <f>'1.  LRAMVA Summary'!K21</f>
        <v>Unmetered Scattered Load</v>
      </c>
      <c r="R15" s="174" t="str">
        <f>'1.  LRAMVA Summary'!L21</f>
        <v>Sentinel Lighting</v>
      </c>
      <c r="S15" s="174" t="str">
        <f>'1.  LRAMVA Summary'!M21</f>
        <v>Street Lighting</v>
      </c>
      <c r="T15" s="174" t="str">
        <f>'1.  LRAMVA Summary'!N21</f>
        <v>Total</v>
      </c>
      <c r="V15" s="26"/>
      <c r="W15" s="26"/>
    </row>
    <row r="16" spans="1:24" s="3" customFormat="1" ht="12.75">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2.75">
      <c r="B17" s="175" t="s">
        <v>69</v>
      </c>
      <c r="C17" s="175">
        <v>1.47E-2</v>
      </c>
      <c r="D17" s="188"/>
      <c r="E17" s="176">
        <v>40575</v>
      </c>
      <c r="F17" s="222">
        <v>2011</v>
      </c>
      <c r="G17" s="177" t="s">
        <v>89</v>
      </c>
      <c r="H17" s="466">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0</v>
      </c>
    </row>
    <row r="18" spans="2:20" s="3" customFormat="1" ht="12.75">
      <c r="B18" s="175" t="s">
        <v>70</v>
      </c>
      <c r="C18" s="175">
        <v>1.47E-2</v>
      </c>
      <c r="D18" s="188"/>
      <c r="E18" s="176">
        <v>40603</v>
      </c>
      <c r="F18" s="222">
        <v>2011</v>
      </c>
      <c r="G18" s="177" t="s">
        <v>89</v>
      </c>
      <c r="H18" s="466">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0</v>
      </c>
    </row>
    <row r="19" spans="2:20" s="3" customFormat="1" ht="12.75">
      <c r="B19" s="175" t="s">
        <v>71</v>
      </c>
      <c r="C19" s="175">
        <v>1.47E-2</v>
      </c>
      <c r="D19" s="188"/>
      <c r="E19" s="180">
        <v>40634</v>
      </c>
      <c r="F19" s="222">
        <v>2011</v>
      </c>
      <c r="G19" s="181" t="s">
        <v>90</v>
      </c>
      <c r="H19" s="466">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0</v>
      </c>
    </row>
    <row r="20" spans="2:20" s="3" customFormat="1" ht="12.75">
      <c r="B20" s="175" t="s">
        <v>72</v>
      </c>
      <c r="C20" s="175">
        <v>1.47E-2</v>
      </c>
      <c r="D20" s="188"/>
      <c r="E20" s="180">
        <v>40664</v>
      </c>
      <c r="F20" s="222">
        <v>2011</v>
      </c>
      <c r="G20" s="181" t="s">
        <v>90</v>
      </c>
      <c r="H20" s="466">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0</v>
      </c>
    </row>
    <row r="21" spans="2:20" s="3" customFormat="1" ht="12.75">
      <c r="B21" s="175" t="s">
        <v>73</v>
      </c>
      <c r="C21" s="175">
        <v>1.47E-2</v>
      </c>
      <c r="D21" s="188"/>
      <c r="E21" s="180">
        <v>40695</v>
      </c>
      <c r="F21" s="222">
        <v>2011</v>
      </c>
      <c r="G21" s="181" t="s">
        <v>90</v>
      </c>
      <c r="H21" s="466">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0</v>
      </c>
    </row>
    <row r="22" spans="2:20" s="3" customFormat="1" ht="12.75">
      <c r="B22" s="175" t="s">
        <v>74</v>
      </c>
      <c r="C22" s="175">
        <v>1.47E-2</v>
      </c>
      <c r="D22" s="188"/>
      <c r="E22" s="180">
        <v>40725</v>
      </c>
      <c r="F22" s="222">
        <v>2011</v>
      </c>
      <c r="G22" s="181" t="s">
        <v>92</v>
      </c>
      <c r="H22" s="466">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0</v>
      </c>
    </row>
    <row r="23" spans="2:20" s="3" customFormat="1" ht="12.75">
      <c r="B23" s="175" t="s">
        <v>75</v>
      </c>
      <c r="C23" s="175">
        <v>1.47E-2</v>
      </c>
      <c r="D23" s="188"/>
      <c r="E23" s="180">
        <v>40756</v>
      </c>
      <c r="F23" s="222">
        <v>2011</v>
      </c>
      <c r="G23" s="181" t="s">
        <v>92</v>
      </c>
      <c r="H23" s="466">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0</v>
      </c>
    </row>
    <row r="24" spans="2:20" s="3" customFormat="1" ht="12.75">
      <c r="B24" s="175" t="s">
        <v>76</v>
      </c>
      <c r="C24" s="175">
        <v>1.47E-2</v>
      </c>
      <c r="D24" s="188"/>
      <c r="E24" s="180">
        <v>40787</v>
      </c>
      <c r="F24" s="222">
        <v>2011</v>
      </c>
      <c r="G24" s="181" t="s">
        <v>92</v>
      </c>
      <c r="H24" s="466">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0</v>
      </c>
    </row>
    <row r="25" spans="2:20" s="3" customFormat="1" ht="12.75">
      <c r="B25" s="175" t="s">
        <v>77</v>
      </c>
      <c r="C25" s="175">
        <v>1.47E-2</v>
      </c>
      <c r="D25" s="188"/>
      <c r="E25" s="180">
        <v>40817</v>
      </c>
      <c r="F25" s="222">
        <v>2011</v>
      </c>
      <c r="G25" s="181" t="s">
        <v>93</v>
      </c>
      <c r="H25" s="466">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0</v>
      </c>
    </row>
    <row r="26" spans="2:20" s="3" customFormat="1" ht="12.75">
      <c r="B26" s="175" t="s">
        <v>78</v>
      </c>
      <c r="C26" s="175">
        <v>1.47E-2</v>
      </c>
      <c r="D26" s="188"/>
      <c r="E26" s="180">
        <v>40848</v>
      </c>
      <c r="F26" s="222">
        <v>2011</v>
      </c>
      <c r="G26" s="181" t="s">
        <v>93</v>
      </c>
      <c r="H26" s="466">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0</v>
      </c>
    </row>
    <row r="27" spans="2:20" s="3" customFormat="1" ht="12.75">
      <c r="B27" s="175" t="s">
        <v>79</v>
      </c>
      <c r="C27" s="175">
        <v>1.47E-2</v>
      </c>
      <c r="D27" s="188"/>
      <c r="E27" s="180">
        <v>40878</v>
      </c>
      <c r="F27" s="222">
        <v>2011</v>
      </c>
      <c r="G27" s="181" t="s">
        <v>93</v>
      </c>
      <c r="H27" s="466">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0</v>
      </c>
    </row>
    <row r="28" spans="2:20" s="3" customFormat="1" ht="13.5" thickBot="1">
      <c r="B28" s="175" t="s">
        <v>80</v>
      </c>
      <c r="C28" s="175">
        <v>1.47E-2</v>
      </c>
      <c r="D28" s="188"/>
      <c r="E28" s="192" t="s">
        <v>377</v>
      </c>
      <c r="F28" s="192"/>
      <c r="G28" s="193"/>
      <c r="H28" s="467"/>
      <c r="I28" s="194">
        <f>SUM(I16:I27)</f>
        <v>0</v>
      </c>
      <c r="J28" s="194">
        <f t="shared" ref="J28:O28" si="5">SUM(J16:J27)</f>
        <v>0</v>
      </c>
      <c r="K28" s="194">
        <f t="shared" si="5"/>
        <v>0</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0</v>
      </c>
    </row>
    <row r="29" spans="2:20" s="3" customFormat="1" ht="13.5" thickTop="1">
      <c r="B29" s="175" t="s">
        <v>81</v>
      </c>
      <c r="C29" s="175">
        <v>1.47E-2</v>
      </c>
      <c r="D29" s="188"/>
      <c r="E29" s="223" t="s">
        <v>91</v>
      </c>
      <c r="F29" s="223"/>
      <c r="G29" s="224"/>
      <c r="H29" s="468"/>
      <c r="I29" s="225"/>
      <c r="J29" s="225"/>
      <c r="K29" s="225"/>
      <c r="L29" s="225"/>
      <c r="M29" s="225"/>
      <c r="N29" s="225"/>
      <c r="O29" s="225"/>
      <c r="P29" s="225"/>
      <c r="Q29" s="225"/>
      <c r="R29" s="225"/>
      <c r="S29" s="225"/>
      <c r="T29" s="226"/>
    </row>
    <row r="30" spans="2:20" s="3" customFormat="1" ht="12.75">
      <c r="B30" s="175" t="s">
        <v>82</v>
      </c>
      <c r="C30" s="175">
        <v>1.47E-2</v>
      </c>
      <c r="D30" s="188"/>
      <c r="E30" s="189" t="s">
        <v>384</v>
      </c>
      <c r="F30" s="189"/>
      <c r="G30" s="190"/>
      <c r="H30" s="469"/>
      <c r="I30" s="191">
        <f>I28+I29</f>
        <v>0</v>
      </c>
      <c r="J30" s="191">
        <f t="shared" ref="J30:M30" si="8">J28+J29</f>
        <v>0</v>
      </c>
      <c r="K30" s="191">
        <f t="shared" si="8"/>
        <v>0</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0</v>
      </c>
    </row>
    <row r="31" spans="2:20" s="3" customFormat="1" ht="12.75">
      <c r="B31" s="175" t="s">
        <v>83</v>
      </c>
      <c r="C31" s="175">
        <v>1.47E-2</v>
      </c>
      <c r="D31" s="188"/>
      <c r="E31" s="180">
        <v>40909</v>
      </c>
      <c r="F31" s="180" t="s">
        <v>364</v>
      </c>
      <c r="G31" s="181" t="s">
        <v>89</v>
      </c>
      <c r="H31" s="470">
        <f t="shared" ref="H31:H33" si="10">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0</v>
      </c>
    </row>
    <row r="32" spans="2:20" s="3" customFormat="1" ht="12.75">
      <c r="B32" s="175" t="s">
        <v>84</v>
      </c>
      <c r="C32" s="175">
        <v>1.47E-2</v>
      </c>
      <c r="D32" s="188"/>
      <c r="E32" s="180">
        <v>40940</v>
      </c>
      <c r="F32" s="180" t="s">
        <v>364</v>
      </c>
      <c r="G32" s="181" t="s">
        <v>89</v>
      </c>
      <c r="H32" s="470">
        <f t="shared" si="10"/>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0</v>
      </c>
    </row>
    <row r="33" spans="2:20" s="3" customFormat="1" ht="12.75">
      <c r="B33" s="175" t="s">
        <v>85</v>
      </c>
      <c r="C33" s="175">
        <v>1.0999999999999999E-2</v>
      </c>
      <c r="D33" s="188"/>
      <c r="E33" s="180">
        <v>40969</v>
      </c>
      <c r="F33" s="180" t="s">
        <v>364</v>
      </c>
      <c r="G33" s="181" t="s">
        <v>89</v>
      </c>
      <c r="H33" s="470">
        <f t="shared" si="10"/>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0</v>
      </c>
    </row>
    <row r="34" spans="2:20" s="3" customFormat="1" ht="12.75">
      <c r="B34" s="175" t="s">
        <v>362</v>
      </c>
      <c r="C34" s="175">
        <v>1.0999999999999999E-2</v>
      </c>
      <c r="D34" s="188"/>
      <c r="E34" s="180">
        <v>41000</v>
      </c>
      <c r="F34" s="180" t="s">
        <v>364</v>
      </c>
      <c r="G34" s="181" t="s">
        <v>90</v>
      </c>
      <c r="H34" s="471">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0</v>
      </c>
    </row>
    <row r="35" spans="2:20" s="3" customFormat="1" ht="12.75">
      <c r="B35" s="175" t="s">
        <v>363</v>
      </c>
      <c r="C35" s="175">
        <v>1.0999999999999999E-2</v>
      </c>
      <c r="D35" s="188"/>
      <c r="E35" s="180">
        <v>41030</v>
      </c>
      <c r="F35" s="180" t="s">
        <v>364</v>
      </c>
      <c r="G35" s="181" t="s">
        <v>90</v>
      </c>
      <c r="H35" s="470">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0</v>
      </c>
    </row>
    <row r="36" spans="2:20" s="3" customFormat="1" ht="12.75">
      <c r="B36" s="175" t="s">
        <v>116</v>
      </c>
      <c r="C36" s="175">
        <v>1.0999999999999999E-2</v>
      </c>
      <c r="D36" s="188"/>
      <c r="E36" s="180">
        <v>41061</v>
      </c>
      <c r="F36" s="180" t="s">
        <v>364</v>
      </c>
      <c r="G36" s="181" t="s">
        <v>90</v>
      </c>
      <c r="H36" s="470">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0</v>
      </c>
    </row>
    <row r="37" spans="2:20" s="3" customFormat="1" ht="12.75">
      <c r="B37" s="175" t="s">
        <v>117</v>
      </c>
      <c r="C37" s="175">
        <v>1.0999999999999999E-2</v>
      </c>
      <c r="D37" s="188"/>
      <c r="E37" s="180">
        <v>41091</v>
      </c>
      <c r="F37" s="180" t="s">
        <v>364</v>
      </c>
      <c r="G37" s="181" t="s">
        <v>92</v>
      </c>
      <c r="H37" s="471">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0</v>
      </c>
    </row>
    <row r="38" spans="2:20" s="3" customFormat="1" ht="12.75">
      <c r="B38" s="175" t="s">
        <v>118</v>
      </c>
      <c r="C38" s="175">
        <v>1.0999999999999999E-2</v>
      </c>
      <c r="D38" s="188"/>
      <c r="E38" s="180">
        <v>41122</v>
      </c>
      <c r="F38" s="180" t="s">
        <v>364</v>
      </c>
      <c r="G38" s="181" t="s">
        <v>92</v>
      </c>
      <c r="H38" s="470">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0</v>
      </c>
    </row>
    <row r="39" spans="2:20" s="3" customFormat="1" ht="12.75">
      <c r="B39" s="175" t="s">
        <v>119</v>
      </c>
      <c r="C39" s="220">
        <v>1.0999999999999999E-2</v>
      </c>
      <c r="D39" s="188"/>
      <c r="E39" s="180">
        <v>41153</v>
      </c>
      <c r="F39" s="180" t="s">
        <v>364</v>
      </c>
      <c r="G39" s="181" t="s">
        <v>92</v>
      </c>
      <c r="H39" s="470">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0</v>
      </c>
    </row>
    <row r="40" spans="2:20" s="3" customFormat="1" ht="12.75">
      <c r="B40" s="175" t="s">
        <v>120</v>
      </c>
      <c r="C40" s="220">
        <v>1.0999999999999999E-2</v>
      </c>
      <c r="D40" s="188"/>
      <c r="E40" s="180">
        <v>41183</v>
      </c>
      <c r="F40" s="180" t="s">
        <v>364</v>
      </c>
      <c r="G40" s="181" t="s">
        <v>93</v>
      </c>
      <c r="H40" s="471">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0</v>
      </c>
    </row>
    <row r="41" spans="2:20" s="3" customFormat="1" ht="12.75">
      <c r="B41" s="175" t="s">
        <v>121</v>
      </c>
      <c r="C41" s="220">
        <v>1.0999999999999999E-2</v>
      </c>
      <c r="D41" s="188"/>
      <c r="E41" s="180">
        <v>41214</v>
      </c>
      <c r="F41" s="180" t="s">
        <v>364</v>
      </c>
      <c r="G41" s="181" t="s">
        <v>93</v>
      </c>
      <c r="H41" s="470">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0</v>
      </c>
    </row>
    <row r="42" spans="2:20" s="3" customFormat="1" ht="12.75">
      <c r="B42" s="175" t="s">
        <v>122</v>
      </c>
      <c r="C42" s="220"/>
      <c r="D42" s="188"/>
      <c r="E42" s="180">
        <v>41244</v>
      </c>
      <c r="F42" s="180" t="s">
        <v>364</v>
      </c>
      <c r="G42" s="181" t="s">
        <v>93</v>
      </c>
      <c r="H42" s="470">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0</v>
      </c>
    </row>
    <row r="43" spans="2:20" s="3" customFormat="1" ht="13.5" thickBot="1">
      <c r="B43" s="175" t="s">
        <v>123</v>
      </c>
      <c r="C43" s="220"/>
      <c r="D43" s="188"/>
      <c r="E43" s="192" t="s">
        <v>378</v>
      </c>
      <c r="F43" s="192"/>
      <c r="G43" s="193"/>
      <c r="H43" s="472"/>
      <c r="I43" s="194">
        <f>SUM(I30:I42)</f>
        <v>0</v>
      </c>
      <c r="J43" s="194">
        <f t="shared" ref="J43:O43" si="12">SUM(J30:J42)</f>
        <v>0</v>
      </c>
      <c r="K43" s="194">
        <f t="shared" si="12"/>
        <v>0</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0</v>
      </c>
    </row>
    <row r="44" spans="2:20" s="3" customFormat="1" ht="13.5" thickTop="1">
      <c r="B44" s="175" t="s">
        <v>124</v>
      </c>
      <c r="C44" s="220"/>
      <c r="D44" s="188"/>
      <c r="E44" s="223" t="s">
        <v>91</v>
      </c>
      <c r="F44" s="223"/>
      <c r="G44" s="224"/>
      <c r="H44" s="468"/>
      <c r="I44" s="225"/>
      <c r="J44" s="225"/>
      <c r="K44" s="225"/>
      <c r="L44" s="225"/>
      <c r="M44" s="225"/>
      <c r="N44" s="225"/>
      <c r="O44" s="225"/>
      <c r="P44" s="225"/>
      <c r="Q44" s="225"/>
      <c r="R44" s="225"/>
      <c r="S44" s="225"/>
      <c r="T44" s="226"/>
    </row>
    <row r="45" spans="2:20" s="3" customFormat="1" ht="12.75">
      <c r="B45" s="175" t="s">
        <v>125</v>
      </c>
      <c r="C45" s="220"/>
      <c r="D45" s="188"/>
      <c r="E45" s="189" t="s">
        <v>385</v>
      </c>
      <c r="F45" s="189"/>
      <c r="G45" s="190"/>
      <c r="H45" s="469"/>
      <c r="I45" s="191">
        <f t="shared" ref="I45:O45" si="15">I43+I44</f>
        <v>0</v>
      </c>
      <c r="J45" s="191">
        <f t="shared" si="15"/>
        <v>0</v>
      </c>
      <c r="K45" s="191">
        <f t="shared" si="15"/>
        <v>0</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0</v>
      </c>
    </row>
    <row r="46" spans="2:20" s="3" customFormat="1" ht="12.75">
      <c r="B46" s="175" t="s">
        <v>126</v>
      </c>
      <c r="C46" s="220"/>
      <c r="D46" s="188"/>
      <c r="E46" s="180">
        <v>41275</v>
      </c>
      <c r="F46" s="180" t="s">
        <v>365</v>
      </c>
      <c r="G46" s="181" t="s">
        <v>89</v>
      </c>
      <c r="H46" s="471">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0</v>
      </c>
    </row>
    <row r="47" spans="2:20" s="3" customFormat="1" ht="12.75">
      <c r="B47" s="175" t="s">
        <v>127</v>
      </c>
      <c r="C47" s="220"/>
      <c r="D47" s="188"/>
      <c r="E47" s="180">
        <v>41306</v>
      </c>
      <c r="F47" s="180" t="s">
        <v>365</v>
      </c>
      <c r="G47" s="181" t="s">
        <v>89</v>
      </c>
      <c r="H47" s="470">
        <f t="shared" ref="H47:H48" si="19">C$24/12</f>
        <v>1.225E-3</v>
      </c>
      <c r="I47" s="182">
        <f>(SUM('1.  LRAMVA Summary'!C$22:C$27)+SUM('1.  LRAMVA Summary'!C$28:C$29)*(MONTH($E47)-1)/12)*$H47</f>
        <v>10.88300228247483</v>
      </c>
      <c r="J47" s="182">
        <f>(SUM('1.  LRAMVA Summary'!D$22:D$27)+SUM('1.  LRAMVA Summary'!D$28:D$29)*(MONTH($E47)-1)/12)*$H47</f>
        <v>8.1163786942398914</v>
      </c>
      <c r="K47" s="182">
        <f>(SUM('1.  LRAMVA Summary'!E$22:E$27)+SUM('1.  LRAMVA Summary'!E$28:E$29)*(MONTH($E47)-1)/12)*$H47</f>
        <v>7.4436091409891763</v>
      </c>
      <c r="L47" s="182">
        <f>(SUM('1.  LRAMVA Summary'!F$22:F$27)+SUM('1.  LRAMVA Summary'!F$28:F$29)*(MONTH($E47)-1)/12)*$H47</f>
        <v>3.4642069921348169</v>
      </c>
      <c r="M47" s="182">
        <f>(SUM('1.  LRAMVA Summary'!G$22:G$27)+SUM('1.  LRAMVA Summary'!G$28:G$29)*(MONTH($E47)-1)/12)*$H47</f>
        <v>0</v>
      </c>
      <c r="N47" s="182">
        <f>(SUM('1.  LRAMVA Summary'!H$22:H$27)+SUM('1.  LRAMVA Summary'!H$28:H$29)*(MONTH($E47)-1)/12)*$H47</f>
        <v>3.3335870038354719E-2</v>
      </c>
      <c r="O47" s="182">
        <f>(SUM('1.  LRAMVA Summary'!I$22:I$27)+SUM('1.  LRAMVA Summary'!I$28:I$29)*(MONTH($E47)-1)/12)*$H47</f>
        <v>0</v>
      </c>
      <c r="P47" s="182">
        <f>(SUM('1.  LRAMVA Summary'!J$22:J$27)+SUM('1.  LRAMVA Summary'!J$28:J$29)*(MONTH($E47)-1)/12)*$H47</f>
        <v>0.22233799111109961</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30.16287097098817</v>
      </c>
    </row>
    <row r="48" spans="2:20" s="3" customFormat="1" ht="12.75">
      <c r="B48" s="175" t="s">
        <v>128</v>
      </c>
      <c r="C48" s="220"/>
      <c r="D48" s="188"/>
      <c r="E48" s="180">
        <v>41334</v>
      </c>
      <c r="F48" s="180" t="s">
        <v>365</v>
      </c>
      <c r="G48" s="181" t="s">
        <v>89</v>
      </c>
      <c r="H48" s="470">
        <f t="shared" si="19"/>
        <v>1.225E-3</v>
      </c>
      <c r="I48" s="182">
        <f>(SUM('1.  LRAMVA Summary'!C$22:C$27)+SUM('1.  LRAMVA Summary'!C$28:C$29)*(MONTH($E48)-1)/12)*$H48</f>
        <v>21.766004564949661</v>
      </c>
      <c r="J48" s="182">
        <f>(SUM('1.  LRAMVA Summary'!D$22:D$27)+SUM('1.  LRAMVA Summary'!D$28:D$29)*(MONTH($E48)-1)/12)*$H48</f>
        <v>16.232757388479783</v>
      </c>
      <c r="K48" s="182">
        <f>(SUM('1.  LRAMVA Summary'!E$22:E$27)+SUM('1.  LRAMVA Summary'!E$28:E$29)*(MONTH($E48)-1)/12)*$H48</f>
        <v>14.887218281978353</v>
      </c>
      <c r="L48" s="182">
        <f>(SUM('1.  LRAMVA Summary'!F$22:F$27)+SUM('1.  LRAMVA Summary'!F$28:F$29)*(MONTH($E48)-1)/12)*$H48</f>
        <v>6.9284139842696337</v>
      </c>
      <c r="M48" s="182">
        <f>(SUM('1.  LRAMVA Summary'!G$22:G$27)+SUM('1.  LRAMVA Summary'!G$28:G$29)*(MONTH($E48)-1)/12)*$H48</f>
        <v>0</v>
      </c>
      <c r="N48" s="182">
        <f>(SUM('1.  LRAMVA Summary'!H$22:H$27)+SUM('1.  LRAMVA Summary'!H$28:H$29)*(MONTH($E48)-1)/12)*$H48</f>
        <v>6.6671740076709438E-2</v>
      </c>
      <c r="O48" s="182">
        <f>(SUM('1.  LRAMVA Summary'!I$22:I$27)+SUM('1.  LRAMVA Summary'!I$28:I$29)*(MONTH($E48)-1)/12)*$H48</f>
        <v>0</v>
      </c>
      <c r="P48" s="182">
        <f>(SUM('1.  LRAMVA Summary'!J$22:J$27)+SUM('1.  LRAMVA Summary'!J$28:J$29)*(MONTH($E48)-1)/12)*$H48</f>
        <v>0.44467598222219923</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60.325741941976339</v>
      </c>
    </row>
    <row r="49" spans="1:24" s="3" customFormat="1" ht="12.75">
      <c r="B49" s="175" t="s">
        <v>129</v>
      </c>
      <c r="C49" s="220"/>
      <c r="D49" s="188"/>
      <c r="E49" s="180">
        <v>41365</v>
      </c>
      <c r="F49" s="180" t="s">
        <v>365</v>
      </c>
      <c r="G49" s="181" t="s">
        <v>90</v>
      </c>
      <c r="H49" s="471">
        <f>C$25/12</f>
        <v>1.225E-3</v>
      </c>
      <c r="I49" s="182">
        <f>(SUM('1.  LRAMVA Summary'!C$22:C$27)+SUM('1.  LRAMVA Summary'!C$28:C$29)*(MONTH($E49)-1)/12)*$H49</f>
        <v>32.649006847424488</v>
      </c>
      <c r="J49" s="182">
        <f>(SUM('1.  LRAMVA Summary'!D$22:D$27)+SUM('1.  LRAMVA Summary'!D$28:D$29)*(MONTH($E49)-1)/12)*$H49</f>
        <v>24.349136082719674</v>
      </c>
      <c r="K49" s="182">
        <f>(SUM('1.  LRAMVA Summary'!E$22:E$27)+SUM('1.  LRAMVA Summary'!E$28:E$29)*(MONTH($E49)-1)/12)*$H49</f>
        <v>22.330827422967531</v>
      </c>
      <c r="L49" s="182">
        <f>(SUM('1.  LRAMVA Summary'!F$22:F$27)+SUM('1.  LRAMVA Summary'!F$28:F$29)*(MONTH($E49)-1)/12)*$H49</f>
        <v>10.392620976404451</v>
      </c>
      <c r="M49" s="182">
        <f>(SUM('1.  LRAMVA Summary'!G$22:G$27)+SUM('1.  LRAMVA Summary'!G$28:G$29)*(MONTH($E49)-1)/12)*$H49</f>
        <v>0</v>
      </c>
      <c r="N49" s="182">
        <f>(SUM('1.  LRAMVA Summary'!H$22:H$27)+SUM('1.  LRAMVA Summary'!H$28:H$29)*(MONTH($E49)-1)/12)*$H49</f>
        <v>0.10000761011506415</v>
      </c>
      <c r="O49" s="182">
        <f>(SUM('1.  LRAMVA Summary'!I$22:I$27)+SUM('1.  LRAMVA Summary'!I$28:I$29)*(MONTH($E49)-1)/12)*$H49</f>
        <v>0</v>
      </c>
      <c r="P49" s="182">
        <f>(SUM('1.  LRAMVA Summary'!J$22:J$27)+SUM('1.  LRAMVA Summary'!J$28:J$29)*(MONTH($E49)-1)/12)*$H49</f>
        <v>0.66701397333329882</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90.488612912964513</v>
      </c>
    </row>
    <row r="50" spans="1:24" s="3" customFormat="1" ht="12.75">
      <c r="B50" s="175" t="s">
        <v>130</v>
      </c>
      <c r="C50" s="220"/>
      <c r="D50" s="188"/>
      <c r="E50" s="180">
        <v>41395</v>
      </c>
      <c r="F50" s="180" t="s">
        <v>365</v>
      </c>
      <c r="G50" s="181" t="s">
        <v>90</v>
      </c>
      <c r="H50" s="470">
        <f t="shared" ref="H50:H51" si="20">C$25/12</f>
        <v>1.225E-3</v>
      </c>
      <c r="I50" s="182">
        <f>(SUM('1.  LRAMVA Summary'!C$22:C$27)+SUM('1.  LRAMVA Summary'!C$28:C$29)*(MONTH($E50)-1)/12)*$H50</f>
        <v>43.532009129899322</v>
      </c>
      <c r="J50" s="182">
        <f>(SUM('1.  LRAMVA Summary'!D$22:D$27)+SUM('1.  LRAMVA Summary'!D$28:D$29)*(MONTH($E50)-1)/12)*$H50</f>
        <v>32.465514776959566</v>
      </c>
      <c r="K50" s="182">
        <f>(SUM('1.  LRAMVA Summary'!E$22:E$27)+SUM('1.  LRAMVA Summary'!E$28:E$29)*(MONTH($E50)-1)/12)*$H50</f>
        <v>29.774436563956705</v>
      </c>
      <c r="L50" s="182">
        <f>(SUM('1.  LRAMVA Summary'!F$22:F$27)+SUM('1.  LRAMVA Summary'!F$28:F$29)*(MONTH($E50)-1)/12)*$H50</f>
        <v>13.856827968539267</v>
      </c>
      <c r="M50" s="182">
        <f>(SUM('1.  LRAMVA Summary'!G$22:G$27)+SUM('1.  LRAMVA Summary'!G$28:G$29)*(MONTH($E50)-1)/12)*$H50</f>
        <v>0</v>
      </c>
      <c r="N50" s="182">
        <f>(SUM('1.  LRAMVA Summary'!H$22:H$27)+SUM('1.  LRAMVA Summary'!H$28:H$29)*(MONTH($E50)-1)/12)*$H50</f>
        <v>0.13334348015341888</v>
      </c>
      <c r="O50" s="182">
        <f>(SUM('1.  LRAMVA Summary'!I$22:I$27)+SUM('1.  LRAMVA Summary'!I$28:I$29)*(MONTH($E50)-1)/12)*$H50</f>
        <v>0</v>
      </c>
      <c r="P50" s="182">
        <f>(SUM('1.  LRAMVA Summary'!J$22:J$27)+SUM('1.  LRAMVA Summary'!J$28:J$29)*(MONTH($E50)-1)/12)*$H50</f>
        <v>0.88935196444439846</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120.65148388395268</v>
      </c>
    </row>
    <row r="51" spans="1:24" s="3" customFormat="1" ht="12.75">
      <c r="B51" s="175" t="s">
        <v>131</v>
      </c>
      <c r="C51" s="220"/>
      <c r="D51" s="188"/>
      <c r="E51" s="180">
        <v>41426</v>
      </c>
      <c r="F51" s="180" t="s">
        <v>365</v>
      </c>
      <c r="G51" s="181" t="s">
        <v>90</v>
      </c>
      <c r="H51" s="470">
        <f t="shared" si="20"/>
        <v>1.225E-3</v>
      </c>
      <c r="I51" s="182">
        <f>(SUM('1.  LRAMVA Summary'!C$22:C$27)+SUM('1.  LRAMVA Summary'!C$28:C$29)*(MONTH($E51)-1)/12)*$H51</f>
        <v>54.415011412374156</v>
      </c>
      <c r="J51" s="182">
        <f>(SUM('1.  LRAMVA Summary'!D$22:D$27)+SUM('1.  LRAMVA Summary'!D$28:D$29)*(MONTH($E51)-1)/12)*$H51</f>
        <v>40.581893471199457</v>
      </c>
      <c r="K51" s="182">
        <f>(SUM('1.  LRAMVA Summary'!E$22:E$27)+SUM('1.  LRAMVA Summary'!E$28:E$29)*(MONTH($E51)-1)/12)*$H51</f>
        <v>37.218045704945887</v>
      </c>
      <c r="L51" s="182">
        <f>(SUM('1.  LRAMVA Summary'!F$22:F$27)+SUM('1.  LRAMVA Summary'!F$28:F$29)*(MONTH($E51)-1)/12)*$H51</f>
        <v>17.321034960674087</v>
      </c>
      <c r="M51" s="182">
        <f>(SUM('1.  LRAMVA Summary'!G$22:G$27)+SUM('1.  LRAMVA Summary'!G$28:G$29)*(MONTH($E51)-1)/12)*$H51</f>
        <v>0</v>
      </c>
      <c r="N51" s="182">
        <f>(SUM('1.  LRAMVA Summary'!H$22:H$27)+SUM('1.  LRAMVA Summary'!H$28:H$29)*(MONTH($E51)-1)/12)*$H51</f>
        <v>0.16667935019177357</v>
      </c>
      <c r="O51" s="182">
        <f>(SUM('1.  LRAMVA Summary'!I$22:I$27)+SUM('1.  LRAMVA Summary'!I$28:I$29)*(MONTH($E51)-1)/12)*$H51</f>
        <v>0</v>
      </c>
      <c r="P51" s="182">
        <f>(SUM('1.  LRAMVA Summary'!J$22:J$27)+SUM('1.  LRAMVA Summary'!J$28:J$29)*(MONTH($E51)-1)/12)*$H51</f>
        <v>1.1116899555554982</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150.81435485494089</v>
      </c>
    </row>
    <row r="52" spans="1:24" s="3" customFormat="1" ht="12.75">
      <c r="B52" s="175" t="s">
        <v>132</v>
      </c>
      <c r="C52" s="220"/>
      <c r="D52" s="188"/>
      <c r="E52" s="180">
        <v>41456</v>
      </c>
      <c r="F52" s="180" t="s">
        <v>365</v>
      </c>
      <c r="G52" s="181" t="s">
        <v>92</v>
      </c>
      <c r="H52" s="471">
        <f>C$26/12</f>
        <v>1.225E-3</v>
      </c>
      <c r="I52" s="182">
        <f>(SUM('1.  LRAMVA Summary'!C$22:C$27)+SUM('1.  LRAMVA Summary'!C$28:C$29)*(MONTH($E52)-1)/12)*$H52</f>
        <v>65.298013694848976</v>
      </c>
      <c r="J52" s="182">
        <f>(SUM('1.  LRAMVA Summary'!D$22:D$27)+SUM('1.  LRAMVA Summary'!D$28:D$29)*(MONTH($E52)-1)/12)*$H52</f>
        <v>48.698272165439349</v>
      </c>
      <c r="K52" s="182">
        <f>(SUM('1.  LRAMVA Summary'!E$22:E$27)+SUM('1.  LRAMVA Summary'!E$28:E$29)*(MONTH($E52)-1)/12)*$H52</f>
        <v>44.661654845935061</v>
      </c>
      <c r="L52" s="182">
        <f>(SUM('1.  LRAMVA Summary'!F$22:F$27)+SUM('1.  LRAMVA Summary'!F$28:F$29)*(MONTH($E52)-1)/12)*$H52</f>
        <v>20.785241952808903</v>
      </c>
      <c r="M52" s="182">
        <f>(SUM('1.  LRAMVA Summary'!G$22:G$27)+SUM('1.  LRAMVA Summary'!G$28:G$29)*(MONTH($E52)-1)/12)*$H52</f>
        <v>0</v>
      </c>
      <c r="N52" s="182">
        <f>(SUM('1.  LRAMVA Summary'!H$22:H$27)+SUM('1.  LRAMVA Summary'!H$28:H$29)*(MONTH($E52)-1)/12)*$H52</f>
        <v>0.2000152202301283</v>
      </c>
      <c r="O52" s="182">
        <f>(SUM('1.  LRAMVA Summary'!I$22:I$27)+SUM('1.  LRAMVA Summary'!I$28:I$29)*(MONTH($E52)-1)/12)*$H52</f>
        <v>0</v>
      </c>
      <c r="P52" s="182">
        <f>(SUM('1.  LRAMVA Summary'!J$22:J$27)+SUM('1.  LRAMVA Summary'!J$28:J$29)*(MONTH($E52)-1)/12)*$H52</f>
        <v>1.3340279466665976</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180.97722582592903</v>
      </c>
    </row>
    <row r="53" spans="1:24" s="3" customFormat="1" ht="12.75">
      <c r="B53" s="175" t="s">
        <v>134</v>
      </c>
      <c r="C53" s="220"/>
      <c r="D53" s="188"/>
      <c r="E53" s="180">
        <v>41487</v>
      </c>
      <c r="F53" s="180" t="s">
        <v>365</v>
      </c>
      <c r="G53" s="181" t="s">
        <v>92</v>
      </c>
      <c r="H53" s="470">
        <f t="shared" ref="H53:H54" si="21">C$26/12</f>
        <v>1.225E-3</v>
      </c>
      <c r="I53" s="182">
        <f>(SUM('1.  LRAMVA Summary'!C$22:C$27)+SUM('1.  LRAMVA Summary'!C$28:C$29)*(MONTH($E53)-1)/12)*$H53</f>
        <v>76.18101597732381</v>
      </c>
      <c r="J53" s="182">
        <f>(SUM('1.  LRAMVA Summary'!D$22:D$27)+SUM('1.  LRAMVA Summary'!D$28:D$29)*(MONTH($E53)-1)/12)*$H53</f>
        <v>56.814650859679233</v>
      </c>
      <c r="K53" s="182">
        <f>(SUM('1.  LRAMVA Summary'!E$22:E$27)+SUM('1.  LRAMVA Summary'!E$28:E$29)*(MONTH($E53)-1)/12)*$H53</f>
        <v>52.105263986924228</v>
      </c>
      <c r="L53" s="182">
        <f>(SUM('1.  LRAMVA Summary'!F$22:F$27)+SUM('1.  LRAMVA Summary'!F$28:F$29)*(MONTH($E53)-1)/12)*$H53</f>
        <v>24.249448944943715</v>
      </c>
      <c r="M53" s="182">
        <f>(SUM('1.  LRAMVA Summary'!G$22:G$27)+SUM('1.  LRAMVA Summary'!G$28:G$29)*(MONTH($E53)-1)/12)*$H53</f>
        <v>0</v>
      </c>
      <c r="N53" s="182">
        <f>(SUM('1.  LRAMVA Summary'!H$22:H$27)+SUM('1.  LRAMVA Summary'!H$28:H$29)*(MONTH($E53)-1)/12)*$H53</f>
        <v>0.233351090268483</v>
      </c>
      <c r="O53" s="182">
        <f>(SUM('1.  LRAMVA Summary'!I$22:I$27)+SUM('1.  LRAMVA Summary'!I$28:I$29)*(MONTH($E53)-1)/12)*$H53</f>
        <v>0</v>
      </c>
      <c r="P53" s="182">
        <f>(SUM('1.  LRAMVA Summary'!J$22:J$27)+SUM('1.  LRAMVA Summary'!J$28:J$29)*(MONTH($E53)-1)/12)*$H53</f>
        <v>1.5563659377776973</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211.14009679691716</v>
      </c>
    </row>
    <row r="54" spans="1:24" s="3" customFormat="1" ht="12.75">
      <c r="B54" s="175" t="s">
        <v>133</v>
      </c>
      <c r="C54" s="220"/>
      <c r="D54" s="188"/>
      <c r="E54" s="180">
        <v>41518</v>
      </c>
      <c r="F54" s="180" t="s">
        <v>365</v>
      </c>
      <c r="G54" s="181" t="s">
        <v>92</v>
      </c>
      <c r="H54" s="470">
        <f t="shared" si="21"/>
        <v>1.225E-3</v>
      </c>
      <c r="I54" s="182">
        <f>(SUM('1.  LRAMVA Summary'!C$22:C$27)+SUM('1.  LRAMVA Summary'!C$28:C$29)*(MONTH($E54)-1)/12)*$H54</f>
        <v>87.064018259798644</v>
      </c>
      <c r="J54" s="182">
        <f>(SUM('1.  LRAMVA Summary'!D$22:D$27)+SUM('1.  LRAMVA Summary'!D$28:D$29)*(MONTH($E54)-1)/12)*$H54</f>
        <v>64.931029553919132</v>
      </c>
      <c r="K54" s="182">
        <f>(SUM('1.  LRAMVA Summary'!E$22:E$27)+SUM('1.  LRAMVA Summary'!E$28:E$29)*(MONTH($E54)-1)/12)*$H54</f>
        <v>59.54887312791341</v>
      </c>
      <c r="L54" s="182">
        <f>(SUM('1.  LRAMVA Summary'!F$22:F$27)+SUM('1.  LRAMVA Summary'!F$28:F$29)*(MONTH($E54)-1)/12)*$H54</f>
        <v>27.713655937078535</v>
      </c>
      <c r="M54" s="182">
        <f>(SUM('1.  LRAMVA Summary'!G$22:G$27)+SUM('1.  LRAMVA Summary'!G$28:G$29)*(MONTH($E54)-1)/12)*$H54</f>
        <v>0</v>
      </c>
      <c r="N54" s="182">
        <f>(SUM('1.  LRAMVA Summary'!H$22:H$27)+SUM('1.  LRAMVA Summary'!H$28:H$29)*(MONTH($E54)-1)/12)*$H54</f>
        <v>0.26668696030683775</v>
      </c>
      <c r="O54" s="182">
        <f>(SUM('1.  LRAMVA Summary'!I$22:I$27)+SUM('1.  LRAMVA Summary'!I$28:I$29)*(MONTH($E54)-1)/12)*$H54</f>
        <v>0</v>
      </c>
      <c r="P54" s="182">
        <f>(SUM('1.  LRAMVA Summary'!J$22:J$27)+SUM('1.  LRAMVA Summary'!J$28:J$29)*(MONTH($E54)-1)/12)*$H54</f>
        <v>1.7787039288887969</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241.30296776790536</v>
      </c>
    </row>
    <row r="55" spans="1:24" s="3" customFormat="1" ht="12.75">
      <c r="B55" s="217" t="s">
        <v>135</v>
      </c>
      <c r="C55" s="221"/>
      <c r="D55" s="188"/>
      <c r="E55" s="180">
        <v>41548</v>
      </c>
      <c r="F55" s="180" t="s">
        <v>365</v>
      </c>
      <c r="G55" s="181" t="s">
        <v>93</v>
      </c>
      <c r="H55" s="471">
        <f>C$27/12</f>
        <v>1.225E-3</v>
      </c>
      <c r="I55" s="182">
        <f>(SUM('1.  LRAMVA Summary'!C$22:C$27)+SUM('1.  LRAMVA Summary'!C$28:C$29)*(MONTH($E55)-1)/12)*$H55</f>
        <v>97.947020542273478</v>
      </c>
      <c r="J55" s="182">
        <f>(SUM('1.  LRAMVA Summary'!D$22:D$27)+SUM('1.  LRAMVA Summary'!D$28:D$29)*(MONTH($E55)-1)/12)*$H55</f>
        <v>73.047408248159016</v>
      </c>
      <c r="K55" s="182">
        <f>(SUM('1.  LRAMVA Summary'!E$22:E$27)+SUM('1.  LRAMVA Summary'!E$28:E$29)*(MONTH($E55)-1)/12)*$H55</f>
        <v>66.992482268902592</v>
      </c>
      <c r="L55" s="182">
        <f>(SUM('1.  LRAMVA Summary'!F$22:F$27)+SUM('1.  LRAMVA Summary'!F$28:F$29)*(MONTH($E55)-1)/12)*$H55</f>
        <v>31.177862929213354</v>
      </c>
      <c r="M55" s="182">
        <f>(SUM('1.  LRAMVA Summary'!G$22:G$27)+SUM('1.  LRAMVA Summary'!G$28:G$29)*(MONTH($E55)-1)/12)*$H55</f>
        <v>0</v>
      </c>
      <c r="N55" s="182">
        <f>(SUM('1.  LRAMVA Summary'!H$22:H$27)+SUM('1.  LRAMVA Summary'!H$28:H$29)*(MONTH($E55)-1)/12)*$H55</f>
        <v>0.30002283034519245</v>
      </c>
      <c r="O55" s="182">
        <f>(SUM('1.  LRAMVA Summary'!I$22:I$27)+SUM('1.  LRAMVA Summary'!I$28:I$29)*(MONTH($E55)-1)/12)*$H55</f>
        <v>0</v>
      </c>
      <c r="P55" s="182">
        <f>(SUM('1.  LRAMVA Summary'!J$22:J$27)+SUM('1.  LRAMVA Summary'!J$28:J$29)*(MONTH($E55)-1)/12)*$H55</f>
        <v>2.0010419199998966</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271.46583873889358</v>
      </c>
    </row>
    <row r="56" spans="1:24" s="3" customFormat="1" ht="12.75">
      <c r="D56" s="188"/>
      <c r="E56" s="180">
        <v>41579</v>
      </c>
      <c r="F56" s="180" t="s">
        <v>365</v>
      </c>
      <c r="G56" s="181" t="s">
        <v>93</v>
      </c>
      <c r="H56" s="470">
        <f t="shared" ref="H56:H57" si="22">C$27/12</f>
        <v>1.225E-3</v>
      </c>
      <c r="I56" s="182">
        <f>(SUM('1.  LRAMVA Summary'!C$22:C$27)+SUM('1.  LRAMVA Summary'!C$28:C$29)*(MONTH($E56)-1)/12)*$H56</f>
        <v>108.83002282474831</v>
      </c>
      <c r="J56" s="182">
        <f>(SUM('1.  LRAMVA Summary'!D$22:D$27)+SUM('1.  LRAMVA Summary'!D$28:D$29)*(MONTH($E56)-1)/12)*$H56</f>
        <v>81.163786942398914</v>
      </c>
      <c r="K56" s="182">
        <f>(SUM('1.  LRAMVA Summary'!E$22:E$27)+SUM('1.  LRAMVA Summary'!E$28:E$29)*(MONTH($E56)-1)/12)*$H56</f>
        <v>74.436091409891773</v>
      </c>
      <c r="L56" s="182">
        <f>(SUM('1.  LRAMVA Summary'!F$22:F$27)+SUM('1.  LRAMVA Summary'!F$28:F$29)*(MONTH($E56)-1)/12)*$H56</f>
        <v>34.642069921348174</v>
      </c>
      <c r="M56" s="182">
        <f>(SUM('1.  LRAMVA Summary'!G$22:G$27)+SUM('1.  LRAMVA Summary'!G$28:G$29)*(MONTH($E56)-1)/12)*$H56</f>
        <v>0</v>
      </c>
      <c r="N56" s="182">
        <f>(SUM('1.  LRAMVA Summary'!H$22:H$27)+SUM('1.  LRAMVA Summary'!H$28:H$29)*(MONTH($E56)-1)/12)*$H56</f>
        <v>0.33335870038354715</v>
      </c>
      <c r="O56" s="182">
        <f>(SUM('1.  LRAMVA Summary'!I$22:I$27)+SUM('1.  LRAMVA Summary'!I$28:I$29)*(MONTH($E56)-1)/12)*$H56</f>
        <v>0</v>
      </c>
      <c r="P56" s="182">
        <f>(SUM('1.  LRAMVA Summary'!J$22:J$27)+SUM('1.  LRAMVA Summary'!J$28:J$29)*(MONTH($E56)-1)/12)*$H56</f>
        <v>2.2233799111109964</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301.62870970988178</v>
      </c>
    </row>
    <row r="57" spans="1:24" s="3" customFormat="1" ht="14.25">
      <c r="B57" s="227" t="s">
        <v>368</v>
      </c>
      <c r="C57" s="4"/>
      <c r="D57" s="188"/>
      <c r="E57" s="180">
        <v>41609</v>
      </c>
      <c r="F57" s="180" t="s">
        <v>365</v>
      </c>
      <c r="G57" s="181" t="s">
        <v>93</v>
      </c>
      <c r="H57" s="470">
        <f t="shared" si="22"/>
        <v>1.225E-3</v>
      </c>
      <c r="I57" s="182">
        <f>(SUM('1.  LRAMVA Summary'!C$22:C$27)+SUM('1.  LRAMVA Summary'!C$28:C$29)*(MONTH($E57)-1)/12)*$H57</f>
        <v>119.71302510722315</v>
      </c>
      <c r="J57" s="182">
        <f>(SUM('1.  LRAMVA Summary'!D$22:D$27)+SUM('1.  LRAMVA Summary'!D$28:D$29)*(MONTH($E57)-1)/12)*$H57</f>
        <v>89.280165636638799</v>
      </c>
      <c r="K57" s="182">
        <f>(SUM('1.  LRAMVA Summary'!E$22:E$27)+SUM('1.  LRAMVA Summary'!E$28:E$29)*(MONTH($E57)-1)/12)*$H57</f>
        <v>81.879700550880941</v>
      </c>
      <c r="L57" s="182">
        <f>(SUM('1.  LRAMVA Summary'!F$22:F$27)+SUM('1.  LRAMVA Summary'!F$28:F$29)*(MONTH($E57)-1)/12)*$H57</f>
        <v>38.106276913482986</v>
      </c>
      <c r="M57" s="182">
        <f>(SUM('1.  LRAMVA Summary'!G$22:G$27)+SUM('1.  LRAMVA Summary'!G$28:G$29)*(MONTH($E57)-1)/12)*$H57</f>
        <v>0</v>
      </c>
      <c r="N57" s="182">
        <f>(SUM('1.  LRAMVA Summary'!H$22:H$27)+SUM('1.  LRAMVA Summary'!H$28:H$29)*(MONTH($E57)-1)/12)*$H57</f>
        <v>0.36669457042190184</v>
      </c>
      <c r="O57" s="182">
        <f>(SUM('1.  LRAMVA Summary'!I$22:I$27)+SUM('1.  LRAMVA Summary'!I$28:I$29)*(MONTH($E57)-1)/12)*$H57</f>
        <v>0</v>
      </c>
      <c r="P57" s="182">
        <f>(SUM('1.  LRAMVA Summary'!J$22:J$27)+SUM('1.  LRAMVA Summary'!J$28:J$29)*(MONTH($E57)-1)/12)*$H57</f>
        <v>2.4457179022220958</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331.79158068086986</v>
      </c>
    </row>
    <row r="58" spans="1:24" s="3" customFormat="1" ht="13.5" thickBot="1">
      <c r="B58" s="4"/>
      <c r="C58" s="4"/>
      <c r="D58" s="188"/>
      <c r="E58" s="192" t="s">
        <v>379</v>
      </c>
      <c r="F58" s="192"/>
      <c r="G58" s="193"/>
      <c r="H58" s="467"/>
      <c r="I58" s="194">
        <f>SUM(I45:I57)</f>
        <v>718.27815064333879</v>
      </c>
      <c r="J58" s="194">
        <f t="shared" ref="J58:O58" si="23">SUM(J45:J57)</f>
        <v>535.68099381983279</v>
      </c>
      <c r="K58" s="194">
        <f t="shared" si="23"/>
        <v>491.27820330528567</v>
      </c>
      <c r="L58" s="194">
        <f t="shared" si="23"/>
        <v>228.63766148089789</v>
      </c>
      <c r="M58" s="194">
        <f t="shared" si="23"/>
        <v>0</v>
      </c>
      <c r="N58" s="194">
        <f t="shared" si="23"/>
        <v>2.2001674225314112</v>
      </c>
      <c r="O58" s="194">
        <f t="shared" si="23"/>
        <v>0</v>
      </c>
      <c r="P58" s="194">
        <f t="shared" ref="P58" si="24">SUM(P45:P57)</f>
        <v>14.674307413332574</v>
      </c>
      <c r="Q58" s="194">
        <f t="shared" ref="Q58:S58" si="25">SUM(Q45:Q57)</f>
        <v>0</v>
      </c>
      <c r="R58" s="194">
        <f t="shared" si="25"/>
        <v>0</v>
      </c>
      <c r="S58" s="194">
        <f t="shared" si="25"/>
        <v>0</v>
      </c>
      <c r="T58" s="194">
        <f>SUM(T45:T57)</f>
        <v>1990.7494840852196</v>
      </c>
    </row>
    <row r="59" spans="1:24" s="3" customFormat="1" ht="13.5" thickTop="1">
      <c r="D59" s="188"/>
      <c r="E59" s="223" t="s">
        <v>91</v>
      </c>
      <c r="F59" s="223"/>
      <c r="G59" s="224"/>
      <c r="H59" s="468"/>
      <c r="I59" s="225"/>
      <c r="J59" s="225"/>
      <c r="K59" s="225"/>
      <c r="L59" s="225"/>
      <c r="M59" s="225"/>
      <c r="N59" s="225"/>
      <c r="O59" s="225"/>
      <c r="P59" s="225"/>
      <c r="Q59" s="225"/>
      <c r="R59" s="225"/>
      <c r="S59" s="225"/>
      <c r="T59" s="226"/>
    </row>
    <row r="60" spans="1:24" s="3" customFormat="1" ht="12.75">
      <c r="D60" s="188"/>
      <c r="E60" s="189" t="s">
        <v>386</v>
      </c>
      <c r="F60" s="189"/>
      <c r="G60" s="190"/>
      <c r="H60" s="469"/>
      <c r="I60" s="191">
        <f t="shared" ref="I60:T60" si="26">I58+I59</f>
        <v>718.27815064333879</v>
      </c>
      <c r="J60" s="191">
        <f t="shared" si="26"/>
        <v>535.68099381983279</v>
      </c>
      <c r="K60" s="191">
        <f t="shared" si="26"/>
        <v>491.27820330528567</v>
      </c>
      <c r="L60" s="191">
        <f t="shared" si="26"/>
        <v>228.63766148089789</v>
      </c>
      <c r="M60" s="191">
        <f t="shared" si="26"/>
        <v>0</v>
      </c>
      <c r="N60" s="191">
        <f t="shared" si="26"/>
        <v>2.2001674225314112</v>
      </c>
      <c r="O60" s="191">
        <f t="shared" si="26"/>
        <v>0</v>
      </c>
      <c r="P60" s="191">
        <f t="shared" ref="P60" si="27">P58+P59</f>
        <v>14.674307413332574</v>
      </c>
      <c r="Q60" s="191">
        <f t="shared" ref="Q60:S60" si="28">Q58+Q59</f>
        <v>0</v>
      </c>
      <c r="R60" s="191">
        <f t="shared" si="28"/>
        <v>0</v>
      </c>
      <c r="S60" s="191">
        <f t="shared" si="28"/>
        <v>0</v>
      </c>
      <c r="T60" s="191">
        <f t="shared" si="26"/>
        <v>1990.7494840852196</v>
      </c>
    </row>
    <row r="61" spans="1:24" s="3" customFormat="1" ht="12.75">
      <c r="D61" s="188"/>
      <c r="E61" s="180">
        <v>41640</v>
      </c>
      <c r="F61" s="180" t="s">
        <v>366</v>
      </c>
      <c r="G61" s="181" t="s">
        <v>89</v>
      </c>
      <c r="H61" s="471">
        <f>C$28/12</f>
        <v>1.225E-3</v>
      </c>
      <c r="I61" s="182">
        <f>(SUM('1.  LRAMVA Summary'!C$22:C$30)+SUM('1.  LRAMVA Summary'!C$31:C$32)*(MONTH($E61)-1)/12)*$H61</f>
        <v>130.59602738969795</v>
      </c>
      <c r="J61" s="182">
        <f>(SUM('1.  LRAMVA Summary'!D$22:D$30)+SUM('1.  LRAMVA Summary'!D$31:D$32)*(MONTH($E61)-1)/12)*$H61</f>
        <v>97.396544330878697</v>
      </c>
      <c r="K61" s="182">
        <f>(SUM('1.  LRAMVA Summary'!E$22:E$30)+SUM('1.  LRAMVA Summary'!E$31:E$32)*(MONTH($E61)-1)/12)*$H61</f>
        <v>89.323309691870122</v>
      </c>
      <c r="L61" s="182">
        <f>(SUM('1.  LRAMVA Summary'!F$22:F$30)+SUM('1.  LRAMVA Summary'!F$31:F$32)*(MONTH($E61)-1)/12)*$H61</f>
        <v>41.570483905617806</v>
      </c>
      <c r="M61" s="182">
        <f>(SUM('1.  LRAMVA Summary'!G$22:G$30)+SUM('1.  LRAMVA Summary'!G$31:G$32)*(MONTH($E61)-1)/12)*$H61</f>
        <v>0</v>
      </c>
      <c r="N61" s="182">
        <f>(SUM('1.  LRAMVA Summary'!H$22:H$30)+SUM('1.  LRAMVA Summary'!H$31:H$32)*(MONTH($E61)-1)/12)*$H61</f>
        <v>0.4000304404602566</v>
      </c>
      <c r="O61" s="182">
        <f>(SUM('1.  LRAMVA Summary'!I$22:I$30)+SUM('1.  LRAMVA Summary'!I$31:I$32)*(MONTH($E61)-1)/12)*$H61</f>
        <v>0</v>
      </c>
      <c r="P61" s="182">
        <f>(SUM('1.  LRAMVA Summary'!J$22:J$30)+SUM('1.  LRAMVA Summary'!J$31:J$32)*(MONTH($E61)-1)/12)*$H61</f>
        <v>2.6680558933331953</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361.95445165185805</v>
      </c>
    </row>
    <row r="62" spans="1:24" s="3" customFormat="1" ht="12.75">
      <c r="A62" s="14"/>
      <c r="E62" s="180">
        <v>41671</v>
      </c>
      <c r="F62" s="180" t="s">
        <v>366</v>
      </c>
      <c r="G62" s="181" t="s">
        <v>89</v>
      </c>
      <c r="H62" s="470">
        <f t="shared" ref="H62:H63" si="30">C$28/12</f>
        <v>1.225E-3</v>
      </c>
      <c r="I62" s="182">
        <f>(SUM('1.  LRAMVA Summary'!C$22:C$30)+SUM('1.  LRAMVA Summary'!C$31:C$32)*(MONTH($E62)-1)/12)*$H62</f>
        <v>132.49643793352126</v>
      </c>
      <c r="J62" s="182">
        <f>(SUM('1.  LRAMVA Summary'!D$22:D$30)+SUM('1.  LRAMVA Summary'!D$31:D$32)*(MONTH($E62)-1)/12)*$H62</f>
        <v>96.068845566485678</v>
      </c>
      <c r="K62" s="182">
        <f>(SUM('1.  LRAMVA Summary'!E$22:E$30)+SUM('1.  LRAMVA Summary'!E$31:E$32)*(MONTH($E62)-1)/12)*$H62</f>
        <v>91.063544581770216</v>
      </c>
      <c r="L62" s="182">
        <f>(SUM('1.  LRAMVA Summary'!F$22:F$30)+SUM('1.  LRAMVA Summary'!F$31:F$32)*(MONTH($E62)-1)/12)*$H62</f>
        <v>42.511945129012652</v>
      </c>
      <c r="M62" s="182">
        <f>(SUM('1.  LRAMVA Summary'!G$22:G$30)+SUM('1.  LRAMVA Summary'!G$31:G$32)*(MONTH($E62)-1)/12)*$H62</f>
        <v>0</v>
      </c>
      <c r="N62" s="182">
        <f>(SUM('1.  LRAMVA Summary'!H$22:H$30)+SUM('1.  LRAMVA Summary'!H$31:H$32)*(MONTH($E62)-1)/12)*$H62</f>
        <v>0.44008399228917888</v>
      </c>
      <c r="O62" s="182">
        <f>(SUM('1.  LRAMVA Summary'!I$22:I$30)+SUM('1.  LRAMVA Summary'!I$31:I$32)*(MONTH($E62)-1)/12)*$H62</f>
        <v>0</v>
      </c>
      <c r="P62" s="182">
        <f>(SUM('1.  LRAMVA Summary'!J$22:J$30)+SUM('1.  LRAMVA Summary'!J$31:J$32)*(MONTH($E62)-1)/12)*$H62</f>
        <v>3.8176773234794976</v>
      </c>
      <c r="Q62" s="182">
        <f>(SUM('1.  LRAMVA Summary'!K$22:K$30)+SUM('1.  LRAMVA Summary'!K$31:K$32)*(MONTH($E62)-1)/12)*$H62</f>
        <v>0</v>
      </c>
      <c r="R62" s="182">
        <f>(SUM('1.  LRAMVA Summary'!L$22:L$30)+SUM('1.  LRAMVA Summary'!L$31:L$32)*(MONTH($E62)-1)/12)*$H62</f>
        <v>0</v>
      </c>
      <c r="S62" s="182">
        <f>(SUM('1.  LRAMVA Summary'!M$22:M$30)+SUM('1.  LRAMVA Summary'!M$31:M$32)*(MONTH($E62)-1)/12)*$H62</f>
        <v>0.25652710692000008</v>
      </c>
      <c r="T62" s="183">
        <f t="shared" si="29"/>
        <v>366.65506163347845</v>
      </c>
    </row>
    <row r="63" spans="1:24">
      <c r="A63" s="2"/>
      <c r="C63" s="2"/>
      <c r="E63" s="180">
        <v>41699</v>
      </c>
      <c r="F63" s="180" t="s">
        <v>366</v>
      </c>
      <c r="G63" s="181" t="s">
        <v>89</v>
      </c>
      <c r="H63" s="470">
        <f t="shared" si="30"/>
        <v>1.225E-3</v>
      </c>
      <c r="I63" s="182">
        <f>(SUM('1.  LRAMVA Summary'!C$22:C$30)+SUM('1.  LRAMVA Summary'!C$31:C$32)*(MONTH($E63)-1)/12)*$H63</f>
        <v>134.39684847734458</v>
      </c>
      <c r="J63" s="182">
        <f>(SUM('1.  LRAMVA Summary'!D$22:D$30)+SUM('1.  LRAMVA Summary'!D$31:D$32)*(MONTH($E63)-1)/12)*$H63</f>
        <v>94.741146802092672</v>
      </c>
      <c r="K63" s="182">
        <f>(SUM('1.  LRAMVA Summary'!E$22:E$30)+SUM('1.  LRAMVA Summary'!E$31:E$32)*(MONTH($E63)-1)/12)*$H63</f>
        <v>92.803779471670339</v>
      </c>
      <c r="L63" s="182">
        <f>(SUM('1.  LRAMVA Summary'!F$22:F$30)+SUM('1.  LRAMVA Summary'!F$31:F$32)*(MONTH($E63)-1)/12)*$H63</f>
        <v>43.453406352407505</v>
      </c>
      <c r="M63" s="182">
        <f>(SUM('1.  LRAMVA Summary'!G$22:G$30)+SUM('1.  LRAMVA Summary'!G$31:G$32)*(MONTH($E63)-1)/12)*$H63</f>
        <v>0</v>
      </c>
      <c r="N63" s="182">
        <f>(SUM('1.  LRAMVA Summary'!H$22:H$30)+SUM('1.  LRAMVA Summary'!H$31:H$32)*(MONTH($E63)-1)/12)*$H63</f>
        <v>0.48013754411810117</v>
      </c>
      <c r="O63" s="182">
        <f>(SUM('1.  LRAMVA Summary'!I$22:I$30)+SUM('1.  LRAMVA Summary'!I$31:I$32)*(MONTH($E63)-1)/12)*$H63</f>
        <v>0</v>
      </c>
      <c r="P63" s="182">
        <f>(SUM('1.  LRAMVA Summary'!J$22:J$30)+SUM('1.  LRAMVA Summary'!J$31:J$32)*(MONTH($E63)-1)/12)*$H63</f>
        <v>4.9672987536257995</v>
      </c>
      <c r="Q63" s="182">
        <f>(SUM('1.  LRAMVA Summary'!K$22:K$30)+SUM('1.  LRAMVA Summary'!K$31:K$32)*(MONTH($E63)-1)/12)*$H63</f>
        <v>0</v>
      </c>
      <c r="R63" s="182">
        <f>(SUM('1.  LRAMVA Summary'!L$22:L$30)+SUM('1.  LRAMVA Summary'!L$31:L$32)*(MONTH($E63)-1)/12)*$H63</f>
        <v>0</v>
      </c>
      <c r="S63" s="182">
        <f>(SUM('1.  LRAMVA Summary'!M$22:M$30)+SUM('1.  LRAMVA Summary'!M$31:M$32)*(MONTH($E63)-1)/12)*$H63</f>
        <v>0.51305421384000016</v>
      </c>
      <c r="T63" s="183">
        <f t="shared" si="29"/>
        <v>371.35567161509903</v>
      </c>
      <c r="U63" s="2"/>
      <c r="V63" s="2"/>
      <c r="W63" s="2"/>
      <c r="X63" s="2"/>
    </row>
    <row r="64" spans="1:24">
      <c r="A64" s="2"/>
      <c r="C64" s="2"/>
      <c r="E64" s="180">
        <v>41730</v>
      </c>
      <c r="F64" s="180" t="s">
        <v>366</v>
      </c>
      <c r="G64" s="181" t="s">
        <v>90</v>
      </c>
      <c r="H64" s="471">
        <f>C$29/12</f>
        <v>1.225E-3</v>
      </c>
      <c r="I64" s="182">
        <f>(SUM('1.  LRAMVA Summary'!C$22:C$30)+SUM('1.  LRAMVA Summary'!C$31:C$32)*(MONTH($E64)-1)/12)*$H64</f>
        <v>136.29725902116789</v>
      </c>
      <c r="J64" s="182">
        <f>(SUM('1.  LRAMVA Summary'!D$22:D$30)+SUM('1.  LRAMVA Summary'!D$31:D$32)*(MONTH($E64)-1)/12)*$H64</f>
        <v>93.413448037699666</v>
      </c>
      <c r="K64" s="182">
        <f>(SUM('1.  LRAMVA Summary'!E$22:E$30)+SUM('1.  LRAMVA Summary'!E$31:E$32)*(MONTH($E64)-1)/12)*$H64</f>
        <v>94.544014361570447</v>
      </c>
      <c r="L64" s="182">
        <f>(SUM('1.  LRAMVA Summary'!F$22:F$30)+SUM('1.  LRAMVA Summary'!F$31:F$32)*(MONTH($E64)-1)/12)*$H64</f>
        <v>44.394867575802351</v>
      </c>
      <c r="M64" s="182">
        <f>(SUM('1.  LRAMVA Summary'!G$22:G$30)+SUM('1.  LRAMVA Summary'!G$31:G$32)*(MONTH($E64)-1)/12)*$H64</f>
        <v>0</v>
      </c>
      <c r="N64" s="182">
        <f>(SUM('1.  LRAMVA Summary'!H$22:H$30)+SUM('1.  LRAMVA Summary'!H$31:H$32)*(MONTH($E64)-1)/12)*$H64</f>
        <v>0.52019109594702351</v>
      </c>
      <c r="O64" s="182">
        <f>(SUM('1.  LRAMVA Summary'!I$22:I$30)+SUM('1.  LRAMVA Summary'!I$31:I$32)*(MONTH($E64)-1)/12)*$H64</f>
        <v>0</v>
      </c>
      <c r="P64" s="182">
        <f>(SUM('1.  LRAMVA Summary'!J$22:J$30)+SUM('1.  LRAMVA Summary'!J$31:J$32)*(MONTH($E64)-1)/12)*$H64</f>
        <v>6.1169201837721019</v>
      </c>
      <c r="Q64" s="182">
        <f>(SUM('1.  LRAMVA Summary'!K$22:K$30)+SUM('1.  LRAMVA Summary'!K$31:K$32)*(MONTH($E64)-1)/12)*$H64</f>
        <v>0</v>
      </c>
      <c r="R64" s="182">
        <f>(SUM('1.  LRAMVA Summary'!L$22:L$30)+SUM('1.  LRAMVA Summary'!L$31:L$32)*(MONTH($E64)-1)/12)*$H64</f>
        <v>0</v>
      </c>
      <c r="S64" s="182">
        <f>(SUM('1.  LRAMVA Summary'!M$22:M$30)+SUM('1.  LRAMVA Summary'!M$31:M$32)*(MONTH($E64)-1)/12)*$H64</f>
        <v>0.76958132076000019</v>
      </c>
      <c r="T64" s="183">
        <f t="shared" si="29"/>
        <v>376.05628159671949</v>
      </c>
      <c r="U64" s="2"/>
      <c r="V64" s="2"/>
      <c r="W64" s="2"/>
      <c r="X64" s="2"/>
    </row>
    <row r="65" spans="1:24">
      <c r="A65" s="2"/>
      <c r="C65" s="2"/>
      <c r="E65" s="180">
        <v>41760</v>
      </c>
      <c r="F65" s="180" t="s">
        <v>366</v>
      </c>
      <c r="G65" s="181" t="s">
        <v>90</v>
      </c>
      <c r="H65" s="470">
        <f t="shared" ref="H65:H66" si="31">C$29/12</f>
        <v>1.225E-3</v>
      </c>
      <c r="I65" s="182">
        <f>(SUM('1.  LRAMVA Summary'!C$22:C$30)+SUM('1.  LRAMVA Summary'!C$31:C$32)*(MONTH($E65)-1)/12)*$H65</f>
        <v>138.1976695649912</v>
      </c>
      <c r="J65" s="182">
        <f>(SUM('1.  LRAMVA Summary'!D$22:D$30)+SUM('1.  LRAMVA Summary'!D$31:D$32)*(MONTH($E65)-1)/12)*$H65</f>
        <v>92.085749273306647</v>
      </c>
      <c r="K65" s="182">
        <f>(SUM('1.  LRAMVA Summary'!E$22:E$30)+SUM('1.  LRAMVA Summary'!E$31:E$32)*(MONTH($E65)-1)/12)*$H65</f>
        <v>96.284249251470541</v>
      </c>
      <c r="L65" s="182">
        <f>(SUM('1.  LRAMVA Summary'!F$22:F$30)+SUM('1.  LRAMVA Summary'!F$31:F$32)*(MONTH($E65)-1)/12)*$H65</f>
        <v>45.336328799197197</v>
      </c>
      <c r="M65" s="182">
        <f>(SUM('1.  LRAMVA Summary'!G$22:G$30)+SUM('1.  LRAMVA Summary'!G$31:G$32)*(MONTH($E65)-1)/12)*$H65</f>
        <v>0</v>
      </c>
      <c r="N65" s="182">
        <f>(SUM('1.  LRAMVA Summary'!H$22:H$30)+SUM('1.  LRAMVA Summary'!H$31:H$32)*(MONTH($E65)-1)/12)*$H65</f>
        <v>0.56024464777594574</v>
      </c>
      <c r="O65" s="182">
        <f>(SUM('1.  LRAMVA Summary'!I$22:I$30)+SUM('1.  LRAMVA Summary'!I$31:I$32)*(MONTH($E65)-1)/12)*$H65</f>
        <v>0</v>
      </c>
      <c r="P65" s="182">
        <f>(SUM('1.  LRAMVA Summary'!J$22:J$30)+SUM('1.  LRAMVA Summary'!J$31:J$32)*(MONTH($E65)-1)/12)*$H65</f>
        <v>7.2665416139184043</v>
      </c>
      <c r="Q65" s="182">
        <f>(SUM('1.  LRAMVA Summary'!K$22:K$30)+SUM('1.  LRAMVA Summary'!K$31:K$32)*(MONTH($E65)-1)/12)*$H65</f>
        <v>0</v>
      </c>
      <c r="R65" s="182">
        <f>(SUM('1.  LRAMVA Summary'!L$22:L$30)+SUM('1.  LRAMVA Summary'!L$31:L$32)*(MONTH($E65)-1)/12)*$H65</f>
        <v>0</v>
      </c>
      <c r="S65" s="182">
        <f>(SUM('1.  LRAMVA Summary'!M$22:M$30)+SUM('1.  LRAMVA Summary'!M$31:M$32)*(MONTH($E65)-1)/12)*$H65</f>
        <v>1.0261084276800003</v>
      </c>
      <c r="T65" s="183">
        <f t="shared" si="29"/>
        <v>380.75689157833995</v>
      </c>
      <c r="U65" s="2"/>
      <c r="V65" s="2"/>
      <c r="W65" s="2"/>
      <c r="X65" s="2"/>
    </row>
    <row r="66" spans="1:24" s="3" customFormat="1" ht="12.75">
      <c r="B66" s="56"/>
      <c r="E66" s="180">
        <v>41791</v>
      </c>
      <c r="F66" s="180" t="s">
        <v>366</v>
      </c>
      <c r="G66" s="181" t="s">
        <v>90</v>
      </c>
      <c r="H66" s="470">
        <f t="shared" si="31"/>
        <v>1.225E-3</v>
      </c>
      <c r="I66" s="182">
        <f>(SUM('1.  LRAMVA Summary'!C$22:C$30)+SUM('1.  LRAMVA Summary'!C$31:C$32)*(MONTH($E66)-1)/12)*$H66</f>
        <v>140.09808010881451</v>
      </c>
      <c r="J66" s="182">
        <f>(SUM('1.  LRAMVA Summary'!D$22:D$30)+SUM('1.  LRAMVA Summary'!D$31:D$32)*(MONTH($E66)-1)/12)*$H66</f>
        <v>90.758050508913627</v>
      </c>
      <c r="K66" s="182">
        <f>(SUM('1.  LRAMVA Summary'!E$22:E$30)+SUM('1.  LRAMVA Summary'!E$31:E$32)*(MONTH($E66)-1)/12)*$H66</f>
        <v>98.02448414137065</v>
      </c>
      <c r="L66" s="182">
        <f>(SUM('1.  LRAMVA Summary'!F$22:F$30)+SUM('1.  LRAMVA Summary'!F$31:F$32)*(MONTH($E66)-1)/12)*$H66</f>
        <v>46.277790022592058</v>
      </c>
      <c r="M66" s="182">
        <f>(SUM('1.  LRAMVA Summary'!G$22:G$30)+SUM('1.  LRAMVA Summary'!G$31:G$32)*(MONTH($E66)-1)/12)*$H66</f>
        <v>0</v>
      </c>
      <c r="N66" s="182">
        <f>(SUM('1.  LRAMVA Summary'!H$22:H$30)+SUM('1.  LRAMVA Summary'!H$31:H$32)*(MONTH($E66)-1)/12)*$H66</f>
        <v>0.60029819960486808</v>
      </c>
      <c r="O66" s="182">
        <f>(SUM('1.  LRAMVA Summary'!I$22:I$30)+SUM('1.  LRAMVA Summary'!I$31:I$32)*(MONTH($E66)-1)/12)*$H66</f>
        <v>0</v>
      </c>
      <c r="P66" s="182">
        <f>(SUM('1.  LRAMVA Summary'!J$22:J$30)+SUM('1.  LRAMVA Summary'!J$31:J$32)*(MONTH($E66)-1)/12)*$H66</f>
        <v>8.4161630440647066</v>
      </c>
      <c r="Q66" s="182">
        <f>(SUM('1.  LRAMVA Summary'!K$22:K$30)+SUM('1.  LRAMVA Summary'!K$31:K$32)*(MONTH($E66)-1)/12)*$H66</f>
        <v>0</v>
      </c>
      <c r="R66" s="182">
        <f>(SUM('1.  LRAMVA Summary'!L$22:L$30)+SUM('1.  LRAMVA Summary'!L$31:L$32)*(MONTH($E66)-1)/12)*$H66</f>
        <v>0</v>
      </c>
      <c r="S66" s="182">
        <f>(SUM('1.  LRAMVA Summary'!M$22:M$30)+SUM('1.  LRAMVA Summary'!M$31:M$32)*(MONTH($E66)-1)/12)*$H66</f>
        <v>1.2826355346</v>
      </c>
      <c r="T66" s="183">
        <f t="shared" si="29"/>
        <v>385.45750155996041</v>
      </c>
    </row>
    <row r="67" spans="1:24" s="3" customFormat="1" ht="12.75">
      <c r="B67" s="56"/>
      <c r="E67" s="180">
        <v>41821</v>
      </c>
      <c r="F67" s="180" t="s">
        <v>366</v>
      </c>
      <c r="G67" s="181" t="s">
        <v>92</v>
      </c>
      <c r="H67" s="471">
        <f>C$30/12</f>
        <v>1.225E-3</v>
      </c>
      <c r="I67" s="182">
        <f>(SUM('1.  LRAMVA Summary'!C$22:C$30)+SUM('1.  LRAMVA Summary'!C$31:C$32)*(MONTH($E67)-1)/12)*$H67</f>
        <v>141.99849065263783</v>
      </c>
      <c r="J67" s="182">
        <f>(SUM('1.  LRAMVA Summary'!D$22:D$30)+SUM('1.  LRAMVA Summary'!D$31:D$32)*(MONTH($E67)-1)/12)*$H67</f>
        <v>89.430351744520621</v>
      </c>
      <c r="K67" s="182">
        <f>(SUM('1.  LRAMVA Summary'!E$22:E$30)+SUM('1.  LRAMVA Summary'!E$31:E$32)*(MONTH($E67)-1)/12)*$H67</f>
        <v>99.764719031270758</v>
      </c>
      <c r="L67" s="182">
        <f>(SUM('1.  LRAMVA Summary'!F$22:F$30)+SUM('1.  LRAMVA Summary'!F$31:F$32)*(MONTH($E67)-1)/12)*$H67</f>
        <v>47.219251245986904</v>
      </c>
      <c r="M67" s="182">
        <f>(SUM('1.  LRAMVA Summary'!G$22:G$30)+SUM('1.  LRAMVA Summary'!G$31:G$32)*(MONTH($E67)-1)/12)*$H67</f>
        <v>0</v>
      </c>
      <c r="N67" s="182">
        <f>(SUM('1.  LRAMVA Summary'!H$22:H$30)+SUM('1.  LRAMVA Summary'!H$31:H$32)*(MONTH($E67)-1)/12)*$H67</f>
        <v>0.64035175143379053</v>
      </c>
      <c r="O67" s="182">
        <f>(SUM('1.  LRAMVA Summary'!I$22:I$30)+SUM('1.  LRAMVA Summary'!I$31:I$32)*(MONTH($E67)-1)/12)*$H67</f>
        <v>0</v>
      </c>
      <c r="P67" s="182">
        <f>(SUM('1.  LRAMVA Summary'!J$22:J$30)+SUM('1.  LRAMVA Summary'!J$31:J$32)*(MONTH($E67)-1)/12)*$H67</f>
        <v>9.565784474211009</v>
      </c>
      <c r="Q67" s="182">
        <f>(SUM('1.  LRAMVA Summary'!K$22:K$30)+SUM('1.  LRAMVA Summary'!K$31:K$32)*(MONTH($E67)-1)/12)*$H67</f>
        <v>0</v>
      </c>
      <c r="R67" s="182">
        <f>(SUM('1.  LRAMVA Summary'!L$22:L$30)+SUM('1.  LRAMVA Summary'!L$31:L$32)*(MONTH($E67)-1)/12)*$H67</f>
        <v>0</v>
      </c>
      <c r="S67" s="182">
        <f>(SUM('1.  LRAMVA Summary'!M$22:M$30)+SUM('1.  LRAMVA Summary'!M$31:M$32)*(MONTH($E67)-1)/12)*$H67</f>
        <v>1.5391626415200004</v>
      </c>
      <c r="T67" s="183">
        <f t="shared" si="29"/>
        <v>390.15811154158098</v>
      </c>
    </row>
    <row r="68" spans="1:24" s="3" customFormat="1" ht="12.75">
      <c r="B68" s="56"/>
      <c r="E68" s="180">
        <v>41852</v>
      </c>
      <c r="F68" s="180" t="s">
        <v>366</v>
      </c>
      <c r="G68" s="181" t="s">
        <v>92</v>
      </c>
      <c r="H68" s="470">
        <f t="shared" ref="H68:H69" si="32">C$30/12</f>
        <v>1.225E-3</v>
      </c>
      <c r="I68" s="182">
        <f>(SUM('1.  LRAMVA Summary'!C$22:C$30)+SUM('1.  LRAMVA Summary'!C$31:C$32)*(MONTH($E68)-1)/12)*$H68</f>
        <v>143.89890119646114</v>
      </c>
      <c r="J68" s="182">
        <f>(SUM('1.  LRAMVA Summary'!D$22:D$30)+SUM('1.  LRAMVA Summary'!D$31:D$32)*(MONTH($E68)-1)/12)*$H68</f>
        <v>88.102652980127615</v>
      </c>
      <c r="K68" s="182">
        <f>(SUM('1.  LRAMVA Summary'!E$22:E$30)+SUM('1.  LRAMVA Summary'!E$31:E$32)*(MONTH($E68)-1)/12)*$H68</f>
        <v>101.50495392117087</v>
      </c>
      <c r="L68" s="182">
        <f>(SUM('1.  LRAMVA Summary'!F$22:F$30)+SUM('1.  LRAMVA Summary'!F$31:F$32)*(MONTH($E68)-1)/12)*$H68</f>
        <v>48.16071246938175</v>
      </c>
      <c r="M68" s="182">
        <f>(SUM('1.  LRAMVA Summary'!G$22:G$30)+SUM('1.  LRAMVA Summary'!G$31:G$32)*(MONTH($E68)-1)/12)*$H68</f>
        <v>0</v>
      </c>
      <c r="N68" s="182">
        <f>(SUM('1.  LRAMVA Summary'!H$22:H$30)+SUM('1.  LRAMVA Summary'!H$31:H$32)*(MONTH($E68)-1)/12)*$H68</f>
        <v>0.68040530326271276</v>
      </c>
      <c r="O68" s="182">
        <f>(SUM('1.  LRAMVA Summary'!I$22:I$30)+SUM('1.  LRAMVA Summary'!I$31:I$32)*(MONTH($E68)-1)/12)*$H68</f>
        <v>0</v>
      </c>
      <c r="P68" s="182">
        <f>(SUM('1.  LRAMVA Summary'!J$22:J$30)+SUM('1.  LRAMVA Summary'!J$31:J$32)*(MONTH($E68)-1)/12)*$H68</f>
        <v>10.715405904357311</v>
      </c>
      <c r="Q68" s="182">
        <f>(SUM('1.  LRAMVA Summary'!K$22:K$30)+SUM('1.  LRAMVA Summary'!K$31:K$32)*(MONTH($E68)-1)/12)*$H68</f>
        <v>0</v>
      </c>
      <c r="R68" s="182">
        <f>(SUM('1.  LRAMVA Summary'!L$22:L$30)+SUM('1.  LRAMVA Summary'!L$31:L$32)*(MONTH($E68)-1)/12)*$H68</f>
        <v>0</v>
      </c>
      <c r="S68" s="182">
        <f>(SUM('1.  LRAMVA Summary'!M$22:M$30)+SUM('1.  LRAMVA Summary'!M$31:M$32)*(MONTH($E68)-1)/12)*$H68</f>
        <v>1.7956897484400005</v>
      </c>
      <c r="T68" s="183">
        <f t="shared" si="29"/>
        <v>394.85872152320138</v>
      </c>
    </row>
    <row r="69" spans="1:24" s="3" customFormat="1" ht="12.75">
      <c r="B69" s="56"/>
      <c r="E69" s="180">
        <v>41883</v>
      </c>
      <c r="F69" s="180" t="s">
        <v>366</v>
      </c>
      <c r="G69" s="181" t="s">
        <v>92</v>
      </c>
      <c r="H69" s="470">
        <f t="shared" si="32"/>
        <v>1.225E-3</v>
      </c>
      <c r="I69" s="182">
        <f>(SUM('1.  LRAMVA Summary'!C$22:C$30)+SUM('1.  LRAMVA Summary'!C$31:C$32)*(MONTH($E69)-1)/12)*$H69</f>
        <v>145.79931174028445</v>
      </c>
      <c r="J69" s="182">
        <f>(SUM('1.  LRAMVA Summary'!D$22:D$30)+SUM('1.  LRAMVA Summary'!D$31:D$32)*(MONTH($E69)-1)/12)*$H69</f>
        <v>86.774954215734596</v>
      </c>
      <c r="K69" s="182">
        <f>(SUM('1.  LRAMVA Summary'!E$22:E$30)+SUM('1.  LRAMVA Summary'!E$31:E$32)*(MONTH($E69)-1)/12)*$H69</f>
        <v>103.24518881107096</v>
      </c>
      <c r="L69" s="182">
        <f>(SUM('1.  LRAMVA Summary'!F$22:F$30)+SUM('1.  LRAMVA Summary'!F$31:F$32)*(MONTH($E69)-1)/12)*$H69</f>
        <v>49.102173692776603</v>
      </c>
      <c r="M69" s="182">
        <f>(SUM('1.  LRAMVA Summary'!G$22:G$30)+SUM('1.  LRAMVA Summary'!G$31:G$32)*(MONTH($E69)-1)/12)*$H69</f>
        <v>0</v>
      </c>
      <c r="N69" s="182">
        <f>(SUM('1.  LRAMVA Summary'!H$22:H$30)+SUM('1.  LRAMVA Summary'!H$31:H$32)*(MONTH($E69)-1)/12)*$H69</f>
        <v>0.7204588550916351</v>
      </c>
      <c r="O69" s="182">
        <f>(SUM('1.  LRAMVA Summary'!I$22:I$30)+SUM('1.  LRAMVA Summary'!I$31:I$32)*(MONTH($E69)-1)/12)*$H69</f>
        <v>0</v>
      </c>
      <c r="P69" s="182">
        <f>(SUM('1.  LRAMVA Summary'!J$22:J$30)+SUM('1.  LRAMVA Summary'!J$31:J$32)*(MONTH($E69)-1)/12)*$H69</f>
        <v>11.865027334503614</v>
      </c>
      <c r="Q69" s="182">
        <f>(SUM('1.  LRAMVA Summary'!K$22:K$30)+SUM('1.  LRAMVA Summary'!K$31:K$32)*(MONTH($E69)-1)/12)*$H69</f>
        <v>0</v>
      </c>
      <c r="R69" s="182">
        <f>(SUM('1.  LRAMVA Summary'!L$22:L$30)+SUM('1.  LRAMVA Summary'!L$31:L$32)*(MONTH($E69)-1)/12)*$H69</f>
        <v>0</v>
      </c>
      <c r="S69" s="182">
        <f>(SUM('1.  LRAMVA Summary'!M$22:M$30)+SUM('1.  LRAMVA Summary'!M$31:M$32)*(MONTH($E69)-1)/12)*$H69</f>
        <v>2.0522168553600006</v>
      </c>
      <c r="T69" s="183">
        <f t="shared" si="29"/>
        <v>399.55933150482184</v>
      </c>
    </row>
    <row r="70" spans="1:24" s="3" customFormat="1" ht="12.75">
      <c r="B70" s="56"/>
      <c r="E70" s="180">
        <v>41913</v>
      </c>
      <c r="F70" s="180" t="s">
        <v>366</v>
      </c>
      <c r="G70" s="181" t="s">
        <v>93</v>
      </c>
      <c r="H70" s="471">
        <f>C$31/12</f>
        <v>1.225E-3</v>
      </c>
      <c r="I70" s="182">
        <f>(SUM('1.  LRAMVA Summary'!C$22:C$30)+SUM('1.  LRAMVA Summary'!C$31:C$32)*(MONTH($E70)-1)/12)*$H70</f>
        <v>147.69972228410776</v>
      </c>
      <c r="J70" s="182">
        <f>(SUM('1.  LRAMVA Summary'!D$22:D$30)+SUM('1.  LRAMVA Summary'!D$31:D$32)*(MONTH($E70)-1)/12)*$H70</f>
        <v>85.447255451341576</v>
      </c>
      <c r="K70" s="182">
        <f>(SUM('1.  LRAMVA Summary'!E$22:E$30)+SUM('1.  LRAMVA Summary'!E$31:E$32)*(MONTH($E70)-1)/12)*$H70</f>
        <v>104.98542370097108</v>
      </c>
      <c r="L70" s="182">
        <f>(SUM('1.  LRAMVA Summary'!F$22:F$30)+SUM('1.  LRAMVA Summary'!F$31:F$32)*(MONTH($E70)-1)/12)*$H70</f>
        <v>50.043634916171449</v>
      </c>
      <c r="M70" s="182">
        <f>(SUM('1.  LRAMVA Summary'!G$22:G$30)+SUM('1.  LRAMVA Summary'!G$31:G$32)*(MONTH($E70)-1)/12)*$H70</f>
        <v>0</v>
      </c>
      <c r="N70" s="182">
        <f>(SUM('1.  LRAMVA Summary'!H$22:H$30)+SUM('1.  LRAMVA Summary'!H$31:H$32)*(MONTH($E70)-1)/12)*$H70</f>
        <v>0.76051240692055722</v>
      </c>
      <c r="O70" s="182">
        <f>(SUM('1.  LRAMVA Summary'!I$22:I$30)+SUM('1.  LRAMVA Summary'!I$31:I$32)*(MONTH($E70)-1)/12)*$H70</f>
        <v>0</v>
      </c>
      <c r="P70" s="182">
        <f>(SUM('1.  LRAMVA Summary'!J$22:J$30)+SUM('1.  LRAMVA Summary'!J$31:J$32)*(MONTH($E70)-1)/12)*$H70</f>
        <v>13.014648764649916</v>
      </c>
      <c r="Q70" s="182">
        <f>(SUM('1.  LRAMVA Summary'!K$22:K$30)+SUM('1.  LRAMVA Summary'!K$31:K$32)*(MONTH($E70)-1)/12)*$H70</f>
        <v>0</v>
      </c>
      <c r="R70" s="182">
        <f>(SUM('1.  LRAMVA Summary'!L$22:L$30)+SUM('1.  LRAMVA Summary'!L$31:L$32)*(MONTH($E70)-1)/12)*$H70</f>
        <v>0</v>
      </c>
      <c r="S70" s="182">
        <f>(SUM('1.  LRAMVA Summary'!M$22:M$30)+SUM('1.  LRAMVA Summary'!M$31:M$32)*(MONTH($E70)-1)/12)*$H70</f>
        <v>2.3087439622800003</v>
      </c>
      <c r="T70" s="183">
        <f t="shared" si="29"/>
        <v>404.25994148644236</v>
      </c>
    </row>
    <row r="71" spans="1:24" s="3" customFormat="1" ht="12.75">
      <c r="B71" s="56"/>
      <c r="E71" s="180">
        <v>41944</v>
      </c>
      <c r="F71" s="180" t="s">
        <v>366</v>
      </c>
      <c r="G71" s="181" t="s">
        <v>93</v>
      </c>
      <c r="H71" s="470">
        <f t="shared" ref="H71:H72" si="33">C$31/12</f>
        <v>1.225E-3</v>
      </c>
      <c r="I71" s="182">
        <f>(SUM('1.  LRAMVA Summary'!C$22:C$30)+SUM('1.  LRAMVA Summary'!C$31:C$32)*(MONTH($E71)-1)/12)*$H71</f>
        <v>149.60013282793108</v>
      </c>
      <c r="J71" s="182">
        <f>(SUM('1.  LRAMVA Summary'!D$22:D$30)+SUM('1.  LRAMVA Summary'!D$31:D$32)*(MONTH($E71)-1)/12)*$H71</f>
        <v>84.119556686948584</v>
      </c>
      <c r="K71" s="182">
        <f>(SUM('1.  LRAMVA Summary'!E$22:E$30)+SUM('1.  LRAMVA Summary'!E$31:E$32)*(MONTH($E71)-1)/12)*$H71</f>
        <v>106.72565859087119</v>
      </c>
      <c r="L71" s="182">
        <f>(SUM('1.  LRAMVA Summary'!F$22:F$30)+SUM('1.  LRAMVA Summary'!F$31:F$32)*(MONTH($E71)-1)/12)*$H71</f>
        <v>50.985096139566295</v>
      </c>
      <c r="M71" s="182">
        <f>(SUM('1.  LRAMVA Summary'!G$22:G$30)+SUM('1.  LRAMVA Summary'!G$31:G$32)*(MONTH($E71)-1)/12)*$H71</f>
        <v>0</v>
      </c>
      <c r="N71" s="182">
        <f>(SUM('1.  LRAMVA Summary'!H$22:H$30)+SUM('1.  LRAMVA Summary'!H$31:H$32)*(MONTH($E71)-1)/12)*$H71</f>
        <v>0.80056595874947967</v>
      </c>
      <c r="O71" s="182">
        <f>(SUM('1.  LRAMVA Summary'!I$22:I$30)+SUM('1.  LRAMVA Summary'!I$31:I$32)*(MONTH($E71)-1)/12)*$H71</f>
        <v>0</v>
      </c>
      <c r="P71" s="182">
        <f>(SUM('1.  LRAMVA Summary'!J$22:J$30)+SUM('1.  LRAMVA Summary'!J$31:J$32)*(MONTH($E71)-1)/12)*$H71</f>
        <v>14.164270194796218</v>
      </c>
      <c r="Q71" s="182">
        <f>(SUM('1.  LRAMVA Summary'!K$22:K$30)+SUM('1.  LRAMVA Summary'!K$31:K$32)*(MONTH($E71)-1)/12)*$H71</f>
        <v>0</v>
      </c>
      <c r="R71" s="182">
        <f>(SUM('1.  LRAMVA Summary'!L$22:L$30)+SUM('1.  LRAMVA Summary'!L$31:L$32)*(MONTH($E71)-1)/12)*$H71</f>
        <v>0</v>
      </c>
      <c r="S71" s="182">
        <f>(SUM('1.  LRAMVA Summary'!M$22:M$30)+SUM('1.  LRAMVA Summary'!M$31:M$32)*(MONTH($E71)-1)/12)*$H71</f>
        <v>2.5652710692</v>
      </c>
      <c r="T71" s="183">
        <f t="shared" si="29"/>
        <v>408.96055146806282</v>
      </c>
    </row>
    <row r="72" spans="1:24" s="3" customFormat="1" ht="12.75">
      <c r="B72" s="56"/>
      <c r="E72" s="180">
        <v>41974</v>
      </c>
      <c r="F72" s="180" t="s">
        <v>366</v>
      </c>
      <c r="G72" s="181" t="s">
        <v>93</v>
      </c>
      <c r="H72" s="470">
        <f t="shared" si="33"/>
        <v>1.225E-3</v>
      </c>
      <c r="I72" s="182">
        <f>(SUM('1.  LRAMVA Summary'!C$22:C$30)+SUM('1.  LRAMVA Summary'!C$31:C$32)*(MONTH($E72)-1)/12)*$H72</f>
        <v>151.50054337175439</v>
      </c>
      <c r="J72" s="182">
        <f>(SUM('1.  LRAMVA Summary'!D$22:D$30)+SUM('1.  LRAMVA Summary'!D$31:D$32)*(MONTH($E72)-1)/12)*$H72</f>
        <v>82.791857922555579</v>
      </c>
      <c r="K72" s="182">
        <f>(SUM('1.  LRAMVA Summary'!E$22:E$30)+SUM('1.  LRAMVA Summary'!E$31:E$32)*(MONTH($E72)-1)/12)*$H72</f>
        <v>108.46589348077129</v>
      </c>
      <c r="L72" s="182">
        <f>(SUM('1.  LRAMVA Summary'!F$22:F$30)+SUM('1.  LRAMVA Summary'!F$31:F$32)*(MONTH($E72)-1)/12)*$H72</f>
        <v>51.926557362961155</v>
      </c>
      <c r="M72" s="182">
        <f>(SUM('1.  LRAMVA Summary'!G$22:G$30)+SUM('1.  LRAMVA Summary'!G$31:G$32)*(MONTH($E72)-1)/12)*$H72</f>
        <v>0</v>
      </c>
      <c r="N72" s="182">
        <f>(SUM('1.  LRAMVA Summary'!H$22:H$30)+SUM('1.  LRAMVA Summary'!H$31:H$32)*(MONTH($E72)-1)/12)*$H72</f>
        <v>0.84061951057840201</v>
      </c>
      <c r="O72" s="182">
        <f>(SUM('1.  LRAMVA Summary'!I$22:I$30)+SUM('1.  LRAMVA Summary'!I$31:I$32)*(MONTH($E72)-1)/12)*$H72</f>
        <v>0</v>
      </c>
      <c r="P72" s="182">
        <f>(SUM('1.  LRAMVA Summary'!J$22:J$30)+SUM('1.  LRAMVA Summary'!J$31:J$32)*(MONTH($E72)-1)/12)*$H72</f>
        <v>15.313891624942521</v>
      </c>
      <c r="Q72" s="182">
        <f>(SUM('1.  LRAMVA Summary'!K$22:K$30)+SUM('1.  LRAMVA Summary'!K$31:K$32)*(MONTH($E72)-1)/12)*$H72</f>
        <v>0</v>
      </c>
      <c r="R72" s="182">
        <f>(SUM('1.  LRAMVA Summary'!L$22:L$30)+SUM('1.  LRAMVA Summary'!L$31:L$32)*(MONTH($E72)-1)/12)*$H72</f>
        <v>0</v>
      </c>
      <c r="S72" s="182">
        <f>(SUM('1.  LRAMVA Summary'!M$22:M$30)+SUM('1.  LRAMVA Summary'!M$31:M$32)*(MONTH($E72)-1)/12)*$H72</f>
        <v>2.8217981761200006</v>
      </c>
      <c r="T72" s="183">
        <f t="shared" si="29"/>
        <v>413.66116144968333</v>
      </c>
    </row>
    <row r="73" spans="1:24" s="3" customFormat="1" ht="13.5" thickBot="1">
      <c r="B73" s="56"/>
      <c r="E73" s="192" t="s">
        <v>392</v>
      </c>
      <c r="F73" s="192"/>
      <c r="G73" s="193"/>
      <c r="H73" s="467"/>
      <c r="I73" s="194">
        <f>SUM(I60:I72)</f>
        <v>2410.8575752120528</v>
      </c>
      <c r="J73" s="194">
        <f t="shared" ref="J73" si="34">SUM(J60:J72)</f>
        <v>1616.8114073404383</v>
      </c>
      <c r="K73" s="194">
        <f t="shared" ref="K73" si="35">SUM(K60:K72)</f>
        <v>1678.0134223411342</v>
      </c>
      <c r="L73" s="194">
        <f t="shared" ref="L73" si="36">SUM(L60:L72)</f>
        <v>789.61990909237159</v>
      </c>
      <c r="M73" s="194">
        <f t="shared" ref="M73" si="37">SUM(M60:M72)</f>
        <v>0</v>
      </c>
      <c r="N73" s="194">
        <f t="shared" ref="N73" si="38">SUM(N60:N72)</f>
        <v>9.6440671287633641</v>
      </c>
      <c r="O73" s="194">
        <f t="shared" ref="O73:P73" si="39">SUM(O60:O72)</f>
        <v>0</v>
      </c>
      <c r="P73" s="194">
        <f t="shared" si="39"/>
        <v>122.56599252298687</v>
      </c>
      <c r="Q73" s="194">
        <f t="shared" ref="Q73:S73" si="40">SUM(Q60:Q72)</f>
        <v>0</v>
      </c>
      <c r="R73" s="194">
        <f t="shared" si="40"/>
        <v>0</v>
      </c>
      <c r="S73" s="194">
        <f t="shared" si="40"/>
        <v>16.930789056720002</v>
      </c>
      <c r="T73" s="194">
        <f>SUM(T60:T72)</f>
        <v>6644.4431626944679</v>
      </c>
    </row>
    <row r="74" spans="1:24" s="3" customFormat="1" ht="13.5" thickTop="1">
      <c r="B74" s="56"/>
      <c r="E74" s="223" t="s">
        <v>91</v>
      </c>
      <c r="F74" s="223"/>
      <c r="G74" s="224"/>
      <c r="H74" s="468"/>
      <c r="I74" s="225"/>
      <c r="J74" s="225"/>
      <c r="K74" s="225"/>
      <c r="L74" s="225"/>
      <c r="M74" s="225"/>
      <c r="N74" s="225"/>
      <c r="O74" s="225"/>
      <c r="P74" s="225"/>
      <c r="Q74" s="225"/>
      <c r="R74" s="225"/>
      <c r="S74" s="225"/>
      <c r="T74" s="226"/>
    </row>
    <row r="75" spans="1:24" s="3" customFormat="1" ht="12.75">
      <c r="B75" s="56"/>
      <c r="E75" s="189" t="s">
        <v>387</v>
      </c>
      <c r="F75" s="189"/>
      <c r="G75" s="190"/>
      <c r="H75" s="469"/>
      <c r="I75" s="191">
        <f t="shared" ref="I75:T75" si="41">I73+I74</f>
        <v>2410.8575752120528</v>
      </c>
      <c r="J75" s="191">
        <f t="shared" si="41"/>
        <v>1616.8114073404383</v>
      </c>
      <c r="K75" s="191">
        <f t="shared" si="41"/>
        <v>1678.0134223411342</v>
      </c>
      <c r="L75" s="191">
        <f t="shared" si="41"/>
        <v>789.61990909237159</v>
      </c>
      <c r="M75" s="191">
        <f t="shared" si="41"/>
        <v>0</v>
      </c>
      <c r="N75" s="191">
        <f t="shared" si="41"/>
        <v>9.6440671287633641</v>
      </c>
      <c r="O75" s="191">
        <f t="shared" si="41"/>
        <v>0</v>
      </c>
      <c r="P75" s="191">
        <f t="shared" ref="P75" si="42">P73+P74</f>
        <v>122.56599252298687</v>
      </c>
      <c r="Q75" s="191">
        <f t="shared" ref="Q75:S75" si="43">Q73+Q74</f>
        <v>0</v>
      </c>
      <c r="R75" s="191">
        <f t="shared" si="43"/>
        <v>0</v>
      </c>
      <c r="S75" s="191">
        <f t="shared" si="43"/>
        <v>16.930789056720002</v>
      </c>
      <c r="T75" s="191">
        <f t="shared" si="41"/>
        <v>6644.4431626944679</v>
      </c>
    </row>
    <row r="76" spans="1:24" s="3" customFormat="1" ht="12.75">
      <c r="B76" s="56"/>
      <c r="E76" s="180">
        <v>42005</v>
      </c>
      <c r="F76" s="180" t="s">
        <v>367</v>
      </c>
      <c r="G76" s="181" t="s">
        <v>89</v>
      </c>
      <c r="H76" s="470">
        <f>C$32/12</f>
        <v>1.225E-3</v>
      </c>
      <c r="I76" s="182">
        <f>(SUM('1.  LRAMVA Summary'!C$22:C$33)+SUM('1.  LRAMVA Summary'!C$34:C$35)*(MONTH($E76)-1)/12)*$H76</f>
        <v>153.4009539155777</v>
      </c>
      <c r="J76" s="182">
        <f>(SUM('1.  LRAMVA Summary'!D$22:D$33)+SUM('1.  LRAMVA Summary'!D$34:D$35)*(MONTH($E76)-1)/12)*$H76</f>
        <v>81.464159158162559</v>
      </c>
      <c r="K76" s="182">
        <f>(SUM('1.  LRAMVA Summary'!E$22:E$33)+SUM('1.  LRAMVA Summary'!E$34:E$35)*(MONTH($E76)-1)/12)*$H76</f>
        <v>110.20612837067141</v>
      </c>
      <c r="L76" s="182">
        <f>(SUM('1.  LRAMVA Summary'!F$22:F$33)+SUM('1.  LRAMVA Summary'!F$34:F$35)*(MONTH($E76)-1)/12)*$H76</f>
        <v>52.868018586356001</v>
      </c>
      <c r="M76" s="182">
        <f>(SUM('1.  LRAMVA Summary'!G$22:G$33)+SUM('1.  LRAMVA Summary'!G$34:G$35)*(MONTH($E76)-1)/12)*$H76</f>
        <v>0</v>
      </c>
      <c r="N76" s="182">
        <f>(SUM('1.  LRAMVA Summary'!H$22:H$33)+SUM('1.  LRAMVA Summary'!H$34:H$35)*(MONTH($E76)-1)/12)*$H76</f>
        <v>0.88067306240732424</v>
      </c>
      <c r="O76" s="182">
        <f>(SUM('1.  LRAMVA Summary'!I$22:I$33)+SUM('1.  LRAMVA Summary'!I$34:I$35)*(MONTH($E76)-1)/12)*$H76</f>
        <v>0</v>
      </c>
      <c r="P76" s="182">
        <f>(SUM('1.  LRAMVA Summary'!J$22:J$33)+SUM('1.  LRAMVA Summary'!J$34:J$35)*(MONTH($E76)-1)/12)*$H76</f>
        <v>16.463513055088821</v>
      </c>
      <c r="Q76" s="182">
        <f>(SUM('1.  LRAMVA Summary'!K$22:K$33)+SUM('1.  LRAMVA Summary'!K$34:K$35)*(MONTH($E76)-1)/12)*$H76</f>
        <v>0</v>
      </c>
      <c r="R76" s="182">
        <f>(SUM('1.  LRAMVA Summary'!L$22:L$33)+SUM('1.  LRAMVA Summary'!L$34:L$35)*(MONTH($E76)-1)/12)*$H76</f>
        <v>0</v>
      </c>
      <c r="S76" s="182">
        <f>(SUM('1.  LRAMVA Summary'!M$22:M$33)+SUM('1.  LRAMVA Summary'!M$34:M$35)*(MONTH($E76)-1)/12)*$H76</f>
        <v>3.0783252830400007</v>
      </c>
      <c r="T76" s="183">
        <f t="shared" ref="T76:T87" si="44">SUM(I76:S76)</f>
        <v>418.36177143130379</v>
      </c>
    </row>
    <row r="77" spans="1:24" s="15" customFormat="1" ht="12.75">
      <c r="B77" s="214"/>
      <c r="E77" s="180">
        <v>42036</v>
      </c>
      <c r="F77" s="180" t="s">
        <v>367</v>
      </c>
      <c r="G77" s="181" t="s">
        <v>89</v>
      </c>
      <c r="H77" s="470">
        <v>1.225E-3</v>
      </c>
      <c r="I77" s="182">
        <f>(SUM('1.  LRAMVA Summary'!C$22:C$33)+SUM('1.  LRAMVA Summary'!C$34:C$35)*(MONTH($E77)-1)/12)*$H77</f>
        <v>163.18841716527405</v>
      </c>
      <c r="J77" s="182">
        <f>(SUM('1.  LRAMVA Summary'!D$22:D$33)+SUM('1.  LRAMVA Summary'!D$34:D$35)*(MONTH($E77)-1)/12)*$H77</f>
        <v>81.80993565190029</v>
      </c>
      <c r="K77" s="182">
        <f>(SUM('1.  LRAMVA Summary'!E$22:E$33)+SUM('1.  LRAMVA Summary'!E$34:E$35)*(MONTH($E77)-1)/12)*$H77</f>
        <v>114.64894261129676</v>
      </c>
      <c r="L77" s="182">
        <f>(SUM('1.  LRAMVA Summary'!F$22:F$33)+SUM('1.  LRAMVA Summary'!F$34:F$35)*(MONTH($E77)-1)/12)*$H77</f>
        <v>55.410883254359575</v>
      </c>
      <c r="M77" s="182">
        <f>(SUM('1.  LRAMVA Summary'!G$22:G$33)+SUM('1.  LRAMVA Summary'!G$34:G$35)*(MONTH($E77)-1)/12)*$H77</f>
        <v>0</v>
      </c>
      <c r="N77" s="182">
        <f>(SUM('1.  LRAMVA Summary'!H$22:H$33)+SUM('1.  LRAMVA Summary'!H$34:H$35)*(MONTH($E77)-1)/12)*$H77</f>
        <v>0.93876959944874128</v>
      </c>
      <c r="O77" s="182">
        <f>(SUM('1.  LRAMVA Summary'!I$22:I$33)+SUM('1.  LRAMVA Summary'!I$34:I$35)*(MONTH($E77)-1)/12)*$H77</f>
        <v>0</v>
      </c>
      <c r="P77" s="182">
        <f>(SUM('1.  LRAMVA Summary'!J$22:J$33)+SUM('1.  LRAMVA Summary'!J$34:J$35)*(MONTH($E77)-1)/12)*$H77</f>
        <v>19.310923724896739</v>
      </c>
      <c r="Q77" s="182">
        <f>(SUM('1.  LRAMVA Summary'!K$22:K$33)+SUM('1.  LRAMVA Summary'!K$34:K$35)*(MONTH($E77)-1)/12)*$H77</f>
        <v>1.6803384250829033E-3</v>
      </c>
      <c r="R77" s="182">
        <f>(SUM('1.  LRAMVA Summary'!L$22:L$33)+SUM('1.  LRAMVA Summary'!L$34:L$35)*(MONTH($E77)-1)/12)*$H77</f>
        <v>0</v>
      </c>
      <c r="S77" s="182">
        <f>(SUM('1.  LRAMVA Summary'!M$22:M$33)+SUM('1.  LRAMVA Summary'!M$34:M$35)*(MONTH($E77)-1)/12)*$H77</f>
        <v>3.4654197582900008</v>
      </c>
      <c r="T77" s="183">
        <f t="shared" si="44"/>
        <v>438.77497210389129</v>
      </c>
    </row>
    <row r="78" spans="1:24" s="3" customFormat="1" ht="12.75">
      <c r="B78" s="56"/>
      <c r="E78" s="180">
        <v>42064</v>
      </c>
      <c r="F78" s="180" t="s">
        <v>367</v>
      </c>
      <c r="G78" s="181" t="s">
        <v>89</v>
      </c>
      <c r="H78" s="470">
        <v>1.225E-3</v>
      </c>
      <c r="I78" s="182">
        <f>(SUM('1.  LRAMVA Summary'!C$22:C$33)+SUM('1.  LRAMVA Summary'!C$34:C$35)*(MONTH($E78)-1)/12)*$H78</f>
        <v>172.97588041497042</v>
      </c>
      <c r="J78" s="182">
        <f>(SUM('1.  LRAMVA Summary'!D$22:D$33)+SUM('1.  LRAMVA Summary'!D$34:D$35)*(MONTH($E78)-1)/12)*$H78</f>
        <v>82.155712145638006</v>
      </c>
      <c r="K78" s="182">
        <f>(SUM('1.  LRAMVA Summary'!E$22:E$33)+SUM('1.  LRAMVA Summary'!E$34:E$35)*(MONTH($E78)-1)/12)*$H78</f>
        <v>119.09175685192211</v>
      </c>
      <c r="L78" s="182">
        <f>(SUM('1.  LRAMVA Summary'!F$22:F$33)+SUM('1.  LRAMVA Summary'!F$34:F$35)*(MONTH($E78)-1)/12)*$H78</f>
        <v>57.953747922363149</v>
      </c>
      <c r="M78" s="182">
        <f>(SUM('1.  LRAMVA Summary'!G$22:G$33)+SUM('1.  LRAMVA Summary'!G$34:G$35)*(MONTH($E78)-1)/12)*$H78</f>
        <v>0</v>
      </c>
      <c r="N78" s="182">
        <f>(SUM('1.  LRAMVA Summary'!H$22:H$33)+SUM('1.  LRAMVA Summary'!H$34:H$35)*(MONTH($E78)-1)/12)*$H78</f>
        <v>0.99686613649015821</v>
      </c>
      <c r="O78" s="182">
        <f>(SUM('1.  LRAMVA Summary'!I$22:I$33)+SUM('1.  LRAMVA Summary'!I$34:I$35)*(MONTH($E78)-1)/12)*$H78</f>
        <v>0</v>
      </c>
      <c r="P78" s="182">
        <f>(SUM('1.  LRAMVA Summary'!J$22:J$33)+SUM('1.  LRAMVA Summary'!J$34:J$35)*(MONTH($E78)-1)/12)*$H78</f>
        <v>22.158334394704656</v>
      </c>
      <c r="Q78" s="182">
        <f>(SUM('1.  LRAMVA Summary'!K$22:K$33)+SUM('1.  LRAMVA Summary'!K$34:K$35)*(MONTH($E78)-1)/12)*$H78</f>
        <v>3.3606768501658066E-3</v>
      </c>
      <c r="R78" s="182">
        <f>(SUM('1.  LRAMVA Summary'!L$22:L$33)+SUM('1.  LRAMVA Summary'!L$34:L$35)*(MONTH($E78)-1)/12)*$H78</f>
        <v>0</v>
      </c>
      <c r="S78" s="182">
        <f>(SUM('1.  LRAMVA Summary'!M$22:M$33)+SUM('1.  LRAMVA Summary'!M$34:M$35)*(MONTH($E78)-1)/12)*$H78</f>
        <v>3.8525142335400004</v>
      </c>
      <c r="T78" s="183">
        <f t="shared" si="44"/>
        <v>459.18817277647861</v>
      </c>
    </row>
    <row r="79" spans="1:24" s="3" customFormat="1" ht="12.75">
      <c r="B79" s="56"/>
      <c r="E79" s="180">
        <v>42095</v>
      </c>
      <c r="F79" s="180" t="s">
        <v>367</v>
      </c>
      <c r="G79" s="181" t="s">
        <v>90</v>
      </c>
      <c r="H79" s="470">
        <f>C$33/12</f>
        <v>9.1666666666666665E-4</v>
      </c>
      <c r="I79" s="182">
        <f>(SUM('1.  LRAMVA Summary'!C$22:C$33)+SUM('1.  LRAMVA Summary'!C$34:C$35)*(MONTH($E79)-1)/12)*$H79</f>
        <v>136.76168573546497</v>
      </c>
      <c r="J79" s="182">
        <f>(SUM('1.  LRAMVA Summary'!D$22:D$33)+SUM('1.  LRAMVA Summary'!D$34:D$35)*(MONTH($E79)-1)/12)*$H79</f>
        <v>61.735807825383198</v>
      </c>
      <c r="K79" s="182">
        <f>(SUM('1.  LRAMVA Summary'!E$22:E$33)+SUM('1.  LRAMVA Summary'!E$34:E$35)*(MONTH($E79)-1)/12)*$H79</f>
        <v>92.44083551143008</v>
      </c>
      <c r="L79" s="182">
        <f>(SUM('1.  LRAMVA Summary'!F$22:F$33)+SUM('1.  LRAMVA Summary'!F$34:F$35)*(MONTH($E79)-1)/12)*$H79</f>
        <v>45.269574047213204</v>
      </c>
      <c r="M79" s="182">
        <f>(SUM('1.  LRAMVA Summary'!G$22:G$33)+SUM('1.  LRAMVA Summary'!G$34:G$35)*(MONTH($E79)-1)/12)*$H79</f>
        <v>0</v>
      </c>
      <c r="N79" s="182">
        <f>(SUM('1.  LRAMVA Summary'!H$22:H$33)+SUM('1.  LRAMVA Summary'!H$34:H$35)*(MONTH($E79)-1)/12)*$H79</f>
        <v>0.78942785094199519</v>
      </c>
      <c r="O79" s="182">
        <f>(SUM('1.  LRAMVA Summary'!I$22:I$33)+SUM('1.  LRAMVA Summary'!I$34:I$35)*(MONTH($E79)-1)/12)*$H79</f>
        <v>0</v>
      </c>
      <c r="P79" s="182">
        <f>(SUM('1.  LRAMVA Summary'!J$22:J$33)+SUM('1.  LRAMVA Summary'!J$34:J$35)*(MONTH($E79)-1)/12)*$H79</f>
        <v>18.711782021063833</v>
      </c>
      <c r="Q79" s="182">
        <f>(SUM('1.  LRAMVA Summary'!K$22:K$33)+SUM('1.  LRAMVA Summary'!K$34:K$35)*(MONTH($E79)-1)/12)*$H79</f>
        <v>3.7721883012065177E-3</v>
      </c>
      <c r="R79" s="182">
        <f>(SUM('1.  LRAMVA Summary'!L$22:L$33)+SUM('1.  LRAMVA Summary'!L$34:L$35)*(MONTH($E79)-1)/12)*$H79</f>
        <v>0</v>
      </c>
      <c r="S79" s="182">
        <f>(SUM('1.  LRAMVA Summary'!M$22:M$33)+SUM('1.  LRAMVA Summary'!M$34:M$35)*(MONTH($E79)-1)/12)*$H79</f>
        <v>3.1724963127000008</v>
      </c>
      <c r="T79" s="183">
        <f t="shared" si="44"/>
        <v>358.88538149249842</v>
      </c>
    </row>
    <row r="80" spans="1:24" s="3" customFormat="1" ht="12.75">
      <c r="B80" s="56"/>
      <c r="E80" s="180">
        <v>42125</v>
      </c>
      <c r="F80" s="180" t="s">
        <v>367</v>
      </c>
      <c r="G80" s="181" t="s">
        <v>90</v>
      </c>
      <c r="H80" s="470">
        <v>9.1666666666666665E-4</v>
      </c>
      <c r="I80" s="182">
        <f>(SUM('1.  LRAMVA Summary'!C$22:C$33)+SUM('1.  LRAMVA Summary'!C$34:C$35)*(MONTH($E80)-1)/12)*$H80</f>
        <v>144.08563782707449</v>
      </c>
      <c r="J80" s="182">
        <f>(SUM('1.  LRAMVA Summary'!D$22:D$33)+SUM('1.  LRAMVA Summary'!D$34:D$35)*(MONTH($E80)-1)/12)*$H80</f>
        <v>61.994552140425043</v>
      </c>
      <c r="K80" s="182">
        <f>(SUM('1.  LRAMVA Summary'!E$22:E$33)+SUM('1.  LRAMVA Summary'!E$34:E$35)*(MONTH($E80)-1)/12)*$H80</f>
        <v>95.765390385367425</v>
      </c>
      <c r="L80" s="182">
        <f>(SUM('1.  LRAMVA Summary'!F$22:F$33)+SUM('1.  LRAMVA Summary'!F$34:F$35)*(MONTH($E80)-1)/12)*$H80</f>
        <v>47.17239794844037</v>
      </c>
      <c r="M80" s="182">
        <f>(SUM('1.  LRAMVA Summary'!G$22:G$33)+SUM('1.  LRAMVA Summary'!G$34:G$35)*(MONTH($E80)-1)/12)*$H80</f>
        <v>0</v>
      </c>
      <c r="N80" s="182">
        <f>(SUM('1.  LRAMVA Summary'!H$22:H$33)+SUM('1.  LRAMVA Summary'!H$34:H$35)*(MONTH($E80)-1)/12)*$H80</f>
        <v>0.83290145008863381</v>
      </c>
      <c r="O80" s="182">
        <f>(SUM('1.  LRAMVA Summary'!I$22:I$33)+SUM('1.  LRAMVA Summary'!I$34:I$35)*(MONTH($E80)-1)/12)*$H80</f>
        <v>0</v>
      </c>
      <c r="P80" s="182">
        <f>(SUM('1.  LRAMVA Summary'!J$22:J$33)+SUM('1.  LRAMVA Summary'!J$34:J$35)*(MONTH($E80)-1)/12)*$H80</f>
        <v>20.842497488267036</v>
      </c>
      <c r="Q80" s="182">
        <f>(SUM('1.  LRAMVA Summary'!K$22:K$33)+SUM('1.  LRAMVA Summary'!K$34:K$35)*(MONTH($E80)-1)/12)*$H80</f>
        <v>5.02958440160869E-3</v>
      </c>
      <c r="R80" s="182">
        <f>(SUM('1.  LRAMVA Summary'!L$22:L$33)+SUM('1.  LRAMVA Summary'!L$34:L$35)*(MONTH($E80)-1)/12)*$H80</f>
        <v>0</v>
      </c>
      <c r="S80" s="182">
        <f>(SUM('1.  LRAMVA Summary'!M$22:M$33)+SUM('1.  LRAMVA Summary'!M$34:M$35)*(MONTH($E80)-1)/12)*$H80</f>
        <v>3.4621588452000003</v>
      </c>
      <c r="T80" s="183">
        <f t="shared" si="44"/>
        <v>374.1605656692646</v>
      </c>
    </row>
    <row r="81" spans="2:20" s="3" customFormat="1" ht="12.75">
      <c r="B81" s="56"/>
      <c r="E81" s="180">
        <v>42156</v>
      </c>
      <c r="F81" s="180" t="s">
        <v>367</v>
      </c>
      <c r="G81" s="181" t="s">
        <v>90</v>
      </c>
      <c r="H81" s="470">
        <v>9.1666666666666665E-4</v>
      </c>
      <c r="I81" s="182">
        <f>(SUM('1.  LRAMVA Summary'!C$22:C$33)+SUM('1.  LRAMVA Summary'!C$34:C$35)*(MONTH($E81)-1)/12)*$H81</f>
        <v>151.40958991868402</v>
      </c>
      <c r="J81" s="182">
        <f>(SUM('1.  LRAMVA Summary'!D$22:D$33)+SUM('1.  LRAMVA Summary'!D$34:D$35)*(MONTH($E81)-1)/12)*$H81</f>
        <v>62.253296455466881</v>
      </c>
      <c r="K81" s="182">
        <f>(SUM('1.  LRAMVA Summary'!E$22:E$33)+SUM('1.  LRAMVA Summary'!E$34:E$35)*(MONTH($E81)-1)/12)*$H81</f>
        <v>99.08994525930477</v>
      </c>
      <c r="L81" s="182">
        <f>(SUM('1.  LRAMVA Summary'!F$22:F$33)+SUM('1.  LRAMVA Summary'!F$34:F$35)*(MONTH($E81)-1)/12)*$H81</f>
        <v>49.075221849667535</v>
      </c>
      <c r="M81" s="182">
        <f>(SUM('1.  LRAMVA Summary'!G$22:G$33)+SUM('1.  LRAMVA Summary'!G$34:G$35)*(MONTH($E81)-1)/12)*$H81</f>
        <v>0</v>
      </c>
      <c r="N81" s="182">
        <f>(SUM('1.  LRAMVA Summary'!H$22:H$33)+SUM('1.  LRAMVA Summary'!H$34:H$35)*(MONTH($E81)-1)/12)*$H81</f>
        <v>0.87637504923527232</v>
      </c>
      <c r="O81" s="182">
        <f>(SUM('1.  LRAMVA Summary'!I$22:I$33)+SUM('1.  LRAMVA Summary'!I$34:I$35)*(MONTH($E81)-1)/12)*$H81</f>
        <v>0</v>
      </c>
      <c r="P81" s="182">
        <f>(SUM('1.  LRAMVA Summary'!J$22:J$33)+SUM('1.  LRAMVA Summary'!J$34:J$35)*(MONTH($E81)-1)/12)*$H81</f>
        <v>22.973212955470238</v>
      </c>
      <c r="Q81" s="182">
        <f>(SUM('1.  LRAMVA Summary'!K$22:K$33)+SUM('1.  LRAMVA Summary'!K$34:K$35)*(MONTH($E81)-1)/12)*$H81</f>
        <v>6.2869805020108636E-3</v>
      </c>
      <c r="R81" s="182">
        <f>(SUM('1.  LRAMVA Summary'!L$22:L$33)+SUM('1.  LRAMVA Summary'!L$34:L$35)*(MONTH($E81)-1)/12)*$H81</f>
        <v>0</v>
      </c>
      <c r="S81" s="182">
        <f>(SUM('1.  LRAMVA Summary'!M$22:M$33)+SUM('1.  LRAMVA Summary'!M$34:M$35)*(MONTH($E81)-1)/12)*$H81</f>
        <v>3.7518213777000007</v>
      </c>
      <c r="T81" s="183">
        <f t="shared" si="44"/>
        <v>389.43574984603072</v>
      </c>
    </row>
    <row r="82" spans="2:20" s="3" customFormat="1" ht="12.75">
      <c r="B82" s="56"/>
      <c r="E82" s="180">
        <v>42186</v>
      </c>
      <c r="F82" s="180" t="s">
        <v>367</v>
      </c>
      <c r="G82" s="181" t="s">
        <v>92</v>
      </c>
      <c r="H82" s="470">
        <f>$C$34/12</f>
        <v>9.1666666666666665E-4</v>
      </c>
      <c r="I82" s="182">
        <f>(SUM('1.  LRAMVA Summary'!C$22:C$33)+SUM('1.  LRAMVA Summary'!C$34:C$35)*(MONTH($E82)-1)/12)*$H82</f>
        <v>158.73354201029352</v>
      </c>
      <c r="J82" s="182">
        <f>(SUM('1.  LRAMVA Summary'!D$22:D$33)+SUM('1.  LRAMVA Summary'!D$34:D$35)*(MONTH($E82)-1)/12)*$H82</f>
        <v>62.512040770508712</v>
      </c>
      <c r="K82" s="182">
        <f>(SUM('1.  LRAMVA Summary'!E$22:E$33)+SUM('1.  LRAMVA Summary'!E$34:E$35)*(MONTH($E82)-1)/12)*$H82</f>
        <v>102.41450013324211</v>
      </c>
      <c r="L82" s="182">
        <f>(SUM('1.  LRAMVA Summary'!F$22:F$33)+SUM('1.  LRAMVA Summary'!F$34:F$35)*(MONTH($E82)-1)/12)*$H82</f>
        <v>50.978045750894701</v>
      </c>
      <c r="M82" s="182">
        <f>(SUM('1.  LRAMVA Summary'!G$22:G$33)+SUM('1.  LRAMVA Summary'!G$34:G$35)*(MONTH($E82)-1)/12)*$H82</f>
        <v>0</v>
      </c>
      <c r="N82" s="182">
        <f>(SUM('1.  LRAMVA Summary'!H$22:H$33)+SUM('1.  LRAMVA Summary'!H$34:H$35)*(MONTH($E82)-1)/12)*$H82</f>
        <v>0.91984864838191094</v>
      </c>
      <c r="O82" s="182">
        <f>(SUM('1.  LRAMVA Summary'!I$22:I$33)+SUM('1.  LRAMVA Summary'!I$34:I$35)*(MONTH($E82)-1)/12)*$H82</f>
        <v>0</v>
      </c>
      <c r="P82" s="182">
        <f>(SUM('1.  LRAMVA Summary'!J$22:J$33)+SUM('1.  LRAMVA Summary'!J$34:J$35)*(MONTH($E82)-1)/12)*$H82</f>
        <v>25.103928422673437</v>
      </c>
      <c r="Q82" s="182">
        <f>(SUM('1.  LRAMVA Summary'!K$22:K$33)+SUM('1.  LRAMVA Summary'!K$34:K$35)*(MONTH($E82)-1)/12)*$H82</f>
        <v>7.5443766024130355E-3</v>
      </c>
      <c r="R82" s="182">
        <f>(SUM('1.  LRAMVA Summary'!L$22:L$33)+SUM('1.  LRAMVA Summary'!L$34:L$35)*(MONTH($E82)-1)/12)*$H82</f>
        <v>0</v>
      </c>
      <c r="S82" s="182">
        <f>(SUM('1.  LRAMVA Summary'!M$22:M$33)+SUM('1.  LRAMVA Summary'!M$34:M$35)*(MONTH($E82)-1)/12)*$H82</f>
        <v>4.0414839102000011</v>
      </c>
      <c r="T82" s="183">
        <f t="shared" si="44"/>
        <v>404.71093402279678</v>
      </c>
    </row>
    <row r="83" spans="2:20" s="3" customFormat="1" ht="12.75">
      <c r="B83" s="56"/>
      <c r="E83" s="180">
        <v>42217</v>
      </c>
      <c r="F83" s="180" t="s">
        <v>367</v>
      </c>
      <c r="G83" s="181" t="s">
        <v>92</v>
      </c>
      <c r="H83" s="470">
        <f t="shared" ref="H83:H84" si="45">$C$34/12</f>
        <v>9.1666666666666665E-4</v>
      </c>
      <c r="I83" s="182">
        <f>(SUM('1.  LRAMVA Summary'!C$22:C$33)+SUM('1.  LRAMVA Summary'!C$34:C$35)*(MONTH($E83)-1)/12)*$H83</f>
        <v>166.05749410190307</v>
      </c>
      <c r="J83" s="182">
        <f>(SUM('1.  LRAMVA Summary'!D$22:D$33)+SUM('1.  LRAMVA Summary'!D$34:D$35)*(MONTH($E83)-1)/12)*$H83</f>
        <v>62.770785085550543</v>
      </c>
      <c r="K83" s="182">
        <f>(SUM('1.  LRAMVA Summary'!E$22:E$33)+SUM('1.  LRAMVA Summary'!E$34:E$35)*(MONTH($E83)-1)/12)*$H83</f>
        <v>105.73905500717947</v>
      </c>
      <c r="L83" s="182">
        <f>(SUM('1.  LRAMVA Summary'!F$22:F$33)+SUM('1.  LRAMVA Summary'!F$34:F$35)*(MONTH($E83)-1)/12)*$H83</f>
        <v>52.880869652121859</v>
      </c>
      <c r="M83" s="182">
        <f>(SUM('1.  LRAMVA Summary'!G$22:G$33)+SUM('1.  LRAMVA Summary'!G$34:G$35)*(MONTH($E83)-1)/12)*$H83</f>
        <v>0</v>
      </c>
      <c r="N83" s="182">
        <f>(SUM('1.  LRAMVA Summary'!H$22:H$33)+SUM('1.  LRAMVA Summary'!H$34:H$35)*(MONTH($E83)-1)/12)*$H83</f>
        <v>0.96332224752854956</v>
      </c>
      <c r="O83" s="182">
        <f>(SUM('1.  LRAMVA Summary'!I$22:I$33)+SUM('1.  LRAMVA Summary'!I$34:I$35)*(MONTH($E83)-1)/12)*$H83</f>
        <v>0</v>
      </c>
      <c r="P83" s="182">
        <f>(SUM('1.  LRAMVA Summary'!J$22:J$33)+SUM('1.  LRAMVA Summary'!J$34:J$35)*(MONTH($E83)-1)/12)*$H83</f>
        <v>27.234643889876644</v>
      </c>
      <c r="Q83" s="182">
        <f>(SUM('1.  LRAMVA Summary'!K$22:K$33)+SUM('1.  LRAMVA Summary'!K$34:K$35)*(MONTH($E83)-1)/12)*$H83</f>
        <v>8.8017727028152082E-3</v>
      </c>
      <c r="R83" s="182">
        <f>(SUM('1.  LRAMVA Summary'!L$22:L$33)+SUM('1.  LRAMVA Summary'!L$34:L$35)*(MONTH($E83)-1)/12)*$H83</f>
        <v>0</v>
      </c>
      <c r="S83" s="182">
        <f>(SUM('1.  LRAMVA Summary'!M$22:M$33)+SUM('1.  LRAMVA Summary'!M$34:M$35)*(MONTH($E83)-1)/12)*$H83</f>
        <v>4.3311464427000006</v>
      </c>
      <c r="T83" s="183">
        <f t="shared" si="44"/>
        <v>419.98611819956295</v>
      </c>
    </row>
    <row r="84" spans="2:20" s="3" customFormat="1" ht="12.75">
      <c r="B84" s="56"/>
      <c r="E84" s="180">
        <v>42248</v>
      </c>
      <c r="F84" s="180" t="s">
        <v>367</v>
      </c>
      <c r="G84" s="181" t="s">
        <v>92</v>
      </c>
      <c r="H84" s="470">
        <f t="shared" si="45"/>
        <v>9.1666666666666665E-4</v>
      </c>
      <c r="I84" s="182">
        <f>(SUM('1.  LRAMVA Summary'!C$22:C$33)+SUM('1.  LRAMVA Summary'!C$34:C$35)*(MONTH($E84)-1)/12)*$H84</f>
        <v>173.3814461935126</v>
      </c>
      <c r="J84" s="182">
        <f>(SUM('1.  LRAMVA Summary'!D$22:D$33)+SUM('1.  LRAMVA Summary'!D$34:D$35)*(MONTH($E84)-1)/12)*$H84</f>
        <v>63.029529400592388</v>
      </c>
      <c r="K84" s="182">
        <f>(SUM('1.  LRAMVA Summary'!E$22:E$33)+SUM('1.  LRAMVA Summary'!E$34:E$35)*(MONTH($E84)-1)/12)*$H84</f>
        <v>109.0636098811168</v>
      </c>
      <c r="L84" s="182">
        <f>(SUM('1.  LRAMVA Summary'!F$22:F$33)+SUM('1.  LRAMVA Summary'!F$34:F$35)*(MONTH($E84)-1)/12)*$H84</f>
        <v>54.783693553349032</v>
      </c>
      <c r="M84" s="182">
        <f>(SUM('1.  LRAMVA Summary'!G$22:G$33)+SUM('1.  LRAMVA Summary'!G$34:G$35)*(MONTH($E84)-1)/12)*$H84</f>
        <v>0</v>
      </c>
      <c r="N84" s="182">
        <f>(SUM('1.  LRAMVA Summary'!H$22:H$33)+SUM('1.  LRAMVA Summary'!H$34:H$35)*(MONTH($E84)-1)/12)*$H84</f>
        <v>1.0067958466751881</v>
      </c>
      <c r="O84" s="182">
        <f>(SUM('1.  LRAMVA Summary'!I$22:I$33)+SUM('1.  LRAMVA Summary'!I$34:I$35)*(MONTH($E84)-1)/12)*$H84</f>
        <v>0</v>
      </c>
      <c r="P84" s="182">
        <f>(SUM('1.  LRAMVA Summary'!J$22:J$33)+SUM('1.  LRAMVA Summary'!J$34:J$35)*(MONTH($E84)-1)/12)*$H84</f>
        <v>29.36535935707985</v>
      </c>
      <c r="Q84" s="182">
        <f>(SUM('1.  LRAMVA Summary'!K$22:K$33)+SUM('1.  LRAMVA Summary'!K$34:K$35)*(MONTH($E84)-1)/12)*$H84</f>
        <v>1.005916880321738E-2</v>
      </c>
      <c r="R84" s="182">
        <f>(SUM('1.  LRAMVA Summary'!L$22:L$33)+SUM('1.  LRAMVA Summary'!L$34:L$35)*(MONTH($E84)-1)/12)*$H84</f>
        <v>0</v>
      </c>
      <c r="S84" s="182">
        <f>(SUM('1.  LRAMVA Summary'!M$22:M$33)+SUM('1.  LRAMVA Summary'!M$34:M$35)*(MONTH($E84)-1)/12)*$H84</f>
        <v>4.6208089752000001</v>
      </c>
      <c r="T84" s="183">
        <f t="shared" si="44"/>
        <v>435.26130237632913</v>
      </c>
    </row>
    <row r="85" spans="2:20" s="3" customFormat="1" ht="12.75">
      <c r="B85" s="56"/>
      <c r="E85" s="180">
        <v>42278</v>
      </c>
      <c r="F85" s="180" t="s">
        <v>367</v>
      </c>
      <c r="G85" s="181" t="s">
        <v>93</v>
      </c>
      <c r="H85" s="470">
        <f>$C$35/12</f>
        <v>9.1666666666666665E-4</v>
      </c>
      <c r="I85" s="182">
        <f>(SUM('1.  LRAMVA Summary'!C$22:C$33)+SUM('1.  LRAMVA Summary'!C$34:C$35)*(MONTH($E85)-1)/12)*$H85</f>
        <v>180.7053982851221</v>
      </c>
      <c r="J85" s="182">
        <f>(SUM('1.  LRAMVA Summary'!D$22:D$33)+SUM('1.  LRAMVA Summary'!D$34:D$35)*(MONTH($E85)-1)/12)*$H85</f>
        <v>63.288273715634226</v>
      </c>
      <c r="K85" s="182">
        <f>(SUM('1.  LRAMVA Summary'!E$22:E$33)+SUM('1.  LRAMVA Summary'!E$34:E$35)*(MONTH($E85)-1)/12)*$H85</f>
        <v>112.38816475505415</v>
      </c>
      <c r="L85" s="182">
        <f>(SUM('1.  LRAMVA Summary'!F$22:F$33)+SUM('1.  LRAMVA Summary'!F$34:F$35)*(MONTH($E85)-1)/12)*$H85</f>
        <v>56.686517454576197</v>
      </c>
      <c r="M85" s="182">
        <f>(SUM('1.  LRAMVA Summary'!G$22:G$33)+SUM('1.  LRAMVA Summary'!G$34:G$35)*(MONTH($E85)-1)/12)*$H85</f>
        <v>0</v>
      </c>
      <c r="N85" s="182">
        <f>(SUM('1.  LRAMVA Summary'!H$22:H$33)+SUM('1.  LRAMVA Summary'!H$34:H$35)*(MONTH($E85)-1)/12)*$H85</f>
        <v>1.0502694458218267</v>
      </c>
      <c r="O85" s="182">
        <f>(SUM('1.  LRAMVA Summary'!I$22:I$33)+SUM('1.  LRAMVA Summary'!I$34:I$35)*(MONTH($E85)-1)/12)*$H85</f>
        <v>0</v>
      </c>
      <c r="P85" s="182">
        <f>(SUM('1.  LRAMVA Summary'!J$22:J$33)+SUM('1.  LRAMVA Summary'!J$34:J$35)*(MONTH($E85)-1)/12)*$H85</f>
        <v>31.496074824283053</v>
      </c>
      <c r="Q85" s="182">
        <f>(SUM('1.  LRAMVA Summary'!K$22:K$33)+SUM('1.  LRAMVA Summary'!K$34:K$35)*(MONTH($E85)-1)/12)*$H85</f>
        <v>1.1316564903619554E-2</v>
      </c>
      <c r="R85" s="182">
        <f>(SUM('1.  LRAMVA Summary'!L$22:L$33)+SUM('1.  LRAMVA Summary'!L$34:L$35)*(MONTH($E85)-1)/12)*$H85</f>
        <v>0</v>
      </c>
      <c r="S85" s="182">
        <f>(SUM('1.  LRAMVA Summary'!M$22:M$33)+SUM('1.  LRAMVA Summary'!M$34:M$35)*(MONTH($E85)-1)/12)*$H85</f>
        <v>4.9104715077000005</v>
      </c>
      <c r="T85" s="183">
        <f t="shared" si="44"/>
        <v>450.53648655309507</v>
      </c>
    </row>
    <row r="86" spans="2:20" s="3" customFormat="1" ht="12.75">
      <c r="B86" s="56"/>
      <c r="E86" s="180">
        <v>42309</v>
      </c>
      <c r="F86" s="180" t="s">
        <v>367</v>
      </c>
      <c r="G86" s="181" t="s">
        <v>93</v>
      </c>
      <c r="H86" s="470">
        <f t="shared" ref="H86:H87" si="46">$C$35/12</f>
        <v>9.1666666666666665E-4</v>
      </c>
      <c r="I86" s="182">
        <f>(SUM('1.  LRAMVA Summary'!C$22:C$33)+SUM('1.  LRAMVA Summary'!C$34:C$35)*(MONTH($E86)-1)/12)*$H86</f>
        <v>188.02935037673166</v>
      </c>
      <c r="J86" s="182">
        <f>(SUM('1.  LRAMVA Summary'!D$22:D$33)+SUM('1.  LRAMVA Summary'!D$34:D$35)*(MONTH($E86)-1)/12)*$H86</f>
        <v>63.547018030676057</v>
      </c>
      <c r="K86" s="182">
        <f>(SUM('1.  LRAMVA Summary'!E$22:E$33)+SUM('1.  LRAMVA Summary'!E$34:E$35)*(MONTH($E86)-1)/12)*$H86</f>
        <v>115.71271962899148</v>
      </c>
      <c r="L86" s="182">
        <f>(SUM('1.  LRAMVA Summary'!F$22:F$33)+SUM('1.  LRAMVA Summary'!F$34:F$35)*(MONTH($E86)-1)/12)*$H86</f>
        <v>58.589341355803363</v>
      </c>
      <c r="M86" s="182">
        <f>(SUM('1.  LRAMVA Summary'!G$22:G$33)+SUM('1.  LRAMVA Summary'!G$34:G$35)*(MONTH($E86)-1)/12)*$H86</f>
        <v>0</v>
      </c>
      <c r="N86" s="182">
        <f>(SUM('1.  LRAMVA Summary'!H$22:H$33)+SUM('1.  LRAMVA Summary'!H$34:H$35)*(MONTH($E86)-1)/12)*$H86</f>
        <v>1.0937430449684653</v>
      </c>
      <c r="O86" s="182">
        <f>(SUM('1.  LRAMVA Summary'!I$22:I$33)+SUM('1.  LRAMVA Summary'!I$34:I$35)*(MONTH($E86)-1)/12)*$H86</f>
        <v>0</v>
      </c>
      <c r="P86" s="182">
        <f>(SUM('1.  LRAMVA Summary'!J$22:J$33)+SUM('1.  LRAMVA Summary'!J$34:J$35)*(MONTH($E86)-1)/12)*$H86</f>
        <v>33.626790291486252</v>
      </c>
      <c r="Q86" s="182">
        <f>(SUM('1.  LRAMVA Summary'!K$22:K$33)+SUM('1.  LRAMVA Summary'!K$34:K$35)*(MONTH($E86)-1)/12)*$H86</f>
        <v>1.2573961004021727E-2</v>
      </c>
      <c r="R86" s="182">
        <f>(SUM('1.  LRAMVA Summary'!L$22:L$33)+SUM('1.  LRAMVA Summary'!L$34:L$35)*(MONTH($E86)-1)/12)*$H86</f>
        <v>0</v>
      </c>
      <c r="S86" s="182">
        <f>(SUM('1.  LRAMVA Summary'!M$22:M$33)+SUM('1.  LRAMVA Summary'!M$34:M$35)*(MONTH($E86)-1)/12)*$H86</f>
        <v>5.2001340402</v>
      </c>
      <c r="T86" s="183">
        <f t="shared" si="44"/>
        <v>465.81167072986125</v>
      </c>
    </row>
    <row r="87" spans="2:20" s="3" customFormat="1" ht="12.75">
      <c r="B87" s="56"/>
      <c r="E87" s="180">
        <v>42339</v>
      </c>
      <c r="F87" s="180" t="s">
        <v>367</v>
      </c>
      <c r="G87" s="181" t="s">
        <v>93</v>
      </c>
      <c r="H87" s="470">
        <f t="shared" si="46"/>
        <v>9.1666666666666665E-4</v>
      </c>
      <c r="I87" s="182">
        <f>(SUM('1.  LRAMVA Summary'!C$22:C$33)+SUM('1.  LRAMVA Summary'!C$34:C$35)*(MONTH($E87)-1)/12)*$H87</f>
        <v>195.35330246834116</v>
      </c>
      <c r="J87" s="182">
        <f>(SUM('1.  LRAMVA Summary'!D$22:D$33)+SUM('1.  LRAMVA Summary'!D$34:D$35)*(MONTH($E87)-1)/12)*$H87</f>
        <v>63.805762345717888</v>
      </c>
      <c r="K87" s="182">
        <f>(SUM('1.  LRAMVA Summary'!E$22:E$33)+SUM('1.  LRAMVA Summary'!E$34:E$35)*(MONTH($E87)-1)/12)*$H87</f>
        <v>119.03727450292884</v>
      </c>
      <c r="L87" s="182">
        <f>(SUM('1.  LRAMVA Summary'!F$22:F$33)+SUM('1.  LRAMVA Summary'!F$34:F$35)*(MONTH($E87)-1)/12)*$H87</f>
        <v>60.492165257030528</v>
      </c>
      <c r="M87" s="182">
        <f>(SUM('1.  LRAMVA Summary'!G$22:G$33)+SUM('1.  LRAMVA Summary'!G$34:G$35)*(MONTH($E87)-1)/12)*$H87</f>
        <v>0</v>
      </c>
      <c r="N87" s="182">
        <f>(SUM('1.  LRAMVA Summary'!H$22:H$33)+SUM('1.  LRAMVA Summary'!H$34:H$35)*(MONTH($E87)-1)/12)*$H87</f>
        <v>1.1372166441151039</v>
      </c>
      <c r="O87" s="182">
        <f>(SUM('1.  LRAMVA Summary'!I$22:I$33)+SUM('1.  LRAMVA Summary'!I$34:I$35)*(MONTH($E87)-1)/12)*$H87</f>
        <v>0</v>
      </c>
      <c r="P87" s="182">
        <f>(SUM('1.  LRAMVA Summary'!J$22:J$33)+SUM('1.  LRAMVA Summary'!J$34:J$35)*(MONTH($E87)-1)/12)*$H87</f>
        <v>35.757505758689454</v>
      </c>
      <c r="Q87" s="182">
        <f>(SUM('1.  LRAMVA Summary'!K$22:K$33)+SUM('1.  LRAMVA Summary'!K$34:K$35)*(MONTH($E87)-1)/12)*$H87</f>
        <v>1.3831357104423899E-2</v>
      </c>
      <c r="R87" s="182">
        <f>(SUM('1.  LRAMVA Summary'!L$22:L$33)+SUM('1.  LRAMVA Summary'!L$34:L$35)*(MONTH($E87)-1)/12)*$H87</f>
        <v>0</v>
      </c>
      <c r="S87" s="182">
        <f>(SUM('1.  LRAMVA Summary'!M$22:M$33)+SUM('1.  LRAMVA Summary'!M$34:M$35)*(MONTH($E87)-1)/12)*$H87</f>
        <v>5.4897965727000004</v>
      </c>
      <c r="T87" s="183">
        <f t="shared" si="44"/>
        <v>481.08685490662737</v>
      </c>
    </row>
    <row r="88" spans="2:20" s="3" customFormat="1" ht="13.5" thickBot="1">
      <c r="B88" s="56"/>
      <c r="E88" s="192" t="s">
        <v>393</v>
      </c>
      <c r="F88" s="192"/>
      <c r="G88" s="193"/>
      <c r="H88" s="467"/>
      <c r="I88" s="194">
        <f>SUM(I75:I87)</f>
        <v>4394.9402736250031</v>
      </c>
      <c r="J88" s="194">
        <f>SUM(J75:J87)</f>
        <v>2427.178280066094</v>
      </c>
      <c r="K88" s="194">
        <f t="shared" ref="K88:O88" si="47">SUM(K75:K87)</f>
        <v>2973.6117452396402</v>
      </c>
      <c r="L88" s="194">
        <f t="shared" si="47"/>
        <v>1431.7803857245472</v>
      </c>
      <c r="M88" s="194">
        <f t="shared" si="47"/>
        <v>0</v>
      </c>
      <c r="N88" s="194">
        <f t="shared" si="47"/>
        <v>21.130276154866536</v>
      </c>
      <c r="O88" s="194">
        <f t="shared" si="47"/>
        <v>0</v>
      </c>
      <c r="P88" s="194">
        <f t="shared" ref="P88" si="48">SUM(P75:P87)</f>
        <v>425.61055870656685</v>
      </c>
      <c r="Q88" s="194">
        <f t="shared" ref="Q88:S88" si="49">SUM(Q75:Q87)</f>
        <v>8.4256969600585596E-2</v>
      </c>
      <c r="R88" s="194">
        <f t="shared" si="49"/>
        <v>0</v>
      </c>
      <c r="S88" s="194">
        <f t="shared" si="49"/>
        <v>66.307366315890008</v>
      </c>
      <c r="T88" s="194">
        <f>SUM(T75:T87)</f>
        <v>11740.643142802208</v>
      </c>
    </row>
    <row r="89" spans="2:20" s="3" customFormat="1" ht="13.5" thickTop="1">
      <c r="B89" s="56"/>
      <c r="E89" s="223" t="s">
        <v>91</v>
      </c>
      <c r="F89" s="223"/>
      <c r="G89" s="224"/>
      <c r="H89" s="468"/>
      <c r="I89" s="225"/>
      <c r="J89" s="225"/>
      <c r="K89" s="225"/>
      <c r="L89" s="225"/>
      <c r="M89" s="225"/>
      <c r="N89" s="225"/>
      <c r="O89" s="225"/>
      <c r="P89" s="225"/>
      <c r="Q89" s="225"/>
      <c r="R89" s="225"/>
      <c r="S89" s="225"/>
      <c r="T89" s="226"/>
    </row>
    <row r="90" spans="2:20" s="3" customFormat="1" ht="12.75">
      <c r="B90" s="56"/>
      <c r="E90" s="189" t="s">
        <v>388</v>
      </c>
      <c r="F90" s="189"/>
      <c r="G90" s="190"/>
      <c r="H90" s="469"/>
      <c r="I90" s="191">
        <f>I88+I89</f>
        <v>4394.9402736250031</v>
      </c>
      <c r="J90" s="191">
        <f t="shared" ref="J90" si="50">J88+J89</f>
        <v>2427.178280066094</v>
      </c>
      <c r="K90" s="191">
        <f t="shared" ref="K90" si="51">K88+K89</f>
        <v>2973.6117452396402</v>
      </c>
      <c r="L90" s="191">
        <f t="shared" ref="L90" si="52">L88+L89</f>
        <v>1431.7803857245472</v>
      </c>
      <c r="M90" s="191">
        <f t="shared" ref="M90" si="53">M88+M89</f>
        <v>0</v>
      </c>
      <c r="N90" s="191">
        <f t="shared" ref="N90" si="54">N88+N89</f>
        <v>21.130276154866536</v>
      </c>
      <c r="O90" s="191">
        <f t="shared" ref="O90:P90" si="55">O88+O89</f>
        <v>0</v>
      </c>
      <c r="P90" s="191">
        <f t="shared" si="55"/>
        <v>425.61055870656685</v>
      </c>
      <c r="Q90" s="191">
        <f t="shared" ref="Q90:S90" si="56">Q88+Q89</f>
        <v>8.4256969600585596E-2</v>
      </c>
      <c r="R90" s="191">
        <f t="shared" si="56"/>
        <v>0</v>
      </c>
      <c r="S90" s="191">
        <f t="shared" si="56"/>
        <v>66.307366315890008</v>
      </c>
      <c r="T90" s="191">
        <f t="shared" ref="T90" si="57">T88+T89</f>
        <v>11740.643142802208</v>
      </c>
    </row>
    <row r="91" spans="2:20" s="3" customFormat="1" ht="12.75">
      <c r="B91" s="56"/>
      <c r="E91" s="180">
        <v>42370</v>
      </c>
      <c r="F91" s="180" t="s">
        <v>372</v>
      </c>
      <c r="G91" s="181" t="s">
        <v>89</v>
      </c>
      <c r="H91" s="470">
        <f>$C$36/12</f>
        <v>9.1666666666666665E-4</v>
      </c>
      <c r="I91" s="182">
        <f>(SUM('1.  LRAMVA Summary'!C$22:C$36))*$H91</f>
        <v>202.67725455995071</v>
      </c>
      <c r="J91" s="182">
        <f>(SUM('1.  LRAMVA Summary'!D$22:D$36))*$H91</f>
        <v>64.064506660759733</v>
      </c>
      <c r="K91" s="182">
        <f>(SUM('1.  LRAMVA Summary'!E$22:E$36))*$H91</f>
        <v>122.36182937686618</v>
      </c>
      <c r="L91" s="182">
        <f>(SUM('1.  LRAMVA Summary'!F$22:F$36))*$H91</f>
        <v>62.394989158257694</v>
      </c>
      <c r="M91" s="182">
        <f>(SUM('1.  LRAMVA Summary'!G$22:G$36))*$H91</f>
        <v>0</v>
      </c>
      <c r="N91" s="182">
        <f>(SUM('1.  LRAMVA Summary'!H$22:H$36))*$H91</f>
        <v>1.1806902432617425</v>
      </c>
      <c r="O91" s="182">
        <f>(SUM('1.  LRAMVA Summary'!I$22:I$36))*$H91</f>
        <v>0</v>
      </c>
      <c r="P91" s="182">
        <f>(SUM('1.  LRAMVA Summary'!J$22:J$36))*$H91</f>
        <v>37.888221225892664</v>
      </c>
      <c r="Q91" s="182">
        <f>(SUM('1.  LRAMVA Summary'!K$22:K$36))*$H91</f>
        <v>1.5088753204826071E-2</v>
      </c>
      <c r="R91" s="182">
        <f>(SUM('1.  LRAMVA Summary'!L$22:L$36))*$H91</f>
        <v>0</v>
      </c>
      <c r="S91" s="182">
        <f>(SUM('1.  LRAMVA Summary'!M$22:M$36))*$H91</f>
        <v>5.7794591052000008</v>
      </c>
      <c r="T91" s="183">
        <f t="shared" ref="T91:T102" si="58">SUM(I91:S91)</f>
        <v>496.36203908339354</v>
      </c>
    </row>
    <row r="92" spans="2:20" s="3" customFormat="1" ht="12.75">
      <c r="B92" s="56"/>
      <c r="E92" s="180">
        <v>42401</v>
      </c>
      <c r="F92" s="180" t="s">
        <v>372</v>
      </c>
      <c r="G92" s="181" t="s">
        <v>89</v>
      </c>
      <c r="H92" s="470">
        <f t="shared" ref="H92:H93" si="59">$C$36/12</f>
        <v>9.1666666666666665E-4</v>
      </c>
      <c r="I92" s="182">
        <f>(SUM('1.  LRAMVA Summary'!C$22:C$36))*$H92</f>
        <v>202.67725455995071</v>
      </c>
      <c r="J92" s="182">
        <f>(SUM('1.  LRAMVA Summary'!D$22:D$36))*$H92</f>
        <v>64.064506660759733</v>
      </c>
      <c r="K92" s="182">
        <f>(SUM('1.  LRAMVA Summary'!E$22:E$36))*$H92</f>
        <v>122.36182937686618</v>
      </c>
      <c r="L92" s="182">
        <f>(SUM('1.  LRAMVA Summary'!F$22:F$36))*$H92</f>
        <v>62.394989158257694</v>
      </c>
      <c r="M92" s="182">
        <f>(SUM('1.  LRAMVA Summary'!G$22:G$36))*$H92</f>
        <v>0</v>
      </c>
      <c r="N92" s="182">
        <f>(SUM('1.  LRAMVA Summary'!H$22:H$36))*$H92</f>
        <v>1.1806902432617425</v>
      </c>
      <c r="O92" s="182">
        <f>(SUM('1.  LRAMVA Summary'!I$22:I$36))*$H92</f>
        <v>0</v>
      </c>
      <c r="P92" s="182">
        <f>(SUM('1.  LRAMVA Summary'!J$22:J$36))*$H92</f>
        <v>37.888221225892664</v>
      </c>
      <c r="Q92" s="182">
        <f>(SUM('1.  LRAMVA Summary'!K$22:K$36))*$H92</f>
        <v>1.5088753204826071E-2</v>
      </c>
      <c r="R92" s="182">
        <f>(SUM('1.  LRAMVA Summary'!L$22:L$36))*$H92</f>
        <v>0</v>
      </c>
      <c r="S92" s="182">
        <f>(SUM('1.  LRAMVA Summary'!M$22:M$36))*$H92</f>
        <v>5.7794591052000008</v>
      </c>
      <c r="T92" s="183">
        <f t="shared" si="58"/>
        <v>496.36203908339354</v>
      </c>
    </row>
    <row r="93" spans="2:20" s="3" customFormat="1" ht="14.25" customHeight="1">
      <c r="B93" s="56"/>
      <c r="E93" s="180">
        <v>42430</v>
      </c>
      <c r="F93" s="180" t="s">
        <v>372</v>
      </c>
      <c r="G93" s="181" t="s">
        <v>89</v>
      </c>
      <c r="H93" s="470">
        <f t="shared" si="59"/>
        <v>9.1666666666666665E-4</v>
      </c>
      <c r="I93" s="182">
        <f>(SUM('1.  LRAMVA Summary'!C$22:C$36))*$H93</f>
        <v>202.67725455995071</v>
      </c>
      <c r="J93" s="182">
        <f>(SUM('1.  LRAMVA Summary'!D$22:D$36))*$H93</f>
        <v>64.064506660759733</v>
      </c>
      <c r="K93" s="182">
        <f>(SUM('1.  LRAMVA Summary'!E$22:E$36))*$H93</f>
        <v>122.36182937686618</v>
      </c>
      <c r="L93" s="182">
        <f>(SUM('1.  LRAMVA Summary'!F$22:F$36))*$H93</f>
        <v>62.394989158257694</v>
      </c>
      <c r="M93" s="182">
        <f>(SUM('1.  LRAMVA Summary'!G$22:G$36))*$H93</f>
        <v>0</v>
      </c>
      <c r="N93" s="182">
        <f>(SUM('1.  LRAMVA Summary'!H$22:H$36))*$H93</f>
        <v>1.1806902432617425</v>
      </c>
      <c r="O93" s="182">
        <f>(SUM('1.  LRAMVA Summary'!I$22:I$36))*$H93</f>
        <v>0</v>
      </c>
      <c r="P93" s="182">
        <f>(SUM('1.  LRAMVA Summary'!J$22:J$36))*$H93</f>
        <v>37.888221225892664</v>
      </c>
      <c r="Q93" s="182">
        <f>(SUM('1.  LRAMVA Summary'!K$22:K$36))*$H93</f>
        <v>1.5088753204826071E-2</v>
      </c>
      <c r="R93" s="182">
        <f>(SUM('1.  LRAMVA Summary'!L$22:L$36))*$H93</f>
        <v>0</v>
      </c>
      <c r="S93" s="182">
        <f>(SUM('1.  LRAMVA Summary'!M$22:M$36))*$H93</f>
        <v>5.7794591052000008</v>
      </c>
      <c r="T93" s="183">
        <f t="shared" si="58"/>
        <v>496.36203908339354</v>
      </c>
    </row>
    <row r="94" spans="2:20" s="16" customFormat="1" ht="12.75">
      <c r="B94" s="215"/>
      <c r="D94" s="3"/>
      <c r="E94" s="180">
        <v>42461</v>
      </c>
      <c r="F94" s="180" t="s">
        <v>372</v>
      </c>
      <c r="G94" s="181" t="s">
        <v>90</v>
      </c>
      <c r="H94" s="470">
        <f>$C$37/12</f>
        <v>9.1666666666666665E-4</v>
      </c>
      <c r="I94" s="182">
        <f>(SUM('1.  LRAMVA Summary'!C$22:C$36))*$H94</f>
        <v>202.67725455995071</v>
      </c>
      <c r="J94" s="182">
        <f>(SUM('1.  LRAMVA Summary'!D$22:D$36))*$H94</f>
        <v>64.064506660759733</v>
      </c>
      <c r="K94" s="182">
        <f>(SUM('1.  LRAMVA Summary'!E$22:E$36))*$H94</f>
        <v>122.36182937686618</v>
      </c>
      <c r="L94" s="182">
        <f>(SUM('1.  LRAMVA Summary'!F$22:F$36))*$H94</f>
        <v>62.394989158257694</v>
      </c>
      <c r="M94" s="182">
        <f>(SUM('1.  LRAMVA Summary'!G$22:G$36))*$H94</f>
        <v>0</v>
      </c>
      <c r="N94" s="182">
        <f>(SUM('1.  LRAMVA Summary'!H$22:H$36))*$H94</f>
        <v>1.1806902432617425</v>
      </c>
      <c r="O94" s="182">
        <f>(SUM('1.  LRAMVA Summary'!I$22:I$36))*$H94</f>
        <v>0</v>
      </c>
      <c r="P94" s="182">
        <f>(SUM('1.  LRAMVA Summary'!J$22:J$36))*$H94</f>
        <v>37.888221225892664</v>
      </c>
      <c r="Q94" s="182">
        <f>(SUM('1.  LRAMVA Summary'!K$22:K$36))*$H94</f>
        <v>1.5088753204826071E-2</v>
      </c>
      <c r="R94" s="182">
        <f>(SUM('1.  LRAMVA Summary'!L$22:L$36))*$H94</f>
        <v>0</v>
      </c>
      <c r="S94" s="182">
        <f>(SUM('1.  LRAMVA Summary'!M$22:M$36))*$H94</f>
        <v>5.7794591052000008</v>
      </c>
      <c r="T94" s="183">
        <f t="shared" si="58"/>
        <v>496.36203908339354</v>
      </c>
    </row>
    <row r="95" spans="2:20" s="3" customFormat="1" ht="12.75">
      <c r="B95" s="56"/>
      <c r="E95" s="180">
        <v>42491</v>
      </c>
      <c r="F95" s="180" t="s">
        <v>372</v>
      </c>
      <c r="G95" s="181" t="s">
        <v>90</v>
      </c>
      <c r="H95" s="470">
        <f t="shared" ref="H95:H96" si="60">$C$37/12</f>
        <v>9.1666666666666665E-4</v>
      </c>
      <c r="I95" s="182">
        <f>(SUM('1.  LRAMVA Summary'!C$22:C$36))*$H95</f>
        <v>202.67725455995071</v>
      </c>
      <c r="J95" s="182">
        <f>(SUM('1.  LRAMVA Summary'!D$22:D$36))*$H95</f>
        <v>64.064506660759733</v>
      </c>
      <c r="K95" s="182">
        <f>(SUM('1.  LRAMVA Summary'!E$22:E$36))*$H95</f>
        <v>122.36182937686618</v>
      </c>
      <c r="L95" s="182">
        <f>(SUM('1.  LRAMVA Summary'!F$22:F$36))*$H95</f>
        <v>62.394989158257694</v>
      </c>
      <c r="M95" s="182">
        <f>(SUM('1.  LRAMVA Summary'!G$22:G$36))*$H95</f>
        <v>0</v>
      </c>
      <c r="N95" s="182">
        <f>(SUM('1.  LRAMVA Summary'!H$22:H$36))*$H95</f>
        <v>1.1806902432617425</v>
      </c>
      <c r="O95" s="182">
        <f>(SUM('1.  LRAMVA Summary'!I$22:I$36))*$H95</f>
        <v>0</v>
      </c>
      <c r="P95" s="182">
        <f>(SUM('1.  LRAMVA Summary'!J$22:J$36))*$H95</f>
        <v>37.888221225892664</v>
      </c>
      <c r="Q95" s="182">
        <f>(SUM('1.  LRAMVA Summary'!K$22:K$36))*$H95</f>
        <v>1.5088753204826071E-2</v>
      </c>
      <c r="R95" s="182">
        <f>(SUM('1.  LRAMVA Summary'!L$22:L$36))*$H95</f>
        <v>0</v>
      </c>
      <c r="S95" s="182">
        <f>(SUM('1.  LRAMVA Summary'!M$22:M$36))*$H95</f>
        <v>5.7794591052000008</v>
      </c>
      <c r="T95" s="183">
        <f t="shared" si="58"/>
        <v>496.36203908339354</v>
      </c>
    </row>
    <row r="96" spans="2:20" s="15" customFormat="1" ht="12.75">
      <c r="B96" s="214"/>
      <c r="D96" s="3"/>
      <c r="E96" s="180">
        <v>42522</v>
      </c>
      <c r="F96" s="180" t="s">
        <v>372</v>
      </c>
      <c r="G96" s="181" t="s">
        <v>90</v>
      </c>
      <c r="H96" s="470">
        <f t="shared" si="60"/>
        <v>9.1666666666666665E-4</v>
      </c>
      <c r="I96" s="182">
        <f>(SUM('1.  LRAMVA Summary'!C$22:C$36))*$H96</f>
        <v>202.67725455995071</v>
      </c>
      <c r="J96" s="182">
        <f>(SUM('1.  LRAMVA Summary'!D$22:D$36))*$H96</f>
        <v>64.064506660759733</v>
      </c>
      <c r="K96" s="182">
        <f>(SUM('1.  LRAMVA Summary'!E$22:E$36))*$H96</f>
        <v>122.36182937686618</v>
      </c>
      <c r="L96" s="182">
        <f>(SUM('1.  LRAMVA Summary'!F$22:F$36))*$H96</f>
        <v>62.394989158257694</v>
      </c>
      <c r="M96" s="182">
        <f>(SUM('1.  LRAMVA Summary'!G$22:G$36))*$H96</f>
        <v>0</v>
      </c>
      <c r="N96" s="182">
        <f>(SUM('1.  LRAMVA Summary'!H$22:H$36))*$H96</f>
        <v>1.1806902432617425</v>
      </c>
      <c r="O96" s="182">
        <f>(SUM('1.  LRAMVA Summary'!I$22:I$36))*$H96</f>
        <v>0</v>
      </c>
      <c r="P96" s="182">
        <f>(SUM('1.  LRAMVA Summary'!J$22:J$36))*$H96</f>
        <v>37.888221225892664</v>
      </c>
      <c r="Q96" s="182">
        <f>(SUM('1.  LRAMVA Summary'!K$22:K$36))*$H96</f>
        <v>1.5088753204826071E-2</v>
      </c>
      <c r="R96" s="182">
        <f>(SUM('1.  LRAMVA Summary'!L$22:L$36))*$H96</f>
        <v>0</v>
      </c>
      <c r="S96" s="182">
        <f>(SUM('1.  LRAMVA Summary'!M$22:M$36))*$H96</f>
        <v>5.7794591052000008</v>
      </c>
      <c r="T96" s="183">
        <f t="shared" si="58"/>
        <v>496.36203908339354</v>
      </c>
    </row>
    <row r="97" spans="2:20" s="3" customFormat="1" ht="12.75">
      <c r="B97" s="56"/>
      <c r="E97" s="180">
        <v>42552</v>
      </c>
      <c r="F97" s="180" t="s">
        <v>372</v>
      </c>
      <c r="G97" s="181" t="s">
        <v>92</v>
      </c>
      <c r="H97" s="470">
        <f>$C$38/12</f>
        <v>9.1666666666666665E-4</v>
      </c>
      <c r="I97" s="182">
        <f>(SUM('1.  LRAMVA Summary'!C$22:C$36))*$H97</f>
        <v>202.67725455995071</v>
      </c>
      <c r="J97" s="182">
        <f>(SUM('1.  LRAMVA Summary'!D$22:D$36))*$H97</f>
        <v>64.064506660759733</v>
      </c>
      <c r="K97" s="182">
        <f>(SUM('1.  LRAMVA Summary'!E$22:E$36))*$H97</f>
        <v>122.36182937686618</v>
      </c>
      <c r="L97" s="182">
        <f>(SUM('1.  LRAMVA Summary'!F$22:F$36))*$H97</f>
        <v>62.394989158257694</v>
      </c>
      <c r="M97" s="182">
        <f>(SUM('1.  LRAMVA Summary'!G$22:G$36))*$H97</f>
        <v>0</v>
      </c>
      <c r="N97" s="182">
        <f>(SUM('1.  LRAMVA Summary'!H$22:H$36))*$H97</f>
        <v>1.1806902432617425</v>
      </c>
      <c r="O97" s="182">
        <f>(SUM('1.  LRAMVA Summary'!I$22:I$36))*$H97</f>
        <v>0</v>
      </c>
      <c r="P97" s="182">
        <f>(SUM('1.  LRAMVA Summary'!J$22:J$36))*$H97</f>
        <v>37.888221225892664</v>
      </c>
      <c r="Q97" s="182">
        <f>(SUM('1.  LRAMVA Summary'!K$22:K$36))*$H97</f>
        <v>1.5088753204826071E-2</v>
      </c>
      <c r="R97" s="182">
        <f>(SUM('1.  LRAMVA Summary'!L$22:L$36))*$H97</f>
        <v>0</v>
      </c>
      <c r="S97" s="182">
        <f>(SUM('1.  LRAMVA Summary'!M$22:M$36))*$H97</f>
        <v>5.7794591052000008</v>
      </c>
      <c r="T97" s="183">
        <f t="shared" si="58"/>
        <v>496.36203908339354</v>
      </c>
    </row>
    <row r="98" spans="2:20" s="3" customFormat="1" ht="12.75">
      <c r="B98" s="56"/>
      <c r="E98" s="180">
        <v>42583</v>
      </c>
      <c r="F98" s="180" t="s">
        <v>372</v>
      </c>
      <c r="G98" s="181" t="s">
        <v>92</v>
      </c>
      <c r="H98" s="470">
        <f t="shared" ref="H98:H99" si="61">$C$38/12</f>
        <v>9.1666666666666665E-4</v>
      </c>
      <c r="I98" s="182">
        <f>(SUM('1.  LRAMVA Summary'!C$22:C$36))*$H98</f>
        <v>202.67725455995071</v>
      </c>
      <c r="J98" s="182">
        <f>(SUM('1.  LRAMVA Summary'!D$22:D$36))*$H98</f>
        <v>64.064506660759733</v>
      </c>
      <c r="K98" s="182">
        <f>(SUM('1.  LRAMVA Summary'!E$22:E$36))*$H98</f>
        <v>122.36182937686618</v>
      </c>
      <c r="L98" s="182">
        <f>(SUM('1.  LRAMVA Summary'!F$22:F$36))*$H98</f>
        <v>62.394989158257694</v>
      </c>
      <c r="M98" s="182">
        <f>(SUM('1.  LRAMVA Summary'!G$22:G$36))*$H98</f>
        <v>0</v>
      </c>
      <c r="N98" s="182">
        <f>(SUM('1.  LRAMVA Summary'!H$22:H$36))*$H98</f>
        <v>1.1806902432617425</v>
      </c>
      <c r="O98" s="182">
        <f>(SUM('1.  LRAMVA Summary'!I$22:I$36))*$H98</f>
        <v>0</v>
      </c>
      <c r="P98" s="182">
        <f>(SUM('1.  LRAMVA Summary'!J$22:J$36))*$H98</f>
        <v>37.888221225892664</v>
      </c>
      <c r="Q98" s="182">
        <f>(SUM('1.  LRAMVA Summary'!K$22:K$36))*$H98</f>
        <v>1.5088753204826071E-2</v>
      </c>
      <c r="R98" s="182">
        <f>(SUM('1.  LRAMVA Summary'!L$22:L$36))*$H98</f>
        <v>0</v>
      </c>
      <c r="S98" s="182">
        <f>(SUM('1.  LRAMVA Summary'!M$22:M$36))*$H98</f>
        <v>5.7794591052000008</v>
      </c>
      <c r="T98" s="183">
        <f t="shared" si="58"/>
        <v>496.36203908339354</v>
      </c>
    </row>
    <row r="99" spans="2:20" s="3" customFormat="1" ht="12.75">
      <c r="B99" s="56"/>
      <c r="E99" s="180">
        <v>42614</v>
      </c>
      <c r="F99" s="180" t="s">
        <v>372</v>
      </c>
      <c r="G99" s="181" t="s">
        <v>92</v>
      </c>
      <c r="H99" s="470">
        <f t="shared" si="61"/>
        <v>9.1666666666666665E-4</v>
      </c>
      <c r="I99" s="182">
        <f>(SUM('1.  LRAMVA Summary'!C$22:C$36))*$H99</f>
        <v>202.67725455995071</v>
      </c>
      <c r="J99" s="182">
        <f>(SUM('1.  LRAMVA Summary'!D$22:D$36))*$H99</f>
        <v>64.064506660759733</v>
      </c>
      <c r="K99" s="182">
        <f>(SUM('1.  LRAMVA Summary'!E$22:E$36))*$H99</f>
        <v>122.36182937686618</v>
      </c>
      <c r="L99" s="182">
        <f>(SUM('1.  LRAMVA Summary'!F$22:F$36))*$H99</f>
        <v>62.394989158257694</v>
      </c>
      <c r="M99" s="182">
        <f>(SUM('1.  LRAMVA Summary'!G$22:G$36))*$H99</f>
        <v>0</v>
      </c>
      <c r="N99" s="182">
        <f>(SUM('1.  LRAMVA Summary'!H$22:H$36))*$H99</f>
        <v>1.1806902432617425</v>
      </c>
      <c r="O99" s="182">
        <f>(SUM('1.  LRAMVA Summary'!I$22:I$36))*$H99</f>
        <v>0</v>
      </c>
      <c r="P99" s="182">
        <f>(SUM('1.  LRAMVA Summary'!J$22:J$36))*$H99</f>
        <v>37.888221225892664</v>
      </c>
      <c r="Q99" s="182">
        <f>(SUM('1.  LRAMVA Summary'!K$22:K$36))*$H99</f>
        <v>1.5088753204826071E-2</v>
      </c>
      <c r="R99" s="182">
        <f>(SUM('1.  LRAMVA Summary'!L$22:L$36))*$H99</f>
        <v>0</v>
      </c>
      <c r="S99" s="182">
        <f>(SUM('1.  LRAMVA Summary'!M$22:M$36))*$H99</f>
        <v>5.7794591052000008</v>
      </c>
      <c r="T99" s="183">
        <f t="shared" si="58"/>
        <v>496.36203908339354</v>
      </c>
    </row>
    <row r="100" spans="2:20" s="3" customFormat="1" ht="12.75">
      <c r="B100" s="56"/>
      <c r="E100" s="180">
        <v>42644</v>
      </c>
      <c r="F100" s="180" t="s">
        <v>372</v>
      </c>
      <c r="G100" s="181" t="s">
        <v>93</v>
      </c>
      <c r="H100" s="466">
        <f>$C$39/12</f>
        <v>9.1666666666666665E-4</v>
      </c>
      <c r="I100" s="182">
        <f>(SUM('1.  LRAMVA Summary'!C$22:C$36))*$H100</f>
        <v>202.67725455995071</v>
      </c>
      <c r="J100" s="182">
        <f>(SUM('1.  LRAMVA Summary'!D$22:D$36))*$H100</f>
        <v>64.064506660759733</v>
      </c>
      <c r="K100" s="182">
        <f>(SUM('1.  LRAMVA Summary'!E$22:E$36))*$H100</f>
        <v>122.36182937686618</v>
      </c>
      <c r="L100" s="182">
        <f>(SUM('1.  LRAMVA Summary'!F$22:F$36))*$H100</f>
        <v>62.394989158257694</v>
      </c>
      <c r="M100" s="182">
        <f>(SUM('1.  LRAMVA Summary'!G$22:G$36))*$H100</f>
        <v>0</v>
      </c>
      <c r="N100" s="182">
        <f>(SUM('1.  LRAMVA Summary'!H$22:H$36))*$H100</f>
        <v>1.1806902432617425</v>
      </c>
      <c r="O100" s="182">
        <f>(SUM('1.  LRAMVA Summary'!I$22:I$36))*$H100</f>
        <v>0</v>
      </c>
      <c r="P100" s="182">
        <f>(SUM('1.  LRAMVA Summary'!J$22:J$36))*$H100</f>
        <v>37.888221225892664</v>
      </c>
      <c r="Q100" s="182">
        <f>(SUM('1.  LRAMVA Summary'!K$22:K$36))*$H100</f>
        <v>1.5088753204826071E-2</v>
      </c>
      <c r="R100" s="182">
        <f>(SUM('1.  LRAMVA Summary'!L$22:L$36))*$H100</f>
        <v>0</v>
      </c>
      <c r="S100" s="182">
        <f>(SUM('1.  LRAMVA Summary'!M$22:M$36))*$H100</f>
        <v>5.7794591052000008</v>
      </c>
      <c r="T100" s="183">
        <f t="shared" si="58"/>
        <v>496.36203908339354</v>
      </c>
    </row>
    <row r="101" spans="2:20" s="3" customFormat="1" ht="12.75">
      <c r="B101" s="56"/>
      <c r="E101" s="180">
        <v>42675</v>
      </c>
      <c r="F101" s="180" t="s">
        <v>372</v>
      </c>
      <c r="G101" s="181" t="s">
        <v>93</v>
      </c>
      <c r="H101" s="466">
        <f t="shared" ref="H101:H102" si="62">$C$39/12</f>
        <v>9.1666666666666665E-4</v>
      </c>
      <c r="I101" s="182">
        <f>(SUM('1.  LRAMVA Summary'!C$22:C$36))*$H101</f>
        <v>202.67725455995071</v>
      </c>
      <c r="J101" s="182">
        <f>(SUM('1.  LRAMVA Summary'!D$22:D$36))*$H101</f>
        <v>64.064506660759733</v>
      </c>
      <c r="K101" s="182">
        <f>(SUM('1.  LRAMVA Summary'!E$22:E$36))*$H101</f>
        <v>122.36182937686618</v>
      </c>
      <c r="L101" s="182">
        <f>(SUM('1.  LRAMVA Summary'!F$22:F$36))*$H101</f>
        <v>62.394989158257694</v>
      </c>
      <c r="M101" s="182">
        <f>(SUM('1.  LRAMVA Summary'!G$22:G$36))*$H101</f>
        <v>0</v>
      </c>
      <c r="N101" s="182">
        <f>(SUM('1.  LRAMVA Summary'!H$22:H$36))*$H101</f>
        <v>1.1806902432617425</v>
      </c>
      <c r="O101" s="182">
        <f>(SUM('1.  LRAMVA Summary'!I$22:I$36))*$H101</f>
        <v>0</v>
      </c>
      <c r="P101" s="182">
        <f>(SUM('1.  LRAMVA Summary'!J$22:J$36))*$H101</f>
        <v>37.888221225892664</v>
      </c>
      <c r="Q101" s="182">
        <f>(SUM('1.  LRAMVA Summary'!K$22:K$36))*$H101</f>
        <v>1.5088753204826071E-2</v>
      </c>
      <c r="R101" s="182">
        <f>(SUM('1.  LRAMVA Summary'!L$22:L$36))*$H101</f>
        <v>0</v>
      </c>
      <c r="S101" s="182">
        <f>(SUM('1.  LRAMVA Summary'!M$22:M$36))*$H101</f>
        <v>5.7794591052000008</v>
      </c>
      <c r="T101" s="183">
        <f t="shared" si="58"/>
        <v>496.36203908339354</v>
      </c>
    </row>
    <row r="102" spans="2:20" s="3" customFormat="1" ht="12.75">
      <c r="B102" s="56"/>
      <c r="E102" s="180">
        <v>42705</v>
      </c>
      <c r="F102" s="180" t="s">
        <v>372</v>
      </c>
      <c r="G102" s="181" t="s">
        <v>93</v>
      </c>
      <c r="H102" s="466">
        <f t="shared" si="62"/>
        <v>9.1666666666666665E-4</v>
      </c>
      <c r="I102" s="182">
        <f>(SUM('1.  LRAMVA Summary'!C$22:C$36))*$H102</f>
        <v>202.67725455995071</v>
      </c>
      <c r="J102" s="182">
        <f>(SUM('1.  LRAMVA Summary'!D$22:D$36))*$H102</f>
        <v>64.064506660759733</v>
      </c>
      <c r="K102" s="182">
        <f>(SUM('1.  LRAMVA Summary'!E$22:E$36))*$H102</f>
        <v>122.36182937686618</v>
      </c>
      <c r="L102" s="182">
        <f>(SUM('1.  LRAMVA Summary'!F$22:F$36))*$H102</f>
        <v>62.394989158257694</v>
      </c>
      <c r="M102" s="182">
        <f>(SUM('1.  LRAMVA Summary'!G$22:G$36))*$H102</f>
        <v>0</v>
      </c>
      <c r="N102" s="182">
        <f>(SUM('1.  LRAMVA Summary'!H$22:H$36))*$H102</f>
        <v>1.1806902432617425</v>
      </c>
      <c r="O102" s="182">
        <f>(SUM('1.  LRAMVA Summary'!I$22:I$36))*$H102</f>
        <v>0</v>
      </c>
      <c r="P102" s="182">
        <f>(SUM('1.  LRAMVA Summary'!J$22:J$36))*$H102</f>
        <v>37.888221225892664</v>
      </c>
      <c r="Q102" s="182">
        <f>(SUM('1.  LRAMVA Summary'!K$22:K$36))*$H102</f>
        <v>1.5088753204826071E-2</v>
      </c>
      <c r="R102" s="182">
        <f>(SUM('1.  LRAMVA Summary'!L$22:L$36))*$H102</f>
        <v>0</v>
      </c>
      <c r="S102" s="182">
        <f>(SUM('1.  LRAMVA Summary'!M$22:M$36))*$H102</f>
        <v>5.7794591052000008</v>
      </c>
      <c r="T102" s="183">
        <f t="shared" si="58"/>
        <v>496.36203908339354</v>
      </c>
    </row>
    <row r="103" spans="2:20" s="3" customFormat="1" ht="13.5" thickBot="1">
      <c r="B103" s="56"/>
      <c r="E103" s="192" t="s">
        <v>394</v>
      </c>
      <c r="F103" s="192"/>
      <c r="G103" s="193"/>
      <c r="H103" s="467"/>
      <c r="I103" s="194">
        <f>SUM(I90:I102)</f>
        <v>6827.0673283444103</v>
      </c>
      <c r="J103" s="194">
        <f>SUM(J90:J102)</f>
        <v>3195.9523599952126</v>
      </c>
      <c r="K103" s="194">
        <f t="shared" ref="K103:O103" si="63">SUM(K90:K102)</f>
        <v>4441.9536977620355</v>
      </c>
      <c r="L103" s="194">
        <f t="shared" si="63"/>
        <v>2180.5202556236395</v>
      </c>
      <c r="M103" s="194">
        <f t="shared" si="63"/>
        <v>0</v>
      </c>
      <c r="N103" s="194">
        <f t="shared" si="63"/>
        <v>35.298559074007457</v>
      </c>
      <c r="O103" s="194">
        <f t="shared" si="63"/>
        <v>0</v>
      </c>
      <c r="P103" s="194">
        <f t="shared" ref="P103" si="64">SUM(P90:P102)</f>
        <v>880.26921341727939</v>
      </c>
      <c r="Q103" s="194">
        <f t="shared" ref="Q103:S103" si="65">SUM(Q90:Q102)</f>
        <v>0.26532200805849854</v>
      </c>
      <c r="R103" s="194">
        <f t="shared" si="65"/>
        <v>0</v>
      </c>
      <c r="S103" s="194">
        <f t="shared" si="65"/>
        <v>135.66087557829005</v>
      </c>
      <c r="T103" s="194">
        <f>SUM(T90:T102)</f>
        <v>17696.987611802924</v>
      </c>
    </row>
    <row r="104" spans="2:20" s="3" customFormat="1" ht="13.5" thickTop="1">
      <c r="B104" s="56"/>
      <c r="E104" s="223" t="s">
        <v>91</v>
      </c>
      <c r="F104" s="223"/>
      <c r="G104" s="224"/>
      <c r="H104" s="468"/>
      <c r="I104" s="225"/>
      <c r="J104" s="225"/>
      <c r="K104" s="225"/>
      <c r="L104" s="225"/>
      <c r="M104" s="225"/>
      <c r="N104" s="225"/>
      <c r="O104" s="225"/>
      <c r="P104" s="225"/>
      <c r="Q104" s="225"/>
      <c r="R104" s="225"/>
      <c r="S104" s="225"/>
      <c r="T104" s="226"/>
    </row>
    <row r="105" spans="2:20" s="3" customFormat="1" ht="12.75">
      <c r="B105" s="56"/>
      <c r="E105" s="189" t="s">
        <v>389</v>
      </c>
      <c r="F105" s="189"/>
      <c r="G105" s="190"/>
      <c r="H105" s="469"/>
      <c r="I105" s="191">
        <f>I103+I104</f>
        <v>6827.0673283444103</v>
      </c>
      <c r="J105" s="191">
        <f t="shared" ref="J105" si="66">J103+J104</f>
        <v>3195.9523599952126</v>
      </c>
      <c r="K105" s="191">
        <f t="shared" ref="K105" si="67">K103+K104</f>
        <v>4441.9536977620355</v>
      </c>
      <c r="L105" s="191">
        <f t="shared" ref="L105" si="68">L103+L104</f>
        <v>2180.5202556236395</v>
      </c>
      <c r="M105" s="191">
        <f t="shared" ref="M105" si="69">M103+M104</f>
        <v>0</v>
      </c>
      <c r="N105" s="191">
        <f t="shared" ref="N105" si="70">N103+N104</f>
        <v>35.298559074007457</v>
      </c>
      <c r="O105" s="191">
        <f t="shared" ref="O105:P105" si="71">O103+O104</f>
        <v>0</v>
      </c>
      <c r="P105" s="191">
        <f t="shared" si="71"/>
        <v>880.26921341727939</v>
      </c>
      <c r="Q105" s="191">
        <f t="shared" ref="Q105:S105" si="72">Q103+Q104</f>
        <v>0.26532200805849854</v>
      </c>
      <c r="R105" s="191">
        <f t="shared" si="72"/>
        <v>0</v>
      </c>
      <c r="S105" s="191">
        <f t="shared" si="72"/>
        <v>135.66087557829005</v>
      </c>
      <c r="T105" s="191">
        <f t="shared" ref="T105" si="73">T103+T104</f>
        <v>17696.987611802924</v>
      </c>
    </row>
    <row r="106" spans="2:20" s="3" customFormat="1" ht="12.75">
      <c r="B106" s="56"/>
      <c r="E106" s="180">
        <v>42736</v>
      </c>
      <c r="F106" s="180" t="s">
        <v>373</v>
      </c>
      <c r="G106" s="181" t="s">
        <v>89</v>
      </c>
      <c r="H106" s="473">
        <f>$C$40/12</f>
        <v>9.1666666666666665E-4</v>
      </c>
      <c r="I106" s="182">
        <f>SUM('1.  LRAMVA Summary'!C$22:C$36)*$H106</f>
        <v>202.67725455995071</v>
      </c>
      <c r="J106" s="182">
        <f>SUM('1.  LRAMVA Summary'!D$22:D$36)*$H106</f>
        <v>64.064506660759733</v>
      </c>
      <c r="K106" s="182">
        <f>SUM('1.  LRAMVA Summary'!E$22:E$36)*$H106</f>
        <v>122.36182937686618</v>
      </c>
      <c r="L106" s="182">
        <f>SUM('1.  LRAMVA Summary'!F$22:F$36)*$H106</f>
        <v>62.394989158257694</v>
      </c>
      <c r="M106" s="182">
        <f>SUM('1.  LRAMVA Summary'!G$22:G$36)*$H106</f>
        <v>0</v>
      </c>
      <c r="N106" s="182">
        <f>SUM('1.  LRAMVA Summary'!H$22:H$36)*$H106</f>
        <v>1.1806902432617425</v>
      </c>
      <c r="O106" s="182">
        <f>SUM('1.  LRAMVA Summary'!I$22:I$36)*$H106</f>
        <v>0</v>
      </c>
      <c r="P106" s="182">
        <f>SUM('1.  LRAMVA Summary'!J$22:J$36)*$H106</f>
        <v>37.888221225892664</v>
      </c>
      <c r="Q106" s="182">
        <f>SUM('1.  LRAMVA Summary'!K$22:K$36)*$H106</f>
        <v>1.5088753204826071E-2</v>
      </c>
      <c r="R106" s="182">
        <f>SUM('1.  LRAMVA Summary'!L$22:L$36)*$H106</f>
        <v>0</v>
      </c>
      <c r="S106" s="182">
        <f>SUM('1.  LRAMVA Summary'!M$22:M$36)*$H106</f>
        <v>5.7794591052000008</v>
      </c>
      <c r="T106" s="183">
        <f t="shared" ref="T106:T109" si="74">SUM(I106:S106)</f>
        <v>496.36203908339354</v>
      </c>
    </row>
    <row r="107" spans="2:20" s="3" customFormat="1" ht="12.75">
      <c r="B107" s="56"/>
      <c r="E107" s="180">
        <v>42767</v>
      </c>
      <c r="F107" s="180" t="s">
        <v>373</v>
      </c>
      <c r="G107" s="181" t="s">
        <v>89</v>
      </c>
      <c r="H107" s="473">
        <f t="shared" ref="H107:H108" si="75">$C$40/12</f>
        <v>9.1666666666666665E-4</v>
      </c>
      <c r="I107" s="182">
        <f>SUM('1.  LRAMVA Summary'!C$22:C$36)*$H107</f>
        <v>202.67725455995071</v>
      </c>
      <c r="J107" s="182">
        <f>SUM('1.  LRAMVA Summary'!D$22:D$36)*$H107</f>
        <v>64.064506660759733</v>
      </c>
      <c r="K107" s="182">
        <f>SUM('1.  LRAMVA Summary'!E$22:E$36)*$H107</f>
        <v>122.36182937686618</v>
      </c>
      <c r="L107" s="182">
        <f>SUM('1.  LRAMVA Summary'!F$22:F$36)*$H107</f>
        <v>62.394989158257694</v>
      </c>
      <c r="M107" s="182">
        <f>SUM('1.  LRAMVA Summary'!G$22:G$36)*$H107</f>
        <v>0</v>
      </c>
      <c r="N107" s="182">
        <f>SUM('1.  LRAMVA Summary'!H$22:H$36)*$H107</f>
        <v>1.1806902432617425</v>
      </c>
      <c r="O107" s="182">
        <f>SUM('1.  LRAMVA Summary'!I$22:I$36)*$H107</f>
        <v>0</v>
      </c>
      <c r="P107" s="182">
        <f>SUM('1.  LRAMVA Summary'!J$22:J$36)*$H107</f>
        <v>37.888221225892664</v>
      </c>
      <c r="Q107" s="182">
        <f>SUM('1.  LRAMVA Summary'!K$22:K$36)*$H107</f>
        <v>1.5088753204826071E-2</v>
      </c>
      <c r="R107" s="182">
        <f>SUM('1.  LRAMVA Summary'!L$22:L$36)*$H107</f>
        <v>0</v>
      </c>
      <c r="S107" s="182">
        <f>SUM('1.  LRAMVA Summary'!M$22:M$36)*$H107</f>
        <v>5.7794591052000008</v>
      </c>
      <c r="T107" s="183">
        <f t="shared" si="74"/>
        <v>496.36203908339354</v>
      </c>
    </row>
    <row r="108" spans="2:20" s="3" customFormat="1" ht="12.75">
      <c r="B108" s="56"/>
      <c r="E108" s="180">
        <v>42795</v>
      </c>
      <c r="F108" s="180" t="s">
        <v>373</v>
      </c>
      <c r="G108" s="181" t="s">
        <v>89</v>
      </c>
      <c r="H108" s="473">
        <f t="shared" si="75"/>
        <v>9.1666666666666665E-4</v>
      </c>
      <c r="I108" s="182">
        <f>SUM('1.  LRAMVA Summary'!C$22:C$36)*$H108</f>
        <v>202.67725455995071</v>
      </c>
      <c r="J108" s="182">
        <f>SUM('1.  LRAMVA Summary'!D$22:D$36)*$H108</f>
        <v>64.064506660759733</v>
      </c>
      <c r="K108" s="182">
        <f>SUM('1.  LRAMVA Summary'!E$22:E$36)*$H108</f>
        <v>122.36182937686618</v>
      </c>
      <c r="L108" s="182">
        <f>SUM('1.  LRAMVA Summary'!F$22:F$36)*$H108</f>
        <v>62.394989158257694</v>
      </c>
      <c r="M108" s="182">
        <f>SUM('1.  LRAMVA Summary'!G$22:G$36)*$H108</f>
        <v>0</v>
      </c>
      <c r="N108" s="182">
        <f>SUM('1.  LRAMVA Summary'!H$22:H$36)*$H108</f>
        <v>1.1806902432617425</v>
      </c>
      <c r="O108" s="182">
        <f>SUM('1.  LRAMVA Summary'!I$22:I$36)*$H108</f>
        <v>0</v>
      </c>
      <c r="P108" s="182">
        <f>SUM('1.  LRAMVA Summary'!J$22:J$36)*$H108</f>
        <v>37.888221225892664</v>
      </c>
      <c r="Q108" s="182">
        <f>SUM('1.  LRAMVA Summary'!K$22:K$36)*$H108</f>
        <v>1.5088753204826071E-2</v>
      </c>
      <c r="R108" s="182">
        <f>SUM('1.  LRAMVA Summary'!L$22:L$36)*$H108</f>
        <v>0</v>
      </c>
      <c r="S108" s="182">
        <f>SUM('1.  LRAMVA Summary'!M$22:M$36)*$H108</f>
        <v>5.7794591052000008</v>
      </c>
      <c r="T108" s="183">
        <f t="shared" si="74"/>
        <v>496.36203908339354</v>
      </c>
    </row>
    <row r="109" spans="2:20" s="16" customFormat="1" ht="12.75">
      <c r="B109" s="215"/>
      <c r="E109" s="180">
        <v>42826</v>
      </c>
      <c r="F109" s="180" t="s">
        <v>373</v>
      </c>
      <c r="G109" s="181" t="s">
        <v>90</v>
      </c>
      <c r="H109" s="473">
        <f>$C$41/12</f>
        <v>9.1666666666666665E-4</v>
      </c>
      <c r="I109" s="182">
        <f>SUM('1.  LRAMVA Summary'!C$22:C$36)*$H109</f>
        <v>202.67725455995071</v>
      </c>
      <c r="J109" s="182">
        <f>SUM('1.  LRAMVA Summary'!D$22:D$36)*$H109</f>
        <v>64.064506660759733</v>
      </c>
      <c r="K109" s="182">
        <f>SUM('1.  LRAMVA Summary'!E$22:E$36)*$H109</f>
        <v>122.36182937686618</v>
      </c>
      <c r="L109" s="182">
        <f>SUM('1.  LRAMVA Summary'!F$22:F$36)*$H109</f>
        <v>62.394989158257694</v>
      </c>
      <c r="M109" s="182">
        <f>SUM('1.  LRAMVA Summary'!G$22:G$36)*$H109</f>
        <v>0</v>
      </c>
      <c r="N109" s="182">
        <f>SUM('1.  LRAMVA Summary'!H$22:H$36)*$H109</f>
        <v>1.1806902432617425</v>
      </c>
      <c r="O109" s="182">
        <f>SUM('1.  LRAMVA Summary'!I$22:I$36)*$H109</f>
        <v>0</v>
      </c>
      <c r="P109" s="182">
        <f>SUM('1.  LRAMVA Summary'!J$22:J$36)*$H109</f>
        <v>37.888221225892664</v>
      </c>
      <c r="Q109" s="182">
        <f>SUM('1.  LRAMVA Summary'!K$22:K$36)*$H109</f>
        <v>1.5088753204826071E-2</v>
      </c>
      <c r="R109" s="182">
        <f>SUM('1.  LRAMVA Summary'!L$22:L$36)*$H109</f>
        <v>0</v>
      </c>
      <c r="S109" s="182">
        <f>SUM('1.  LRAMVA Summary'!M$22:M$36)*$H109</f>
        <v>5.7794591052000008</v>
      </c>
      <c r="T109" s="183">
        <f t="shared" si="74"/>
        <v>496.36203908339354</v>
      </c>
    </row>
    <row r="110" spans="2:20" s="3" customFormat="1" ht="12.75" hidden="1">
      <c r="B110" s="56"/>
      <c r="E110" s="180">
        <v>42856</v>
      </c>
      <c r="F110" s="180" t="s">
        <v>373</v>
      </c>
      <c r="G110" s="181" t="s">
        <v>90</v>
      </c>
      <c r="H110" s="473">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2.75" hidden="1">
      <c r="B111" s="214"/>
      <c r="E111" s="180">
        <v>42887</v>
      </c>
      <c r="F111" s="180" t="s">
        <v>373</v>
      </c>
      <c r="G111" s="181" t="s">
        <v>90</v>
      </c>
      <c r="H111" s="473">
        <f t="shared" si="76"/>
        <v>9.1666666666666665E-4</v>
      </c>
      <c r="I111" s="182"/>
      <c r="J111" s="182"/>
      <c r="K111" s="182"/>
      <c r="L111" s="182"/>
      <c r="M111" s="182"/>
      <c r="N111" s="182"/>
      <c r="O111" s="182"/>
      <c r="P111" s="182"/>
      <c r="Q111" s="182"/>
      <c r="R111" s="182"/>
      <c r="S111" s="182"/>
      <c r="T111" s="183">
        <f t="shared" si="77"/>
        <v>0</v>
      </c>
    </row>
    <row r="112" spans="2:20" s="3" customFormat="1" ht="12.75" hidden="1">
      <c r="B112" s="56"/>
      <c r="E112" s="180">
        <v>42917</v>
      </c>
      <c r="F112" s="180" t="s">
        <v>373</v>
      </c>
      <c r="G112" s="181" t="s">
        <v>92</v>
      </c>
      <c r="H112" s="473">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2.75" hidden="1">
      <c r="B113" s="56"/>
      <c r="E113" s="180">
        <v>42948</v>
      </c>
      <c r="F113" s="180" t="s">
        <v>373</v>
      </c>
      <c r="G113" s="181" t="s">
        <v>92</v>
      </c>
      <c r="H113" s="473">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2.75" hidden="1">
      <c r="B114" s="56"/>
      <c r="E114" s="180">
        <v>42979</v>
      </c>
      <c r="F114" s="180" t="s">
        <v>373</v>
      </c>
      <c r="G114" s="181" t="s">
        <v>92</v>
      </c>
      <c r="H114" s="473">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2.75" hidden="1">
      <c r="B115" s="56"/>
      <c r="E115" s="180">
        <v>43009</v>
      </c>
      <c r="F115" s="180" t="s">
        <v>373</v>
      </c>
      <c r="G115" s="181" t="s">
        <v>93</v>
      </c>
      <c r="H115" s="473">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2.75" hidden="1">
      <c r="B116" s="56"/>
      <c r="E116" s="180">
        <v>43040</v>
      </c>
      <c r="F116" s="180" t="s">
        <v>373</v>
      </c>
      <c r="G116" s="181" t="s">
        <v>93</v>
      </c>
      <c r="H116" s="473">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2.75" hidden="1">
      <c r="B117" s="56"/>
      <c r="E117" s="180">
        <v>43070</v>
      </c>
      <c r="F117" s="180" t="s">
        <v>373</v>
      </c>
      <c r="G117" s="181" t="s">
        <v>93</v>
      </c>
      <c r="H117" s="473">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ht="13.5" thickBot="1">
      <c r="B118" s="56"/>
      <c r="E118" s="192" t="s">
        <v>380</v>
      </c>
      <c r="F118" s="192"/>
      <c r="G118" s="193"/>
      <c r="H118" s="467"/>
      <c r="I118" s="194">
        <f>SUM(I105:I117)</f>
        <v>7637.7763465842127</v>
      </c>
      <c r="J118" s="194">
        <f>SUM(J105:J117)</f>
        <v>3452.2103866382522</v>
      </c>
      <c r="K118" s="194">
        <f t="shared" ref="K118:O118" si="80">SUM(K105:K117)</f>
        <v>4931.4010152694991</v>
      </c>
      <c r="L118" s="194">
        <f t="shared" si="80"/>
        <v>2430.1002122566711</v>
      </c>
      <c r="M118" s="194">
        <f t="shared" si="80"/>
        <v>0</v>
      </c>
      <c r="N118" s="194">
        <f t="shared" si="80"/>
        <v>40.021320047054431</v>
      </c>
      <c r="O118" s="194">
        <f t="shared" si="80"/>
        <v>0</v>
      </c>
      <c r="P118" s="194">
        <f t="shared" ref="P118" si="81">SUM(P105:P117)</f>
        <v>1031.8220983208503</v>
      </c>
      <c r="Q118" s="194">
        <f t="shared" ref="Q118:S118" si="82">SUM(Q105:Q117)</f>
        <v>0.32567702087780276</v>
      </c>
      <c r="R118" s="194">
        <f t="shared" si="82"/>
        <v>0</v>
      </c>
      <c r="S118" s="194">
        <f t="shared" si="82"/>
        <v>158.77871199909006</v>
      </c>
      <c r="T118" s="194">
        <f>SUM(T105:T117)</f>
        <v>19682.435768136496</v>
      </c>
    </row>
    <row r="119" spans="2:20" s="3" customFormat="1" ht="13.5" thickTop="1">
      <c r="B119" s="56"/>
      <c r="E119" s="223" t="s">
        <v>91</v>
      </c>
      <c r="F119" s="223"/>
      <c r="G119" s="224"/>
      <c r="H119" s="468"/>
      <c r="I119" s="225"/>
      <c r="J119" s="225"/>
      <c r="K119" s="225"/>
      <c r="L119" s="225"/>
      <c r="M119" s="225"/>
      <c r="N119" s="225"/>
      <c r="O119" s="225"/>
      <c r="P119" s="225"/>
      <c r="Q119" s="225"/>
      <c r="R119" s="225"/>
      <c r="S119" s="225"/>
      <c r="T119" s="226"/>
    </row>
    <row r="120" spans="2:20" s="3" customFormat="1" ht="12.75">
      <c r="B120" s="56"/>
      <c r="E120" s="189" t="s">
        <v>390</v>
      </c>
      <c r="F120" s="189"/>
      <c r="G120" s="190"/>
      <c r="H120" s="469"/>
      <c r="I120" s="191">
        <f>I118+I119</f>
        <v>7637.7763465842127</v>
      </c>
      <c r="J120" s="191">
        <f t="shared" ref="J120" si="83">J118+J119</f>
        <v>3452.2103866382522</v>
      </c>
      <c r="K120" s="191">
        <f t="shared" ref="K120" si="84">K118+K119</f>
        <v>4931.4010152694991</v>
      </c>
      <c r="L120" s="191">
        <f t="shared" ref="L120" si="85">L118+L119</f>
        <v>2430.1002122566711</v>
      </c>
      <c r="M120" s="191">
        <f t="shared" ref="M120" si="86">M118+M119</f>
        <v>0</v>
      </c>
      <c r="N120" s="191">
        <f t="shared" ref="N120" si="87">N118+N119</f>
        <v>40.021320047054431</v>
      </c>
      <c r="O120" s="191">
        <f t="shared" ref="O120:P120" si="88">O118+O119</f>
        <v>0</v>
      </c>
      <c r="P120" s="191">
        <f t="shared" si="88"/>
        <v>1031.8220983208503</v>
      </c>
      <c r="Q120" s="191">
        <f t="shared" ref="Q120:S120" si="89">Q118+Q119</f>
        <v>0.32567702087780276</v>
      </c>
      <c r="R120" s="191">
        <f t="shared" si="89"/>
        <v>0</v>
      </c>
      <c r="S120" s="191">
        <f t="shared" si="89"/>
        <v>158.77871199909006</v>
      </c>
      <c r="T120" s="191">
        <f t="shared" ref="T120" si="90">T118+T119</f>
        <v>19682.435768136496</v>
      </c>
    </row>
    <row r="121" spans="2:20" s="3" customFormat="1" ht="12.75" hidden="1">
      <c r="B121" s="56"/>
      <c r="E121" s="180">
        <v>43101</v>
      </c>
      <c r="F121" s="180" t="s">
        <v>374</v>
      </c>
      <c r="G121" s="181" t="s">
        <v>89</v>
      </c>
      <c r="H121" s="473">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2.75" hidden="1">
      <c r="B122" s="56"/>
      <c r="E122" s="180">
        <v>43132</v>
      </c>
      <c r="F122" s="180" t="s">
        <v>374</v>
      </c>
      <c r="G122" s="181" t="s">
        <v>89</v>
      </c>
      <c r="H122" s="473">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2.75" hidden="1">
      <c r="B123" s="56"/>
      <c r="E123" s="180">
        <v>43160</v>
      </c>
      <c r="F123" s="180" t="s">
        <v>374</v>
      </c>
      <c r="G123" s="181" t="s">
        <v>89</v>
      </c>
      <c r="H123" s="473">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2.75" hidden="1">
      <c r="B124" s="215"/>
      <c r="E124" s="180">
        <v>43191</v>
      </c>
      <c r="F124" s="180" t="s">
        <v>374</v>
      </c>
      <c r="G124" s="181" t="s">
        <v>90</v>
      </c>
      <c r="H124" s="473">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2.75" hidden="1">
      <c r="B125" s="56"/>
      <c r="E125" s="180">
        <v>43221</v>
      </c>
      <c r="F125" s="180" t="s">
        <v>374</v>
      </c>
      <c r="G125" s="181" t="s">
        <v>90</v>
      </c>
      <c r="H125" s="473">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2.75" hidden="1">
      <c r="B126" s="214"/>
      <c r="E126" s="180">
        <v>43252</v>
      </c>
      <c r="F126" s="180" t="s">
        <v>374</v>
      </c>
      <c r="G126" s="181" t="s">
        <v>90</v>
      </c>
      <c r="H126" s="473">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2.75" hidden="1">
      <c r="B127" s="56"/>
      <c r="E127" s="180">
        <v>43282</v>
      </c>
      <c r="F127" s="180" t="s">
        <v>374</v>
      </c>
      <c r="G127" s="181" t="s">
        <v>92</v>
      </c>
      <c r="H127" s="473">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2.75" hidden="1">
      <c r="B128" s="56"/>
      <c r="E128" s="180">
        <v>43313</v>
      </c>
      <c r="F128" s="180" t="s">
        <v>374</v>
      </c>
      <c r="G128" s="181" t="s">
        <v>92</v>
      </c>
      <c r="H128" s="473">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2.75" hidden="1">
      <c r="B129" s="56"/>
      <c r="E129" s="180">
        <v>43344</v>
      </c>
      <c r="F129" s="180" t="s">
        <v>374</v>
      </c>
      <c r="G129" s="181" t="s">
        <v>92</v>
      </c>
      <c r="H129" s="473">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2.75" hidden="1">
      <c r="B130" s="56"/>
      <c r="E130" s="180">
        <v>43374</v>
      </c>
      <c r="F130" s="180" t="s">
        <v>374</v>
      </c>
      <c r="G130" s="181" t="s">
        <v>93</v>
      </c>
      <c r="H130" s="473">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2.75" hidden="1">
      <c r="B131" s="56"/>
      <c r="E131" s="180">
        <v>43405</v>
      </c>
      <c r="F131" s="180" t="s">
        <v>374</v>
      </c>
      <c r="G131" s="181" t="s">
        <v>93</v>
      </c>
      <c r="H131" s="473">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2.75" hidden="1">
      <c r="B132" s="56"/>
      <c r="E132" s="180">
        <v>43435</v>
      </c>
      <c r="F132" s="180" t="s">
        <v>374</v>
      </c>
      <c r="G132" s="181" t="s">
        <v>93</v>
      </c>
      <c r="H132" s="473">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t="13.5" hidden="1" thickBot="1">
      <c r="B133" s="56"/>
      <c r="E133" s="192" t="s">
        <v>381</v>
      </c>
      <c r="F133" s="192"/>
      <c r="G133" s="193"/>
      <c r="H133" s="467"/>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t="13.5" hidden="1" thickTop="1">
      <c r="B134" s="56"/>
      <c r="E134" s="223" t="s">
        <v>91</v>
      </c>
      <c r="F134" s="223"/>
      <c r="G134" s="224"/>
      <c r="H134" s="468"/>
      <c r="I134" s="225"/>
      <c r="J134" s="225"/>
      <c r="K134" s="225"/>
      <c r="L134" s="225"/>
      <c r="M134" s="225"/>
      <c r="N134" s="225"/>
      <c r="O134" s="225"/>
      <c r="P134" s="225"/>
      <c r="Q134" s="225"/>
      <c r="R134" s="225"/>
      <c r="S134" s="225"/>
      <c r="T134" s="226"/>
    </row>
    <row r="135" spans="2:20" s="3" customFormat="1" ht="12.75" hidden="1">
      <c r="B135" s="56"/>
      <c r="E135" s="189" t="s">
        <v>391</v>
      </c>
      <c r="F135" s="189"/>
      <c r="G135" s="190"/>
      <c r="H135" s="469"/>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2.75" hidden="1">
      <c r="B136" s="56"/>
      <c r="E136" s="180">
        <v>43466</v>
      </c>
      <c r="F136" s="180" t="s">
        <v>375</v>
      </c>
      <c r="G136" s="181" t="s">
        <v>89</v>
      </c>
      <c r="H136" s="473">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2.75" hidden="1">
      <c r="B137" s="56"/>
      <c r="E137" s="180">
        <v>43497</v>
      </c>
      <c r="F137" s="180" t="s">
        <v>375</v>
      </c>
      <c r="G137" s="181" t="s">
        <v>89</v>
      </c>
      <c r="H137" s="473">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2.75" hidden="1">
      <c r="B138" s="56"/>
      <c r="E138" s="180">
        <v>43525</v>
      </c>
      <c r="F138" s="180" t="s">
        <v>375</v>
      </c>
      <c r="G138" s="181" t="s">
        <v>89</v>
      </c>
      <c r="H138" s="473">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2.75" hidden="1">
      <c r="B139" s="215"/>
      <c r="E139" s="180">
        <v>43556</v>
      </c>
      <c r="F139" s="180" t="s">
        <v>375</v>
      </c>
      <c r="G139" s="181" t="s">
        <v>90</v>
      </c>
      <c r="H139" s="473">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2.75" hidden="1">
      <c r="B140" s="56"/>
      <c r="E140" s="180">
        <v>43586</v>
      </c>
      <c r="F140" s="180" t="s">
        <v>375</v>
      </c>
      <c r="G140" s="181" t="s">
        <v>90</v>
      </c>
      <c r="H140" s="473">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2.75" hidden="1">
      <c r="B141" s="56"/>
      <c r="E141" s="180">
        <v>43617</v>
      </c>
      <c r="F141" s="180" t="s">
        <v>375</v>
      </c>
      <c r="G141" s="181" t="s">
        <v>90</v>
      </c>
      <c r="H141" s="473">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3">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3">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3">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3">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3">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3">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75" hidden="1" thickBot="1">
      <c r="E148" s="192" t="s">
        <v>382</v>
      </c>
      <c r="F148" s="192"/>
      <c r="G148" s="193"/>
      <c r="H148" s="467"/>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75" hidden="1" thickTop="1">
      <c r="E149" s="223" t="s">
        <v>91</v>
      </c>
      <c r="F149" s="223"/>
      <c r="G149" s="224"/>
      <c r="H149" s="468"/>
      <c r="I149" s="225"/>
      <c r="J149" s="225"/>
      <c r="K149" s="225"/>
      <c r="L149" s="225"/>
      <c r="M149" s="225"/>
      <c r="N149" s="225"/>
      <c r="O149" s="225"/>
      <c r="P149" s="225"/>
      <c r="Q149" s="225"/>
      <c r="R149" s="225"/>
      <c r="S149" s="225"/>
      <c r="T149" s="226"/>
    </row>
    <row r="150" spans="5:20" hidden="1">
      <c r="E150" s="189" t="s">
        <v>395</v>
      </c>
      <c r="F150" s="189"/>
      <c r="G150" s="190"/>
      <c r="H150" s="469"/>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3">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3">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3">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3">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3">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3">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3">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3">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3">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3">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3">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3">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75" hidden="1" thickBot="1">
      <c r="E163" s="192" t="s">
        <v>383</v>
      </c>
      <c r="F163" s="192"/>
      <c r="G163" s="193"/>
      <c r="H163" s="467"/>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75" hidden="1" thickTop="1">
      <c r="E164" s="223" t="s">
        <v>91</v>
      </c>
      <c r="F164" s="223"/>
      <c r="G164" s="224"/>
      <c r="H164" s="468"/>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workbookViewId="0">
      <selection activeCell="C6" sqref="C6"/>
    </sheetView>
  </sheetViews>
  <sheetFormatPr defaultColWidth="0" defaultRowHeight="12.95" customHeight="1" zeroHeight="1"/>
  <cols>
    <col min="1" max="1" width="22.42578125" style="624" customWidth="1"/>
    <col min="2" max="4" width="12.42578125" style="624" customWidth="1"/>
    <col min="5" max="5" width="12.85546875" style="624" customWidth="1"/>
    <col min="6" max="16384" width="12.42578125" style="624" hidden="1"/>
  </cols>
  <sheetData>
    <row r="1" spans="1:5" ht="12.75">
      <c r="A1" s="622" t="s">
        <v>572</v>
      </c>
      <c r="B1" s="622"/>
      <c r="C1" s="622"/>
      <c r="D1" s="622"/>
      <c r="E1" s="623"/>
    </row>
    <row r="2" spans="1:5" ht="12.75">
      <c r="A2" s="622" t="s">
        <v>560</v>
      </c>
      <c r="B2" s="633" t="s">
        <v>561</v>
      </c>
      <c r="C2" s="633" t="s">
        <v>562</v>
      </c>
      <c r="D2" s="633" t="s">
        <v>563</v>
      </c>
      <c r="E2" s="623"/>
    </row>
    <row r="3" spans="1:5" ht="12.75">
      <c r="A3" s="623">
        <v>2011</v>
      </c>
      <c r="B3" s="625"/>
      <c r="C3" s="626"/>
      <c r="D3" s="625"/>
      <c r="E3" s="623"/>
    </row>
    <row r="4" spans="1:5" ht="12.75">
      <c r="A4" s="623">
        <v>2012</v>
      </c>
      <c r="B4" s="625"/>
      <c r="C4" s="626"/>
      <c r="D4" s="625"/>
      <c r="E4" s="623"/>
    </row>
    <row r="5" spans="1:5" ht="12.75">
      <c r="A5" s="623">
        <v>2013</v>
      </c>
      <c r="B5" s="625"/>
      <c r="C5" s="626"/>
      <c r="D5" s="625"/>
      <c r="E5" s="623"/>
    </row>
    <row r="6" spans="1:5" ht="12.75">
      <c r="A6" s="623">
        <v>2014</v>
      </c>
      <c r="B6" s="627">
        <v>749833</v>
      </c>
      <c r="C6" s="626">
        <v>0.72</v>
      </c>
      <c r="D6" s="627">
        <f>B6*C6</f>
        <v>539879.76</v>
      </c>
      <c r="E6" s="623"/>
    </row>
    <row r="7" spans="1:5" ht="12.75">
      <c r="A7" s="623"/>
      <c r="B7" s="623"/>
      <c r="C7" s="623"/>
      <c r="D7" s="623"/>
      <c r="E7" s="623"/>
    </row>
    <row r="8" spans="1:5" ht="12.75">
      <c r="A8" s="622" t="s">
        <v>573</v>
      </c>
      <c r="B8" s="622"/>
      <c r="C8" s="622"/>
      <c r="D8" s="623"/>
      <c r="E8" s="623"/>
    </row>
    <row r="9" spans="1:5" ht="25.5">
      <c r="A9" s="622" t="s">
        <v>86</v>
      </c>
      <c r="B9" s="633" t="s">
        <v>564</v>
      </c>
      <c r="C9" s="634" t="s">
        <v>565</v>
      </c>
      <c r="D9" s="633" t="s">
        <v>562</v>
      </c>
      <c r="E9" s="634" t="s">
        <v>566</v>
      </c>
    </row>
    <row r="10" spans="1:5" ht="12.75" hidden="1">
      <c r="A10" s="628">
        <v>40544</v>
      </c>
      <c r="B10" s="625"/>
      <c r="C10" s="623"/>
      <c r="D10" s="623"/>
      <c r="E10" s="623"/>
    </row>
    <row r="11" spans="1:5" ht="12.75" hidden="1">
      <c r="A11" s="628">
        <v>40575</v>
      </c>
      <c r="B11" s="625"/>
      <c r="C11" s="623"/>
      <c r="D11" s="623"/>
      <c r="E11" s="623"/>
    </row>
    <row r="12" spans="1:5" ht="12.75" hidden="1">
      <c r="A12" s="628">
        <v>40603</v>
      </c>
      <c r="B12" s="625"/>
      <c r="C12" s="623"/>
      <c r="D12" s="623"/>
      <c r="E12" s="623"/>
    </row>
    <row r="13" spans="1:5" ht="12.75" hidden="1">
      <c r="A13" s="628">
        <v>40634</v>
      </c>
      <c r="B13" s="625"/>
      <c r="C13" s="623"/>
      <c r="D13" s="623"/>
      <c r="E13" s="623"/>
    </row>
    <row r="14" spans="1:5" ht="12.75" hidden="1">
      <c r="A14" s="628">
        <v>40664</v>
      </c>
      <c r="B14" s="625"/>
      <c r="C14" s="623"/>
      <c r="D14" s="623"/>
      <c r="E14" s="623"/>
    </row>
    <row r="15" spans="1:5" ht="12.75" hidden="1">
      <c r="A15" s="628">
        <v>40695</v>
      </c>
      <c r="B15" s="625"/>
      <c r="C15" s="623"/>
      <c r="D15" s="623"/>
      <c r="E15" s="623"/>
    </row>
    <row r="16" spans="1:5" ht="12.75" hidden="1">
      <c r="A16" s="628">
        <v>40725</v>
      </c>
      <c r="B16" s="625"/>
      <c r="C16" s="623"/>
      <c r="D16" s="623"/>
      <c r="E16" s="623"/>
    </row>
    <row r="17" spans="1:5" ht="12.75" hidden="1">
      <c r="A17" s="628">
        <v>40756</v>
      </c>
      <c r="B17" s="625"/>
      <c r="C17" s="623"/>
      <c r="D17" s="623"/>
      <c r="E17" s="623"/>
    </row>
    <row r="18" spans="1:5" ht="12.75" hidden="1">
      <c r="A18" s="628">
        <v>40787</v>
      </c>
      <c r="B18" s="625"/>
      <c r="C18" s="623"/>
      <c r="D18" s="623"/>
      <c r="E18" s="623"/>
    </row>
    <row r="19" spans="1:5" ht="12.75" hidden="1">
      <c r="A19" s="628">
        <v>40817</v>
      </c>
      <c r="B19" s="625"/>
      <c r="C19" s="623"/>
      <c r="D19" s="623"/>
      <c r="E19" s="623"/>
    </row>
    <row r="20" spans="1:5" ht="12.75" hidden="1">
      <c r="A20" s="628">
        <v>40848</v>
      </c>
      <c r="B20" s="625"/>
      <c r="C20" s="623"/>
      <c r="D20" s="623"/>
      <c r="E20" s="623"/>
    </row>
    <row r="21" spans="1:5" ht="12.75" hidden="1">
      <c r="A21" s="628">
        <v>40878</v>
      </c>
      <c r="B21" s="625"/>
      <c r="C21" s="623"/>
      <c r="D21" s="623"/>
      <c r="E21" s="623"/>
    </row>
    <row r="22" spans="1:5" ht="12.75" hidden="1">
      <c r="A22" s="629" t="s">
        <v>567</v>
      </c>
      <c r="B22" s="623"/>
      <c r="C22" s="623"/>
      <c r="D22" s="623"/>
      <c r="E22" s="623"/>
    </row>
    <row r="23" spans="1:5" ht="12.75" hidden="1">
      <c r="A23" s="628">
        <v>40909</v>
      </c>
      <c r="B23" s="625"/>
      <c r="C23" s="623"/>
      <c r="D23" s="623"/>
      <c r="E23" s="623"/>
    </row>
    <row r="24" spans="1:5" ht="12.75" hidden="1">
      <c r="A24" s="628">
        <v>40940</v>
      </c>
      <c r="B24" s="625"/>
      <c r="C24" s="623"/>
      <c r="D24" s="623"/>
      <c r="E24" s="623"/>
    </row>
    <row r="25" spans="1:5" ht="12.75" hidden="1">
      <c r="A25" s="628">
        <v>40969</v>
      </c>
      <c r="B25" s="625"/>
      <c r="C25" s="623"/>
      <c r="D25" s="623"/>
      <c r="E25" s="623"/>
    </row>
    <row r="26" spans="1:5" ht="12.75" hidden="1">
      <c r="A26" s="628">
        <v>41000</v>
      </c>
      <c r="B26" s="625"/>
      <c r="C26" s="623"/>
      <c r="D26" s="623"/>
      <c r="E26" s="623"/>
    </row>
    <row r="27" spans="1:5" ht="12.75" hidden="1">
      <c r="A27" s="628">
        <v>41030</v>
      </c>
      <c r="B27" s="625"/>
      <c r="C27" s="623"/>
      <c r="D27" s="623"/>
      <c r="E27" s="623"/>
    </row>
    <row r="28" spans="1:5" ht="12.75" hidden="1">
      <c r="A28" s="628">
        <v>41061</v>
      </c>
      <c r="B28" s="625"/>
      <c r="C28" s="623"/>
      <c r="D28" s="623"/>
      <c r="E28" s="623"/>
    </row>
    <row r="29" spans="1:5" ht="12.75" hidden="1">
      <c r="A29" s="628">
        <v>41091</v>
      </c>
      <c r="B29" s="625"/>
      <c r="C29" s="623"/>
      <c r="D29" s="623"/>
      <c r="E29" s="623"/>
    </row>
    <row r="30" spans="1:5" ht="12.75" hidden="1">
      <c r="A30" s="628">
        <v>41122</v>
      </c>
      <c r="B30" s="625"/>
      <c r="C30" s="623"/>
      <c r="D30" s="623"/>
      <c r="E30" s="623"/>
    </row>
    <row r="31" spans="1:5" ht="12.75" hidden="1">
      <c r="A31" s="628">
        <v>41153</v>
      </c>
      <c r="B31" s="625"/>
      <c r="C31" s="623"/>
      <c r="D31" s="623"/>
      <c r="E31" s="623"/>
    </row>
    <row r="32" spans="1:5" ht="12.75" hidden="1">
      <c r="A32" s="628">
        <v>41183</v>
      </c>
      <c r="B32" s="625"/>
      <c r="C32" s="623"/>
      <c r="D32" s="623"/>
      <c r="E32" s="623"/>
    </row>
    <row r="33" spans="1:5" ht="12.75" hidden="1">
      <c r="A33" s="628">
        <v>41214</v>
      </c>
      <c r="B33" s="625"/>
      <c r="C33" s="623"/>
      <c r="D33" s="623"/>
      <c r="E33" s="623"/>
    </row>
    <row r="34" spans="1:5" ht="12.75" hidden="1">
      <c r="A34" s="628">
        <v>41244</v>
      </c>
      <c r="B34" s="625"/>
      <c r="C34" s="623"/>
      <c r="D34" s="623"/>
      <c r="E34" s="623"/>
    </row>
    <row r="35" spans="1:5" ht="12.75" hidden="1">
      <c r="A35" s="629" t="s">
        <v>568</v>
      </c>
      <c r="B35" s="623"/>
      <c r="C35" s="623"/>
      <c r="D35" s="623"/>
      <c r="E35" s="623"/>
    </row>
    <row r="36" spans="1:5" ht="12.75" hidden="1">
      <c r="A36" s="628">
        <v>41275</v>
      </c>
      <c r="B36" s="625"/>
      <c r="C36" s="623"/>
      <c r="D36" s="623"/>
      <c r="E36" s="623"/>
    </row>
    <row r="37" spans="1:5" ht="12.75" hidden="1">
      <c r="A37" s="628">
        <v>41306</v>
      </c>
      <c r="B37" s="625"/>
      <c r="C37" s="623"/>
      <c r="D37" s="623"/>
      <c r="E37" s="623"/>
    </row>
    <row r="38" spans="1:5" ht="12.75" hidden="1">
      <c r="A38" s="628">
        <v>41334</v>
      </c>
      <c r="B38" s="625"/>
      <c r="C38" s="623"/>
      <c r="D38" s="623"/>
      <c r="E38" s="623"/>
    </row>
    <row r="39" spans="1:5" ht="12.75" hidden="1">
      <c r="A39" s="628">
        <v>41365</v>
      </c>
      <c r="B39" s="625"/>
      <c r="C39" s="623"/>
      <c r="D39" s="623"/>
      <c r="E39" s="623"/>
    </row>
    <row r="40" spans="1:5" ht="12.75" hidden="1">
      <c r="A40" s="628">
        <v>41395</v>
      </c>
      <c r="B40" s="625"/>
      <c r="C40" s="623"/>
      <c r="D40" s="623"/>
      <c r="E40" s="623"/>
    </row>
    <row r="41" spans="1:5" ht="12.75" hidden="1">
      <c r="A41" s="628">
        <v>41426</v>
      </c>
      <c r="B41" s="625"/>
      <c r="C41" s="623"/>
      <c r="D41" s="623"/>
      <c r="E41" s="623"/>
    </row>
    <row r="42" spans="1:5" ht="12.75" hidden="1">
      <c r="A42" s="628">
        <v>41456</v>
      </c>
      <c r="B42" s="625"/>
      <c r="C42" s="623"/>
      <c r="D42" s="623"/>
      <c r="E42" s="623"/>
    </row>
    <row r="43" spans="1:5" ht="12.75" hidden="1">
      <c r="A43" s="628">
        <v>41487</v>
      </c>
      <c r="B43" s="625"/>
      <c r="C43" s="623"/>
      <c r="D43" s="623"/>
      <c r="E43" s="623"/>
    </row>
    <row r="44" spans="1:5" ht="12.75" hidden="1">
      <c r="A44" s="628">
        <v>41518</v>
      </c>
      <c r="B44" s="625"/>
      <c r="C44" s="623"/>
      <c r="D44" s="623"/>
      <c r="E44" s="623"/>
    </row>
    <row r="45" spans="1:5" ht="12.75" hidden="1">
      <c r="A45" s="628">
        <v>41548</v>
      </c>
      <c r="B45" s="625"/>
      <c r="C45" s="623"/>
      <c r="D45" s="623"/>
      <c r="E45" s="623"/>
    </row>
    <row r="46" spans="1:5" ht="12.75" hidden="1">
      <c r="A46" s="628">
        <v>41579</v>
      </c>
      <c r="B46" s="625"/>
      <c r="C46" s="623"/>
      <c r="D46" s="623"/>
      <c r="E46" s="623"/>
    </row>
    <row r="47" spans="1:5" ht="12.75" hidden="1">
      <c r="A47" s="628">
        <v>41609</v>
      </c>
      <c r="B47" s="625"/>
      <c r="C47" s="623"/>
      <c r="D47" s="623"/>
      <c r="E47" s="623"/>
    </row>
    <row r="48" spans="1:5" ht="12.75" hidden="1">
      <c r="A48" s="629" t="s">
        <v>569</v>
      </c>
      <c r="B48" s="623"/>
      <c r="C48" s="623"/>
      <c r="D48" s="623"/>
      <c r="E48" s="623"/>
    </row>
    <row r="49" spans="1:5" ht="12.75">
      <c r="A49" s="628">
        <v>41640</v>
      </c>
      <c r="B49" s="625"/>
      <c r="C49" s="623"/>
      <c r="D49" s="623"/>
      <c r="E49" s="623"/>
    </row>
    <row r="50" spans="1:5" ht="12.75">
      <c r="A50" s="628">
        <v>41671</v>
      </c>
      <c r="B50" s="625"/>
      <c r="C50" s="623"/>
      <c r="D50" s="623"/>
      <c r="E50" s="623"/>
    </row>
    <row r="51" spans="1:5" ht="12.75">
      <c r="A51" s="628">
        <v>41699</v>
      </c>
      <c r="B51" s="625"/>
      <c r="C51" s="623"/>
      <c r="D51" s="623"/>
      <c r="E51" s="623"/>
    </row>
    <row r="52" spans="1:5" ht="12.75">
      <c r="A52" s="628">
        <v>41730</v>
      </c>
      <c r="B52" s="625">
        <v>276.79000000000002</v>
      </c>
      <c r="C52" s="623"/>
      <c r="D52" s="623"/>
      <c r="E52" s="623"/>
    </row>
    <row r="53" spans="1:5" ht="12.75">
      <c r="A53" s="628">
        <v>41760</v>
      </c>
      <c r="B53" s="625">
        <v>155.30000000000001</v>
      </c>
      <c r="C53" s="623">
        <f>$B$52-B53</f>
        <v>121.49000000000001</v>
      </c>
      <c r="D53" s="623">
        <v>0.72</v>
      </c>
      <c r="E53" s="630">
        <f t="shared" ref="E53:E60" si="0">C53*D53</f>
        <v>87.472800000000007</v>
      </c>
    </row>
    <row r="54" spans="1:5" ht="12.75">
      <c r="A54" s="628">
        <v>41791</v>
      </c>
      <c r="B54" s="625">
        <v>155.30000000000001</v>
      </c>
      <c r="C54" s="623">
        <f t="shared" ref="C54:C60" si="1">$B$52-B54</f>
        <v>121.49000000000001</v>
      </c>
      <c r="D54" s="623">
        <v>0.72</v>
      </c>
      <c r="E54" s="630">
        <f t="shared" si="0"/>
        <v>87.472800000000007</v>
      </c>
    </row>
    <row r="55" spans="1:5" ht="12.75">
      <c r="A55" s="628">
        <v>41821</v>
      </c>
      <c r="B55" s="625">
        <v>155.30000000000001</v>
      </c>
      <c r="C55" s="623">
        <f t="shared" si="1"/>
        <v>121.49000000000001</v>
      </c>
      <c r="D55" s="623">
        <v>0.72</v>
      </c>
      <c r="E55" s="630">
        <f t="shared" si="0"/>
        <v>87.472800000000007</v>
      </c>
    </row>
    <row r="56" spans="1:5" ht="12.75">
      <c r="A56" s="628">
        <v>41852</v>
      </c>
      <c r="B56" s="625">
        <v>155.30000000000001</v>
      </c>
      <c r="C56" s="623">
        <f t="shared" si="1"/>
        <v>121.49000000000001</v>
      </c>
      <c r="D56" s="623">
        <v>0.72</v>
      </c>
      <c r="E56" s="630">
        <f t="shared" si="0"/>
        <v>87.472800000000007</v>
      </c>
    </row>
    <row r="57" spans="1:5" ht="12.75">
      <c r="A57" s="628">
        <v>41883</v>
      </c>
      <c r="B57" s="625">
        <v>155.30000000000001</v>
      </c>
      <c r="C57" s="623">
        <f t="shared" si="1"/>
        <v>121.49000000000001</v>
      </c>
      <c r="D57" s="623">
        <v>0.72</v>
      </c>
      <c r="E57" s="630">
        <f t="shared" si="0"/>
        <v>87.472800000000007</v>
      </c>
    </row>
    <row r="58" spans="1:5" ht="12.75">
      <c r="A58" s="628">
        <v>41913</v>
      </c>
      <c r="B58" s="625">
        <v>155.30000000000001</v>
      </c>
      <c r="C58" s="623">
        <f t="shared" si="1"/>
        <v>121.49000000000001</v>
      </c>
      <c r="D58" s="623">
        <v>0.72</v>
      </c>
      <c r="E58" s="630">
        <f t="shared" si="0"/>
        <v>87.472800000000007</v>
      </c>
    </row>
    <row r="59" spans="1:5" ht="12.75">
      <c r="A59" s="628">
        <v>41944</v>
      </c>
      <c r="B59" s="625">
        <v>155.30000000000001</v>
      </c>
      <c r="C59" s="623">
        <f t="shared" si="1"/>
        <v>121.49000000000001</v>
      </c>
      <c r="D59" s="623">
        <v>0.72</v>
      </c>
      <c r="E59" s="630">
        <f t="shared" si="0"/>
        <v>87.472800000000007</v>
      </c>
    </row>
    <row r="60" spans="1:5" ht="12.75">
      <c r="A60" s="628">
        <v>41974</v>
      </c>
      <c r="B60" s="625">
        <v>155.30000000000001</v>
      </c>
      <c r="C60" s="623">
        <f t="shared" si="1"/>
        <v>121.49000000000001</v>
      </c>
      <c r="D60" s="623">
        <v>0.72</v>
      </c>
      <c r="E60" s="630">
        <f t="shared" si="0"/>
        <v>87.472800000000007</v>
      </c>
    </row>
    <row r="61" spans="1:5" ht="12.75">
      <c r="A61" s="622" t="s">
        <v>570</v>
      </c>
      <c r="B61" s="623"/>
      <c r="C61" s="623"/>
      <c r="D61" s="623"/>
      <c r="E61" s="631">
        <f>SUM(E49:E60)</f>
        <v>699.78240000000005</v>
      </c>
    </row>
    <row r="62" spans="1:5" ht="12.75">
      <c r="A62" s="628">
        <v>42005</v>
      </c>
      <c r="B62" s="625">
        <v>155.30000000000001</v>
      </c>
      <c r="C62" s="623">
        <f t="shared" ref="C62:C73" si="2">$B$52-B62</f>
        <v>121.49000000000001</v>
      </c>
      <c r="D62" s="623">
        <v>0.72</v>
      </c>
      <c r="E62" s="630">
        <f t="shared" ref="E62:E73" si="3">C62*D62</f>
        <v>87.472800000000007</v>
      </c>
    </row>
    <row r="63" spans="1:5" ht="12.75">
      <c r="A63" s="628">
        <v>42036</v>
      </c>
      <c r="B63" s="625">
        <v>155.30000000000001</v>
      </c>
      <c r="C63" s="623">
        <f t="shared" si="2"/>
        <v>121.49000000000001</v>
      </c>
      <c r="D63" s="623">
        <v>0.72</v>
      </c>
      <c r="E63" s="630">
        <f t="shared" si="3"/>
        <v>87.472800000000007</v>
      </c>
    </row>
    <row r="64" spans="1:5" ht="12.75">
      <c r="A64" s="628">
        <v>42064</v>
      </c>
      <c r="B64" s="625">
        <v>155.30000000000001</v>
      </c>
      <c r="C64" s="623">
        <f t="shared" si="2"/>
        <v>121.49000000000001</v>
      </c>
      <c r="D64" s="623">
        <v>0.72</v>
      </c>
      <c r="E64" s="630">
        <f t="shared" si="3"/>
        <v>87.472800000000007</v>
      </c>
    </row>
    <row r="65" spans="1:5" ht="12.75">
      <c r="A65" s="628">
        <v>42095</v>
      </c>
      <c r="B65" s="625">
        <v>155.30000000000001</v>
      </c>
      <c r="C65" s="623">
        <f t="shared" si="2"/>
        <v>121.49000000000001</v>
      </c>
      <c r="D65" s="623">
        <v>0.72</v>
      </c>
      <c r="E65" s="630">
        <f t="shared" si="3"/>
        <v>87.472800000000007</v>
      </c>
    </row>
    <row r="66" spans="1:5" ht="12.75">
      <c r="A66" s="628">
        <v>42125</v>
      </c>
      <c r="B66" s="625">
        <v>155.30000000000001</v>
      </c>
      <c r="C66" s="623">
        <f t="shared" si="2"/>
        <v>121.49000000000001</v>
      </c>
      <c r="D66" s="623">
        <v>0.72</v>
      </c>
      <c r="E66" s="630">
        <f t="shared" si="3"/>
        <v>87.472800000000007</v>
      </c>
    </row>
    <row r="67" spans="1:5" ht="12.75">
      <c r="A67" s="628">
        <v>42156</v>
      </c>
      <c r="B67" s="625">
        <v>155.30000000000001</v>
      </c>
      <c r="C67" s="623">
        <f t="shared" si="2"/>
        <v>121.49000000000001</v>
      </c>
      <c r="D67" s="623">
        <v>0.72</v>
      </c>
      <c r="E67" s="630">
        <f t="shared" si="3"/>
        <v>87.472800000000007</v>
      </c>
    </row>
    <row r="68" spans="1:5" ht="12.75">
      <c r="A68" s="628">
        <v>42186</v>
      </c>
      <c r="B68" s="625">
        <v>155.30000000000001</v>
      </c>
      <c r="C68" s="623">
        <f t="shared" si="2"/>
        <v>121.49000000000001</v>
      </c>
      <c r="D68" s="623">
        <v>0.72</v>
      </c>
      <c r="E68" s="630">
        <f t="shared" si="3"/>
        <v>87.472800000000007</v>
      </c>
    </row>
    <row r="69" spans="1:5" ht="12.75">
      <c r="A69" s="628">
        <v>42217</v>
      </c>
      <c r="B69" s="625">
        <v>155.30000000000001</v>
      </c>
      <c r="C69" s="623">
        <f t="shared" si="2"/>
        <v>121.49000000000001</v>
      </c>
      <c r="D69" s="623">
        <v>0.72</v>
      </c>
      <c r="E69" s="630">
        <f t="shared" si="3"/>
        <v>87.472800000000007</v>
      </c>
    </row>
    <row r="70" spans="1:5" ht="12.75">
      <c r="A70" s="628">
        <v>42248</v>
      </c>
      <c r="B70" s="625">
        <v>155.30000000000001</v>
      </c>
      <c r="C70" s="623">
        <f t="shared" si="2"/>
        <v>121.49000000000001</v>
      </c>
      <c r="D70" s="623">
        <v>0.72</v>
      </c>
      <c r="E70" s="630">
        <f t="shared" si="3"/>
        <v>87.472800000000007</v>
      </c>
    </row>
    <row r="71" spans="1:5" ht="12.75">
      <c r="A71" s="628">
        <v>42278</v>
      </c>
      <c r="B71" s="625">
        <v>155.30000000000001</v>
      </c>
      <c r="C71" s="623">
        <f t="shared" si="2"/>
        <v>121.49000000000001</v>
      </c>
      <c r="D71" s="623">
        <v>0.72</v>
      </c>
      <c r="E71" s="630">
        <f t="shared" si="3"/>
        <v>87.472800000000007</v>
      </c>
    </row>
    <row r="72" spans="1:5" ht="12.75">
      <c r="A72" s="628">
        <v>42309</v>
      </c>
      <c r="B72" s="625">
        <v>155.30000000000001</v>
      </c>
      <c r="C72" s="623">
        <f t="shared" si="2"/>
        <v>121.49000000000001</v>
      </c>
      <c r="D72" s="623">
        <v>0.72</v>
      </c>
      <c r="E72" s="630">
        <f t="shared" si="3"/>
        <v>87.472800000000007</v>
      </c>
    </row>
    <row r="73" spans="1:5" ht="12.75">
      <c r="A73" s="628">
        <v>42339</v>
      </c>
      <c r="B73" s="625">
        <v>155.30000000000001</v>
      </c>
      <c r="C73" s="623">
        <f t="shared" si="2"/>
        <v>121.49000000000001</v>
      </c>
      <c r="D73" s="623">
        <v>0.72</v>
      </c>
      <c r="E73" s="630">
        <f t="shared" si="3"/>
        <v>87.472800000000007</v>
      </c>
    </row>
    <row r="74" spans="1:5" ht="12.75">
      <c r="A74" s="622" t="s">
        <v>571</v>
      </c>
      <c r="B74" s="623"/>
      <c r="C74" s="623"/>
      <c r="D74" s="623"/>
      <c r="E74" s="632">
        <f>SUM(E62:E73)</f>
        <v>1049.6736000000001</v>
      </c>
    </row>
    <row r="75" spans="1:5" ht="12.75">
      <c r="A75" s="622"/>
      <c r="B75" s="623"/>
      <c r="C75" s="623"/>
      <c r="D75" s="623"/>
      <c r="E75" s="623"/>
    </row>
    <row r="76" spans="1:5" ht="12.75" hidden="1"/>
    <row r="77" spans="1:5" ht="12.75" hidden="1"/>
    <row r="78" spans="1:5" ht="12.75" hidden="1"/>
    <row r="79" spans="1:5" ht="12.75" hidden="1"/>
    <row r="80" spans="1:5" ht="12.75" hidden="1"/>
    <row r="81" ht="12.75" hidden="1"/>
  </sheetData>
  <sheetProtection formatColumns="0" formatRows="0"/>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10</vt:i4>
      </vt:variant>
    </vt:vector>
  </HeadingPairs>
  <TitlesOfParts>
    <vt:vector size="27" baseType="lpstr">
      <vt:lpstr>Contents Navigator</vt:lpstr>
      <vt:lpstr>Input Output Flow Chart</vt:lpstr>
      <vt:lpstr>1.  LRAMVA Summary</vt:lpstr>
      <vt:lpstr>2.  CDM Allocation</vt:lpstr>
      <vt:lpstr>2a. LRAMVA Forecast</vt:lpstr>
      <vt:lpstr>3.  Distribution Rates</vt:lpstr>
      <vt:lpstr>3a. Rates-weighted averages</vt:lpstr>
      <vt:lpstr>4.  2011-14 LRAM</vt:lpstr>
      <vt:lpstr>5.  2015 LRAM</vt:lpstr>
      <vt:lpstr>5-b. 2016 LRAM</vt:lpstr>
      <vt:lpstr>5-c.  2017 LRAM</vt:lpstr>
      <vt:lpstr>5-d.  2018 LRAM</vt:lpstr>
      <vt:lpstr>5-e.  2019 LRAM</vt:lpstr>
      <vt:lpstr>5-f.  2020 LRAM</vt:lpstr>
      <vt:lpstr>6.  Persistence Rates</vt:lpstr>
      <vt:lpstr>7.  Carrying Charges</vt:lpstr>
      <vt:lpstr>8. Street lighting</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Steve Zebrowski</cp:lastModifiedBy>
  <cp:lastPrinted>2016-07-20T21:25:34Z</cp:lastPrinted>
  <dcterms:created xsi:type="dcterms:W3CDTF">2012-03-05T18:56:04Z</dcterms:created>
  <dcterms:modified xsi:type="dcterms:W3CDTF">2016-11-07T14:45:12Z</dcterms:modified>
</cp:coreProperties>
</file>