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CNPI_COS\TC\Reference\"/>
    </mc:Choice>
  </mc:AlternateContent>
  <bookViews>
    <workbookView xWindow="0" yWindow="0" windowWidth="28800" windowHeight="11835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1" l="1"/>
  <c r="H110" i="1"/>
  <c r="H21" i="4" l="1"/>
  <c r="I99" i="1" l="1"/>
  <c r="H99" i="1"/>
  <c r="I98" i="1"/>
  <c r="H98" i="1"/>
  <c r="I97" i="1"/>
  <c r="H97" i="1"/>
  <c r="J27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27" i="4" l="1"/>
  <c r="H27" i="4"/>
  <c r="H135" i="1"/>
  <c r="G37" i="4"/>
  <c r="G36" i="4"/>
  <c r="I145" i="1"/>
  <c r="H93" i="1"/>
  <c r="H115" i="1" s="1"/>
  <c r="H155" i="1"/>
  <c r="H134" i="1"/>
  <c r="H112" i="1"/>
  <c r="H96" i="1"/>
  <c r="H142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93" i="1"/>
  <c r="I115" i="1" s="1"/>
  <c r="I142" i="1"/>
  <c r="I96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<sst xmlns="http://schemas.openxmlformats.org/spreadsheetml/2006/main" count="520" uniqueCount="278">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</sst>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zoomScaleNormal="100" workbookViewId="0">
      <selection activeCell="I23" sqref="I2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2.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5" ht="19.5" customHeight="1" x14ac:dyDescent="0.25">
      <c r="C3" s="223" t="str">
        <f>IF(F5="Click to Choose an LDC","",F5)</f>
        <v>Canadian Niagara Power Inc.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212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9293758.25</v>
      </c>
      <c r="H9" s="125">
        <v>10617432</v>
      </c>
      <c r="I9" s="125">
        <v>10307158</v>
      </c>
      <c r="J9" s="125"/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28713</v>
      </c>
      <c r="H13" s="125">
        <v>28788</v>
      </c>
      <c r="I13" s="125">
        <v>28863</v>
      </c>
      <c r="J13" s="125"/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468074081.25999999</v>
      </c>
      <c r="H14" s="125">
        <v>467903030.63996899</v>
      </c>
      <c r="I14" s="125">
        <v>466034711.79736513</v>
      </c>
      <c r="J14" s="125"/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94320</v>
      </c>
      <c r="H15" s="125">
        <v>94320</v>
      </c>
      <c r="I15" s="125">
        <v>94320</v>
      </c>
      <c r="J15" s="125"/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1028</v>
      </c>
      <c r="H16" s="125">
        <v>1028</v>
      </c>
      <c r="I16" s="125">
        <v>1028</v>
      </c>
      <c r="J16" s="125"/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2.9066016772991185E-2</v>
      </c>
      <c r="H17" s="119">
        <v>2.7300000000000001E-2</v>
      </c>
      <c r="I17" s="119">
        <v>2.3300000000000001E-2</v>
      </c>
      <c r="J17" s="119"/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6.5100000000000005E-2</v>
      </c>
      <c r="I22" s="124">
        <v>6.8400000000000002E-2</v>
      </c>
      <c r="J22" s="124"/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170</v>
      </c>
      <c r="F27" s="76" t="s">
        <v>198</v>
      </c>
      <c r="G27" s="51">
        <f>G35-G36+G37</f>
        <v>9169775.3900000006</v>
      </c>
      <c r="H27" s="51">
        <f t="shared" ref="H27:M27" si="0">H35-H36+H37</f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169</v>
      </c>
      <c r="F29" s="76" t="s">
        <v>202</v>
      </c>
      <c r="G29" s="51">
        <f t="shared" ref="G29:M29" si="1">G115-G121+G122</f>
        <v>9169775.3900000006</v>
      </c>
      <c r="H29" s="51">
        <f t="shared" si="1"/>
        <v>9798258.4600000009</v>
      </c>
      <c r="I29" s="51">
        <f t="shared" si="1"/>
        <v>10190023.699999999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9169775.3900000006</v>
      </c>
      <c r="H31" s="51">
        <f t="shared" si="2"/>
        <v>9798258.4600000009</v>
      </c>
      <c r="I31" s="51">
        <f t="shared" si="2"/>
        <v>10190023.699999999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9162574.1500000004</v>
      </c>
      <c r="H35" s="125"/>
      <c r="I35" s="125"/>
      <c r="J35" s="120"/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7201.24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70273.77</v>
      </c>
      <c r="H44" s="142">
        <v>64725.840000000004</v>
      </c>
      <c r="I44" s="142">
        <v>125073.36</v>
      </c>
      <c r="J44" s="143"/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280923.67</v>
      </c>
      <c r="H45" s="142">
        <v>163129.32</v>
      </c>
      <c r="I45" s="142">
        <v>201457.2</v>
      </c>
      <c r="J45" s="143"/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152244.22</v>
      </c>
      <c r="H46" s="142">
        <v>185937.24000000002</v>
      </c>
      <c r="I46" s="142">
        <v>190155.84</v>
      </c>
      <c r="J46" s="143"/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v>0</v>
      </c>
      <c r="I47" s="142">
        <v>0</v>
      </c>
      <c r="J47" s="143"/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v>0</v>
      </c>
      <c r="I48" s="142">
        <v>0</v>
      </c>
      <c r="J48" s="143"/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93016.13</v>
      </c>
      <c r="H49" s="142">
        <v>61580.44</v>
      </c>
      <c r="I49" s="142">
        <v>87186.12</v>
      </c>
      <c r="J49" s="143"/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3434.57</v>
      </c>
      <c r="H50" s="142">
        <v>18540.120000000003</v>
      </c>
      <c r="I50" s="142">
        <v>12662.04</v>
      </c>
      <c r="J50" s="143"/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86037.41</v>
      </c>
      <c r="H51" s="142">
        <v>168667.44</v>
      </c>
      <c r="I51" s="142">
        <v>169184.88</v>
      </c>
      <c r="J51" s="143"/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29778.59</v>
      </c>
      <c r="H52" s="142">
        <v>11619.96</v>
      </c>
      <c r="I52" s="142">
        <v>11852.4</v>
      </c>
      <c r="J52" s="143"/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31727.86</v>
      </c>
      <c r="H53" s="142">
        <v>30118.92</v>
      </c>
      <c r="I53" s="142">
        <v>21554.879999999997</v>
      </c>
      <c r="J53" s="143"/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155482.63</v>
      </c>
      <c r="H54" s="142">
        <v>173522.88</v>
      </c>
      <c r="I54" s="142">
        <v>72890.880000000005</v>
      </c>
      <c r="J54" s="143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10104.969999999999</v>
      </c>
      <c r="H55" s="142">
        <v>1200</v>
      </c>
      <c r="I55" s="142">
        <v>92907.24</v>
      </c>
      <c r="J55" s="143"/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7581.32</v>
      </c>
      <c r="H56" s="142">
        <v>8160.12</v>
      </c>
      <c r="I56" s="142">
        <v>4718.3999999999996</v>
      </c>
      <c r="J56" s="143"/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359286.58</v>
      </c>
      <c r="H57" s="142">
        <v>405592.4</v>
      </c>
      <c r="I57" s="142">
        <v>484963.04</v>
      </c>
      <c r="J57" s="143"/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4289.04</v>
      </c>
      <c r="H58" s="142">
        <v>9213.7199999999993</v>
      </c>
      <c r="I58" s="142">
        <v>0</v>
      </c>
      <c r="J58" s="143"/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4194.8900000000003</v>
      </c>
      <c r="H59" s="142">
        <v>0</v>
      </c>
      <c r="I59" s="142">
        <v>0</v>
      </c>
      <c r="J59" s="143"/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370142.85</v>
      </c>
      <c r="H60" s="142">
        <v>291094.8</v>
      </c>
      <c r="I60" s="142">
        <v>318290.87999999995</v>
      </c>
      <c r="J60" s="143"/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6926.2</v>
      </c>
      <c r="H61" s="142">
        <v>24999.96</v>
      </c>
      <c r="I61" s="142">
        <v>15000</v>
      </c>
      <c r="J61" s="143"/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37240.44</v>
      </c>
      <c r="H62" s="142">
        <v>39999.96</v>
      </c>
      <c r="I62" s="142">
        <v>39999.96</v>
      </c>
      <c r="J62" s="143"/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3"/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1702685.14</v>
      </c>
      <c r="H64" s="81">
        <f>SUM(H44:H63)</f>
        <v>1658103.12</v>
      </c>
      <c r="I64" s="81">
        <f t="shared" ref="I64:M64" si="3">SUM(I44:I63)</f>
        <v>1847897.1199999999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33811.9</v>
      </c>
      <c r="H65" s="142">
        <v>10704.36</v>
      </c>
      <c r="I65" s="142">
        <v>22192.92</v>
      </c>
      <c r="J65" s="143"/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44791.86</v>
      </c>
      <c r="H66" s="142">
        <v>56338.559999999998</v>
      </c>
      <c r="I66" s="142">
        <v>26656.92</v>
      </c>
      <c r="J66" s="143"/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3"/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192234.54</v>
      </c>
      <c r="H68" s="142">
        <v>145430.39999999999</v>
      </c>
      <c r="I68" s="142">
        <v>138423.72</v>
      </c>
      <c r="J68" s="143"/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85079.6</v>
      </c>
      <c r="H69" s="142">
        <v>196006.8</v>
      </c>
      <c r="I69" s="142">
        <v>133260</v>
      </c>
      <c r="J69" s="143"/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323488.53999999998</v>
      </c>
      <c r="H70" s="142">
        <v>398624.88</v>
      </c>
      <c r="I70" s="142">
        <v>473496.24</v>
      </c>
      <c r="J70" s="143"/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272975.89</v>
      </c>
      <c r="H71" s="142">
        <v>345917.27999999997</v>
      </c>
      <c r="I71" s="142">
        <v>253566.12</v>
      </c>
      <c r="J71" s="143"/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464164.87</v>
      </c>
      <c r="H72" s="142">
        <v>505237.51999999996</v>
      </c>
      <c r="I72" s="142">
        <v>644242.31999999995</v>
      </c>
      <c r="J72" s="143"/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4650.9399999999996</v>
      </c>
      <c r="H73" s="142">
        <v>2492.16</v>
      </c>
      <c r="I73" s="142">
        <v>6293.76</v>
      </c>
      <c r="J73" s="143"/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29858.51</v>
      </c>
      <c r="H74" s="142">
        <v>40508.28</v>
      </c>
      <c r="I74" s="142">
        <v>42703.92</v>
      </c>
      <c r="J74" s="143"/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61012.49</v>
      </c>
      <c r="H75" s="142">
        <v>41350.479999999996</v>
      </c>
      <c r="I75" s="142">
        <v>54872.56</v>
      </c>
      <c r="J75" s="143"/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31679.25</v>
      </c>
      <c r="H76" s="142">
        <v>29902.32</v>
      </c>
      <c r="I76" s="142">
        <v>35140.76</v>
      </c>
      <c r="J76" s="143"/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369007.02</v>
      </c>
      <c r="H77" s="142">
        <v>431156.75999999995</v>
      </c>
      <c r="I77" s="142">
        <v>428199.6</v>
      </c>
      <c r="J77" s="143"/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1912755.41</v>
      </c>
      <c r="H78" s="81">
        <f>SUM(H65:H77)</f>
        <v>2203669.7999999998</v>
      </c>
      <c r="I78" s="81">
        <f t="shared" ref="I78:M78" si="4">SUM(I65:I77)</f>
        <v>2259048.84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135934.95000000001</v>
      </c>
      <c r="H79" s="142">
        <v>158637.96000000002</v>
      </c>
      <c r="I79" s="142">
        <v>165581.03999999998</v>
      </c>
      <c r="J79" s="143"/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89466.54</v>
      </c>
      <c r="H80" s="142">
        <v>80288.28</v>
      </c>
      <c r="I80" s="142">
        <v>87471.48000000001</v>
      </c>
      <c r="J80" s="143"/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468791.54</v>
      </c>
      <c r="H81" s="142">
        <v>454347.36</v>
      </c>
      <c r="I81" s="142">
        <v>469678.68</v>
      </c>
      <c r="J81" s="143"/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367129.86</v>
      </c>
      <c r="H82" s="142">
        <v>393414.48000000004</v>
      </c>
      <c r="I82" s="142">
        <v>410106.12</v>
      </c>
      <c r="J82" s="143"/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0</v>
      </c>
      <c r="H83" s="142">
        <v>0</v>
      </c>
      <c r="I83" s="142">
        <v>0</v>
      </c>
      <c r="J83" s="143"/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>
        <v>0</v>
      </c>
      <c r="I84" s="142">
        <v>0</v>
      </c>
      <c r="J84" s="143"/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475043.82</v>
      </c>
      <c r="H85" s="142">
        <v>546571.28</v>
      </c>
      <c r="I85" s="142">
        <v>565188.84000000008</v>
      </c>
      <c r="J85" s="143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1536366.7100000002</v>
      </c>
      <c r="H86" s="81">
        <f>SUM(H79:H85)</f>
        <v>1633259.36</v>
      </c>
      <c r="I86" s="81">
        <f t="shared" ref="I86:M86" si="5">SUM(I79:I85)</f>
        <v>1698026.16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>
        <v>0</v>
      </c>
      <c r="I87" s="142">
        <v>0</v>
      </c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46.22</v>
      </c>
      <c r="H88" s="142">
        <v>0</v>
      </c>
      <c r="I88" s="142">
        <v>0</v>
      </c>
      <c r="J88" s="143"/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1830</v>
      </c>
      <c r="H89" s="142">
        <v>2000.04</v>
      </c>
      <c r="I89" s="142">
        <v>16849.919999999998</v>
      </c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20250</v>
      </c>
      <c r="H90" s="142">
        <v>23299.96</v>
      </c>
      <c r="I90" s="142">
        <v>23299.96</v>
      </c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22126.22</v>
      </c>
      <c r="H91" s="81">
        <f>SUM(H87:H90)</f>
        <v>25300</v>
      </c>
      <c r="I91" s="81">
        <f t="shared" ref="I91:M91" si="6">SUM(I87:I90)</f>
        <v>40149.879999999997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505967.88</v>
      </c>
      <c r="H92" s="142">
        <v>0</v>
      </c>
      <c r="I92" s="142">
        <v>0</v>
      </c>
      <c r="J92" s="143"/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518756.64</v>
      </c>
      <c r="H93" s="142">
        <v>0</v>
      </c>
      <c r="I93" s="142">
        <v>0</v>
      </c>
      <c r="J93" s="143"/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3426728.47</v>
      </c>
      <c r="H94" s="142">
        <v>4334864.08</v>
      </c>
      <c r="I94" s="142">
        <v>4421265.5199999996</v>
      </c>
      <c r="J94" s="143"/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446962.09</v>
      </c>
      <c r="H95" s="142">
        <v>547048.80000000005</v>
      </c>
      <c r="I95" s="142">
        <v>568456.07999999996</v>
      </c>
      <c r="J95" s="143"/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-4176269.18</v>
      </c>
      <c r="H96" s="142">
        <v>-3885443.04</v>
      </c>
      <c r="I96" s="142">
        <v>-4029548.4</v>
      </c>
      <c r="J96" s="143"/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480141.32</v>
      </c>
      <c r="H97" s="142">
        <v>542687.72</v>
      </c>
      <c r="I97" s="142">
        <v>553333.88</v>
      </c>
      <c r="J97" s="143"/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>
        <v>0</v>
      </c>
      <c r="I98" s="142">
        <v>0</v>
      </c>
      <c r="J98" s="143"/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1098810.8799999999</v>
      </c>
      <c r="H99" s="142">
        <v>1045633.16</v>
      </c>
      <c r="I99" s="142">
        <v>1107967.2</v>
      </c>
      <c r="J99" s="143"/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0</v>
      </c>
      <c r="I100" s="142">
        <v>0</v>
      </c>
      <c r="J100" s="143"/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0</v>
      </c>
      <c r="I101" s="142">
        <v>0</v>
      </c>
      <c r="J101" s="143"/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3"/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232673.24</v>
      </c>
      <c r="H103" s="142">
        <v>216171.96000000002</v>
      </c>
      <c r="I103" s="142">
        <v>247406.64</v>
      </c>
      <c r="J103" s="143"/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427231.46</v>
      </c>
      <c r="H104" s="142">
        <v>399960.78</v>
      </c>
      <c r="I104" s="142">
        <v>441704.58</v>
      </c>
      <c r="J104" s="143"/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342585.12</v>
      </c>
      <c r="H105" s="142">
        <v>349436.76</v>
      </c>
      <c r="I105" s="142">
        <v>342502.68</v>
      </c>
      <c r="J105" s="143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20000.04</v>
      </c>
      <c r="I106" s="142">
        <v>22400.04</v>
      </c>
      <c r="J106" s="143"/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611871.4</v>
      </c>
      <c r="H107" s="142">
        <v>619304.92000000004</v>
      </c>
      <c r="I107" s="142">
        <v>588012.52</v>
      </c>
      <c r="J107" s="143"/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14384.63</v>
      </c>
      <c r="H108" s="142">
        <v>17859.96</v>
      </c>
      <c r="I108" s="142">
        <v>17899.919999999998</v>
      </c>
      <c r="J108" s="143"/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3929843.9499999997</v>
      </c>
      <c r="H109" s="81">
        <f>SUM(H92:H108)</f>
        <v>4207525.1399999997</v>
      </c>
      <c r="I109" s="81">
        <f t="shared" ref="I109:M109" si="7">SUM(I92:I108)</f>
        <v>4281400.66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58796.72</v>
      </c>
      <c r="H110" s="142">
        <v>63200.04</v>
      </c>
      <c r="I110" s="142">
        <v>56300.04</v>
      </c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>
        <v>0</v>
      </c>
      <c r="I111" s="142">
        <v>0</v>
      </c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58796.72</v>
      </c>
      <c r="H112" s="81">
        <f>H110+H111</f>
        <v>63200.04</v>
      </c>
      <c r="I112" s="81">
        <f t="shared" ref="I112:M112" si="8">I110+I111</f>
        <v>56300.04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>
        <v>0</v>
      </c>
      <c r="I113" s="142">
        <v>0</v>
      </c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9162574.1500000004</v>
      </c>
      <c r="H115" s="81">
        <f>H114+H112+H109+H91+H86+H78+H64</f>
        <v>9791057.4600000009</v>
      </c>
      <c r="I115" s="81">
        <f t="shared" ref="I115:M115" si="10">I114+I112+I109+I91+I86+I78+I64</f>
        <v>10182822.699999999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7201.24</v>
      </c>
      <c r="H122" s="176">
        <v>7201</v>
      </c>
      <c r="I122" s="176">
        <v>7201</v>
      </c>
      <c r="J122" s="176"/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E44" sqref="E44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114" customWidth="1"/>
    <col min="18" max="18" width="14.42578125" style="114" customWidth="1"/>
    <col min="19" max="19" width="18.140625" style="114" customWidth="1"/>
    <col min="20" max="39" width="14.28515625" style="114" customWidth="1"/>
    <col min="40" max="47" width="13.42578125" style="114" customWidth="1"/>
    <col min="48" max="48" width="15.85546875" style="114" customWidth="1"/>
    <col min="49" max="86" width="13.42578125" style="114" customWidth="1"/>
    <col min="87" max="87" width="17.42578125" style="114" customWidth="1"/>
    <col min="88" max="93" width="9.140625" customWidth="1"/>
  </cols>
  <sheetData>
    <row r="1" spans="1:94" ht="23.25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17.25" thickTop="1" thickBot="1" x14ac:dyDescent="0.3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7" t="s">
        <v>1</v>
      </c>
      <c r="C3" s="227"/>
      <c r="D3" s="101"/>
      <c r="E3" s="102" t="str">
        <f>'Model Inputs'!F5</f>
        <v>Canadian Niagara Power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28"/>
      <c r="G4" s="229"/>
      <c r="H4" s="230" t="s">
        <v>2</v>
      </c>
      <c r="I4" s="231"/>
      <c r="J4" s="231"/>
      <c r="K4" s="231"/>
      <c r="L4" s="231"/>
      <c r="M4" s="231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70273.77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280923.67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152244.22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5.75" hidden="1" outlineLevel="1" x14ac:dyDescent="0.2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93016.13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3434.57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86037.41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29778.59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31727.86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155482.63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10104.969999999999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7581.32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359286.58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4289.04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4194.8900000000003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370142.85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6926.2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37240.44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1702685.14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33811.9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44791.86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192234.54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85079.6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323488.53999999998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272975.89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464164.87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4650.9399999999996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29858.51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61012.49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31679.25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369007.02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1912755.41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135934.95000000001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89466.54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468791.54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367129.86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475043.82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1536366.7100000002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46.22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1830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20250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22126.22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505967.88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518756.64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3426728.47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446962.09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-4176269.18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480141.32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1098810.8799999999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232673.24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427231.46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342585.12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611871.4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14384.63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3929843.9499999997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58796.72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58796.72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9162574.1500000004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7201.24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9169775.3900000006</v>
      </c>
      <c r="H89" s="186">
        <f>'Model Inputs'!H31</f>
        <v>9798258.4600000009</v>
      </c>
      <c r="I89" s="187">
        <f>'Model Inputs'!I31</f>
        <v>10190023.699999999</v>
      </c>
      <c r="J89" s="187">
        <f>'Model Inputs'!J31</f>
        <v>0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9293758.25</v>
      </c>
      <c r="H92" s="186">
        <f>'Model Inputs'!H9</f>
        <v>10617432</v>
      </c>
      <c r="I92" s="187">
        <f>'Model Inputs'!I9</f>
        <v>10307158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28713</v>
      </c>
      <c r="H96" s="186">
        <f>'Model Inputs'!H13</f>
        <v>28788</v>
      </c>
      <c r="I96" s="187">
        <f>'Model Inputs'!I13</f>
        <v>28863</v>
      </c>
      <c r="J96" s="187">
        <f>'Model Inputs'!J13</f>
        <v>0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468074081.25999999</v>
      </c>
      <c r="H97" s="186">
        <f>'Model Inputs'!H14</f>
        <v>467903030.63996899</v>
      </c>
      <c r="I97" s="187">
        <f>'Model Inputs'!I14</f>
        <v>466034711.79736513</v>
      </c>
      <c r="J97" s="187">
        <f>'Model Inputs'!J14</f>
        <v>0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94320</v>
      </c>
      <c r="H98" s="186">
        <f>'Model Inputs'!H15</f>
        <v>94320</v>
      </c>
      <c r="I98" s="187">
        <f>'Model Inputs'!I15</f>
        <v>94320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1028</v>
      </c>
      <c r="H99" s="186">
        <f>'Model Inputs'!H16</f>
        <v>1028</v>
      </c>
      <c r="I99" s="187">
        <f>'Model Inputs'!I16</f>
        <v>1028</v>
      </c>
      <c r="J99" s="187">
        <f>'Model Inputs'!J16</f>
        <v>0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6" t="s">
        <v>93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9169775.3900000006</v>
      </c>
      <c r="H107" s="29">
        <f t="shared" ref="H107:K107" si="4">H89</f>
        <v>9798258.4600000009</v>
      </c>
      <c r="I107" s="29">
        <f t="shared" si="4"/>
        <v>10190023.699999999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6.5100000000000005E-2</v>
      </c>
      <c r="I110" s="202">
        <f>'Model Inputs'!I22</f>
        <v>6.8400000000000002E-2</v>
      </c>
      <c r="J110" s="202">
        <f>'Model Inputs'!J22</f>
        <v>0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168.33656781093197</v>
      </c>
      <c r="K112" s="205">
        <f>J112*EXP('Model Inputs'!K21)</f>
        <v>168.33656781093197</v>
      </c>
      <c r="L112" s="205">
        <f>K112*EXP('Model Inputs'!L21)</f>
        <v>168.33656781093197</v>
      </c>
      <c r="M112" s="206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18.224945241791218</v>
      </c>
      <c r="I113" s="29">
        <f t="shared" si="7"/>
        <v>19.060999028375711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9293758.25</v>
      </c>
      <c r="H114" s="207">
        <f>H92</f>
        <v>10617432</v>
      </c>
      <c r="I114" s="208">
        <f t="shared" ref="I114:L114" si="8">I92</f>
        <v>10307158</v>
      </c>
      <c r="J114" s="208">
        <f t="shared" si="8"/>
        <v>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56975.580791393368</v>
      </c>
      <c r="H116" s="8">
        <f t="shared" ref="H116:K116" si="12">(H114-H115)/H112</f>
        <v>64073.573918549919</v>
      </c>
      <c r="I116" s="8">
        <f t="shared" si="12"/>
        <v>61229.465077228699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32584.313083741879</v>
      </c>
      <c r="H117" s="25">
        <f t="shared" ref="H117:M117" si="14">H111*G118</f>
        <v>33703.872271523083</v>
      </c>
      <c r="I117" s="25">
        <f t="shared" si="14"/>
        <v>35097.84157712161</v>
      </c>
      <c r="J117" s="25">
        <f t="shared" si="14"/>
        <v>36297.283095776525</v>
      </c>
      <c r="K117" s="25">
        <f t="shared" si="14"/>
        <v>34631.237801680385</v>
      </c>
      <c r="L117" s="25">
        <f t="shared" si="14"/>
        <v>33041.663986583255</v>
      </c>
      <c r="M117" s="25">
        <f t="shared" si="14"/>
        <v>31525.051609599086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734289.15624233289</v>
      </c>
      <c r="H118" s="25">
        <f t="shared" ref="H118:M118" si="15">G118+H116-H117</f>
        <v>764658.8578893597</v>
      </c>
      <c r="I118" s="25">
        <f t="shared" si="15"/>
        <v>790790.48138946679</v>
      </c>
      <c r="J118" s="25">
        <f t="shared" si="15"/>
        <v>754493.19829369022</v>
      </c>
      <c r="K118" s="25">
        <f t="shared" si="15"/>
        <v>719861.96049200988</v>
      </c>
      <c r="L118" s="25">
        <f t="shared" si="15"/>
        <v>686820.29650542664</v>
      </c>
      <c r="M118" s="25">
        <f t="shared" si="15"/>
        <v>655295.24489582761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13164599.123438708</v>
      </c>
      <c r="H119" s="25">
        <f t="shared" ref="H119:K119" si="16">H113*H118</f>
        <v>13935865.813684193</v>
      </c>
      <c r="I119" s="25">
        <f t="shared" si="16"/>
        <v>15073256.597413387</v>
      </c>
      <c r="J119" s="25">
        <f t="shared" si="16"/>
        <v>5829703.7105790805</v>
      </c>
      <c r="K119" s="25">
        <f t="shared" si="16"/>
        <v>5562120.3102635015</v>
      </c>
      <c r="L119" s="25">
        <f t="shared" ref="L119:M119" si="17">L113*L118</f>
        <v>5306818.9880224066</v>
      </c>
      <c r="M119" s="25">
        <f t="shared" si="17"/>
        <v>5063235.996472178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22334374.513438709</v>
      </c>
      <c r="H121" s="25">
        <f t="shared" ref="H121:K121" si="18">H107+H119</f>
        <v>23734124.273684196</v>
      </c>
      <c r="I121" s="25">
        <f t="shared" si="18"/>
        <v>25263280.297413386</v>
      </c>
      <c r="J121" s="25">
        <f t="shared" si="18"/>
        <v>5829703.7105790805</v>
      </c>
      <c r="K121" s="25">
        <f t="shared" si="18"/>
        <v>5562120.3102635015</v>
      </c>
      <c r="L121" s="25">
        <f t="shared" ref="L121:M121" si="19">L107+L119</f>
        <v>5306818.9880224066</v>
      </c>
      <c r="M121" s="25">
        <f t="shared" si="19"/>
        <v>5063235.996472178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6" t="s">
        <v>108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28713</v>
      </c>
      <c r="H128" s="8">
        <f t="shared" ref="H128:K130" si="20">H96</f>
        <v>28788</v>
      </c>
      <c r="I128" s="8">
        <f t="shared" si="20"/>
        <v>28863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468074081.25999999</v>
      </c>
      <c r="H129" s="39">
        <f t="shared" si="20"/>
        <v>467903030.63996899</v>
      </c>
      <c r="I129" s="39">
        <f t="shared" si="20"/>
        <v>466034711.79736513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94320</v>
      </c>
      <c r="H130" s="8">
        <f t="shared" si="20"/>
        <v>94320</v>
      </c>
      <c r="I130" s="8">
        <f t="shared" si="20"/>
        <v>94320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116948</v>
      </c>
      <c r="H131" s="8">
        <f t="shared" ref="H131:M131" si="24">MAX(G131,H130)</f>
        <v>116948</v>
      </c>
      <c r="I131" s="8">
        <f t="shared" si="24"/>
        <v>116948</v>
      </c>
      <c r="J131" s="8">
        <f t="shared" si="24"/>
        <v>116948</v>
      </c>
      <c r="K131" s="8">
        <f t="shared" si="24"/>
        <v>116948</v>
      </c>
      <c r="L131" s="8">
        <f t="shared" si="24"/>
        <v>116948</v>
      </c>
      <c r="M131" s="8">
        <f t="shared" si="24"/>
        <v>116948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118.91114870827467</v>
      </c>
      <c r="K134" s="214">
        <f>J134*EXP('Model Inputs'!K21)</f>
        <v>118.91114870827467</v>
      </c>
      <c r="L134" s="214">
        <f>K134*EXP('Model Inputs'!L21)</f>
        <v>118.91114870827467</v>
      </c>
      <c r="M134" s="215">
        <f>L134*EXP('Model Inputs'!M21)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1013.3851655047079</v>
      </c>
      <c r="K135" s="217">
        <f>J135*EXP('Model Inputs'!K20)</f>
        <v>1013.3851655047079</v>
      </c>
      <c r="L135" s="217">
        <f>K135*EXP('Model Inputs'!L20)</f>
        <v>1013.3851655047079</v>
      </c>
      <c r="M135" s="218">
        <f>L135*EXP('Model Inputs'!M20)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118.73891565216782</v>
      </c>
      <c r="H137" s="29">
        <f t="shared" ref="H137:M137" si="26">G137*EXP(H136)</f>
        <v>121.46159231554574</v>
      </c>
      <c r="I137" s="29">
        <f t="shared" si="26"/>
        <v>124.24669980181427</v>
      </c>
      <c r="J137" s="29">
        <f t="shared" si="26"/>
        <v>124.24669980181427</v>
      </c>
      <c r="K137" s="29">
        <f t="shared" si="26"/>
        <v>124.24669980181427</v>
      </c>
      <c r="L137" s="29">
        <f t="shared" si="26"/>
        <v>124.24669980181427</v>
      </c>
      <c r="M137" s="29">
        <f t="shared" si="26"/>
        <v>124.24669980181427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18.224945241791218</v>
      </c>
      <c r="I139" s="29">
        <f t="shared" si="27"/>
        <v>19.060999028375711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1028</v>
      </c>
      <c r="H142" s="42">
        <f>'Model Inputs'!H16</f>
        <v>1028</v>
      </c>
      <c r="I142" s="42">
        <f>'Model Inputs'!I16</f>
        <v>1028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977.12857142857138</v>
      </c>
      <c r="H143" s="41">
        <f>(G143*14+H142)/15</f>
        <v>980.52</v>
      </c>
      <c r="I143" s="41">
        <f>(H143*15+I142)/16</f>
        <v>983.48749999999995</v>
      </c>
      <c r="J143" s="41">
        <f>(I143*16+J142)/17</f>
        <v>925.63529411764705</v>
      </c>
      <c r="K143" s="41">
        <f>(J143*17+K142)/18</f>
        <v>874.21111111111111</v>
      </c>
      <c r="L143" s="41">
        <f>(K143*17+L142)/18</f>
        <v>825.64382716049386</v>
      </c>
      <c r="M143" s="41">
        <f>(L143*17+M142)/18</f>
        <v>779.77472565157746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27902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2.9066016772991185E-2</v>
      </c>
      <c r="H145" s="30">
        <f>'Model Inputs'!H17</f>
        <v>2.7300000000000001E-2</v>
      </c>
      <c r="I145" s="30">
        <f>'Model Inputs'!I17</f>
        <v>2.3300000000000001E-2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0.15098974290394029</v>
      </c>
      <c r="H152" s="44">
        <f t="shared" ref="H152:K152" si="31">H113/H137</f>
        <v>0.15004698106084871</v>
      </c>
      <c r="I152" s="44">
        <f t="shared" si="31"/>
        <v>0.15341251766670569</v>
      </c>
      <c r="J152" s="44">
        <f t="shared" si="31"/>
        <v>6.2187957304673233E-2</v>
      </c>
      <c r="K152" s="44">
        <f t="shared" si="31"/>
        <v>6.2187957304673233E-2</v>
      </c>
      <c r="L152" s="44">
        <f t="shared" ref="L152:M152" si="32">L113/L137</f>
        <v>6.2187957304673233E-2</v>
      </c>
      <c r="M152" s="44">
        <f t="shared" si="32"/>
        <v>6.2187957304673233E-2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28713</v>
      </c>
      <c r="H153" s="25">
        <f t="shared" ref="H153:K153" si="33">H96</f>
        <v>28788</v>
      </c>
      <c r="I153" s="25">
        <f t="shared" si="33"/>
        <v>28863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116948</v>
      </c>
      <c r="H154" s="25">
        <f t="shared" ref="H154:K154" si="35">H131</f>
        <v>116948</v>
      </c>
      <c r="I154" s="25">
        <f t="shared" si="35"/>
        <v>116948</v>
      </c>
      <c r="J154" s="25">
        <f t="shared" si="35"/>
        <v>116948</v>
      </c>
      <c r="K154" s="25">
        <f t="shared" si="35"/>
        <v>116948</v>
      </c>
      <c r="L154" s="25">
        <f t="shared" ref="L154:M154" si="36">L131</f>
        <v>116948</v>
      </c>
      <c r="M154" s="25">
        <f t="shared" si="36"/>
        <v>116948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468074081.25999999</v>
      </c>
      <c r="H155" s="39">
        <f t="shared" ref="H155:K155" si="37">H97</f>
        <v>467903030.63996899</v>
      </c>
      <c r="I155" s="39">
        <f t="shared" si="37"/>
        <v>466034711.79736513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977.12857142857138</v>
      </c>
      <c r="H156" s="45">
        <f t="shared" ref="H156:K156" si="39">H143</f>
        <v>980.52</v>
      </c>
      <c r="I156" s="45">
        <f t="shared" si="39"/>
        <v>983.48749999999995</v>
      </c>
      <c r="J156" s="45">
        <f t="shared" si="39"/>
        <v>925.63529411764705</v>
      </c>
      <c r="K156" s="45">
        <f t="shared" si="39"/>
        <v>874.21111111111111</v>
      </c>
      <c r="L156" s="45">
        <f t="shared" ref="L156:M156" si="40">L143</f>
        <v>825.64382716049386</v>
      </c>
      <c r="M156" s="45">
        <f t="shared" si="40"/>
        <v>779.77472565157746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2.9066016772991185E-2</v>
      </c>
      <c r="H157" s="31">
        <f t="shared" ref="H157:L157" si="41">H145</f>
        <v>2.7300000000000001E-2</v>
      </c>
      <c r="I157" s="31">
        <f t="shared" si="41"/>
        <v>2.3300000000000001E-2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12.81288440307239</v>
      </c>
      <c r="H162" s="49">
        <f t="shared" ref="H162:M179" si="45">G162</f>
        <v>12.81288440307239</v>
      </c>
      <c r="I162" s="49">
        <f t="shared" si="45"/>
        <v>12.81288440307239</v>
      </c>
      <c r="J162" s="49">
        <f t="shared" si="45"/>
        <v>12.81288440307239</v>
      </c>
      <c r="K162" s="49">
        <f t="shared" si="45"/>
        <v>12.81288440307239</v>
      </c>
      <c r="L162" s="49">
        <f t="shared" si="45"/>
        <v>12.81288440307239</v>
      </c>
      <c r="M162" s="49">
        <f t="shared" si="45"/>
        <v>12.81288440307239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0.62777892695115167</v>
      </c>
      <c r="H163" s="49">
        <f t="shared" si="45"/>
        <v>0.62777892695115167</v>
      </c>
      <c r="I163" s="49">
        <f t="shared" si="45"/>
        <v>0.62777892695115167</v>
      </c>
      <c r="J163" s="49">
        <f t="shared" si="45"/>
        <v>0.62777892695115167</v>
      </c>
      <c r="K163" s="49">
        <f t="shared" si="45"/>
        <v>0.62777892695115167</v>
      </c>
      <c r="L163" s="49">
        <f t="shared" si="45"/>
        <v>0.62777892695115167</v>
      </c>
      <c r="M163" s="49">
        <f t="shared" si="45"/>
        <v>0.62777892695115167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0.44479564805494209</v>
      </c>
      <c r="H164" s="49">
        <f t="shared" si="45"/>
        <v>0.44479564805494209</v>
      </c>
      <c r="I164" s="49">
        <f t="shared" si="45"/>
        <v>0.44479564805494209</v>
      </c>
      <c r="J164" s="49">
        <f t="shared" si="45"/>
        <v>0.44479564805494209</v>
      </c>
      <c r="K164" s="49">
        <f t="shared" si="45"/>
        <v>0.44479564805494209</v>
      </c>
      <c r="L164" s="49">
        <f t="shared" si="45"/>
        <v>0.44479564805494209</v>
      </c>
      <c r="M164" s="49">
        <f t="shared" si="45"/>
        <v>0.44479564805494209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0.16252049393951762</v>
      </c>
      <c r="H165" s="49">
        <f t="shared" si="45"/>
        <v>0.16252049393951762</v>
      </c>
      <c r="I165" s="49">
        <f t="shared" si="45"/>
        <v>0.16252049393951762</v>
      </c>
      <c r="J165" s="49">
        <f t="shared" si="45"/>
        <v>0.16252049393951762</v>
      </c>
      <c r="K165" s="49">
        <f t="shared" si="45"/>
        <v>0.16252049393951762</v>
      </c>
      <c r="L165" s="49">
        <f t="shared" si="45"/>
        <v>0.16252049393951762</v>
      </c>
      <c r="M165" s="49">
        <f t="shared" si="45"/>
        <v>0.16252049393951762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0.10179342606131343</v>
      </c>
      <c r="H166" s="49">
        <f t="shared" si="45"/>
        <v>0.10179342606131343</v>
      </c>
      <c r="I166" s="49">
        <f t="shared" si="45"/>
        <v>0.10179342606131343</v>
      </c>
      <c r="J166" s="49">
        <f t="shared" si="45"/>
        <v>0.10179342606131343</v>
      </c>
      <c r="K166" s="49">
        <f t="shared" si="45"/>
        <v>0.10179342606131343</v>
      </c>
      <c r="L166" s="49">
        <f t="shared" si="45"/>
        <v>0.10179342606131343</v>
      </c>
      <c r="M166" s="49">
        <f t="shared" si="45"/>
        <v>0.10179342606131343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0.12919440994006814</v>
      </c>
      <c r="H167" s="49">
        <f t="shared" si="45"/>
        <v>0.12919440994006814</v>
      </c>
      <c r="I167" s="49">
        <f t="shared" si="45"/>
        <v>0.12919440994006814</v>
      </c>
      <c r="J167" s="49">
        <f t="shared" si="45"/>
        <v>0.12919440994006814</v>
      </c>
      <c r="K167" s="49">
        <f t="shared" si="45"/>
        <v>0.12919440994006814</v>
      </c>
      <c r="L167" s="49">
        <f t="shared" si="45"/>
        <v>0.12919440994006814</v>
      </c>
      <c r="M167" s="49">
        <f t="shared" si="45"/>
        <v>0.12919440994006814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-0.3479372427761262</v>
      </c>
      <c r="H168" s="49">
        <f t="shared" si="45"/>
        <v>-0.3479372427761262</v>
      </c>
      <c r="I168" s="49">
        <f t="shared" si="45"/>
        <v>-0.3479372427761262</v>
      </c>
      <c r="J168" s="49">
        <f t="shared" si="45"/>
        <v>-0.3479372427761262</v>
      </c>
      <c r="K168" s="49">
        <f t="shared" si="45"/>
        <v>-0.3479372427761262</v>
      </c>
      <c r="L168" s="49">
        <f t="shared" si="45"/>
        <v>-0.3479372427761262</v>
      </c>
      <c r="M168" s="49">
        <f t="shared" si="45"/>
        <v>-0.3479372427761262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0.20381579665316127</v>
      </c>
      <c r="H169" s="49">
        <f t="shared" si="45"/>
        <v>0.20381579665316127</v>
      </c>
      <c r="I169" s="49">
        <f t="shared" si="45"/>
        <v>0.20381579665316127</v>
      </c>
      <c r="J169" s="49">
        <f t="shared" si="45"/>
        <v>0.20381579665316127</v>
      </c>
      <c r="K169" s="49">
        <f t="shared" si="45"/>
        <v>0.20381579665316127</v>
      </c>
      <c r="L169" s="49">
        <f t="shared" si="45"/>
        <v>0.20381579665316127</v>
      </c>
      <c r="M169" s="49">
        <f t="shared" si="45"/>
        <v>0.20381579665316127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0.16001913836834675</v>
      </c>
      <c r="H170" s="49">
        <f t="shared" si="45"/>
        <v>0.16001913836834675</v>
      </c>
      <c r="I170" s="49">
        <f t="shared" si="45"/>
        <v>0.16001913836834675</v>
      </c>
      <c r="J170" s="49">
        <f t="shared" si="45"/>
        <v>0.16001913836834675</v>
      </c>
      <c r="K170" s="49">
        <f t="shared" si="45"/>
        <v>0.16001913836834675</v>
      </c>
      <c r="L170" s="49">
        <f t="shared" si="45"/>
        <v>0.16001913836834675</v>
      </c>
      <c r="M170" s="49">
        <f t="shared" si="45"/>
        <v>0.16001913836834675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5.3204514285881799E-2</v>
      </c>
      <c r="H171" s="49">
        <f t="shared" si="45"/>
        <v>5.3204514285881799E-2</v>
      </c>
      <c r="I171" s="49">
        <f t="shared" si="45"/>
        <v>5.3204514285881799E-2</v>
      </c>
      <c r="J171" s="49">
        <f t="shared" si="45"/>
        <v>5.3204514285881799E-2</v>
      </c>
      <c r="K171" s="49">
        <f t="shared" si="45"/>
        <v>5.3204514285881799E-2</v>
      </c>
      <c r="L171" s="49">
        <f t="shared" si="45"/>
        <v>5.3204514285881799E-2</v>
      </c>
      <c r="M171" s="49">
        <f t="shared" si="45"/>
        <v>5.3204514285881799E-2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1.0619573680694994E-2</v>
      </c>
      <c r="H172" s="49">
        <f t="shared" si="45"/>
        <v>1.0619573680694994E-2</v>
      </c>
      <c r="I172" s="49">
        <f t="shared" si="45"/>
        <v>1.0619573680694994E-2</v>
      </c>
      <c r="J172" s="49">
        <f t="shared" si="45"/>
        <v>1.0619573680694994E-2</v>
      </c>
      <c r="K172" s="49">
        <f t="shared" si="45"/>
        <v>1.0619573680694994E-2</v>
      </c>
      <c r="L172" s="49">
        <f t="shared" si="45"/>
        <v>1.0619573680694994E-2</v>
      </c>
      <c r="M172" s="49">
        <f t="shared" si="45"/>
        <v>1.0619573680694994E-2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-2.2490720512663431E-4</v>
      </c>
      <c r="H173" s="49">
        <f t="shared" si="45"/>
        <v>-2.2490720512663431E-4</v>
      </c>
      <c r="I173" s="49">
        <f t="shared" si="45"/>
        <v>-2.2490720512663431E-4</v>
      </c>
      <c r="J173" s="49">
        <f t="shared" si="45"/>
        <v>-2.2490720512663431E-4</v>
      </c>
      <c r="K173" s="49">
        <f t="shared" si="45"/>
        <v>-2.2490720512663431E-4</v>
      </c>
      <c r="L173" s="49">
        <f t="shared" si="45"/>
        <v>-2.2490720512663431E-4</v>
      </c>
      <c r="M173" s="49">
        <f t="shared" si="45"/>
        <v>-2.2490720512663431E-4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0.11784423877075456</v>
      </c>
      <c r="H174" s="49">
        <f t="shared" si="45"/>
        <v>0.11784423877075456</v>
      </c>
      <c r="I174" s="49">
        <f t="shared" si="45"/>
        <v>0.11784423877075456</v>
      </c>
      <c r="J174" s="49">
        <f t="shared" si="45"/>
        <v>0.11784423877075456</v>
      </c>
      <c r="K174" s="49">
        <f t="shared" si="45"/>
        <v>0.11784423877075456</v>
      </c>
      <c r="L174" s="49">
        <f t="shared" si="45"/>
        <v>0.11784423877075456</v>
      </c>
      <c r="M174" s="49">
        <f t="shared" si="45"/>
        <v>0.11784423877075456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6.051504417461831E-2</v>
      </c>
      <c r="H175" s="49">
        <f t="shared" si="45"/>
        <v>6.051504417461831E-2</v>
      </c>
      <c r="I175" s="49">
        <f t="shared" si="45"/>
        <v>6.051504417461831E-2</v>
      </c>
      <c r="J175" s="49">
        <f t="shared" si="45"/>
        <v>6.051504417461831E-2</v>
      </c>
      <c r="K175" s="49">
        <f t="shared" si="45"/>
        <v>6.051504417461831E-2</v>
      </c>
      <c r="L175" s="49">
        <f t="shared" si="45"/>
        <v>6.051504417461831E-2</v>
      </c>
      <c r="M175" s="49">
        <f t="shared" si="45"/>
        <v>6.051504417461831E-2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-0.18759065264887106</v>
      </c>
      <c r="H176" s="49">
        <f t="shared" si="45"/>
        <v>-0.18759065264887106</v>
      </c>
      <c r="I176" s="49">
        <f t="shared" si="45"/>
        <v>-0.18759065264887106</v>
      </c>
      <c r="J176" s="49">
        <f t="shared" si="45"/>
        <v>-0.18759065264887106</v>
      </c>
      <c r="K176" s="49">
        <f t="shared" si="45"/>
        <v>-0.18759065264887106</v>
      </c>
      <c r="L176" s="49">
        <f t="shared" si="45"/>
        <v>-0.18759065264887106</v>
      </c>
      <c r="M176" s="49">
        <f t="shared" si="45"/>
        <v>-0.18759065264887106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0.28500958184648895</v>
      </c>
      <c r="H177" s="49">
        <f t="shared" si="45"/>
        <v>0.28500958184648895</v>
      </c>
      <c r="I177" s="49">
        <f t="shared" si="45"/>
        <v>0.28500958184648895</v>
      </c>
      <c r="J177" s="49">
        <f t="shared" si="45"/>
        <v>0.28500958184648895</v>
      </c>
      <c r="K177" s="49">
        <f t="shared" si="45"/>
        <v>0.28500958184648895</v>
      </c>
      <c r="L177" s="49">
        <f t="shared" si="45"/>
        <v>0.28500958184648895</v>
      </c>
      <c r="M177" s="49">
        <f t="shared" si="45"/>
        <v>0.28500958184648895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1.6487334535780412E-2</v>
      </c>
      <c r="H178" s="49">
        <f t="shared" si="45"/>
        <v>1.6487334535780412E-2</v>
      </c>
      <c r="I178" s="49">
        <f t="shared" si="45"/>
        <v>1.6487334535780412E-2</v>
      </c>
      <c r="J178" s="49">
        <f t="shared" si="45"/>
        <v>1.6487334535780412E-2</v>
      </c>
      <c r="K178" s="49">
        <f t="shared" si="45"/>
        <v>1.6487334535780412E-2</v>
      </c>
      <c r="L178" s="49">
        <f t="shared" si="45"/>
        <v>1.6487334535780412E-2</v>
      </c>
      <c r="M178" s="49">
        <f t="shared" si="45"/>
        <v>1.6487334535780412E-2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1.690720112802924E-2</v>
      </c>
      <c r="H179" s="49">
        <f t="shared" si="45"/>
        <v>1.690720112802924E-2</v>
      </c>
      <c r="I179" s="49">
        <f t="shared" si="45"/>
        <v>1.690720112802924E-2</v>
      </c>
      <c r="J179" s="49">
        <f t="shared" si="45"/>
        <v>1.690720112802924E-2</v>
      </c>
      <c r="K179" s="49">
        <f t="shared" si="45"/>
        <v>1.690720112802924E-2</v>
      </c>
      <c r="L179" s="49">
        <f t="shared" si="45"/>
        <v>1.690720112802924E-2</v>
      </c>
      <c r="M179" s="49">
        <f t="shared" si="45"/>
        <v>1.690720112802924E-2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-8.509057590282669E-2</v>
      </c>
      <c r="H206" s="48">
        <f t="shared" ref="H206:K209" si="49">LN(H152/H184)</f>
        <v>-9.1354030492594718E-2</v>
      </c>
      <c r="I206" s="48">
        <f t="shared" si="49"/>
        <v>-6.9171995540270328E-2</v>
      </c>
      <c r="J206" s="48">
        <f t="shared" si="49"/>
        <v>-0.97214111408731918</v>
      </c>
      <c r="K206" s="48">
        <f t="shared" si="49"/>
        <v>-0.97214111408731918</v>
      </c>
      <c r="L206" s="48">
        <f t="shared" ref="L206:M206" si="50">LN(L152/L184)</f>
        <v>-0.97214111408731918</v>
      </c>
      <c r="M206" s="48">
        <f t="shared" si="50"/>
        <v>-0.97214111408731918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-0.79246573878722948</v>
      </c>
      <c r="H207" s="48">
        <f t="shared" si="49"/>
        <v>-0.78985708702355073</v>
      </c>
      <c r="I207" s="48">
        <f t="shared" si="49"/>
        <v>-0.78725522262187142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-1.0821889109311928</v>
      </c>
      <c r="H208" s="48">
        <f t="shared" si="49"/>
        <v>-1.0821889109311928</v>
      </c>
      <c r="I208" s="48">
        <f t="shared" si="49"/>
        <v>-1.0821889109311928</v>
      </c>
      <c r="J208" s="48">
        <f t="shared" si="49"/>
        <v>-1.0821889109311928</v>
      </c>
      <c r="K208" s="48">
        <f t="shared" si="49"/>
        <v>-1.0821889109311928</v>
      </c>
      <c r="L208" s="48">
        <f t="shared" ref="L208:M208" si="52">LN(L154/L186)</f>
        <v>-1.0821889109311928</v>
      </c>
      <c r="M208" s="48">
        <f t="shared" si="52"/>
        <v>-1.0821889109311928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-1.2479099202286386</v>
      </c>
      <c r="H209" s="48">
        <f t="shared" si="49"/>
        <v>-1.2482754219482011</v>
      </c>
      <c r="I209" s="48">
        <f t="shared" si="49"/>
        <v>-1.2522763767227849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3.6202030537373551E-3</v>
      </c>
      <c r="H210" s="48">
        <f t="shared" ref="H210:K213" si="54">H206*H206/2</f>
        <v>4.1727794436209626E-3</v>
      </c>
      <c r="I210" s="48">
        <f t="shared" si="54"/>
        <v>2.392382483511589E-3</v>
      </c>
      <c r="J210" s="48">
        <f t="shared" si="54"/>
        <v>0.47252917284946705</v>
      </c>
      <c r="K210" s="48">
        <f t="shared" si="54"/>
        <v>0.47252917284946705</v>
      </c>
      <c r="L210" s="48">
        <f t="shared" ref="L210:M210" si="55">L206*L206/2</f>
        <v>0.47252917284946705</v>
      </c>
      <c r="M210" s="48">
        <f t="shared" si="55"/>
        <v>0.47252917284946705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0.31400097357579471</v>
      </c>
      <c r="H211" s="48">
        <f t="shared" si="54"/>
        <v>0.31193710896066451</v>
      </c>
      <c r="I211" s="48">
        <f t="shared" si="54"/>
        <v>0.30988539277270616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0.58556641947122068</v>
      </c>
      <c r="H212" s="48">
        <f t="shared" si="54"/>
        <v>0.58556641947122068</v>
      </c>
      <c r="I212" s="48">
        <f t="shared" si="54"/>
        <v>0.58556641947122068</v>
      </c>
      <c r="J212" s="48">
        <f t="shared" si="54"/>
        <v>0.58556641947122068</v>
      </c>
      <c r="K212" s="48">
        <f t="shared" si="54"/>
        <v>0.58556641947122068</v>
      </c>
      <c r="L212" s="48">
        <f t="shared" ref="L212:M212" si="57">L208*L208/2</f>
        <v>0.58556641947122068</v>
      </c>
      <c r="M212" s="48">
        <f t="shared" si="57"/>
        <v>0.58556641947122068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0.77863958450252357</v>
      </c>
      <c r="H213" s="48">
        <f t="shared" si="54"/>
        <v>0.77909576451997975</v>
      </c>
      <c r="I213" s="48">
        <f t="shared" si="54"/>
        <v>0.78409806184897313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6.7431366096664377E-2</v>
      </c>
      <c r="H214" s="48">
        <f t="shared" ref="H214:K214" si="59">H206*H207</f>
        <v>7.2156628412741494E-2</v>
      </c>
      <c r="I214" s="48">
        <f t="shared" si="59"/>
        <v>5.4456014748254615E-2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9.2084077666788014E-2</v>
      </c>
      <c r="H215" s="48">
        <f t="shared" ref="H215:K215" si="61">H206*H208</f>
        <v>9.8862318767956064E-2</v>
      </c>
      <c r="I215" s="48">
        <f t="shared" si="61"/>
        <v>7.4857166520662474E-2</v>
      </c>
      <c r="J215" s="48">
        <f t="shared" si="61"/>
        <v>1.0520403335255923</v>
      </c>
      <c r="K215" s="48">
        <f t="shared" si="61"/>
        <v>1.0520403335255923</v>
      </c>
      <c r="L215" s="48">
        <f t="shared" ref="L215:M215" si="62">L206*L208</f>
        <v>1.0520403335255923</v>
      </c>
      <c r="M215" s="48">
        <f t="shared" si="62"/>
        <v>1.0520403335255923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0.10618537378710537</v>
      </c>
      <c r="H216" s="48">
        <f t="shared" ref="H216:K216" si="63">H206*H209</f>
        <v>0.1140349909598125</v>
      </c>
      <c r="I216" s="48">
        <f t="shared" si="63"/>
        <v>8.6622455945854368E-2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0.85759763480843498</v>
      </c>
      <c r="H217" s="48">
        <f t="shared" ref="H217:K217" si="65">H207*H208</f>
        <v>0.85477458079730073</v>
      </c>
      <c r="I217" s="48">
        <f t="shared" si="65"/>
        <v>0.85195887199405684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0.98892585687390067</v>
      </c>
      <c r="H218" s="48">
        <f t="shared" ref="H218:K218" si="67">H207*H209</f>
        <v>0.98595918858309972</v>
      </c>
      <c r="I218" s="48">
        <f t="shared" si="67"/>
        <v>0.9858611177410066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1.3504742775124621</v>
      </c>
      <c r="H219" s="48">
        <f t="shared" ref="H219:K219" si="69">H208*H209</f>
        <v>1.350869819420299</v>
      </c>
      <c r="I219" s="48">
        <f t="shared" si="69"/>
        <v>1.3551996083104907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-1.0247970654641805</v>
      </c>
      <c r="H220" s="48">
        <f t="shared" ref="H220:K220" si="71">LN(H156/H198)</f>
        <v>-1.0213322638509346</v>
      </c>
      <c r="I220" s="48">
        <f t="shared" si="71"/>
        <v>-1.0183103789974248</v>
      </c>
      <c r="J220" s="48">
        <f t="shared" si="71"/>
        <v>-1.0789350008138596</v>
      </c>
      <c r="K220" s="48">
        <f t="shared" si="71"/>
        <v>-1.1360934146538082</v>
      </c>
      <c r="L220" s="48">
        <f t="shared" ref="L220:M220" si="72">LN(L156/L198)</f>
        <v>-1.1932518284937568</v>
      </c>
      <c r="M220" s="48">
        <f t="shared" si="72"/>
        <v>-1.2504102423337056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0.22601879294705432</v>
      </c>
      <c r="H221" s="31">
        <f t="shared" ref="H221:K221" si="73">H157/H199</f>
        <v>0.21228615863141526</v>
      </c>
      <c r="I221" s="31">
        <f t="shared" si="73"/>
        <v>0.18118195956454122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12.81288440307239</v>
      </c>
      <c r="H226" s="50">
        <f t="shared" ref="H226:K241" si="78">H162*H205</f>
        <v>12.81288440307239</v>
      </c>
      <c r="I226" s="50">
        <f t="shared" si="78"/>
        <v>12.81288440307239</v>
      </c>
      <c r="J226" s="50">
        <f t="shared" si="78"/>
        <v>12.81288440307239</v>
      </c>
      <c r="K226" s="50">
        <f t="shared" si="78"/>
        <v>12.81288440307239</v>
      </c>
      <c r="L226" s="50">
        <f t="shared" ref="L226:M226" si="79">L162*L205</f>
        <v>12.81288440307239</v>
      </c>
      <c r="M226" s="50">
        <f t="shared" si="79"/>
        <v>12.81288440307239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-5.3418070433932062E-2</v>
      </c>
      <c r="H227" s="50">
        <f t="shared" si="78"/>
        <v>-5.7350135235303905E-2</v>
      </c>
      <c r="I227" s="50">
        <f t="shared" si="78"/>
        <v>-4.3424721135340759E-2</v>
      </c>
      <c r="J227" s="50">
        <f t="shared" si="78"/>
        <v>-0.61028970544683436</v>
      </c>
      <c r="K227" s="50">
        <f t="shared" si="78"/>
        <v>-0.61028970544683436</v>
      </c>
      <c r="L227" s="50">
        <f t="shared" ref="L227:M227" si="80">L163*L206</f>
        <v>-0.61028970544683436</v>
      </c>
      <c r="M227" s="50">
        <f t="shared" si="80"/>
        <v>-0.61028970544683436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-0.35248531184520421</v>
      </c>
      <c r="H228" s="50">
        <f t="shared" si="78"/>
        <v>-0.35132499489342905</v>
      </c>
      <c r="I228" s="50">
        <f t="shared" si="78"/>
        <v>-0.35016769693073302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-0.17587787634040611</v>
      </c>
      <c r="H229" s="50">
        <f t="shared" si="78"/>
        <v>-0.17587787634040611</v>
      </c>
      <c r="I229" s="50">
        <f t="shared" si="78"/>
        <v>-0.17587787634040611</v>
      </c>
      <c r="J229" s="50">
        <f t="shared" si="78"/>
        <v>-0.17587787634040611</v>
      </c>
      <c r="K229" s="50">
        <f t="shared" si="78"/>
        <v>-0.17587787634040611</v>
      </c>
      <c r="L229" s="50">
        <f t="shared" ref="L229:M229" si="82">L165*L208</f>
        <v>-0.17587787634040611</v>
      </c>
      <c r="M229" s="50">
        <f t="shared" si="82"/>
        <v>-0.17587787634040611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-0.12702902619597348</v>
      </c>
      <c r="H230" s="50">
        <f t="shared" si="78"/>
        <v>-0.12706623186823904</v>
      </c>
      <c r="I230" s="50">
        <f t="shared" si="78"/>
        <v>-0.1274735027622603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4.6770999739083037E-4</v>
      </c>
      <c r="H231" s="50">
        <f t="shared" si="78"/>
        <v>5.3909977802865606E-4</v>
      </c>
      <c r="I231" s="50">
        <f t="shared" si="78"/>
        <v>3.0908244330823454E-4</v>
      </c>
      <c r="J231" s="50">
        <f t="shared" si="78"/>
        <v>6.1048127665755361E-2</v>
      </c>
      <c r="K231" s="50">
        <f t="shared" si="78"/>
        <v>6.1048127665755361E-2</v>
      </c>
      <c r="L231" s="50">
        <f t="shared" ref="L231:M231" si="84">L167*L210</f>
        <v>6.1048127665755361E-2</v>
      </c>
      <c r="M231" s="50">
        <f t="shared" si="84"/>
        <v>6.1048127665755361E-2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-0.10925263297498126</v>
      </c>
      <c r="H232" s="50">
        <f t="shared" si="78"/>
        <v>-0.10853453761132965</v>
      </c>
      <c r="I232" s="50">
        <f t="shared" si="78"/>
        <v>-0.10782066913793228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0.11934768627786604</v>
      </c>
      <c r="H233" s="50">
        <f t="shared" si="78"/>
        <v>0.11934768627786604</v>
      </c>
      <c r="I233" s="50">
        <f t="shared" si="78"/>
        <v>0.11934768627786604</v>
      </c>
      <c r="J233" s="50">
        <f t="shared" si="78"/>
        <v>0.11934768627786604</v>
      </c>
      <c r="K233" s="50">
        <f t="shared" si="78"/>
        <v>0.11934768627786604</v>
      </c>
      <c r="L233" s="50">
        <f t="shared" ref="L233:M233" si="86">L169*L212</f>
        <v>0.11934768627786604</v>
      </c>
      <c r="M233" s="50">
        <f t="shared" si="86"/>
        <v>0.11934768627786604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0.12459723541158134</v>
      </c>
      <c r="H234" s="50">
        <f t="shared" si="78"/>
        <v>0.12467023294491554</v>
      </c>
      <c r="I234" s="50">
        <f t="shared" si="78"/>
        <v>0.12547069625336332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3.5876530808065053E-3</v>
      </c>
      <c r="H235" s="50">
        <f t="shared" si="78"/>
        <v>3.8390583672067691E-3</v>
      </c>
      <c r="I235" s="50">
        <f t="shared" si="78"/>
        <v>2.8973058146257026E-3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9.7789364760129558E-4</v>
      </c>
      <c r="H236" s="50">
        <f t="shared" si="78"/>
        <v>1.0498756784006649E-3</v>
      </c>
      <c r="I236" s="50">
        <f t="shared" si="78"/>
        <v>7.9495119539422967E-4</v>
      </c>
      <c r="J236" s="50">
        <f t="shared" si="78"/>
        <v>1.1172219836937964E-2</v>
      </c>
      <c r="K236" s="50">
        <f t="shared" si="78"/>
        <v>1.1172219836937964E-2</v>
      </c>
      <c r="L236" s="50">
        <f t="shared" ref="L236:M236" si="89">L172*L215</f>
        <v>1.1172219836937964E-2</v>
      </c>
      <c r="M236" s="50">
        <f t="shared" si="89"/>
        <v>1.1172219836937964E-2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-2.3881855643784846E-5</v>
      </c>
      <c r="H237" s="50">
        <f t="shared" si="78"/>
        <v>-2.5647291103412439E-5</v>
      </c>
      <c r="I237" s="50">
        <f t="shared" si="78"/>
        <v>-1.9482014467987112E-5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0.10106294044559959</v>
      </c>
      <c r="H238" s="50">
        <f t="shared" si="78"/>
        <v>0.10073025979464874</v>
      </c>
      <c r="I238" s="50">
        <f t="shared" si="78"/>
        <v>0.10039844473413036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5.984489191414636E-2</v>
      </c>
      <c r="H239" s="50">
        <f t="shared" si="78"/>
        <v>5.9665363851477103E-2</v>
      </c>
      <c r="I239" s="50">
        <f t="shared" si="78"/>
        <v>5.96594290901356E-2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-0.25333635110407537</v>
      </c>
      <c r="H240" s="50">
        <f t="shared" si="78"/>
        <v>-0.25341055106871652</v>
      </c>
      <c r="I240" s="50">
        <f t="shared" si="78"/>
        <v>-0.25422277899245938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-0.29207698310545505</v>
      </c>
      <c r="H241" s="50">
        <f t="shared" si="78"/>
        <v>-0.29108948144648278</v>
      </c>
      <c r="I241" s="50">
        <f t="shared" si="78"/>
        <v>-0.29022821530799575</v>
      </c>
      <c r="J241" s="50">
        <f t="shared" si="78"/>
        <v>-0.30750681342149933</v>
      </c>
      <c r="K241" s="50">
        <f t="shared" si="78"/>
        <v>-0.32379750904903165</v>
      </c>
      <c r="L241" s="50">
        <f t="shared" ref="L241:M241" si="94">L177*L220</f>
        <v>-0.34008820467656398</v>
      </c>
      <c r="M241" s="50">
        <f t="shared" si="94"/>
        <v>-0.35637890030409636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3.7264474506913709E-3</v>
      </c>
      <c r="H242" s="50">
        <f t="shared" ref="H242:K243" si="95">H178*H221</f>
        <v>3.5000329146718918E-3</v>
      </c>
      <c r="I242" s="50">
        <f t="shared" si="95"/>
        <v>2.9872075791888305E-3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0.15216481015226316</v>
      </c>
      <c r="H243" s="50">
        <f t="shared" si="95"/>
        <v>0.16907201128029239</v>
      </c>
      <c r="I243" s="50">
        <f t="shared" si="95"/>
        <v>0.18597921240832163</v>
      </c>
      <c r="J243" s="50">
        <f t="shared" si="95"/>
        <v>0.2028864135363509</v>
      </c>
      <c r="K243" s="50">
        <f t="shared" si="95"/>
        <v>0.21979361466438013</v>
      </c>
      <c r="L243" s="50">
        <f t="shared" ref="L243:M243" si="97">L179*L222</f>
        <v>0.23670081579240937</v>
      </c>
      <c r="M243" s="50">
        <f t="shared" si="97"/>
        <v>0.25360801692043861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12.015161537594668</v>
      </c>
      <c r="H245" s="44">
        <f t="shared" ref="H245:K245" si="98">SUM(H226:H243)</f>
        <v>12.030618568204888</v>
      </c>
      <c r="I245" s="44">
        <f t="shared" si="98"/>
        <v>12.061493476247126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165241.20560931289</v>
      </c>
      <c r="H246" s="8">
        <f t="shared" ref="H246:K246" si="100">EXP(H245)</f>
        <v>167815.18577993213</v>
      </c>
      <c r="I246" s="8">
        <f t="shared" si="100"/>
        <v>173077.2795340697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118.73891565216782</v>
      </c>
      <c r="H247" s="21">
        <f t="shared" ref="H247:K247" si="102">H137</f>
        <v>121.46159231554574</v>
      </c>
      <c r="I247" s="21">
        <f t="shared" si="102"/>
        <v>124.24669980181427</v>
      </c>
      <c r="J247" s="21">
        <f t="shared" si="102"/>
        <v>124.24669980181427</v>
      </c>
      <c r="K247" s="21">
        <f t="shared" si="102"/>
        <v>124.24669980181427</v>
      </c>
      <c r="L247" s="21">
        <f t="shared" ref="L247:M247" si="103">L137</f>
        <v>124.24669980181427</v>
      </c>
      <c r="M247" s="21">
        <f t="shared" si="103"/>
        <v>124.24669980181427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19620561.575106725</v>
      </c>
      <c r="H248" s="8">
        <f t="shared" ref="H248:K248" si="104">H246*H247</f>
        <v>20383099.679559685</v>
      </c>
      <c r="I248" s="8">
        <f t="shared" si="104"/>
        <v>21504280.792784251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6" t="s">
        <v>151</v>
      </c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22334374.513438709</v>
      </c>
      <c r="H256" s="60">
        <f t="shared" ref="H256:K256" si="107">H121</f>
        <v>23734124.273684196</v>
      </c>
      <c r="I256" s="60">
        <f t="shared" si="107"/>
        <v>25263280.297413386</v>
      </c>
      <c r="J256" s="60">
        <f t="shared" si="107"/>
        <v>5829703.7105790805</v>
      </c>
      <c r="K256" s="60">
        <f t="shared" si="107"/>
        <v>5562120.3102635015</v>
      </c>
      <c r="L256" s="60">
        <f t="shared" ref="L256:M256" si="108">L121</f>
        <v>5306818.9880224066</v>
      </c>
      <c r="M256" s="60">
        <f t="shared" si="108"/>
        <v>5063235.996472178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19620561.575106725</v>
      </c>
      <c r="H257" s="60">
        <f t="shared" ref="H257:K257" si="110">H248</f>
        <v>20383099.679559685</v>
      </c>
      <c r="I257" s="60">
        <f t="shared" si="110"/>
        <v>21504280.792784251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2713812.938331984</v>
      </c>
      <c r="H258" s="25">
        <f t="shared" ref="H258:K258" si="113">H256-H257</f>
        <v>3351024.5941245109</v>
      </c>
      <c r="I258" s="25">
        <f t="shared" si="113"/>
        <v>3758999.5046291351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0.13831474333410981</v>
      </c>
      <c r="H259" s="61">
        <f t="shared" ref="H259:K259" si="116">H258/H257</f>
        <v>0.16440210992467166</v>
      </c>
      <c r="I259" s="61">
        <f t="shared" si="116"/>
        <v>0.17480238194668968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0.12954887332885678</v>
      </c>
      <c r="H261" s="64">
        <f t="shared" ref="H261:K261" si="118">LN(H256/H257)</f>
        <v>0.1522077449150612</v>
      </c>
      <c r="I261" s="64">
        <f t="shared" si="118"/>
        <v>0.16109994787405676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H16" sqref="H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2.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2" t="str">
        <f>'Model Inputs'!F5</f>
        <v>Canadian Niagara Power Inc.</v>
      </c>
      <c r="D3" s="232"/>
      <c r="E3" s="232"/>
      <c r="F3" s="232"/>
      <c r="G3" s="232"/>
      <c r="H3" s="232"/>
      <c r="I3" s="232"/>
      <c r="J3" s="232"/>
      <c r="K3" s="232"/>
    </row>
    <row r="4" spans="3:17" s="92" customFormat="1" ht="15.75" x14ac:dyDescent="0.2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22334374.513438709</v>
      </c>
      <c r="G10" s="86">
        <f>'Benchmarking Calculations'!H121</f>
        <v>23734124.273684196</v>
      </c>
      <c r="H10" s="86">
        <f>'Benchmarking Calculations'!I121</f>
        <v>25263280.297413386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19620561.575106725</v>
      </c>
      <c r="G12" s="86">
        <f>'Benchmarking Calculations'!H257</f>
        <v>20383099.679559685</v>
      </c>
      <c r="H12" s="86">
        <f>'Benchmarking Calculations'!I257</f>
        <v>21504280.792784251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2713812.938331984</v>
      </c>
      <c r="G14" s="86">
        <f t="shared" si="0"/>
        <v>3351024.5941245109</v>
      </c>
      <c r="H14" s="86">
        <f t="shared" si="0"/>
        <v>3758999.5046291351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0.12954887332885678</v>
      </c>
      <c r="G16" s="167">
        <f t="shared" ref="G16:H16" si="2">LN(G10/G12)</f>
        <v>0.1522077449150612</v>
      </c>
      <c r="H16" s="167">
        <f t="shared" si="2"/>
        <v>0.16109994787405676</v>
      </c>
      <c r="I16" s="148" t="str">
        <f>IF(ISNUMBER(I14),LN(I10/I12),"na")</f>
        <v>na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0.14761885537265826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4</v>
      </c>
      <c r="G22" s="149">
        <f t="shared" ref="G22" si="5">IF(G16&lt;-0.25,1,IF(G16&lt;-0.1,2,IF(G16&lt;0.1,3,IF(G16&lt;0.25,4,5))))</f>
        <v>4</v>
      </c>
      <c r="H22" s="149">
        <f>IF($H$16&lt;-0.25,1,IF($H$16&lt;-0.1,2,IF($H$16&lt;0.1,3,IF($H$16&lt;0.25,4,5))))</f>
        <v>4</v>
      </c>
      <c r="I22" s="149" t="str">
        <f>IF(ISNUMBER(I16),IF(I16&lt;-0.25,1,IF(I16&lt;-0.1,2,IF(I16&lt;0.1,3,IF(I16&lt;0.25,4,5)))),"na")</f>
        <v>na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4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Beharriell, Greg</cp:lastModifiedBy>
  <cp:lastPrinted>2016-10-19T13:01:46Z</cp:lastPrinted>
  <dcterms:created xsi:type="dcterms:W3CDTF">2016-07-20T15:58:10Z</dcterms:created>
  <dcterms:modified xsi:type="dcterms:W3CDTF">2016-11-02T02:29:25Z</dcterms:modified>
</cp:coreProperties>
</file>