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376" windowHeight="11832" tabRatio="878" firstSheet="12" activeTab="15"/>
  </bookViews>
  <sheets>
    <sheet name="Cover Sheet" sheetId="3" r:id="rId1"/>
    <sheet name="Forecast" sheetId="2" r:id="rId2"/>
    <sheet name="Rate Summary" sheetId="4" r:id="rId3"/>
    <sheet name="2015 BA Cost Allocation" sheetId="5" r:id="rId4"/>
    <sheet name="2015 BA RC Ratios" sheetId="1" r:id="rId5"/>
    <sheet name="2015 Allocated Revenues" sheetId="6" r:id="rId6"/>
    <sheet name="2015 RRRP Rate Design" sheetId="7" r:id="rId7"/>
    <sheet name="2015 Non-RRRP Rate Design" sheetId="8" r:id="rId8"/>
    <sheet name="2017 SL Adj for 10% Impact" sheetId="29" r:id="rId9"/>
    <sheet name="2017 Proposed RC Ratios" sheetId="19" r:id="rId10"/>
    <sheet name="2017 Allocated Revenues" sheetId="20" r:id="rId11"/>
    <sheet name="IRM Adjustment Factors" sheetId="21" r:id="rId12"/>
    <sheet name="Indexed Allocated Revenue" sheetId="22" r:id="rId13"/>
    <sheet name="2017 RRRP Rate Design" sheetId="23" r:id="rId14"/>
    <sheet name="2017 Non-RRRP Rate Design" sheetId="24" r:id="rId15"/>
    <sheet name="2017 R1(i) Decoupling" sheetId="25" r:id="rId16"/>
    <sheet name="2017 Seasonal Decoupling" sheetId="26" r:id="rId17"/>
    <sheet name="2017 Proposed Rates" sheetId="27" r:id="rId18"/>
  </sheets>
  <externalReferences>
    <externalReference r:id="rId19"/>
  </externalReferences>
  <definedNames>
    <definedName name="EBNUMBER">'[1]LDC Info'!$E$16</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25" l="1"/>
  <c r="D9" i="25"/>
  <c r="E10" i="25"/>
  <c r="E9" i="25"/>
  <c r="D8" i="20" l="1"/>
  <c r="D9" i="20"/>
  <c r="D10" i="20"/>
  <c r="D11" i="20"/>
  <c r="H8" i="29"/>
  <c r="J12" i="23" l="1"/>
  <c r="D8" i="27" s="1"/>
  <c r="I12" i="23"/>
  <c r="K12" i="23" s="1"/>
  <c r="L12" i="23" l="1"/>
  <c r="M12" i="23" s="1"/>
  <c r="C8" i="27"/>
  <c r="F10" i="25"/>
  <c r="G10" i="25"/>
  <c r="J10" i="25" s="1"/>
  <c r="H12" i="23" l="1"/>
  <c r="G12" i="23"/>
  <c r="J11" i="23"/>
  <c r="G9" i="25" s="1"/>
  <c r="J9" i="25" s="1"/>
  <c r="J13" i="23"/>
  <c r="I13" i="23"/>
  <c r="I11" i="23"/>
  <c r="F9" i="25" s="1"/>
  <c r="F15" i="25" s="1"/>
  <c r="D14" i="29"/>
  <c r="C14" i="29"/>
  <c r="H8" i="21"/>
  <c r="C19" i="29" s="1"/>
  <c r="H10" i="19"/>
  <c r="G14" i="29"/>
  <c r="I14" i="29" s="1"/>
  <c r="H14" i="29"/>
  <c r="J14" i="29" s="1"/>
  <c r="K8" i="29"/>
  <c r="K14" i="29" l="1"/>
  <c r="E14" i="29" l="1"/>
  <c r="F19" i="29"/>
  <c r="F20" i="29" s="1"/>
  <c r="F14" i="29"/>
  <c r="D25" i="25" l="1"/>
  <c r="D11" i="25"/>
  <c r="F8" i="24"/>
  <c r="G7" i="24"/>
  <c r="L14" i="23"/>
  <c r="M14" i="23" s="1"/>
  <c r="C9" i="27"/>
  <c r="J17" i="4" s="1"/>
  <c r="J14" i="4"/>
  <c r="M14" i="4" s="1"/>
  <c r="J13" i="4"/>
  <c r="D8" i="21"/>
  <c r="C20" i="29" s="1"/>
  <c r="F21" i="29" s="1"/>
  <c r="H9" i="19" s="1"/>
  <c r="H7" i="19" s="1"/>
  <c r="M9" i="20" s="1"/>
  <c r="K9" i="20" s="1"/>
  <c r="C7" i="22" s="1"/>
  <c r="H7" i="22" s="1"/>
  <c r="H11" i="20"/>
  <c r="E11" i="20"/>
  <c r="E8" i="24" s="1"/>
  <c r="D8" i="24"/>
  <c r="M10" i="20"/>
  <c r="K10" i="20" s="1"/>
  <c r="I10" i="20" s="1"/>
  <c r="H10" i="20"/>
  <c r="E10" i="20"/>
  <c r="E7" i="24" s="1"/>
  <c r="E8" i="26" s="1"/>
  <c r="E23" i="26" s="1"/>
  <c r="H9" i="20"/>
  <c r="F9" i="20"/>
  <c r="F13" i="23" s="1"/>
  <c r="L13" i="23" s="1"/>
  <c r="D13" i="23"/>
  <c r="H8" i="20"/>
  <c r="E8" i="20"/>
  <c r="K11" i="23"/>
  <c r="C19" i="19"/>
  <c r="C18" i="19"/>
  <c r="C17" i="19"/>
  <c r="C16" i="19"/>
  <c r="F10" i="19"/>
  <c r="D10" i="19"/>
  <c r="C10" i="19"/>
  <c r="E10" i="19" s="1"/>
  <c r="E9" i="19"/>
  <c r="G8" i="19"/>
  <c r="E8" i="19"/>
  <c r="E7" i="19"/>
  <c r="E6" i="19"/>
  <c r="G9" i="19" l="1"/>
  <c r="M11" i="20"/>
  <c r="K11" i="20" s="1"/>
  <c r="C9" i="22" s="1"/>
  <c r="H9" i="22" s="1"/>
  <c r="G7" i="19"/>
  <c r="H6" i="19"/>
  <c r="M8" i="20" s="1"/>
  <c r="L8" i="20" s="1"/>
  <c r="D6" i="22" s="1"/>
  <c r="I6" i="22" s="1"/>
  <c r="E9" i="27"/>
  <c r="J18" i="4" s="1"/>
  <c r="K13" i="23"/>
  <c r="M13" i="23" s="1"/>
  <c r="G13" i="23" s="1"/>
  <c r="L9" i="20"/>
  <c r="J9" i="20" s="1"/>
  <c r="L10" i="20"/>
  <c r="D8" i="22" s="1"/>
  <c r="I8" i="22" s="1"/>
  <c r="J10" i="20"/>
  <c r="N10" i="20" s="1"/>
  <c r="C8" i="22"/>
  <c r="H8" i="22" s="1"/>
  <c r="I9" i="20"/>
  <c r="D7" i="24"/>
  <c r="D8" i="26" s="1"/>
  <c r="D23" i="26" s="1"/>
  <c r="G8" i="24"/>
  <c r="L11" i="23"/>
  <c r="I11" i="20"/>
  <c r="H12" i="19" l="1"/>
  <c r="K8" i="20"/>
  <c r="I8" i="20" s="1"/>
  <c r="G6" i="19"/>
  <c r="D7" i="22"/>
  <c r="E7" i="22" s="1"/>
  <c r="L11" i="20"/>
  <c r="J11" i="20" s="1"/>
  <c r="N11" i="20" s="1"/>
  <c r="M12" i="20"/>
  <c r="J8" i="22"/>
  <c r="L7" i="24" s="1"/>
  <c r="L8" i="26" s="1"/>
  <c r="N9" i="20"/>
  <c r="E8" i="22"/>
  <c r="J8" i="20"/>
  <c r="H13" i="23"/>
  <c r="C6" i="22"/>
  <c r="H6" i="22" s="1"/>
  <c r="K12" i="20"/>
  <c r="M11" i="23"/>
  <c r="I10" i="25"/>
  <c r="K10" i="25" s="1"/>
  <c r="I9" i="25"/>
  <c r="K9" i="25" s="1"/>
  <c r="I7" i="22" l="1"/>
  <c r="J7" i="22" s="1"/>
  <c r="D9" i="22"/>
  <c r="D10" i="22" s="1"/>
  <c r="L12" i="20"/>
  <c r="F14" i="26"/>
  <c r="L23" i="26"/>
  <c r="L25" i="26" s="1"/>
  <c r="F16" i="25"/>
  <c r="K25" i="25"/>
  <c r="K27" i="25" s="1"/>
  <c r="K11" i="25"/>
  <c r="N8" i="20"/>
  <c r="N12" i="20" s="1"/>
  <c r="E9" i="22"/>
  <c r="I9" i="22"/>
  <c r="J9" i="22" s="1"/>
  <c r="L8" i="24" s="1"/>
  <c r="J8" i="24" s="1"/>
  <c r="H8" i="24" s="1"/>
  <c r="J6" i="22"/>
  <c r="H10" i="22"/>
  <c r="I11" i="25"/>
  <c r="L9" i="25"/>
  <c r="G11" i="23"/>
  <c r="K7" i="24"/>
  <c r="J7" i="24"/>
  <c r="L10" i="25"/>
  <c r="E6" i="22"/>
  <c r="C10" i="22"/>
  <c r="H11" i="23"/>
  <c r="J8" i="26" l="1"/>
  <c r="M8" i="26" s="1"/>
  <c r="H7" i="24"/>
  <c r="G8" i="26" s="1"/>
  <c r="K8" i="26"/>
  <c r="N8" i="26" s="1"/>
  <c r="I7" i="24"/>
  <c r="H8" i="26" s="1"/>
  <c r="L11" i="25"/>
  <c r="F17" i="25"/>
  <c r="F18" i="25" s="1"/>
  <c r="F25" i="25" s="1"/>
  <c r="M4" i="23"/>
  <c r="J10" i="22"/>
  <c r="I10" i="22"/>
  <c r="E10" i="22"/>
  <c r="M10" i="25"/>
  <c r="F13" i="26" l="1"/>
  <c r="M16" i="23"/>
  <c r="J28" i="4" s="1"/>
  <c r="C7" i="27"/>
  <c r="J9" i="4" s="1"/>
  <c r="I25" i="25"/>
  <c r="L25" i="25" s="1"/>
  <c r="G15" i="25"/>
  <c r="J14" i="22"/>
  <c r="E14" i="22"/>
  <c r="M17" i="23" l="1"/>
  <c r="G17" i="25"/>
  <c r="G18" i="25" s="1"/>
  <c r="H15" i="25" s="1"/>
  <c r="H17" i="25" s="1"/>
  <c r="H18" i="25" s="1"/>
  <c r="I15" i="25" s="1"/>
  <c r="I17" i="25" s="1"/>
  <c r="I18" i="25" s="1"/>
  <c r="J15" i="25" s="1"/>
  <c r="J17" i="25" l="1"/>
  <c r="J18" i="25" s="1"/>
  <c r="K15" i="25" s="1"/>
  <c r="M18" i="4"/>
  <c r="M17" i="4"/>
  <c r="C17" i="1"/>
  <c r="C18" i="1"/>
  <c r="C19" i="1"/>
  <c r="C16" i="1"/>
  <c r="M8" i="8"/>
  <c r="K8" i="8" s="1"/>
  <c r="I8" i="8" s="1"/>
  <c r="M7" i="8"/>
  <c r="M9" i="8" s="1"/>
  <c r="E8" i="8"/>
  <c r="E7" i="8"/>
  <c r="D8" i="8"/>
  <c r="D7" i="8"/>
  <c r="H8" i="8"/>
  <c r="H7" i="8"/>
  <c r="L19" i="7"/>
  <c r="M14" i="7"/>
  <c r="L8" i="7"/>
  <c r="M8" i="7"/>
  <c r="K8" i="7"/>
  <c r="K10" i="7" s="1"/>
  <c r="L7" i="7"/>
  <c r="M7" i="7"/>
  <c r="K7" i="7"/>
  <c r="J7" i="7"/>
  <c r="J8" i="7"/>
  <c r="I8" i="7"/>
  <c r="I7" i="7"/>
  <c r="H8" i="7"/>
  <c r="G8" i="7"/>
  <c r="H7" i="7"/>
  <c r="G7" i="7"/>
  <c r="F8" i="7"/>
  <c r="E7" i="7"/>
  <c r="E17" i="7" s="1"/>
  <c r="D8" i="7"/>
  <c r="D18" i="7" s="1"/>
  <c r="D7" i="7"/>
  <c r="M19" i="7"/>
  <c r="F18" i="7"/>
  <c r="M10" i="7"/>
  <c r="L10" i="7"/>
  <c r="D17" i="7"/>
  <c r="K17" i="7" s="1"/>
  <c r="M11" i="6"/>
  <c r="M10" i="6"/>
  <c r="M9" i="6"/>
  <c r="M8" i="6"/>
  <c r="E11" i="6"/>
  <c r="E10" i="6"/>
  <c r="F9" i="6"/>
  <c r="E8" i="6"/>
  <c r="D10" i="6"/>
  <c r="D9" i="6"/>
  <c r="D11" i="6"/>
  <c r="D8" i="6"/>
  <c r="H8" i="6"/>
  <c r="L8" i="6" s="1"/>
  <c r="K8" i="6"/>
  <c r="H9" i="6"/>
  <c r="K9" i="6"/>
  <c r="H10" i="6"/>
  <c r="K10" i="6"/>
  <c r="I10" i="6" s="1"/>
  <c r="L10" i="6"/>
  <c r="H11" i="6"/>
  <c r="K11" i="6"/>
  <c r="I11" i="6" s="1"/>
  <c r="I34" i="2"/>
  <c r="H34" i="2"/>
  <c r="F34" i="2"/>
  <c r="E34" i="2"/>
  <c r="D34" i="2"/>
  <c r="I27" i="2"/>
  <c r="I19" i="2"/>
  <c r="H12" i="1"/>
  <c r="G9" i="1"/>
  <c r="E8" i="1"/>
  <c r="G8" i="1"/>
  <c r="H7" i="1"/>
  <c r="E7" i="1"/>
  <c r="F10" i="1"/>
  <c r="G6" i="1"/>
  <c r="K17" i="25" l="1"/>
  <c r="K18" i="25" s="1"/>
  <c r="L15" i="25" s="1"/>
  <c r="L17" i="25" s="1"/>
  <c r="L18" i="25" s="1"/>
  <c r="M13" i="4"/>
  <c r="L8" i="8"/>
  <c r="J8" i="8" s="1"/>
  <c r="L7" i="8"/>
  <c r="K7" i="8"/>
  <c r="L18" i="7"/>
  <c r="K18" i="7"/>
  <c r="L17" i="7"/>
  <c r="L9" i="6"/>
  <c r="J9" i="6" s="1"/>
  <c r="J10" i="6"/>
  <c r="I9" i="6"/>
  <c r="N9" i="6" s="1"/>
  <c r="K12" i="6"/>
  <c r="I8" i="6"/>
  <c r="J8" i="6"/>
  <c r="L12" i="6"/>
  <c r="N10" i="6"/>
  <c r="M12" i="6"/>
  <c r="L11" i="6"/>
  <c r="J11" i="6" s="1"/>
  <c r="N11" i="6" s="1"/>
  <c r="G7" i="1"/>
  <c r="C10" i="1"/>
  <c r="E6" i="1"/>
  <c r="E9" i="1"/>
  <c r="D10" i="1"/>
  <c r="L9" i="8" l="1"/>
  <c r="J7" i="8"/>
  <c r="I7" i="8"/>
  <c r="K9" i="8"/>
  <c r="L11" i="8" s="1"/>
  <c r="M18" i="7"/>
  <c r="G18" i="7" s="1"/>
  <c r="M17" i="7"/>
  <c r="M14" i="6"/>
  <c r="N8" i="6"/>
  <c r="N12" i="6" s="1"/>
  <c r="E10" i="1"/>
  <c r="M9" i="4" l="1"/>
  <c r="H18" i="7"/>
  <c r="G17" i="7"/>
  <c r="M21" i="7"/>
  <c r="M23" i="7" s="1"/>
  <c r="H17" i="7"/>
  <c r="M28" i="4" l="1"/>
  <c r="F16" i="26" l="1"/>
  <c r="G23" i="26" s="1"/>
  <c r="C10" i="27" l="1"/>
  <c r="J21" i="4" s="1"/>
  <c r="M21" i="4" s="1"/>
  <c r="J23" i="26"/>
  <c r="K23" i="26" s="1"/>
  <c r="H23" i="26" s="1"/>
  <c r="M23" i="26" l="1"/>
  <c r="D10" i="27" l="1"/>
  <c r="J22" i="4" s="1"/>
  <c r="M22" i="4" s="1"/>
  <c r="N23" i="26"/>
  <c r="J11" i="25" l="1"/>
  <c r="M11" i="25" s="1"/>
  <c r="M9" i="25"/>
  <c r="E11" i="25"/>
  <c r="E25" i="25" l="1"/>
  <c r="G25" i="25" l="1"/>
  <c r="D7" i="27" s="1"/>
  <c r="J10" i="4" s="1"/>
  <c r="M10" i="4" s="1"/>
  <c r="J25" i="25" l="1"/>
  <c r="M25" i="25" s="1"/>
  <c r="C11" i="27"/>
  <c r="J25" i="4" s="1"/>
  <c r="M25" i="4" s="1"/>
  <c r="L9" i="24"/>
  <c r="L11" i="24" s="1"/>
  <c r="J9" i="24"/>
  <c r="K8" i="24"/>
  <c r="I8" i="24" s="1"/>
  <c r="D11" i="27" s="1"/>
  <c r="J26" i="4" s="1"/>
  <c r="M26" i="4" s="1"/>
  <c r="K9" i="24"/>
</calcChain>
</file>

<file path=xl/sharedStrings.xml><?xml version="1.0" encoding="utf-8"?>
<sst xmlns="http://schemas.openxmlformats.org/spreadsheetml/2006/main" count="619" uniqueCount="243">
  <si>
    <t>Allocation of Revenue Requirement Including Net Income</t>
  </si>
  <si>
    <t>Misc. Revenue</t>
  </si>
  <si>
    <t>Allocation of Distribution Revenue Requirement Including Net Income</t>
  </si>
  <si>
    <t>Distribution Revenue at Status Quo Equivalent Rates</t>
  </si>
  <si>
    <t>Target Revenue to Cost Ratio</t>
  </si>
  <si>
    <t>Adjusted Distribution Revenue to Achieve Target Revenue to Cost Ratios</t>
  </si>
  <si>
    <t>Residential - R1</t>
  </si>
  <si>
    <t>Residential - R2</t>
  </si>
  <si>
    <t>Seasonal</t>
  </si>
  <si>
    <t>Street Lighting</t>
  </si>
  <si>
    <t>Check</t>
  </si>
  <si>
    <t xml:space="preserve">   Customer Class Name</t>
  </si>
  <si>
    <t>2010 Actual</t>
  </si>
  <si>
    <t>2011 Actual</t>
  </si>
  <si>
    <t>2012 Actual</t>
  </si>
  <si>
    <t>2013 Year End</t>
  </si>
  <si>
    <t>2013 Normalized</t>
  </si>
  <si>
    <t>Bridge Year 2014 Normalized</t>
  </si>
  <si>
    <t>Test Year 2015 Normalized</t>
  </si>
  <si>
    <t>Customers and Connections</t>
  </si>
  <si>
    <t xml:space="preserve">   Residential - R1</t>
  </si>
  <si>
    <t xml:space="preserve">   Seasonal</t>
  </si>
  <si>
    <t xml:space="preserve">   Residential - R2</t>
  </si>
  <si>
    <t xml:space="preserve">   Street Lighting (# of Connections)</t>
  </si>
  <si>
    <t xml:space="preserve">   TOTAL</t>
  </si>
  <si>
    <t xml:space="preserve">   Volumes in kWh</t>
  </si>
  <si>
    <t xml:space="preserve">   Street Lighting</t>
  </si>
  <si>
    <t xml:space="preserve">   Volumes in kW</t>
  </si>
  <si>
    <t>Note: Street Ligting revenue in API is based on kWh.</t>
  </si>
  <si>
    <t>N/a</t>
  </si>
  <si>
    <t>2013 Actual</t>
  </si>
  <si>
    <t>2014 Actual</t>
  </si>
  <si>
    <t>2015 Board Calculation</t>
  </si>
  <si>
    <t>RRRP Adjustment Factor</t>
  </si>
  <si>
    <t>Transformer Ownership Allowance</t>
  </si>
  <si>
    <t>kW</t>
  </si>
  <si>
    <t>$</t>
  </si>
  <si>
    <t>Algoma Power Inc.</t>
  </si>
  <si>
    <t>Rate Design Model</t>
  </si>
  <si>
    <t>Distribution Charges</t>
  </si>
  <si>
    <t>Monthly Rates and Charges</t>
  </si>
  <si>
    <t>Metric</t>
  </si>
  <si>
    <t>Monthly Service Charge</t>
  </si>
  <si>
    <t>Distribution Volumetric Rate</t>
  </si>
  <si>
    <t>$/kWh</t>
  </si>
  <si>
    <t>$/kW</t>
  </si>
  <si>
    <t>Rural and Remote Rate Protection</t>
  </si>
  <si>
    <t>Sheet O1 Revenue to Cost Summary Worksheet  - Final Run</t>
  </si>
  <si>
    <t>Rate Base Assets</t>
  </si>
  <si>
    <t>Total</t>
  </si>
  <si>
    <t>R1</t>
  </si>
  <si>
    <t>R2</t>
  </si>
  <si>
    <t>GS&gt;50-Regular</t>
  </si>
  <si>
    <t>GS&gt; 50-TOU</t>
  </si>
  <si>
    <t>GS &gt;50-Intermediate</t>
  </si>
  <si>
    <t>Large Use &gt;5MW</t>
  </si>
  <si>
    <t>Street Light</t>
  </si>
  <si>
    <t>Sentinel</t>
  </si>
  <si>
    <t>Unmetered Scattered Load</t>
  </si>
  <si>
    <t>Embedded Distributor</t>
  </si>
  <si>
    <t>Back-up/Standby Power</t>
  </si>
  <si>
    <t>crev</t>
  </si>
  <si>
    <t>Distribution Revenue at Existing Rates</t>
  </si>
  <si>
    <t>mi</t>
  </si>
  <si>
    <t>Miscellaneous Revenue (mi)</t>
  </si>
  <si>
    <t>Miscellaneous Revenue Input equals Output</t>
  </si>
  <si>
    <t>Total Revenue at Existing Rates</t>
  </si>
  <si>
    <t>Factor required to recover deficiency (1 + D)</t>
  </si>
  <si>
    <t>Distribution Revenue at Status Quo Rates</t>
  </si>
  <si>
    <t>Total Revenue at Status Quo Rates</t>
  </si>
  <si>
    <t>Expenses</t>
  </si>
  <si>
    <t>di</t>
  </si>
  <si>
    <t>Distribution Costs (di)</t>
  </si>
  <si>
    <t>cu</t>
  </si>
  <si>
    <t>Customer Related Costs (cu)</t>
  </si>
  <si>
    <t>ad</t>
  </si>
  <si>
    <t>General and Administration (ad)</t>
  </si>
  <si>
    <t>dep</t>
  </si>
  <si>
    <t>Depreciation and Amortization (dep)</t>
  </si>
  <si>
    <t>INPUT</t>
  </si>
  <si>
    <t>PILs  (INPUT)</t>
  </si>
  <si>
    <t>INT</t>
  </si>
  <si>
    <t>Interest</t>
  </si>
  <si>
    <t>Total Expenses</t>
  </si>
  <si>
    <t>Direct Allocation</t>
  </si>
  <si>
    <t>NI</t>
  </si>
  <si>
    <t>Allocated Net Income  (NI)</t>
  </si>
  <si>
    <t>Revenue Requirement (includes NI)</t>
  </si>
  <si>
    <t>Revenue Requirement Input equals Output</t>
  </si>
  <si>
    <t>Rate Base Calculation</t>
  </si>
  <si>
    <t>Net Assets</t>
  </si>
  <si>
    <t>dp</t>
  </si>
  <si>
    <t xml:space="preserve">Distribution Plant - Gross </t>
  </si>
  <si>
    <t>gp</t>
  </si>
  <si>
    <t>General Plant - Gross</t>
  </si>
  <si>
    <t>accum dep</t>
  </si>
  <si>
    <t>Accumulated Depreciation</t>
  </si>
  <si>
    <t>co</t>
  </si>
  <si>
    <t xml:space="preserve">Capital Contribution </t>
  </si>
  <si>
    <t>Total Net Plant</t>
  </si>
  <si>
    <t>Directly Allocated Net Fixed Assets</t>
  </si>
  <si>
    <t>COP</t>
  </si>
  <si>
    <t>Cost of Power  (COP)</t>
  </si>
  <si>
    <t>OM&amp;A Expenses</t>
  </si>
  <si>
    <t xml:space="preserve">Directly Allocated Expenses </t>
  </si>
  <si>
    <t xml:space="preserve">Subtotal </t>
  </si>
  <si>
    <t>Working Capital</t>
  </si>
  <si>
    <t>Total Rate Base</t>
  </si>
  <si>
    <t>Rate Base Input equals Output</t>
  </si>
  <si>
    <t>Equity Component of Rate Base</t>
  </si>
  <si>
    <t>Net Income on Allocated Assets</t>
  </si>
  <si>
    <t>Net Income on Direct Allocation Assets</t>
  </si>
  <si>
    <t>Net Income</t>
  </si>
  <si>
    <t>RATIOS ANALYSIS</t>
  </si>
  <si>
    <t>REVENUE TO EXPENSES STATUS QUO%</t>
  </si>
  <si>
    <t>0.00%</t>
  </si>
  <si>
    <t>EXISTING REVENUE MINUS ALLOCATED COSTS</t>
  </si>
  <si>
    <t>Deficiency Input Does Not Equal Output</t>
  </si>
  <si>
    <t>STATUS QUO REVENUE MINUS ALLOCATED COSTS</t>
  </si>
  <si>
    <t>RETURN ON EQUITY COMPONENT OF RATE BASE</t>
  </si>
  <si>
    <t xml:space="preserve">Excluding Transformer Ownership Allowance </t>
  </si>
  <si>
    <t>Customer Class</t>
  </si>
  <si>
    <t>Average # of Customers</t>
  </si>
  <si>
    <t>Billing Determinant</t>
  </si>
  <si>
    <t>F/V Split</t>
  </si>
  <si>
    <t>Distribution Rates</t>
  </si>
  <si>
    <t>Revenues</t>
  </si>
  <si>
    <t>kWh</t>
  </si>
  <si>
    <t>Fixed Allocation</t>
  </si>
  <si>
    <t>Variable Allocation</t>
  </si>
  <si>
    <t>Variable Charge</t>
  </si>
  <si>
    <t>Fixed</t>
  </si>
  <si>
    <t>Variable</t>
  </si>
  <si>
    <t>Total Revenue</t>
  </si>
  <si>
    <t>Reconciliation</t>
  </si>
  <si>
    <t>Balanced ?</t>
  </si>
  <si>
    <t>2015 Distribution Base Rate Determination</t>
  </si>
  <si>
    <t>Delivery Charges Indexed by Simple Average of Other LDC Increases in Current Year</t>
  </si>
  <si>
    <t>Simple Average Increase in Delivery Charge for 2015 using the 2014 Board Approved RRRP Adjustment Factor</t>
  </si>
  <si>
    <t>Transformer Ownership Allowance - Allocated to the Residential - R2 class</t>
  </si>
  <si>
    <t>Determination of Seasonal and Street Lighting Distribution Rates</t>
  </si>
  <si>
    <t>Beneficary</t>
  </si>
  <si>
    <t>10% Total Bill Impact</t>
  </si>
  <si>
    <t>Effective January 1, 2016</t>
  </si>
  <si>
    <t>EB-2015-0051</t>
  </si>
  <si>
    <t>The Rural and Remote Rate Protection Amount Required for 2016</t>
  </si>
  <si>
    <t xml:space="preserve">Incentive Rate-setting Mechanism </t>
  </si>
  <si>
    <t>Price Cap Metric</t>
  </si>
  <si>
    <t>Status</t>
  </si>
  <si>
    <t>Value</t>
  </si>
  <si>
    <t>Inflation Factor</t>
  </si>
  <si>
    <t>Productivity Factor</t>
  </si>
  <si>
    <t>Stretch Factor</t>
  </si>
  <si>
    <t>Assigned</t>
  </si>
  <si>
    <t>Price Index</t>
  </si>
  <si>
    <t>Calculated</t>
  </si>
  <si>
    <t>Balance Check</t>
  </si>
  <si>
    <t>Determination of Residential R1 &amp; R2 2016 Electricity Distribution Rates and RRRP Funding</t>
  </si>
  <si>
    <t>Current Monthly Service Charge (post IRM adjustment)</t>
  </si>
  <si>
    <t>Monthly Service Charge to Achieve 100% Recovery</t>
  </si>
  <si>
    <t>Decoupled Residential Rates</t>
  </si>
  <si>
    <t>Rate Class</t>
  </si>
  <si>
    <t>Customers/ Connections</t>
  </si>
  <si>
    <t>Test Year Consumption</t>
  </si>
  <si>
    <t>Proposed Rates</t>
  </si>
  <si>
    <t>Proposed Revenues</t>
  </si>
  <si>
    <t>Existing Split</t>
  </si>
  <si>
    <t>Volumetric</t>
  </si>
  <si>
    <t>Customers</t>
  </si>
  <si>
    <t>Volumetric Charge</t>
  </si>
  <si>
    <t>microFIT Generator</t>
  </si>
  <si>
    <t>Percent Change</t>
  </si>
  <si>
    <t>Residential - R1 (General Service)</t>
  </si>
  <si>
    <t>The Accepted 2015 Test Year Normalized Customer and Load Forecast Information - EB-2014-0055</t>
  </si>
  <si>
    <t>EB-2014-0055 - Board Accepted Cost Allocation</t>
  </si>
  <si>
    <t>EB-2014-0055 Target Revenue to Cost Ratios</t>
  </si>
  <si>
    <t>Future Revenue to Cost Ratio Design Criteria - EB-2014-0055</t>
  </si>
  <si>
    <t>Equivalent Distribution Rates Required to Recover the Approved 2015 Base Revenue Requirement at the Accepted Revenue to Cost Ratios - EB-2014-0055</t>
  </si>
  <si>
    <t>2015 Accepted Equivalent Electricity Distribution Rates</t>
  </si>
  <si>
    <t>Accepted Residential R1 &amp; R2 2015 Electricity Distribution Rates and RRRP Funding - EB-2014-0055</t>
  </si>
  <si>
    <t>2015 Distribution Base Rate Determinations</t>
  </si>
  <si>
    <t>The Accepted 2015 Application of Rate Indexing Methodology</t>
  </si>
  <si>
    <t>The Rural and Remote Rate Protection Amount Required for 2015 (EB-2014-0055)</t>
  </si>
  <si>
    <t>Future Revenue to Cost Ratio Design Criteria from EB-2014-0055</t>
  </si>
  <si>
    <t>Accepted Seasonal and Street Lighting Distribution Rates - EB-2014-0055</t>
  </si>
  <si>
    <t>Average number of Customers</t>
  </si>
  <si>
    <t>Average Customers</t>
  </si>
  <si>
    <t>IRM Indexed Revenue Requirement for 2016
Using the Actual 2016 Price Cap</t>
  </si>
  <si>
    <t>EB-2015-0051 Final Price Cap for 2016 Electricity Distribution Rates</t>
  </si>
  <si>
    <t>Final</t>
  </si>
  <si>
    <t>2017 IRM Electricity Distribution Rate Application</t>
  </si>
  <si>
    <t>Application</t>
  </si>
  <si>
    <t>EB-2016-0055</t>
  </si>
  <si>
    <t>August 12, 2016</t>
  </si>
  <si>
    <t>Proposed Distribution Charges and RRRP Funding for 2017 Rate Year</t>
  </si>
  <si>
    <t># of Connections</t>
  </si>
  <si>
    <t>2016 Fixed</t>
  </si>
  <si>
    <t>2017 Fixed</t>
  </si>
  <si>
    <t>2017 Variable</t>
  </si>
  <si>
    <t>2016 Variable</t>
  </si>
  <si>
    <t>% Increase</t>
  </si>
  <si>
    <t>Summary of Bill Impact Model for Typical Street Light Customer</t>
  </si>
  <si>
    <t>2017 Revenues</t>
  </si>
  <si>
    <t>Calculation of 2017 Street Light Class Revenue</t>
  </si>
  <si>
    <t>Convert 2017 Street Light Class Revenue to 2015 Equivalent for R/C Ratio Adjustments</t>
  </si>
  <si>
    <t>Year</t>
  </si>
  <si>
    <t>IRM Adjustment Factor</t>
  </si>
  <si>
    <t>Equivalent Class Revenue</t>
  </si>
  <si>
    <t>N/A</t>
  </si>
  <si>
    <t>Equivalent Distribution Rates Required to Recover the Proposed 2015 Base Revenue Requirement at the Proposed 2017 Revenue to Cost Ratios</t>
  </si>
  <si>
    <t>2017 Proposed Equivalent Electricity Distribution Rates</t>
  </si>
  <si>
    <t>Note that the Total Revenue remains at $22,816,181, as accepted in EB-2014-0055.  Only the Class Shares have changed as a result of the proposed 2017 revenue to cost ratios.  The fixed/variable splits are the same as accepted in EB-2014-0055.</t>
  </si>
  <si>
    <t>EB-2016-0055 Price Cap for 2017 Electricity Distribution Rates</t>
  </si>
  <si>
    <t>Indexed Revenues Allocated to the Residential R1 &amp; R2 Classes for 2017</t>
  </si>
  <si>
    <t>2017 Application of Rate Indexing Methodology</t>
  </si>
  <si>
    <t>Simple Average Increase in Delivery Charge for 2017 using the 2016 Board Calculated RRRP Adjustment Factor</t>
  </si>
  <si>
    <t>Approved 2016 IRM</t>
  </si>
  <si>
    <t>Proposed 2017 IRM</t>
  </si>
  <si>
    <t>Effective January 1, 2017</t>
  </si>
  <si>
    <t>Seasonal Decoupling</t>
  </si>
  <si>
    <t>Proposed Monthly Service Charge</t>
  </si>
  <si>
    <t>Monthly Service Charge Increment</t>
  </si>
  <si>
    <t>API 2017 4th Generation Incentive Regulation
Proposed Electricity Distribution Rates</t>
  </si>
  <si>
    <t>Residential - R1 (ii)</t>
  </si>
  <si>
    <t>Residential - R1 (i)</t>
  </si>
  <si>
    <t>Revenue Decoupling for the Residential Rate Class - 2nd Increment</t>
  </si>
  <si>
    <t>Revenue Decoupling for the Seasonal Rate Class - 2nd Increment</t>
  </si>
  <si>
    <t>Notes:</t>
  </si>
  <si>
    <t xml:space="preserve">R1 customer counts and kWh were segragated between residential (i) and non-residential (ii) sub-groups in EB-2016-0051. </t>
  </si>
  <si>
    <t>R1 total customer counts and kWh reconcile back to the test year load forecast accepted in EB-2014-0055.</t>
  </si>
  <si>
    <t>2017 Distribution Base Rate Determination for Non-RRRP Rate Classes</t>
  </si>
  <si>
    <t>2017 Proposed Seasonal Rates</t>
  </si>
  <si>
    <t>Determination of 2017 Adjustment to Street Lighting R/C Ratio (Limited by Total Bill Impact of 10%)</t>
  </si>
  <si>
    <t>2017 Proposed Revenue to Cost Ratios - EB-2016-0055
Applied to 2015 Approved Revenue Requirement</t>
  </si>
  <si>
    <t>Target
Revenue to Cost Ratio</t>
  </si>
  <si>
    <t>Estimated</t>
  </si>
  <si>
    <t>IRM Indexed Revenue Requirement for 2017
Using the Estimated 2016 Price Cap</t>
  </si>
  <si>
    <t>Note that the 2015 Equivalent Class Revenues are indexed using the 2016 and 2017 Price Cap indices following the changes to the Revenue to Cost Ratios.  This step is necessary to determine the overall revenue requirement for 2017 before the RRRP Adjustment Factor is applied.</t>
  </si>
  <si>
    <t>R1 (i)</t>
  </si>
  <si>
    <t>R1 (ii)</t>
  </si>
  <si>
    <t>Total R1</t>
  </si>
  <si>
    <t>Residential Decoupling - R1 (i)</t>
  </si>
  <si>
    <t>Total Bill</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</si>
</sst>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quot;$&quot;* #,##0.00_-;\-&quot;$&quot;* #,##0.00_-;_-&quot;$&quot;* &quot;-&quot;??_-;_-@_-"/>
    <numFmt numFmtId="43" formatCode="_-* #,##0.00_-;\-* #,##0.00_-;_-* &quot;-&quot;??_-;_-@_-"/>
    <numFmt numFmtId="164" formatCode="_(* #,##0.00_);_(* \(#,##0.00\);_(* &quot;-&quot;??_);_(@_)"/>
    <numFmt numFmtId="165" formatCode="_(* #,##0_);_(* \(#,##0\);_(* &quot;-&quot;??_);_(@_)"/>
    <numFmt numFmtId="166" formatCode="0.000%"/>
    <numFmt numFmtId="167" formatCode="_(* #,##0.0000_);_(* \(#,##0.0000\);_(* &quot;-&quot;??_);_(@_)"/>
    <numFmt numFmtId="168" formatCode="[$-F800]dddd\,\ mmmm\ dd\,\ yyyy"/>
    <numFmt numFmtId="169" formatCode="&quot;$&quot;#,##0_);[Red]\(&quot;$&quot;#,##0\)"/>
    <numFmt numFmtId="170" formatCode="0.0000"/>
    <numFmt numFmtId="171" formatCode="0.0%"/>
    <numFmt numFmtId="172" formatCode="_(&quot;$&quot;* #,##0_);_(&quot;$&quot;* \(#,##0\);_(&quot;$&quot;* &quot;-&quot;??_);_(@_)"/>
    <numFmt numFmtId="173" formatCode="_-* #,##0.0000_-;\-* #,##0.0000_-;_-* &quot;-&quot;??_-;_-@_-"/>
    <numFmt numFmtId="174" formatCode="_(* #,##0.000_);_(* \(#,##0.000\);_(* &quot;-&quot;??_);_(@_)"/>
    <numFmt numFmtId="175" formatCode="_-* #,##0_-;\-* #,##0_-;_-* &quot;-&quot;??_-;_-@_-"/>
    <numFmt numFmtId="176" formatCode="_-&quot;$&quot;* #,##0_-;\-&quot;$&quot;* #,##0_-;_-&quot;$&quot;* &quot;-&quot;??_-;_-@_-"/>
    <numFmt numFmtId="177" formatCode="_-&quot;$&quot;* #,##0.0000_-;\-&quot;$&quot;* #,##0.0000_-;_-&quot;$&quot;* &quot;-&quot;??_-;_-@_-"/>
  </numFmts>
  <fonts count="27" x14ac:knownFonts="1">
    <font>
      <sz val="11"/>
      <color theme="1"/>
      <name val="Calibri"/>
      <family val="2"/>
      <scheme val="minor"/>
    </font>
    <font>
      <sz val="11"/>
      <color theme="1"/>
      <name val="Calibri"/>
      <family val="2"/>
      <scheme val="minor"/>
    </font>
    <font>
      <b/>
      <sz val="12"/>
      <name val="Arial"/>
      <family val="2"/>
    </font>
    <font>
      <b/>
      <sz val="10"/>
      <name val="Arial"/>
      <family val="2"/>
    </font>
    <font>
      <sz val="10"/>
      <name val="Arial"/>
      <family val="2"/>
    </font>
    <font>
      <b/>
      <i/>
      <sz val="11"/>
      <color theme="1"/>
      <name val="Calibri"/>
      <family val="2"/>
      <scheme val="minor"/>
    </font>
    <font>
      <i/>
      <sz val="11"/>
      <color theme="1"/>
      <name val="Calibri"/>
      <family val="2"/>
      <scheme val="minor"/>
    </font>
    <font>
      <i/>
      <sz val="11"/>
      <name val="Calibri"/>
      <family val="2"/>
      <scheme val="minor"/>
    </font>
    <font>
      <b/>
      <i/>
      <sz val="10"/>
      <name val="Arial"/>
      <family val="2"/>
    </font>
    <font>
      <b/>
      <sz val="26"/>
      <name val="Arial"/>
      <family val="2"/>
    </font>
    <font>
      <b/>
      <sz val="24"/>
      <name val="Arial"/>
      <family val="2"/>
    </font>
    <font>
      <sz val="14"/>
      <name val="Cooper Black"/>
      <family val="1"/>
    </font>
    <font>
      <sz val="8"/>
      <name val="Arial"/>
      <family val="2"/>
    </font>
    <font>
      <b/>
      <sz val="16"/>
      <color indexed="10"/>
      <name val="Cooper Black"/>
      <family val="1"/>
    </font>
    <font>
      <b/>
      <sz val="16"/>
      <name val="Cooper Black"/>
      <family val="1"/>
    </font>
    <font>
      <b/>
      <sz val="8"/>
      <name val="Arial"/>
      <family val="2"/>
    </font>
    <font>
      <b/>
      <sz val="10"/>
      <color indexed="17"/>
      <name val="Arial"/>
      <family val="2"/>
    </font>
    <font>
      <b/>
      <sz val="10"/>
      <color indexed="12"/>
      <name val="Arial"/>
      <family val="2"/>
    </font>
    <font>
      <b/>
      <u/>
      <sz val="10"/>
      <name val="Arial"/>
      <family val="2"/>
    </font>
    <font>
      <b/>
      <i/>
      <sz val="10"/>
      <color indexed="12"/>
      <name val="Arial"/>
      <family val="2"/>
    </font>
    <font>
      <b/>
      <sz val="12"/>
      <color theme="1"/>
      <name val="Calibri"/>
      <family val="2"/>
      <scheme val="minor"/>
    </font>
    <font>
      <b/>
      <sz val="11"/>
      <color theme="1"/>
      <name val="Calibri"/>
      <family val="2"/>
      <scheme val="minor"/>
    </font>
    <font>
      <u/>
      <sz val="11"/>
      <color theme="1"/>
      <name val="Calibri"/>
      <family val="2"/>
      <scheme val="minor"/>
    </font>
    <font>
      <b/>
      <sz val="11"/>
      <name val="Calibri"/>
      <family val="2"/>
      <scheme val="minor"/>
    </font>
    <font>
      <sz val="10"/>
      <color theme="1"/>
      <name val="Arial"/>
      <family val="2"/>
    </font>
    <font>
      <b/>
      <sz val="14"/>
      <color theme="1"/>
      <name val="Calibri"/>
      <family val="2"/>
      <scheme val="minor"/>
    </font>
    <font>
      <sz val="10"/>
      <color theme="1"/>
      <name val="Calibri"/>
      <family val="2"/>
      <scheme val="minor"/>
    </font>
  </fonts>
  <fills count="10">
    <fill>
      <patternFill patternType="none"/>
    </fill>
    <fill>
      <patternFill patternType="gray125"/>
    </fill>
    <fill>
      <patternFill patternType="solid">
        <fgColor rgb="FFCCFFCC"/>
        <bgColor indexed="64"/>
      </patternFill>
    </fill>
    <fill>
      <patternFill patternType="solid">
        <fgColor theme="0" tint="-0.14999847407452621"/>
        <bgColor indexed="64"/>
      </patternFill>
    </fill>
    <fill>
      <patternFill patternType="solid">
        <fgColor indexed="22"/>
        <bgColor indexed="64"/>
      </patternFill>
    </fill>
    <fill>
      <patternFill patternType="solid">
        <fgColor indexed="9"/>
        <bgColor indexed="64"/>
      </patternFill>
    </fill>
    <fill>
      <patternFill patternType="solid">
        <fgColor theme="5" tint="0.79998168889431442"/>
        <bgColor indexed="64"/>
      </patternFill>
    </fill>
    <fill>
      <patternFill patternType="solid">
        <fgColor indexed="45"/>
        <bgColor indexed="64"/>
      </patternFill>
    </fill>
    <fill>
      <patternFill patternType="solid">
        <fgColor theme="8" tint="0.59999389629810485"/>
        <bgColor indexed="64"/>
      </patternFill>
    </fill>
    <fill>
      <patternFill patternType="solid">
        <fgColor rgb="FFFFFF00"/>
        <bgColor indexed="64"/>
      </patternFill>
    </fill>
  </fills>
  <borders count="6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15">
    <xf numFmtId="0" fontId="0" fillId="0" borderId="0" xfId="0"/>
    <xf numFmtId="0" fontId="3" fillId="0" borderId="7" xfId="0" applyFont="1" applyBorder="1"/>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0" fillId="0" borderId="10" xfId="0" applyBorder="1"/>
    <xf numFmtId="165" fontId="1" fillId="0" borderId="11" xfId="1" applyNumberFormat="1" applyBorder="1"/>
    <xf numFmtId="10" fontId="1" fillId="0" borderId="11" xfId="3" applyNumberFormat="1" applyBorder="1" applyAlignment="1">
      <alignment horizontal="center"/>
    </xf>
    <xf numFmtId="0" fontId="0" fillId="0" borderId="12" xfId="0" applyBorder="1"/>
    <xf numFmtId="165" fontId="0" fillId="0" borderId="13" xfId="0" applyNumberFormat="1" applyBorder="1"/>
    <xf numFmtId="165" fontId="1" fillId="0" borderId="13" xfId="1" applyNumberFormat="1" applyBorder="1"/>
    <xf numFmtId="0" fontId="0" fillId="0" borderId="13" xfId="0" applyBorder="1"/>
    <xf numFmtId="0" fontId="4" fillId="0" borderId="0" xfId="0" applyFont="1" applyAlignment="1"/>
    <xf numFmtId="0" fontId="4" fillId="0" borderId="0" xfId="0" applyFont="1" applyAlignment="1">
      <alignment horizontal="center"/>
    </xf>
    <xf numFmtId="0" fontId="0" fillId="0" borderId="0" xfId="0" applyAlignment="1">
      <alignment horizontal="center"/>
    </xf>
    <xf numFmtId="0" fontId="5" fillId="0" borderId="11" xfId="0" applyFont="1" applyBorder="1" applyAlignment="1">
      <alignment horizontal="left" vertical="center"/>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6" fillId="0" borderId="11" xfId="0" applyFont="1" applyBorder="1" applyAlignment="1">
      <alignment vertical="center"/>
    </xf>
    <xf numFmtId="3" fontId="7" fillId="2" borderId="11" xfId="0" applyNumberFormat="1" applyFont="1" applyFill="1" applyBorder="1" applyAlignment="1">
      <alignment horizontal="center" vertical="center"/>
    </xf>
    <xf numFmtId="3" fontId="7" fillId="2" borderId="11" xfId="0" applyNumberFormat="1" applyFont="1" applyFill="1" applyBorder="1" applyAlignment="1">
      <alignment horizontal="center" vertical="center" wrapText="1"/>
    </xf>
    <xf numFmtId="3" fontId="6" fillId="0" borderId="11" xfId="0" applyNumberFormat="1" applyFont="1" applyBorder="1" applyAlignment="1">
      <alignment horizontal="center" vertical="center"/>
    </xf>
    <xf numFmtId="0" fontId="0" fillId="0" borderId="11" xfId="0" applyBorder="1"/>
    <xf numFmtId="0" fontId="6" fillId="0" borderId="11" xfId="0" applyFont="1" applyBorder="1" applyAlignment="1">
      <alignment horizontal="left" vertical="center"/>
    </xf>
    <xf numFmtId="0" fontId="6" fillId="0" borderId="11" xfId="0" applyFont="1" applyBorder="1" applyAlignment="1">
      <alignment horizontal="center" vertical="center"/>
    </xf>
    <xf numFmtId="0" fontId="6" fillId="0" borderId="11" xfId="0" applyFont="1" applyBorder="1" applyAlignment="1">
      <alignment horizontal="center" vertical="center" wrapText="1"/>
    </xf>
    <xf numFmtId="3" fontId="6" fillId="0" borderId="11" xfId="0" applyNumberFormat="1" applyFont="1" applyBorder="1" applyAlignment="1">
      <alignment horizontal="center"/>
    </xf>
    <xf numFmtId="0" fontId="7" fillId="2" borderId="11" xfId="0" applyFont="1" applyFill="1" applyBorder="1" applyAlignment="1">
      <alignment vertical="center"/>
    </xf>
    <xf numFmtId="0" fontId="0" fillId="3" borderId="11" xfId="0" applyFill="1" applyBorder="1"/>
    <xf numFmtId="0" fontId="8" fillId="0" borderId="11" xfId="0" applyFont="1" applyFill="1" applyBorder="1"/>
    <xf numFmtId="0" fontId="8" fillId="0" borderId="11" xfId="0" applyFont="1" applyFill="1" applyBorder="1" applyAlignment="1">
      <alignment horizontal="center" vertical="center"/>
    </xf>
    <xf numFmtId="0" fontId="8" fillId="3" borderId="11" xfId="0" applyFont="1" applyFill="1" applyBorder="1"/>
    <xf numFmtId="0" fontId="8" fillId="0" borderId="11" xfId="0" applyFont="1" applyFill="1" applyBorder="1" applyAlignment="1">
      <alignment horizontal="center" wrapText="1"/>
    </xf>
    <xf numFmtId="0" fontId="4" fillId="0" borderId="11" xfId="0" applyFont="1" applyBorder="1"/>
    <xf numFmtId="166" fontId="0" fillId="0" borderId="11" xfId="3" applyNumberFormat="1" applyFont="1" applyBorder="1" applyAlignment="1">
      <alignment horizontal="center"/>
    </xf>
    <xf numFmtId="0" fontId="0" fillId="3" borderId="11" xfId="0" applyFill="1" applyBorder="1" applyAlignment="1">
      <alignment horizontal="center"/>
    </xf>
    <xf numFmtId="0" fontId="4" fillId="0" borderId="11" xfId="0" applyFont="1" applyBorder="1" applyAlignment="1">
      <alignment horizontal="left" indent="1"/>
    </xf>
    <xf numFmtId="0" fontId="0" fillId="0" borderId="2" xfId="0" applyBorder="1"/>
    <xf numFmtId="0" fontId="0" fillId="0" borderId="0" xfId="0" applyBorder="1"/>
    <xf numFmtId="0" fontId="3" fillId="0" borderId="10" xfId="0" applyFont="1" applyBorder="1"/>
    <xf numFmtId="0" fontId="3" fillId="0" borderId="11" xfId="0" applyFont="1" applyBorder="1" applyAlignment="1">
      <alignment horizontal="center" vertical="center"/>
    </xf>
    <xf numFmtId="0" fontId="3" fillId="4" borderId="14" xfId="0" applyFont="1" applyFill="1" applyBorder="1" applyAlignment="1">
      <alignment horizontal="center" vertical="center" wrapText="1"/>
    </xf>
    <xf numFmtId="0" fontId="0" fillId="0" borderId="11" xfId="0" applyBorder="1" applyAlignment="1">
      <alignment horizontal="center"/>
    </xf>
    <xf numFmtId="0" fontId="0" fillId="4" borderId="14" xfId="0" applyFill="1" applyBorder="1"/>
    <xf numFmtId="0" fontId="0" fillId="0" borderId="15" xfId="0" applyFill="1" applyBorder="1"/>
    <xf numFmtId="0" fontId="0" fillId="0" borderId="20" xfId="0" applyBorder="1"/>
    <xf numFmtId="0" fontId="0" fillId="0" borderId="19" xfId="0" applyBorder="1"/>
    <xf numFmtId="0" fontId="0" fillId="0" borderId="15" xfId="0" applyBorder="1"/>
    <xf numFmtId="43" fontId="0" fillId="4" borderId="14" xfId="1" applyFont="1" applyFill="1" applyBorder="1"/>
    <xf numFmtId="43" fontId="0" fillId="0" borderId="15" xfId="1" applyFont="1" applyBorder="1"/>
    <xf numFmtId="0" fontId="0" fillId="0" borderId="25" xfId="0" applyBorder="1"/>
    <xf numFmtId="43" fontId="0" fillId="0" borderId="26" xfId="1" applyFont="1" applyBorder="1"/>
    <xf numFmtId="0" fontId="0" fillId="0" borderId="27" xfId="0" applyBorder="1"/>
    <xf numFmtId="167" fontId="0" fillId="4" borderId="14" xfId="1" applyNumberFormat="1" applyFont="1" applyFill="1" applyBorder="1"/>
    <xf numFmtId="167" fontId="0" fillId="0" borderId="15" xfId="1" applyNumberFormat="1" applyFont="1" applyBorder="1"/>
    <xf numFmtId="164" fontId="0" fillId="0" borderId="15" xfId="0" applyNumberFormat="1" applyBorder="1"/>
    <xf numFmtId="0" fontId="4" fillId="0" borderId="10" xfId="0" applyFont="1" applyBorder="1"/>
    <xf numFmtId="0" fontId="3" fillId="0" borderId="12" xfId="0" applyFont="1" applyBorder="1"/>
    <xf numFmtId="0" fontId="0" fillId="0" borderId="13" xfId="0" applyBorder="1" applyAlignment="1">
      <alignment horizontal="center"/>
    </xf>
    <xf numFmtId="0" fontId="0" fillId="4" borderId="28" xfId="0" applyFill="1" applyBorder="1"/>
    <xf numFmtId="165" fontId="0" fillId="0" borderId="5" xfId="1" applyNumberFormat="1" applyFont="1" applyBorder="1"/>
    <xf numFmtId="0" fontId="0" fillId="0" borderId="6" xfId="0" applyBorder="1"/>
    <xf numFmtId="0" fontId="0" fillId="0" borderId="5" xfId="0" applyBorder="1"/>
    <xf numFmtId="0" fontId="0" fillId="0" borderId="4" xfId="0" applyBorder="1"/>
    <xf numFmtId="0" fontId="12" fillId="5" borderId="0" xfId="0" applyFont="1" applyFill="1"/>
    <xf numFmtId="0" fontId="13" fillId="5" borderId="0" xfId="0" applyFont="1" applyFill="1" applyAlignment="1">
      <alignment horizontal="left" indent="10"/>
    </xf>
    <xf numFmtId="0" fontId="12" fillId="5" borderId="0" xfId="0" applyFont="1" applyFill="1" applyAlignment="1">
      <alignment horizontal="left" indent="10"/>
    </xf>
    <xf numFmtId="0" fontId="12" fillId="5" borderId="0" xfId="0" applyFont="1" applyFill="1" applyAlignment="1">
      <alignment horizontal="center"/>
    </xf>
    <xf numFmtId="0" fontId="14" fillId="5" borderId="0" xfId="0" applyFont="1" applyFill="1" applyAlignment="1">
      <alignment horizontal="left" indent="5"/>
    </xf>
    <xf numFmtId="0" fontId="12" fillId="4" borderId="0" xfId="0" applyFont="1" applyFill="1"/>
    <xf numFmtId="0" fontId="12" fillId="4" borderId="0" xfId="0" applyFont="1" applyFill="1" applyAlignment="1">
      <alignment horizontal="center"/>
    </xf>
    <xf numFmtId="0" fontId="15" fillId="5" borderId="0" xfId="0" applyFont="1" applyFill="1" applyBorder="1" applyAlignment="1">
      <alignment horizontal="left"/>
    </xf>
    <xf numFmtId="0" fontId="15" fillId="5" borderId="0" xfId="0" applyFont="1" applyFill="1" applyBorder="1" applyAlignment="1"/>
    <xf numFmtId="0" fontId="12" fillId="5" borderId="0" xfId="0" applyFont="1" applyFill="1" applyBorder="1"/>
    <xf numFmtId="0" fontId="15" fillId="5" borderId="0" xfId="0" applyFont="1" applyFill="1" applyBorder="1" applyAlignment="1" applyProtection="1">
      <alignment horizontal="left" vertical="center"/>
    </xf>
    <xf numFmtId="0" fontId="15" fillId="5" borderId="0" xfId="0" applyFont="1" applyFill="1" applyBorder="1" applyAlignment="1" applyProtection="1">
      <alignment horizontal="center" vertical="center"/>
    </xf>
    <xf numFmtId="0" fontId="15" fillId="5" borderId="0" xfId="0" applyNumberFormat="1" applyFont="1" applyFill="1" applyBorder="1" applyAlignment="1" applyProtection="1">
      <alignment horizontal="left" vertical="center"/>
    </xf>
    <xf numFmtId="0" fontId="15" fillId="5" borderId="0" xfId="0" applyNumberFormat="1" applyFont="1" applyFill="1" applyBorder="1" applyAlignment="1" applyProtection="1">
      <alignment horizontal="center" vertical="center"/>
    </xf>
    <xf numFmtId="0" fontId="3" fillId="5" borderId="29" xfId="0" applyNumberFormat="1" applyFont="1" applyFill="1" applyBorder="1" applyAlignment="1">
      <alignment horizontal="center"/>
    </xf>
    <xf numFmtId="0" fontId="3" fillId="5" borderId="30" xfId="0" applyNumberFormat="1" applyFont="1" applyFill="1" applyBorder="1" applyAlignment="1">
      <alignment horizontal="center"/>
    </xf>
    <xf numFmtId="0" fontId="3" fillId="5" borderId="0" xfId="0" applyFont="1" applyFill="1" applyBorder="1" applyAlignment="1" applyProtection="1">
      <alignment horizontal="center" wrapText="1"/>
    </xf>
    <xf numFmtId="0" fontId="3" fillId="5" borderId="31" xfId="0" applyFont="1" applyFill="1" applyBorder="1" applyAlignment="1" applyProtection="1">
      <alignment horizontal="center" vertical="center" wrapText="1"/>
    </xf>
    <xf numFmtId="0" fontId="3" fillId="5" borderId="31" xfId="0" applyNumberFormat="1" applyFont="1" applyFill="1" applyBorder="1" applyAlignment="1">
      <alignment horizontal="center" vertical="center"/>
    </xf>
    <xf numFmtId="0" fontId="3" fillId="5" borderId="32" xfId="0" applyNumberFormat="1" applyFont="1" applyFill="1" applyBorder="1" applyAlignment="1">
      <alignment horizontal="center" vertical="center" wrapText="1"/>
    </xf>
    <xf numFmtId="0" fontId="16" fillId="5" borderId="0" xfId="0" applyFont="1" applyFill="1" applyBorder="1" applyAlignment="1">
      <alignment horizontal="center"/>
    </xf>
    <xf numFmtId="0" fontId="4" fillId="5" borderId="31" xfId="0" applyFont="1" applyFill="1" applyBorder="1"/>
    <xf numFmtId="169" fontId="17" fillId="5" borderId="3" xfId="0" applyNumberFormat="1" applyFont="1" applyFill="1" applyBorder="1"/>
    <xf numFmtId="169" fontId="4" fillId="5" borderId="29" xfId="0" applyNumberFormat="1" applyFont="1" applyFill="1" applyBorder="1"/>
    <xf numFmtId="169" fontId="17" fillId="5" borderId="33" xfId="0" applyNumberFormat="1" applyFont="1" applyFill="1" applyBorder="1"/>
    <xf numFmtId="169" fontId="4" fillId="5" borderId="33" xfId="0" applyNumberFormat="1" applyFont="1" applyFill="1" applyBorder="1"/>
    <xf numFmtId="169" fontId="4" fillId="5" borderId="34" xfId="0" applyNumberFormat="1" applyFont="1" applyFill="1" applyBorder="1"/>
    <xf numFmtId="0" fontId="3" fillId="4" borderId="31" xfId="0" applyFont="1" applyFill="1" applyBorder="1"/>
    <xf numFmtId="169" fontId="17" fillId="4" borderId="35" xfId="0" applyNumberFormat="1" applyFont="1" applyFill="1" applyBorder="1"/>
    <xf numFmtId="169" fontId="3" fillId="4" borderId="36" xfId="0" applyNumberFormat="1" applyFont="1" applyFill="1" applyBorder="1"/>
    <xf numFmtId="170" fontId="17" fillId="5" borderId="31" xfId="3" applyNumberFormat="1" applyFont="1" applyFill="1" applyBorder="1" applyAlignment="1">
      <alignment horizontal="right"/>
    </xf>
    <xf numFmtId="0" fontId="4" fillId="5" borderId="33" xfId="0" applyFont="1" applyFill="1" applyBorder="1"/>
    <xf numFmtId="169" fontId="17" fillId="5" borderId="6" xfId="0" applyNumberFormat="1" applyFont="1" applyFill="1" applyBorder="1"/>
    <xf numFmtId="169" fontId="17" fillId="5" borderId="31" xfId="0" applyNumberFormat="1" applyFont="1" applyFill="1" applyBorder="1"/>
    <xf numFmtId="0" fontId="3" fillId="5" borderId="31" xfId="0" applyFont="1" applyFill="1" applyBorder="1"/>
    <xf numFmtId="169" fontId="17" fillId="5" borderId="31" xfId="0" applyNumberFormat="1" applyFont="1" applyFill="1" applyBorder="1" applyAlignment="1">
      <alignment horizontal="right"/>
    </xf>
    <xf numFmtId="169" fontId="4" fillId="5" borderId="33" xfId="0" applyNumberFormat="1" applyFont="1" applyFill="1" applyBorder="1" applyAlignment="1">
      <alignment horizontal="right"/>
    </xf>
    <xf numFmtId="169" fontId="3" fillId="5" borderId="33" xfId="0" applyNumberFormat="1" applyFont="1" applyFill="1" applyBorder="1"/>
    <xf numFmtId="169" fontId="4" fillId="5" borderId="33" xfId="1" applyNumberFormat="1" applyFont="1" applyFill="1" applyBorder="1"/>
    <xf numFmtId="0" fontId="16" fillId="0" borderId="0" xfId="0" applyFont="1" applyFill="1" applyBorder="1" applyAlignment="1">
      <alignment horizontal="center"/>
    </xf>
    <xf numFmtId="0" fontId="18" fillId="5" borderId="31" xfId="0" applyFont="1" applyFill="1" applyBorder="1"/>
    <xf numFmtId="169" fontId="17" fillId="5" borderId="6" xfId="0" applyNumberFormat="1" applyFont="1" applyFill="1" applyBorder="1" applyAlignment="1">
      <alignment horizontal="right"/>
    </xf>
    <xf numFmtId="169" fontId="4" fillId="5" borderId="34" xfId="0" applyNumberFormat="1" applyFont="1" applyFill="1" applyBorder="1" applyAlignment="1">
      <alignment horizontal="right"/>
    </xf>
    <xf numFmtId="0" fontId="4" fillId="5" borderId="31" xfId="0" applyFont="1" applyFill="1" applyBorder="1" applyAlignment="1">
      <alignment vertical="center" wrapText="1"/>
    </xf>
    <xf numFmtId="0" fontId="8" fillId="4" borderId="31" xfId="0" applyFont="1" applyFill="1" applyBorder="1" applyAlignment="1">
      <alignment vertical="center" wrapText="1"/>
    </xf>
    <xf numFmtId="169" fontId="19" fillId="4" borderId="31" xfId="0" applyNumberFormat="1" applyFont="1" applyFill="1" applyBorder="1"/>
    <xf numFmtId="169" fontId="8" fillId="4" borderId="33" xfId="0" applyNumberFormat="1" applyFont="1" applyFill="1" applyBorder="1"/>
    <xf numFmtId="169" fontId="4" fillId="5" borderId="31" xfId="0" applyNumberFormat="1" applyFont="1" applyFill="1" applyBorder="1"/>
    <xf numFmtId="169" fontId="17" fillId="4" borderId="37" xfId="0" applyNumberFormat="1" applyFont="1" applyFill="1" applyBorder="1"/>
    <xf numFmtId="169" fontId="3" fillId="4" borderId="38" xfId="0" applyNumberFormat="1" applyFont="1" applyFill="1" applyBorder="1"/>
    <xf numFmtId="169" fontId="17" fillId="4" borderId="31" xfId="0" applyNumberFormat="1" applyFont="1" applyFill="1" applyBorder="1"/>
    <xf numFmtId="169" fontId="3" fillId="4" borderId="33" xfId="0" applyNumberFormat="1" applyFont="1" applyFill="1" applyBorder="1"/>
    <xf numFmtId="10" fontId="16" fillId="5" borderId="0" xfId="3" applyNumberFormat="1" applyFont="1" applyFill="1" applyBorder="1" applyAlignment="1">
      <alignment horizontal="center"/>
    </xf>
    <xf numFmtId="10" fontId="3" fillId="5" borderId="31" xfId="3" applyNumberFormat="1" applyFont="1" applyFill="1" applyBorder="1"/>
    <xf numFmtId="10" fontId="17" fillId="5" borderId="31" xfId="3" applyNumberFormat="1" applyFont="1" applyFill="1" applyBorder="1" applyAlignment="1">
      <alignment horizontal="right"/>
    </xf>
    <xf numFmtId="10" fontId="3" fillId="5" borderId="33" xfId="3" applyNumberFormat="1" applyFont="1" applyFill="1" applyBorder="1" applyAlignment="1">
      <alignment horizontal="right"/>
    </xf>
    <xf numFmtId="10" fontId="4" fillId="5" borderId="33" xfId="3" applyNumberFormat="1" applyFont="1" applyFill="1" applyBorder="1" applyAlignment="1">
      <alignment horizontal="right"/>
    </xf>
    <xf numFmtId="10" fontId="4" fillId="5" borderId="6" xfId="3" applyNumberFormat="1" applyFont="1" applyFill="1" applyBorder="1" applyAlignment="1">
      <alignment horizontal="right"/>
    </xf>
    <xf numFmtId="0" fontId="3" fillId="0" borderId="11" xfId="0" applyFont="1" applyBorder="1" applyAlignment="1">
      <alignment horizontal="center" vertical="center" wrapText="1"/>
    </xf>
    <xf numFmtId="0" fontId="3" fillId="0" borderId="43" xfId="0" applyFont="1" applyFill="1" applyBorder="1" applyAlignment="1">
      <alignment horizontal="center" vertical="center"/>
    </xf>
    <xf numFmtId="1" fontId="0" fillId="0" borderId="11" xfId="0" applyNumberFormat="1" applyBorder="1" applyAlignment="1">
      <alignment horizontal="center"/>
    </xf>
    <xf numFmtId="171" fontId="1" fillId="0" borderId="11" xfId="3" applyNumberFormat="1" applyBorder="1" applyAlignment="1">
      <alignment horizontal="center"/>
    </xf>
    <xf numFmtId="43" fontId="1" fillId="0" borderId="11" xfId="1" applyBorder="1"/>
    <xf numFmtId="167" fontId="1" fillId="0" borderId="11" xfId="1" applyNumberFormat="1" applyBorder="1"/>
    <xf numFmtId="165" fontId="0" fillId="0" borderId="11" xfId="0" applyNumberFormat="1" applyBorder="1"/>
    <xf numFmtId="165" fontId="0" fillId="0" borderId="43" xfId="0" applyNumberFormat="1" applyBorder="1"/>
    <xf numFmtId="165" fontId="3" fillId="0" borderId="13" xfId="0" applyNumberFormat="1" applyFont="1" applyBorder="1"/>
    <xf numFmtId="165" fontId="3" fillId="0" borderId="44" xfId="0" applyNumberFormat="1" applyFont="1" applyBorder="1"/>
    <xf numFmtId="0" fontId="4" fillId="0" borderId="0" xfId="0" applyFont="1"/>
    <xf numFmtId="0" fontId="3" fillId="0" borderId="43" xfId="0" applyFont="1" applyBorder="1" applyAlignment="1">
      <alignment horizontal="center" vertical="center" wrapText="1"/>
    </xf>
    <xf numFmtId="165" fontId="3" fillId="0" borderId="11" xfId="0" applyNumberFormat="1" applyFont="1" applyBorder="1"/>
    <xf numFmtId="165" fontId="3" fillId="0" borderId="43" xfId="0" applyNumberFormat="1" applyFont="1" applyBorder="1"/>
    <xf numFmtId="0" fontId="3" fillId="0" borderId="10" xfId="0" applyFont="1" applyFill="1" applyBorder="1"/>
    <xf numFmtId="0" fontId="0" fillId="0" borderId="11" xfId="0" applyFill="1" applyBorder="1" applyAlignment="1">
      <alignment horizontal="center"/>
    </xf>
    <xf numFmtId="1" fontId="0" fillId="0" borderId="11" xfId="0" applyNumberFormat="1" applyFill="1" applyBorder="1" applyAlignment="1">
      <alignment horizontal="center"/>
    </xf>
    <xf numFmtId="165" fontId="1" fillId="0" borderId="11" xfId="1" applyNumberFormat="1" applyFill="1" applyBorder="1"/>
    <xf numFmtId="171" fontId="1" fillId="0" borderId="11" xfId="3" applyNumberFormat="1" applyFill="1" applyBorder="1" applyAlignment="1">
      <alignment horizontal="center"/>
    </xf>
    <xf numFmtId="43" fontId="1" fillId="0" borderId="11" xfId="1" applyFill="1" applyBorder="1"/>
    <xf numFmtId="167" fontId="1" fillId="0" borderId="11" xfId="1" applyNumberFormat="1" applyFill="1" applyBorder="1"/>
    <xf numFmtId="165" fontId="0" fillId="0" borderId="43" xfId="0" applyNumberFormat="1" applyFill="1" applyBorder="1"/>
    <xf numFmtId="0" fontId="0" fillId="0" borderId="43" xfId="0" applyBorder="1"/>
    <xf numFmtId="172" fontId="3" fillId="0" borderId="44" xfId="2" applyNumberFormat="1" applyFont="1" applyBorder="1"/>
    <xf numFmtId="173" fontId="1" fillId="0" borderId="11" xfId="1" applyNumberFormat="1" applyBorder="1"/>
    <xf numFmtId="1" fontId="4" fillId="0" borderId="11" xfId="0" applyNumberFormat="1" applyFont="1" applyFill="1" applyBorder="1" applyAlignment="1">
      <alignment horizontal="center"/>
    </xf>
    <xf numFmtId="43" fontId="1" fillId="0" borderId="11" xfId="1" applyBorder="1" applyAlignment="1">
      <alignment horizontal="center"/>
    </xf>
    <xf numFmtId="167" fontId="1" fillId="0" borderId="11" xfId="1" applyNumberFormat="1" applyBorder="1" applyAlignment="1">
      <alignment horizontal="center"/>
    </xf>
    <xf numFmtId="165" fontId="1" fillId="0" borderId="11" xfId="1" applyNumberFormat="1" applyBorder="1" applyAlignment="1">
      <alignment horizontal="center"/>
    </xf>
    <xf numFmtId="165" fontId="1" fillId="0" borderId="43" xfId="1" applyNumberFormat="1" applyBorder="1" applyAlignment="1">
      <alignment horizontal="center"/>
    </xf>
    <xf numFmtId="10" fontId="0" fillId="0" borderId="11" xfId="0" applyNumberFormat="1" applyBorder="1" applyAlignment="1">
      <alignment horizontal="center"/>
    </xf>
    <xf numFmtId="0" fontId="0" fillId="0" borderId="11" xfId="0" applyBorder="1" applyAlignment="1">
      <alignment horizontal="center"/>
    </xf>
    <xf numFmtId="10" fontId="0" fillId="0" borderId="43" xfId="0" applyNumberFormat="1" applyBorder="1" applyAlignment="1">
      <alignment horizontal="center"/>
    </xf>
    <xf numFmtId="10" fontId="0" fillId="0" borderId="13" xfId="0" applyNumberFormat="1" applyBorder="1" applyAlignment="1">
      <alignment horizontal="center"/>
    </xf>
    <xf numFmtId="0" fontId="0" fillId="0" borderId="48" xfId="0" applyBorder="1"/>
    <xf numFmtId="0" fontId="0" fillId="0" borderId="46" xfId="0" applyBorder="1" applyAlignment="1">
      <alignment horizontal="center"/>
    </xf>
    <xf numFmtId="0" fontId="0" fillId="0" borderId="50" xfId="0" applyBorder="1" applyAlignment="1">
      <alignment horizontal="center"/>
    </xf>
    <xf numFmtId="165" fontId="1" fillId="0" borderId="14" xfId="1" applyNumberFormat="1" applyBorder="1"/>
    <xf numFmtId="0" fontId="3" fillId="0" borderId="54" xfId="0" applyFont="1" applyBorder="1" applyAlignment="1">
      <alignment horizontal="center" vertical="center" wrapText="1"/>
    </xf>
    <xf numFmtId="0" fontId="0" fillId="0" borderId="57" xfId="0" applyBorder="1"/>
    <xf numFmtId="174" fontId="0" fillId="0" borderId="0" xfId="0" applyNumberFormat="1"/>
    <xf numFmtId="10" fontId="0" fillId="0" borderId="14" xfId="0" applyNumberFormat="1" applyBorder="1" applyAlignment="1">
      <alignment horizontal="center"/>
    </xf>
    <xf numFmtId="10" fontId="0" fillId="0" borderId="16" xfId="0" applyNumberFormat="1" applyBorder="1" applyAlignment="1">
      <alignment horizontal="center"/>
    </xf>
    <xf numFmtId="10" fontId="0" fillId="9" borderId="49" xfId="0" applyNumberFormat="1" applyFill="1" applyBorder="1" applyAlignment="1">
      <alignment horizontal="center"/>
    </xf>
    <xf numFmtId="10" fontId="1" fillId="9" borderId="30" xfId="3" applyNumberFormat="1" applyFill="1" applyBorder="1" applyAlignment="1">
      <alignment horizontal="center"/>
    </xf>
    <xf numFmtId="10" fontId="1" fillId="9" borderId="55" xfId="3" applyNumberFormat="1" applyFill="1" applyBorder="1" applyAlignment="1">
      <alignment horizontal="center"/>
    </xf>
    <xf numFmtId="10" fontId="1" fillId="9" borderId="56" xfId="3" applyNumberFormat="1" applyFill="1" applyBorder="1" applyAlignment="1">
      <alignment horizontal="center"/>
    </xf>
    <xf numFmtId="165" fontId="1" fillId="0" borderId="43" xfId="1" applyNumberFormat="1" applyBorder="1"/>
    <xf numFmtId="0" fontId="21" fillId="0" borderId="7" xfId="0" applyFont="1" applyBorder="1"/>
    <xf numFmtId="0" fontId="21" fillId="0" borderId="8" xfId="0" applyFont="1" applyBorder="1" applyAlignment="1">
      <alignment horizontal="center"/>
    </xf>
    <xf numFmtId="0" fontId="21" fillId="0" borderId="9" xfId="0" applyFont="1" applyBorder="1" applyAlignment="1">
      <alignment horizontal="center"/>
    </xf>
    <xf numFmtId="10" fontId="0" fillId="0" borderId="43" xfId="3" applyNumberFormat="1" applyFont="1" applyBorder="1" applyAlignment="1">
      <alignment horizontal="center"/>
    </xf>
    <xf numFmtId="10" fontId="22" fillId="0" borderId="43" xfId="3" applyNumberFormat="1" applyFont="1" applyBorder="1" applyAlignment="1">
      <alignment horizontal="center"/>
    </xf>
    <xf numFmtId="10" fontId="0" fillId="0" borderId="44" xfId="3" applyNumberFormat="1" applyFont="1" applyBorder="1" applyAlignment="1">
      <alignment horizontal="center"/>
    </xf>
    <xf numFmtId="0" fontId="0" fillId="0" borderId="0" xfId="0" applyBorder="1" applyAlignment="1">
      <alignment horizontal="center"/>
    </xf>
    <xf numFmtId="165" fontId="3" fillId="0" borderId="0" xfId="0" applyNumberFormat="1" applyFont="1" applyBorder="1"/>
    <xf numFmtId="0" fontId="2" fillId="0" borderId="0" xfId="0" applyFont="1" applyAlignment="1"/>
    <xf numFmtId="43" fontId="2" fillId="0" borderId="0" xfId="0" applyNumberFormat="1" applyFont="1" applyAlignment="1">
      <alignment horizontal="center"/>
    </xf>
    <xf numFmtId="176" fontId="23" fillId="0" borderId="49" xfId="2" applyNumberFormat="1" applyFont="1" applyBorder="1" applyAlignment="1"/>
    <xf numFmtId="10" fontId="3" fillId="8" borderId="43" xfId="3" applyNumberFormat="1" applyFont="1" applyFill="1" applyBorder="1" applyAlignment="1">
      <alignment horizontal="center"/>
    </xf>
    <xf numFmtId="44" fontId="0" fillId="0" borderId="0" xfId="0" applyNumberFormat="1"/>
    <xf numFmtId="44" fontId="0" fillId="0" borderId="0" xfId="2" applyFont="1"/>
    <xf numFmtId="0" fontId="21" fillId="0" borderId="0" xfId="0" applyFont="1"/>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4" xfId="0" applyFont="1" applyFill="1" applyBorder="1" applyAlignment="1">
      <alignment vertical="center" wrapText="1"/>
    </xf>
    <xf numFmtId="0" fontId="3" fillId="0" borderId="34" xfId="0" applyFont="1" applyFill="1" applyBorder="1" applyAlignment="1">
      <alignment horizontal="center" vertical="center" wrapText="1"/>
    </xf>
    <xf numFmtId="0" fontId="3" fillId="0" borderId="6" xfId="0" applyFont="1" applyFill="1" applyBorder="1" applyAlignment="1">
      <alignment horizontal="center" vertical="center"/>
    </xf>
    <xf numFmtId="0" fontId="0" fillId="0" borderId="49" xfId="0" applyBorder="1" applyAlignment="1">
      <alignment horizontal="center" vertical="center"/>
    </xf>
    <xf numFmtId="0" fontId="0" fillId="0" borderId="23" xfId="0" applyBorder="1" applyAlignment="1">
      <alignment horizontal="center" vertical="center"/>
    </xf>
    <xf numFmtId="0" fontId="0" fillId="0" borderId="58" xfId="0" applyBorder="1"/>
    <xf numFmtId="0" fontId="0" fillId="0" borderId="30" xfId="0" applyBorder="1" applyAlignment="1">
      <alignment horizontal="center"/>
    </xf>
    <xf numFmtId="0" fontId="0" fillId="0" borderId="30" xfId="0" applyBorder="1"/>
    <xf numFmtId="0" fontId="0" fillId="0" borderId="24" xfId="0" applyBorder="1"/>
    <xf numFmtId="0" fontId="24" fillId="0" borderId="56" xfId="0" applyFont="1" applyFill="1" applyBorder="1"/>
    <xf numFmtId="175" fontId="4" fillId="0" borderId="56" xfId="1" applyNumberFormat="1" applyFont="1" applyBorder="1"/>
    <xf numFmtId="44" fontId="4" fillId="0" borderId="56" xfId="2" applyNumberFormat="1" applyFont="1" applyFill="1" applyBorder="1"/>
    <xf numFmtId="177" fontId="4" fillId="0" borderId="56" xfId="2" applyNumberFormat="1" applyFont="1" applyFill="1" applyBorder="1"/>
    <xf numFmtId="175" fontId="0" fillId="0" borderId="56" xfId="1" applyNumberFormat="1" applyFont="1" applyBorder="1"/>
    <xf numFmtId="175" fontId="0" fillId="0" borderId="56" xfId="0" applyNumberFormat="1" applyFont="1" applyBorder="1"/>
    <xf numFmtId="171" fontId="0" fillId="0" borderId="56" xfId="3" applyNumberFormat="1" applyFont="1" applyBorder="1"/>
    <xf numFmtId="171" fontId="0" fillId="0" borderId="59" xfId="3" applyNumberFormat="1" applyFont="1" applyBorder="1"/>
    <xf numFmtId="175" fontId="0" fillId="0" borderId="0" xfId="0" applyNumberFormat="1"/>
    <xf numFmtId="10" fontId="0" fillId="0" borderId="11" xfId="3" applyNumberFormat="1" applyFont="1" applyBorder="1" applyAlignment="1">
      <alignment horizontal="center"/>
    </xf>
    <xf numFmtId="0" fontId="0" fillId="0" borderId="11" xfId="0" applyBorder="1" applyAlignment="1">
      <alignment horizontal="center"/>
    </xf>
    <xf numFmtId="0" fontId="0" fillId="0" borderId="33" xfId="0" applyBorder="1"/>
    <xf numFmtId="0" fontId="0" fillId="0" borderId="33" xfId="0" applyBorder="1" applyAlignment="1">
      <alignment horizontal="center"/>
    </xf>
    <xf numFmtId="0" fontId="24" fillId="0" borderId="34" xfId="0" applyFont="1" applyFill="1" applyBorder="1"/>
    <xf numFmtId="0" fontId="24" fillId="0" borderId="58" xfId="0" applyFont="1" applyFill="1" applyBorder="1"/>
    <xf numFmtId="0" fontId="3" fillId="0" borderId="6" xfId="0" applyFont="1" applyFill="1" applyBorder="1" applyAlignment="1">
      <alignment vertical="center" wrapText="1"/>
    </xf>
    <xf numFmtId="175" fontId="4" fillId="0" borderId="59" xfId="1" applyNumberFormat="1" applyFont="1" applyBorder="1"/>
    <xf numFmtId="0" fontId="24" fillId="0" borderId="33" xfId="0" applyFont="1" applyFill="1" applyBorder="1"/>
    <xf numFmtId="44" fontId="0" fillId="0" borderId="33" xfId="0" applyNumberFormat="1" applyBorder="1"/>
    <xf numFmtId="177" fontId="0" fillId="0" borderId="33" xfId="0" applyNumberFormat="1" applyBorder="1" applyAlignment="1">
      <alignment horizontal="center"/>
    </xf>
    <xf numFmtId="175" fontId="0" fillId="0" borderId="31" xfId="1" applyNumberFormat="1" applyFont="1" applyBorder="1"/>
    <xf numFmtId="175" fontId="0" fillId="0" borderId="33" xfId="1" applyNumberFormat="1" applyFont="1" applyBorder="1" applyAlignment="1">
      <alignment horizontal="center"/>
    </xf>
    <xf numFmtId="0" fontId="0" fillId="0" borderId="11" xfId="0" applyBorder="1" applyAlignment="1">
      <alignment horizontal="center" wrapText="1"/>
    </xf>
    <xf numFmtId="171" fontId="0" fillId="0" borderId="33" xfId="3" applyNumberFormat="1" applyFont="1" applyBorder="1"/>
    <xf numFmtId="171" fontId="0" fillId="0" borderId="31" xfId="0" applyNumberFormat="1" applyBorder="1"/>
    <xf numFmtId="43" fontId="0" fillId="0" borderId="19" xfId="1" applyFont="1" applyBorder="1" applyAlignment="1">
      <alignment horizontal="center"/>
    </xf>
    <xf numFmtId="165" fontId="0" fillId="0" borderId="4" xfId="1" applyNumberFormat="1" applyFont="1" applyBorder="1" applyAlignment="1">
      <alignment horizontal="center"/>
    </xf>
    <xf numFmtId="10" fontId="3" fillId="0" borderId="43" xfId="3" applyNumberFormat="1" applyFont="1" applyFill="1" applyBorder="1"/>
    <xf numFmtId="43" fontId="0" fillId="0" borderId="11" xfId="1" applyFont="1" applyBorder="1"/>
    <xf numFmtId="173" fontId="0" fillId="0" borderId="11" xfId="1" applyNumberFormat="1" applyFont="1" applyBorder="1"/>
    <xf numFmtId="0" fontId="0" fillId="0" borderId="7" xfId="0" applyBorder="1" applyAlignment="1">
      <alignment vertical="center"/>
    </xf>
    <xf numFmtId="0" fontId="0" fillId="0" borderId="8" xfId="0" applyBorder="1" applyAlignment="1">
      <alignment horizontal="center" vertical="center" wrapText="1"/>
    </xf>
    <xf numFmtId="173" fontId="0" fillId="0" borderId="43" xfId="1" applyNumberFormat="1" applyFont="1" applyBorder="1"/>
    <xf numFmtId="43" fontId="0" fillId="0" borderId="13" xfId="1" applyFont="1" applyBorder="1"/>
    <xf numFmtId="0" fontId="0" fillId="0" borderId="44" xfId="0" applyBorder="1"/>
    <xf numFmtId="165" fontId="0" fillId="0" borderId="44" xfId="0" applyNumberFormat="1" applyBorder="1"/>
    <xf numFmtId="44" fontId="0" fillId="0" borderId="0" xfId="0" applyNumberFormat="1" applyBorder="1"/>
    <xf numFmtId="0" fontId="21" fillId="0" borderId="0" xfId="0" applyFont="1" applyAlignment="1">
      <alignment horizontal="center"/>
    </xf>
    <xf numFmtId="0" fontId="21" fillId="0" borderId="0" xfId="0" applyFont="1" applyBorder="1" applyAlignment="1">
      <alignment horizontal="center"/>
    </xf>
    <xf numFmtId="0" fontId="2" fillId="0" borderId="0" xfId="0" applyFont="1" applyAlignment="1">
      <alignment horizontal="center"/>
    </xf>
    <xf numFmtId="0" fontId="0" fillId="0" borderId="11" xfId="0" applyBorder="1" applyAlignment="1">
      <alignment horizontal="center"/>
    </xf>
    <xf numFmtId="0" fontId="0" fillId="0" borderId="43" xfId="0" applyBorder="1" applyAlignment="1">
      <alignment horizontal="center"/>
    </xf>
    <xf numFmtId="0" fontId="0" fillId="0" borderId="13" xfId="0" applyBorder="1" applyAlignment="1">
      <alignment horizontal="center"/>
    </xf>
    <xf numFmtId="0" fontId="3" fillId="0" borderId="11" xfId="0" applyFont="1" applyBorder="1" applyAlignment="1">
      <alignment horizontal="center" vertical="center"/>
    </xf>
    <xf numFmtId="0" fontId="0" fillId="0" borderId="0" xfId="0" applyAlignment="1">
      <alignment horizontal="left"/>
    </xf>
    <xf numFmtId="0" fontId="3" fillId="0" borderId="34" xfId="0" applyFont="1" applyFill="1" applyBorder="1" applyAlignment="1">
      <alignment horizontal="center" vertical="center"/>
    </xf>
    <xf numFmtId="10" fontId="0" fillId="0" borderId="14" xfId="0" applyNumberFormat="1" applyFill="1" applyBorder="1" applyAlignment="1">
      <alignment horizontal="center"/>
    </xf>
    <xf numFmtId="0" fontId="3" fillId="0" borderId="0" xfId="0" applyFont="1" applyAlignment="1">
      <alignment horizontal="center"/>
    </xf>
    <xf numFmtId="0" fontId="26" fillId="0" borderId="0" xfId="0" applyFont="1"/>
    <xf numFmtId="0" fontId="3" fillId="0" borderId="0" xfId="0" applyFont="1" applyAlignment="1">
      <alignment horizontal="left"/>
    </xf>
    <xf numFmtId="0" fontId="3" fillId="0" borderId="12" xfId="0" applyFont="1" applyFill="1" applyBorder="1"/>
    <xf numFmtId="1" fontId="4" fillId="0" borderId="13" xfId="0" applyNumberFormat="1" applyFont="1" applyFill="1" applyBorder="1" applyAlignment="1">
      <alignment horizontal="center"/>
    </xf>
    <xf numFmtId="165" fontId="1" fillId="0" borderId="13" xfId="1" applyNumberFormat="1" applyFill="1" applyBorder="1"/>
    <xf numFmtId="2" fontId="1" fillId="0" borderId="13" xfId="3" applyNumberFormat="1" applyFill="1" applyBorder="1" applyAlignment="1">
      <alignment horizontal="center"/>
    </xf>
    <xf numFmtId="170" fontId="1" fillId="0" borderId="13" xfId="3" applyNumberFormat="1" applyBorder="1" applyAlignment="1">
      <alignment horizontal="center"/>
    </xf>
    <xf numFmtId="2" fontId="1" fillId="0" borderId="13" xfId="1" applyNumberFormat="1" applyBorder="1" applyAlignment="1">
      <alignment horizontal="center"/>
    </xf>
    <xf numFmtId="170" fontId="1" fillId="0" borderId="13" xfId="1" applyNumberFormat="1" applyBorder="1" applyAlignment="1">
      <alignment horizontal="center"/>
    </xf>
    <xf numFmtId="4" fontId="1" fillId="0" borderId="13" xfId="1" applyNumberFormat="1" applyBorder="1" applyAlignment="1">
      <alignment horizontal="center"/>
    </xf>
    <xf numFmtId="171" fontId="21" fillId="0" borderId="44" xfId="1" applyNumberFormat="1" applyFont="1" applyBorder="1" applyAlignment="1">
      <alignment horizontal="center"/>
    </xf>
    <xf numFmtId="0" fontId="0" fillId="0" borderId="0" xfId="0" applyAlignment="1">
      <alignment wrapText="1"/>
    </xf>
    <xf numFmtId="0" fontId="0" fillId="0" borderId="0" xfId="0" applyAlignment="1"/>
    <xf numFmtId="0" fontId="21" fillId="0" borderId="10" xfId="0" applyFont="1"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171" fontId="1" fillId="0" borderId="13" xfId="3" applyNumberFormat="1" applyFill="1" applyBorder="1" applyAlignment="1">
      <alignment horizontal="center"/>
    </xf>
    <xf numFmtId="171" fontId="1" fillId="0" borderId="13" xfId="3" applyNumberFormat="1" applyBorder="1" applyAlignment="1">
      <alignment horizontal="center"/>
    </xf>
    <xf numFmtId="167" fontId="1" fillId="0" borderId="13" xfId="1" applyNumberFormat="1" applyBorder="1" applyAlignment="1">
      <alignment horizontal="center"/>
    </xf>
    <xf numFmtId="165" fontId="1" fillId="0" borderId="13" xfId="1" applyNumberFormat="1" applyBorder="1" applyAlignment="1">
      <alignment horizontal="center"/>
    </xf>
    <xf numFmtId="165" fontId="1" fillId="0" borderId="44" xfId="1" applyNumberFormat="1" applyBorder="1" applyAlignment="1">
      <alignment horizontal="center"/>
    </xf>
    <xf numFmtId="3" fontId="1" fillId="0" borderId="16" xfId="1" applyNumberFormat="1" applyBorder="1"/>
    <xf numFmtId="3" fontId="0" fillId="0" borderId="13" xfId="0" applyNumberFormat="1" applyBorder="1"/>
    <xf numFmtId="165" fontId="0" fillId="0" borderId="0" xfId="0" applyNumberFormat="1"/>
    <xf numFmtId="0" fontId="0" fillId="0" borderId="0" xfId="0" applyFill="1"/>
    <xf numFmtId="0" fontId="22" fillId="0" borderId="0" xfId="0" applyFont="1"/>
    <xf numFmtId="4" fontId="0" fillId="0" borderId="15" xfId="1" applyNumberFormat="1" applyFont="1" applyBorder="1"/>
    <xf numFmtId="0" fontId="21" fillId="0" borderId="0" xfId="0" applyFont="1" applyFill="1" applyBorder="1" applyAlignment="1">
      <alignment horizontal="center"/>
    </xf>
    <xf numFmtId="0" fontId="3" fillId="0" borderId="42" xfId="0" applyFont="1" applyBorder="1" applyAlignment="1"/>
    <xf numFmtId="0" fontId="0" fillId="0" borderId="11" xfId="0" applyBorder="1" applyAlignment="1">
      <alignment horizontal="center"/>
    </xf>
    <xf numFmtId="0" fontId="0" fillId="0" borderId="58" xfId="0" applyBorder="1" applyAlignment="1">
      <alignment horizontal="center"/>
    </xf>
    <xf numFmtId="0" fontId="9" fillId="0" borderId="0" xfId="0" applyFont="1" applyAlignment="1">
      <alignment horizontal="center"/>
    </xf>
    <xf numFmtId="0" fontId="9" fillId="0" borderId="0" xfId="0" quotePrefix="1" applyFont="1" applyAlignment="1">
      <alignment horizontal="center"/>
    </xf>
    <xf numFmtId="0" fontId="9" fillId="0" borderId="0" xfId="0" applyFont="1" applyAlignment="1">
      <alignment horizontal="center" wrapText="1"/>
    </xf>
    <xf numFmtId="0" fontId="9" fillId="0" borderId="0" xfId="0" quotePrefix="1" applyFont="1" applyAlignment="1">
      <alignment horizontal="center" wrapText="1"/>
    </xf>
    <xf numFmtId="0" fontId="10" fillId="0" borderId="0" xfId="0" applyFont="1" applyAlignment="1">
      <alignment horizontal="center"/>
    </xf>
    <xf numFmtId="0" fontId="2" fillId="0" borderId="0" xfId="0" applyFont="1" applyAlignment="1">
      <alignment horizont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3" fontId="7" fillId="2" borderId="14" xfId="0" applyNumberFormat="1" applyFont="1" applyFill="1" applyBorder="1" applyAlignment="1">
      <alignment horizontal="left" vertical="center"/>
    </xf>
    <xf numFmtId="3" fontId="7" fillId="2" borderId="15" xfId="0" applyNumberFormat="1" applyFont="1" applyFill="1" applyBorder="1" applyAlignment="1">
      <alignment horizontal="left" vertical="center"/>
    </xf>
    <xf numFmtId="3" fontId="7" fillId="2" borderId="16" xfId="0" applyNumberFormat="1" applyFont="1" applyFill="1" applyBorder="1" applyAlignment="1">
      <alignment horizontal="left" vertical="center"/>
    </xf>
    <xf numFmtId="0" fontId="21" fillId="0" borderId="11" xfId="0" applyFont="1" applyBorder="1" applyAlignment="1">
      <alignment horizontal="center" wrapText="1"/>
    </xf>
    <xf numFmtId="0" fontId="2" fillId="0" borderId="17" xfId="0" applyFont="1" applyBorder="1" applyAlignment="1">
      <alignment horizontal="center"/>
    </xf>
    <xf numFmtId="0" fontId="2" fillId="0" borderId="18" xfId="0" applyFont="1" applyBorder="1" applyAlignment="1">
      <alignment horizontal="center"/>
    </xf>
    <xf numFmtId="0" fontId="2" fillId="0" borderId="51" xfId="0" applyFont="1" applyBorder="1" applyAlignment="1">
      <alignment horizontal="center"/>
    </xf>
    <xf numFmtId="0" fontId="2" fillId="0" borderId="52" xfId="0" applyFont="1" applyBorder="1" applyAlignment="1">
      <alignment horizontal="center"/>
    </xf>
    <xf numFmtId="0" fontId="2" fillId="0" borderId="5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23" xfId="0" applyFont="1" applyBorder="1" applyAlignment="1">
      <alignment horizontal="center"/>
    </xf>
    <xf numFmtId="0" fontId="2" fillId="0" borderId="19" xfId="0" applyFont="1" applyBorder="1" applyAlignment="1">
      <alignment horizontal="center"/>
    </xf>
    <xf numFmtId="0" fontId="2" fillId="0" borderId="15" xfId="0" applyFont="1" applyBorder="1" applyAlignment="1">
      <alignment horizont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7" xfId="0" applyFont="1" applyBorder="1" applyAlignment="1">
      <alignment horizontal="center" wrapText="1"/>
    </xf>
    <xf numFmtId="0" fontId="2" fillId="0" borderId="18" xfId="0" applyFont="1" applyBorder="1" applyAlignment="1">
      <alignment horizontal="center" wrapText="1"/>
    </xf>
    <xf numFmtId="0" fontId="2" fillId="0" borderId="24" xfId="0" applyFont="1" applyBorder="1" applyAlignment="1">
      <alignment horizont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0" xfId="0" applyFont="1" applyBorder="1" applyAlignment="1">
      <alignment horizontal="center" vertical="center" wrapText="1"/>
    </xf>
    <xf numFmtId="0" fontId="3" fillId="6" borderId="42" xfId="0" applyFont="1" applyFill="1" applyBorder="1" applyAlignment="1">
      <alignment horizontal="center" vertical="center"/>
    </xf>
    <xf numFmtId="0" fontId="3" fillId="7" borderId="0" xfId="0" applyFont="1" applyFill="1" applyBorder="1" applyAlignment="1">
      <alignment horizontal="center" vertical="center"/>
    </xf>
    <xf numFmtId="0" fontId="3" fillId="7" borderId="31" xfId="0" applyFont="1" applyFill="1" applyBorder="1" applyAlignment="1">
      <alignment horizontal="center" vertical="center"/>
    </xf>
    <xf numFmtId="168" fontId="11" fillId="5" borderId="0" xfId="0" applyNumberFormat="1" applyFont="1" applyFill="1" applyAlignment="1">
      <alignment horizontal="left" indent="10"/>
    </xf>
    <xf numFmtId="169" fontId="15" fillId="5" borderId="0" xfId="0" applyNumberFormat="1" applyFont="1" applyFill="1" applyBorder="1" applyAlignment="1">
      <alignment horizontal="center"/>
    </xf>
    <xf numFmtId="0" fontId="3" fillId="6" borderId="4" xfId="0" applyFont="1" applyFill="1" applyBorder="1" applyAlignment="1">
      <alignment horizontal="center"/>
    </xf>
    <xf numFmtId="0" fontId="3" fillId="7" borderId="5" xfId="0" applyFont="1" applyFill="1" applyBorder="1" applyAlignment="1">
      <alignment horizontal="center"/>
    </xf>
    <xf numFmtId="0" fontId="3" fillId="7" borderId="6" xfId="0" applyFont="1" applyFill="1" applyBorder="1" applyAlignment="1">
      <alignment horizontal="center"/>
    </xf>
    <xf numFmtId="0" fontId="3" fillId="6" borderId="0" xfId="0" applyFont="1" applyFill="1" applyBorder="1" applyAlignment="1">
      <alignment horizontal="center"/>
    </xf>
    <xf numFmtId="0" fontId="3" fillId="7" borderId="0" xfId="0" applyFont="1" applyFill="1" applyBorder="1" applyAlignment="1">
      <alignment horizontal="center"/>
    </xf>
    <xf numFmtId="0" fontId="3" fillId="7" borderId="31" xfId="0" applyFont="1" applyFill="1" applyBorder="1" applyAlignment="1">
      <alignment horizontal="center"/>
    </xf>
    <xf numFmtId="0" fontId="3" fillId="6" borderId="39" xfId="0" applyFont="1" applyFill="1" applyBorder="1" applyAlignment="1">
      <alignment horizontal="center" vertical="center"/>
    </xf>
    <xf numFmtId="0" fontId="3" fillId="7" borderId="40" xfId="0" applyFont="1" applyFill="1" applyBorder="1" applyAlignment="1">
      <alignment horizontal="center" vertical="center"/>
    </xf>
    <xf numFmtId="0" fontId="3" fillId="7" borderId="41" xfId="0" applyFont="1" applyFill="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0" fillId="0" borderId="11" xfId="0" applyBorder="1" applyAlignment="1">
      <alignment horizontal="center"/>
    </xf>
    <xf numFmtId="0" fontId="0" fillId="0" borderId="43" xfId="0" applyBorder="1" applyAlignment="1">
      <alignment horizontal="center"/>
    </xf>
    <xf numFmtId="0" fontId="0" fillId="0" borderId="13" xfId="0" applyBorder="1" applyAlignment="1">
      <alignment horizontal="center"/>
    </xf>
    <xf numFmtId="0" fontId="0" fillId="0" borderId="44" xfId="0" applyBorder="1" applyAlignment="1">
      <alignment horizontal="center"/>
    </xf>
    <xf numFmtId="0" fontId="20" fillId="0" borderId="51" xfId="0" applyFont="1" applyBorder="1" applyAlignment="1">
      <alignment horizontal="center"/>
    </xf>
    <xf numFmtId="0" fontId="20" fillId="0" borderId="52" xfId="0" applyFont="1" applyBorder="1" applyAlignment="1">
      <alignment horizontal="center"/>
    </xf>
    <xf numFmtId="0" fontId="20" fillId="0" borderId="53" xfId="0" applyFont="1" applyBorder="1" applyAlignment="1">
      <alignment horizontal="center"/>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25" xfId="0" applyFont="1" applyBorder="1" applyAlignment="1">
      <alignment horizontal="center"/>
    </xf>
    <xf numFmtId="0" fontId="2" fillId="0" borderId="26" xfId="0" applyFont="1" applyBorder="1" applyAlignment="1">
      <alignment horizontal="center"/>
    </xf>
    <xf numFmtId="0" fontId="2" fillId="0" borderId="27" xfId="0" applyFont="1" applyBorder="1" applyAlignment="1">
      <alignment horizontal="center"/>
    </xf>
    <xf numFmtId="0" fontId="3" fillId="0" borderId="19" xfId="0" applyFont="1" applyBorder="1" applyAlignment="1">
      <alignment horizontal="center"/>
    </xf>
    <xf numFmtId="0" fontId="3" fillId="0" borderId="15" xfId="0" applyFont="1" applyBorder="1" applyAlignment="1">
      <alignment horizontal="center"/>
    </xf>
    <xf numFmtId="0" fontId="3" fillId="0" borderId="20" xfId="0" applyFont="1" applyBorder="1" applyAlignment="1">
      <alignment horizont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5" xfId="0" applyFont="1" applyBorder="1" applyAlignment="1">
      <alignment horizontal="center" wrapText="1"/>
    </xf>
    <xf numFmtId="0" fontId="3" fillId="0" borderId="46" xfId="0" applyFont="1" applyBorder="1" applyAlignment="1">
      <alignment horizontal="center" wrapText="1"/>
    </xf>
    <xf numFmtId="0" fontId="3" fillId="0" borderId="14" xfId="0" applyFont="1" applyBorder="1" applyAlignment="1">
      <alignment horizontal="center"/>
    </xf>
    <xf numFmtId="0" fontId="3" fillId="0" borderId="1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11" xfId="0" applyFont="1" applyBorder="1" applyAlignment="1">
      <alignment horizontal="center"/>
    </xf>
    <xf numFmtId="0" fontId="3" fillId="0" borderId="43" xfId="0" applyFont="1" applyBorder="1" applyAlignment="1">
      <alignment horizontal="center"/>
    </xf>
    <xf numFmtId="0" fontId="3" fillId="0" borderId="12" xfId="0" applyFont="1" applyBorder="1" applyAlignment="1">
      <alignment horizontal="left"/>
    </xf>
    <xf numFmtId="0" fontId="3" fillId="0" borderId="13" xfId="0" applyFont="1" applyBorder="1" applyAlignment="1">
      <alignment horizontal="left"/>
    </xf>
    <xf numFmtId="0" fontId="0" fillId="0" borderId="19" xfId="0" applyBorder="1" applyAlignment="1">
      <alignment horizontal="center"/>
    </xf>
    <xf numFmtId="0" fontId="0" fillId="0" borderId="15" xfId="0" applyBorder="1" applyAlignment="1">
      <alignment horizontal="center"/>
    </xf>
    <xf numFmtId="0" fontId="0" fillId="0" borderId="20" xfId="0"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wrapText="1"/>
    </xf>
    <xf numFmtId="10" fontId="0" fillId="0" borderId="11" xfId="0" applyNumberFormat="1" applyBorder="1" applyAlignment="1">
      <alignment horizontal="center"/>
    </xf>
    <xf numFmtId="3" fontId="0" fillId="0" borderId="11" xfId="0" applyNumberFormat="1" applyBorder="1" applyAlignment="1">
      <alignment horizontal="center"/>
    </xf>
    <xf numFmtId="3" fontId="0" fillId="0" borderId="43" xfId="0" applyNumberFormat="1" applyBorder="1" applyAlignment="1">
      <alignment horizontal="center"/>
    </xf>
    <xf numFmtId="3" fontId="21" fillId="0" borderId="13" xfId="0" applyNumberFormat="1" applyFont="1" applyBorder="1" applyAlignment="1">
      <alignment horizontal="center"/>
    </xf>
    <xf numFmtId="3" fontId="21" fillId="0" borderId="44" xfId="0" applyNumberFormat="1" applyFont="1" applyBorder="1" applyAlignment="1">
      <alignment horizontal="center"/>
    </xf>
    <xf numFmtId="0" fontId="21" fillId="0" borderId="7" xfId="0" applyFont="1" applyBorder="1" applyAlignment="1">
      <alignment horizontal="center"/>
    </xf>
    <xf numFmtId="0" fontId="21" fillId="0" borderId="8" xfId="0" applyFont="1" applyBorder="1" applyAlignment="1">
      <alignment horizontal="center"/>
    </xf>
    <xf numFmtId="0" fontId="21" fillId="0" borderId="9" xfId="0" applyFont="1" applyBorder="1" applyAlignment="1">
      <alignment horizontal="center"/>
    </xf>
    <xf numFmtId="0" fontId="21" fillId="0" borderId="11" xfId="0" applyFont="1" applyBorder="1" applyAlignment="1">
      <alignment horizontal="center"/>
    </xf>
    <xf numFmtId="0" fontId="21" fillId="0" borderId="43" xfId="0" applyFont="1" applyBorder="1" applyAlignment="1">
      <alignment horizontal="center"/>
    </xf>
    <xf numFmtId="0" fontId="2" fillId="0" borderId="1" xfId="0" applyFont="1" applyBorder="1" applyAlignment="1">
      <alignment horizontal="center" vertical="center" wrapText="1"/>
    </xf>
    <xf numFmtId="0" fontId="0" fillId="0" borderId="45" xfId="0" applyBorder="1" applyAlignment="1">
      <alignment horizontal="center"/>
    </xf>
    <xf numFmtId="0" fontId="0" fillId="0" borderId="57" xfId="0" applyBorder="1" applyAlignment="1">
      <alignment horizontal="center"/>
    </xf>
    <xf numFmtId="0" fontId="0" fillId="0" borderId="0" xfId="0" applyAlignment="1">
      <alignment horizontal="left" wrapText="1"/>
    </xf>
    <xf numFmtId="0" fontId="20" fillId="0" borderId="0" xfId="0" applyFont="1" applyAlignment="1">
      <alignment horizontal="center" wrapText="1"/>
    </xf>
    <xf numFmtId="0" fontId="0" fillId="0" borderId="0" xfId="0" applyBorder="1" applyAlignment="1">
      <alignment horizontal="left"/>
    </xf>
    <xf numFmtId="0" fontId="2" fillId="0" borderId="20" xfId="0" applyFont="1" applyBorder="1" applyAlignment="1">
      <alignment horizontal="center"/>
    </xf>
    <xf numFmtId="0" fontId="0" fillId="0" borderId="0" xfId="0" applyAlignment="1">
      <alignment horizontal="left" vertical="top" wrapText="1"/>
    </xf>
    <xf numFmtId="0" fontId="3" fillId="0" borderId="17" xfId="0" applyFont="1" applyBorder="1" applyAlignment="1">
      <alignment horizontal="center"/>
    </xf>
    <xf numFmtId="0" fontId="3" fillId="0" borderId="18" xfId="0" applyFont="1" applyBorder="1" applyAlignment="1">
      <alignment horizontal="center"/>
    </xf>
    <xf numFmtId="0" fontId="3" fillId="0" borderId="24" xfId="0" applyFont="1" applyBorder="1" applyAlignment="1">
      <alignment horizontal="center"/>
    </xf>
    <xf numFmtId="0" fontId="3" fillId="0" borderId="45" xfId="0" applyFont="1" applyBorder="1" applyAlignment="1">
      <alignment horizontal="center"/>
    </xf>
    <xf numFmtId="0" fontId="3" fillId="0" borderId="46" xfId="0" applyFont="1" applyBorder="1" applyAlignment="1">
      <alignment horizontal="center"/>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3" xfId="0" applyFont="1" applyFill="1" applyBorder="1" applyAlignment="1">
      <alignment horizontal="center" vertic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0" xfId="0" applyAlignment="1">
      <alignment horizontal="right"/>
    </xf>
    <xf numFmtId="0" fontId="21" fillId="0" borderId="0" xfId="0" applyFont="1" applyAlignment="1">
      <alignment horizontal="left"/>
    </xf>
    <xf numFmtId="0" fontId="0" fillId="0" borderId="0" xfId="0" applyAlignment="1">
      <alignment horizontal="left"/>
    </xf>
    <xf numFmtId="0" fontId="3" fillId="0" borderId="21"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25" fillId="0" borderId="0" xfId="0" applyFont="1" applyAlignment="1">
      <alignment horizontal="center"/>
    </xf>
    <xf numFmtId="0" fontId="3" fillId="0" borderId="29"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22" xfId="0" applyFont="1" applyFill="1" applyBorder="1" applyAlignment="1">
      <alignment horizontal="center" vertical="center" wrapText="1"/>
    </xf>
    <xf numFmtId="0" fontId="25" fillId="0" borderId="0" xfId="0" applyFont="1" applyAlignment="1">
      <alignment horizontal="center" wrapText="1"/>
    </xf>
    <xf numFmtId="0" fontId="0" fillId="0" borderId="8" xfId="0" applyBorder="1" applyAlignment="1">
      <alignment horizontal="center" vertical="center"/>
    </xf>
    <xf numFmtId="0" fontId="0" fillId="0" borderId="9" xfId="0" applyBorder="1" applyAlignment="1">
      <alignment horizontal="center" vertical="center"/>
    </xf>
  </cellXfs>
  <cellStyles count="4">
    <cellStyle name="Comma" xfId="1" builtinId="3"/>
    <cellStyle name="Currency" xfId="2" builtinId="4"/>
    <cellStyle name="Normal" xfId="0" builtinId="0"/>
    <cellStyle name="Percent" xfId="3" builtinId="5"/>
  </cellStyles>
  <dxfs count="3">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381000</xdr:colOff>
      <xdr:row>8</xdr:row>
      <xdr:rowOff>114300</xdr:rowOff>
    </xdr:from>
    <xdr:to>
      <xdr:col>8</xdr:col>
      <xdr:colOff>800100</xdr:colOff>
      <xdr:row>12</xdr:row>
      <xdr:rowOff>152400</xdr:rowOff>
    </xdr:to>
    <xdr:pic>
      <xdr:nvPicPr>
        <xdr:cNvPr id="3" name="Picture 1" descr="Algoma Power_logo"/>
        <xdr:cNvPicPr>
          <a:picLocks noChangeAspect="1" noChangeArrowheads="1"/>
        </xdr:cNvPicPr>
      </xdr:nvPicPr>
      <xdr:blipFill>
        <a:blip xmlns:r="http://schemas.openxmlformats.org/officeDocument/2006/relationships" r:embed="rId1" cstate="print"/>
        <a:srcRect/>
        <a:stretch>
          <a:fillRect/>
        </a:stretch>
      </xdr:blipFill>
      <xdr:spPr bwMode="auto">
        <a:xfrm>
          <a:off x="2543175" y="1409700"/>
          <a:ext cx="2857500"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PI%202015%20REG%20COS/Chap_2_App/Filing_Requirements_Chapter2_Appendices_for%20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0:I35"/>
  <sheetViews>
    <sheetView topLeftCell="A13" workbookViewId="0">
      <selection activeCell="D41" sqref="D41"/>
    </sheetView>
  </sheetViews>
  <sheetFormatPr defaultRowHeight="14.4" x14ac:dyDescent="0.3"/>
  <cols>
    <col min="1" max="1" width="5" customWidth="1"/>
    <col min="2" max="2" width="18.5546875" customWidth="1"/>
    <col min="9" max="9" width="47" customWidth="1"/>
  </cols>
  <sheetData>
    <row r="20" spans="2:9" ht="33.75" x14ac:dyDescent="0.5">
      <c r="B20" s="274" t="s">
        <v>37</v>
      </c>
      <c r="C20" s="274"/>
      <c r="D20" s="274"/>
      <c r="E20" s="274"/>
      <c r="F20" s="274"/>
      <c r="G20" s="274"/>
      <c r="H20" s="274"/>
      <c r="I20" s="274"/>
    </row>
    <row r="21" spans="2:9" ht="33.75" x14ac:dyDescent="0.5">
      <c r="B21" s="274" t="s">
        <v>190</v>
      </c>
      <c r="C21" s="274"/>
      <c r="D21" s="274"/>
      <c r="E21" s="274"/>
      <c r="F21" s="274"/>
      <c r="G21" s="274"/>
      <c r="H21" s="274"/>
      <c r="I21" s="274"/>
    </row>
    <row r="22" spans="2:9" ht="33.75" x14ac:dyDescent="0.5">
      <c r="B22" s="274" t="s">
        <v>146</v>
      </c>
      <c r="C22" s="274"/>
      <c r="D22" s="274"/>
      <c r="E22" s="274"/>
      <c r="F22" s="274"/>
      <c r="G22" s="274"/>
      <c r="H22" s="274"/>
      <c r="I22" s="274"/>
    </row>
    <row r="25" spans="2:9" ht="30" x14ac:dyDescent="0.4">
      <c r="B25" s="278" t="s">
        <v>38</v>
      </c>
      <c r="C25" s="278"/>
      <c r="D25" s="278"/>
      <c r="E25" s="278"/>
      <c r="F25" s="278"/>
      <c r="G25" s="278"/>
      <c r="H25" s="278"/>
      <c r="I25" s="278"/>
    </row>
    <row r="26" spans="2:9" ht="30" x14ac:dyDescent="0.4">
      <c r="B26" s="278" t="s">
        <v>191</v>
      </c>
      <c r="C26" s="278"/>
      <c r="D26" s="278"/>
      <c r="E26" s="278"/>
      <c r="F26" s="278"/>
      <c r="G26" s="278"/>
      <c r="H26" s="278"/>
      <c r="I26" s="278"/>
    </row>
    <row r="27" spans="2:9" ht="33.75" x14ac:dyDescent="0.5">
      <c r="B27" s="274" t="s">
        <v>192</v>
      </c>
      <c r="C27" s="274"/>
      <c r="D27" s="274"/>
      <c r="E27" s="274"/>
      <c r="F27" s="274"/>
      <c r="G27" s="274"/>
      <c r="H27" s="274"/>
      <c r="I27" s="274"/>
    </row>
    <row r="28" spans="2:9" ht="33.75" x14ac:dyDescent="0.5">
      <c r="B28" s="274"/>
      <c r="C28" s="275"/>
      <c r="D28" s="275"/>
      <c r="E28" s="275"/>
      <c r="F28" s="275"/>
      <c r="G28" s="275"/>
      <c r="H28" s="275"/>
      <c r="I28" s="275"/>
    </row>
    <row r="29" spans="2:9" ht="33.75" x14ac:dyDescent="0.5">
      <c r="B29" s="276"/>
      <c r="C29" s="277"/>
      <c r="D29" s="277"/>
      <c r="E29" s="277"/>
      <c r="F29" s="277"/>
      <c r="G29" s="277"/>
      <c r="H29" s="277"/>
      <c r="I29" s="277"/>
    </row>
    <row r="30" spans="2:9" ht="33.75" x14ac:dyDescent="0.5">
      <c r="B30" s="277" t="s">
        <v>193</v>
      </c>
      <c r="C30" s="277"/>
      <c r="D30" s="277"/>
      <c r="E30" s="277"/>
      <c r="F30" s="277"/>
      <c r="G30" s="277"/>
      <c r="H30" s="277"/>
      <c r="I30" s="277"/>
    </row>
    <row r="33" spans="2:2" ht="15" x14ac:dyDescent="0.25">
      <c r="B33" s="183"/>
    </row>
    <row r="34" spans="2:2" ht="15" x14ac:dyDescent="0.25">
      <c r="B34" s="183"/>
    </row>
    <row r="35" spans="2:2" ht="15" x14ac:dyDescent="0.25">
      <c r="B35" s="183"/>
    </row>
  </sheetData>
  <mergeCells count="9">
    <mergeCell ref="B28:I28"/>
    <mergeCell ref="B29:I29"/>
    <mergeCell ref="B30:I30"/>
    <mergeCell ref="B20:I20"/>
    <mergeCell ref="B21:I21"/>
    <mergeCell ref="B22:I22"/>
    <mergeCell ref="B25:I25"/>
    <mergeCell ref="B26:I26"/>
    <mergeCell ref="B27:I27"/>
  </mergeCells>
  <pageMargins left="0.7" right="0.7" top="0.75" bottom="0.75" header="0.3" footer="0.3"/>
  <pageSetup scale="7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B2:K19"/>
  <sheetViews>
    <sheetView showGridLines="0" workbookViewId="0">
      <selection activeCell="H10" sqref="H10"/>
    </sheetView>
  </sheetViews>
  <sheetFormatPr defaultRowHeight="14.4" x14ac:dyDescent="0.3"/>
  <cols>
    <col min="1" max="1" width="2.6640625" customWidth="1"/>
    <col min="2" max="2" width="15" customWidth="1"/>
    <col min="3" max="3" width="14.109375" customWidth="1"/>
    <col min="4" max="4" width="10.44140625" bestFit="1" customWidth="1"/>
    <col min="5" max="5" width="14.109375" customWidth="1"/>
    <col min="6" max="6" width="12" customWidth="1"/>
    <col min="7" max="7" width="11.5546875" customWidth="1"/>
    <col min="8" max="8" width="14.109375" customWidth="1"/>
    <col min="11" max="11" width="14.33203125" bestFit="1" customWidth="1"/>
  </cols>
  <sheetData>
    <row r="2" spans="2:11" ht="15.75" thickBot="1" x14ac:dyDescent="0.3"/>
    <row r="3" spans="2:11" x14ac:dyDescent="0.3">
      <c r="B3" s="382" t="s">
        <v>233</v>
      </c>
      <c r="C3" s="327"/>
      <c r="D3" s="327"/>
      <c r="E3" s="327"/>
      <c r="F3" s="327"/>
      <c r="G3" s="327"/>
      <c r="H3" s="328"/>
    </row>
    <row r="4" spans="2:11" ht="15" thickBot="1" x14ac:dyDescent="0.35">
      <c r="B4" s="329"/>
      <c r="C4" s="330"/>
      <c r="D4" s="330"/>
      <c r="E4" s="330"/>
      <c r="F4" s="330"/>
      <c r="G4" s="330"/>
      <c r="H4" s="331"/>
    </row>
    <row r="5" spans="2:11" ht="90" thickBot="1" x14ac:dyDescent="0.3">
      <c r="B5" s="1"/>
      <c r="C5" s="2" t="s">
        <v>0</v>
      </c>
      <c r="D5" s="2" t="s">
        <v>1</v>
      </c>
      <c r="E5" s="2" t="s">
        <v>2</v>
      </c>
      <c r="F5" s="2" t="s">
        <v>3</v>
      </c>
      <c r="G5" s="159" t="s">
        <v>234</v>
      </c>
      <c r="H5" s="3" t="s">
        <v>5</v>
      </c>
    </row>
    <row r="6" spans="2:11" ht="15" x14ac:dyDescent="0.25">
      <c r="B6" s="4" t="s">
        <v>6</v>
      </c>
      <c r="C6" s="5">
        <v>15134936.012393121</v>
      </c>
      <c r="D6" s="5">
        <v>292845.03390436457</v>
      </c>
      <c r="E6" s="5">
        <f>C6-D6</f>
        <v>14842090.978488756</v>
      </c>
      <c r="F6" s="158">
        <v>16601470.620292047</v>
      </c>
      <c r="G6" s="165">
        <f>(H6+D6)/C6</f>
        <v>1.0802850832691808</v>
      </c>
      <c r="H6" s="264">
        <f>H10-(H7+H8+H9)</f>
        <v>16057200.576517463</v>
      </c>
    </row>
    <row r="7" spans="2:11" ht="15" x14ac:dyDescent="0.25">
      <c r="B7" s="4" t="s">
        <v>7</v>
      </c>
      <c r="C7" s="5">
        <v>3731937.3743071831</v>
      </c>
      <c r="D7" s="5">
        <v>75826.547480141744</v>
      </c>
      <c r="E7" s="5">
        <f t="shared" ref="E7:E10" si="0">C7-D7</f>
        <v>3656110.8268270413</v>
      </c>
      <c r="F7" s="158">
        <v>4093853.7451839992</v>
      </c>
      <c r="G7" s="166">
        <f t="shared" ref="G7:G9" si="1">(H7+D7)/C7</f>
        <v>1.080205572374731</v>
      </c>
      <c r="H7" s="264">
        <f>ROUND((H10-H8-H9)*E7/(E6+E7),0)</f>
        <v>3955433</v>
      </c>
      <c r="K7" s="161"/>
    </row>
    <row r="8" spans="2:11" ht="15" x14ac:dyDescent="0.25">
      <c r="B8" s="4" t="s">
        <v>8</v>
      </c>
      <c r="C8" s="5">
        <v>3719750.8767591882</v>
      </c>
      <c r="D8" s="5">
        <v>79308.076763124598</v>
      </c>
      <c r="E8" s="5">
        <f t="shared" si="0"/>
        <v>3640442.7999960636</v>
      </c>
      <c r="F8" s="158">
        <v>1965213.9659242125</v>
      </c>
      <c r="G8" s="166">
        <f t="shared" si="1"/>
        <v>0.72000011976514666</v>
      </c>
      <c r="H8" s="264">
        <v>2598913</v>
      </c>
    </row>
    <row r="9" spans="2:11" ht="15.75" thickBot="1" x14ac:dyDescent="0.3">
      <c r="B9" s="4" t="s">
        <v>9</v>
      </c>
      <c r="C9" s="5">
        <v>696313.95305797388</v>
      </c>
      <c r="D9" s="5">
        <v>18777.981852369074</v>
      </c>
      <c r="E9" s="5">
        <f t="shared" si="0"/>
        <v>677535.97120560484</v>
      </c>
      <c r="F9" s="158">
        <v>155642.24511720496</v>
      </c>
      <c r="G9" s="167">
        <f t="shared" si="1"/>
        <v>0.32084949737287277</v>
      </c>
      <c r="H9" s="264">
        <f>'2017 SL Adj for 10% Impact'!F21</f>
        <v>204634</v>
      </c>
    </row>
    <row r="10" spans="2:11" ht="15.75" thickBot="1" x14ac:dyDescent="0.3">
      <c r="B10" s="7"/>
      <c r="C10" s="8">
        <f>SUM(C6:C9)</f>
        <v>23282938.216517463</v>
      </c>
      <c r="D10" s="8">
        <f>SUM(D6:D9)</f>
        <v>466757.64</v>
      </c>
      <c r="E10" s="9">
        <f t="shared" si="0"/>
        <v>22816180.576517463</v>
      </c>
      <c r="F10" s="8">
        <f>SUM(F6:F9)</f>
        <v>22816180.576517463</v>
      </c>
      <c r="G10" s="160"/>
      <c r="H10" s="265">
        <f>E10</f>
        <v>22816180.576517463</v>
      </c>
    </row>
    <row r="12" spans="2:11" ht="15" x14ac:dyDescent="0.25">
      <c r="F12" s="11"/>
      <c r="G12" s="12" t="s">
        <v>10</v>
      </c>
      <c r="H12" s="13" t="str">
        <f>IF(H10-SUM(H6:H9)&lt;1,"YES","NO")</f>
        <v>YES</v>
      </c>
    </row>
    <row r="13" spans="2:11" ht="15.75" thickBot="1" x14ac:dyDescent="0.3"/>
    <row r="14" spans="2:11" ht="16.5" thickBot="1" x14ac:dyDescent="0.3">
      <c r="B14" s="336" t="s">
        <v>183</v>
      </c>
      <c r="C14" s="337"/>
      <c r="D14" s="337"/>
      <c r="E14" s="337"/>
      <c r="F14" s="337"/>
      <c r="G14" s="338"/>
    </row>
    <row r="15" spans="2:11" ht="15" x14ac:dyDescent="0.25">
      <c r="B15" s="155"/>
      <c r="C15" s="156">
        <v>2015</v>
      </c>
      <c r="D15" s="156">
        <v>2016</v>
      </c>
      <c r="E15" s="156">
        <v>2017</v>
      </c>
      <c r="F15" s="156">
        <v>2018</v>
      </c>
      <c r="G15" s="157">
        <v>2019</v>
      </c>
    </row>
    <row r="16" spans="2:11" ht="15" x14ac:dyDescent="0.25">
      <c r="B16" s="4" t="s">
        <v>6</v>
      </c>
      <c r="C16" s="151">
        <f>'2015 BA RC Ratios'!C16</f>
        <v>1.1063099322120511</v>
      </c>
      <c r="D16" s="332" t="s">
        <v>141</v>
      </c>
      <c r="E16" s="332"/>
      <c r="F16" s="332"/>
      <c r="G16" s="333"/>
    </row>
    <row r="17" spans="2:7" ht="15.75" thickBot="1" x14ac:dyDescent="0.3">
      <c r="B17" s="4" t="s">
        <v>7</v>
      </c>
      <c r="C17" s="151">
        <f>'2015 BA RC Ratios'!C17</f>
        <v>1.1074142538308547</v>
      </c>
      <c r="D17" s="383" t="s">
        <v>141</v>
      </c>
      <c r="E17" s="383"/>
      <c r="F17" s="332"/>
      <c r="G17" s="333"/>
    </row>
    <row r="18" spans="2:7" ht="15.75" thickBot="1" x14ac:dyDescent="0.3">
      <c r="B18" s="4" t="s">
        <v>8</v>
      </c>
      <c r="C18" s="162">
        <f>'2015 BA RC Ratios'!C18</f>
        <v>0.6000000000000002</v>
      </c>
      <c r="D18" s="241">
        <v>0.66</v>
      </c>
      <c r="E18" s="164">
        <v>0.72</v>
      </c>
      <c r="F18" s="163">
        <v>0.78</v>
      </c>
      <c r="G18" s="153">
        <v>0.85</v>
      </c>
    </row>
    <row r="19" spans="2:7" ht="15.75" thickBot="1" x14ac:dyDescent="0.3">
      <c r="B19" s="7" t="s">
        <v>9</v>
      </c>
      <c r="C19" s="154">
        <f>'2015 BA RC Ratios'!C19</f>
        <v>0.25040000000000012</v>
      </c>
      <c r="D19" s="384" t="s">
        <v>142</v>
      </c>
      <c r="E19" s="384"/>
      <c r="F19" s="334"/>
      <c r="G19" s="335"/>
    </row>
  </sheetData>
  <mergeCells count="5">
    <mergeCell ref="B3:H4"/>
    <mergeCell ref="B14:G14"/>
    <mergeCell ref="D16:G16"/>
    <mergeCell ref="D17:G17"/>
    <mergeCell ref="D19:G19"/>
  </mergeCells>
  <pageMargins left="0.7" right="0.7" top="0.75" bottom="0.75" header="0.3" footer="0.3"/>
  <pageSetup scale="96" fitToHeight="0" orientation="portrait" r:id="rId1"/>
  <ignoredErrors>
    <ignoredError sqref="E10"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B2:N14"/>
  <sheetViews>
    <sheetView showGridLines="0" workbookViewId="0">
      <selection activeCell="B14" sqref="B14:N14"/>
    </sheetView>
  </sheetViews>
  <sheetFormatPr defaultRowHeight="14.4" x14ac:dyDescent="0.3"/>
  <cols>
    <col min="1" max="1" width="2.6640625" customWidth="1"/>
    <col min="2" max="2" width="16.44140625" customWidth="1"/>
    <col min="3" max="3" width="6.44140625" customWidth="1"/>
    <col min="4" max="4" width="10.109375" customWidth="1"/>
    <col min="5" max="5" width="12.5546875" bestFit="1" customWidth="1"/>
    <col min="6" max="6" width="9" bestFit="1" customWidth="1"/>
    <col min="7" max="8" width="10.109375" bestFit="1" customWidth="1"/>
    <col min="9" max="9" width="9.33203125" bestFit="1" customWidth="1"/>
    <col min="10" max="10" width="8.6640625" bestFit="1" customWidth="1"/>
    <col min="11" max="11" width="10.33203125" bestFit="1" customWidth="1"/>
    <col min="12" max="12" width="11.33203125" bestFit="1" customWidth="1"/>
    <col min="13" max="13" width="11.5546875" bestFit="1" customWidth="1"/>
    <col min="14" max="14" width="14.109375" bestFit="1" customWidth="1"/>
  </cols>
  <sheetData>
    <row r="2" spans="2:14" ht="15.75" thickBot="1" x14ac:dyDescent="0.3"/>
    <row r="3" spans="2:14" ht="33" customHeight="1" x14ac:dyDescent="0.25">
      <c r="B3" s="339" t="s">
        <v>209</v>
      </c>
      <c r="C3" s="340"/>
      <c r="D3" s="340"/>
      <c r="E3" s="340"/>
      <c r="F3" s="340"/>
      <c r="G3" s="340"/>
      <c r="H3" s="340"/>
      <c r="I3" s="340"/>
      <c r="J3" s="340"/>
      <c r="K3" s="340"/>
      <c r="L3" s="340"/>
      <c r="M3" s="340"/>
      <c r="N3" s="341"/>
    </row>
    <row r="4" spans="2:14" ht="15.75" x14ac:dyDescent="0.25">
      <c r="B4" s="342" t="s">
        <v>120</v>
      </c>
      <c r="C4" s="343"/>
      <c r="D4" s="343"/>
      <c r="E4" s="343"/>
      <c r="F4" s="343"/>
      <c r="G4" s="343"/>
      <c r="H4" s="343"/>
      <c r="I4" s="343"/>
      <c r="J4" s="343"/>
      <c r="K4" s="343"/>
      <c r="L4" s="343"/>
      <c r="M4" s="343"/>
      <c r="N4" s="344"/>
    </row>
    <row r="5" spans="2:14" ht="15" x14ac:dyDescent="0.25">
      <c r="B5" s="345" t="s">
        <v>210</v>
      </c>
      <c r="C5" s="346"/>
      <c r="D5" s="346"/>
      <c r="E5" s="346"/>
      <c r="F5" s="346"/>
      <c r="G5" s="346"/>
      <c r="H5" s="346"/>
      <c r="I5" s="346"/>
      <c r="J5" s="346"/>
      <c r="K5" s="346"/>
      <c r="L5" s="346"/>
      <c r="M5" s="346"/>
      <c r="N5" s="347"/>
    </row>
    <row r="6" spans="2:14" ht="15" customHeight="1" x14ac:dyDescent="0.3">
      <c r="B6" s="348" t="s">
        <v>121</v>
      </c>
      <c r="C6" s="350" t="s">
        <v>41</v>
      </c>
      <c r="D6" s="352" t="s">
        <v>122</v>
      </c>
      <c r="E6" s="354" t="s">
        <v>123</v>
      </c>
      <c r="F6" s="355"/>
      <c r="G6" s="354" t="s">
        <v>124</v>
      </c>
      <c r="H6" s="355"/>
      <c r="I6" s="354" t="s">
        <v>125</v>
      </c>
      <c r="J6" s="355"/>
      <c r="K6" s="354" t="s">
        <v>126</v>
      </c>
      <c r="L6" s="346"/>
      <c r="M6" s="346"/>
      <c r="N6" s="347"/>
    </row>
    <row r="7" spans="2:14" ht="39.6" x14ac:dyDescent="0.3">
      <c r="B7" s="349"/>
      <c r="C7" s="351"/>
      <c r="D7" s="353"/>
      <c r="E7" s="238" t="s">
        <v>127</v>
      </c>
      <c r="F7" s="238" t="s">
        <v>35</v>
      </c>
      <c r="G7" s="121" t="s">
        <v>128</v>
      </c>
      <c r="H7" s="121" t="s">
        <v>129</v>
      </c>
      <c r="I7" s="121" t="s">
        <v>42</v>
      </c>
      <c r="J7" s="121" t="s">
        <v>130</v>
      </c>
      <c r="K7" s="121" t="s">
        <v>131</v>
      </c>
      <c r="L7" s="121" t="s">
        <v>132</v>
      </c>
      <c r="M7" s="121" t="s">
        <v>133</v>
      </c>
      <c r="N7" s="122" t="s">
        <v>134</v>
      </c>
    </row>
    <row r="8" spans="2:14" ht="15" x14ac:dyDescent="0.25">
      <c r="B8" s="38" t="s">
        <v>6</v>
      </c>
      <c r="C8" s="235" t="s">
        <v>127</v>
      </c>
      <c r="D8" s="123">
        <f>ROUND((Forecast!H7+Forecast!I7)/2,0)</f>
        <v>8496</v>
      </c>
      <c r="E8" s="5">
        <f>Forecast!I15</f>
        <v>105791701</v>
      </c>
      <c r="F8" s="5"/>
      <c r="G8" s="124">
        <v>0.13646721756898086</v>
      </c>
      <c r="H8" s="124">
        <f>1-G8</f>
        <v>0.86353278243101916</v>
      </c>
      <c r="I8" s="125">
        <f>K8/(D8*12)</f>
        <v>21.493266288296194</v>
      </c>
      <c r="J8" s="126">
        <f>L8/E8</f>
        <v>0.13106811744990365</v>
      </c>
      <c r="K8" s="5">
        <f>G8*M8</f>
        <v>2191281.4846243737</v>
      </c>
      <c r="L8" s="5">
        <f>H8*M8</f>
        <v>13865919.09189309</v>
      </c>
      <c r="M8" s="127">
        <f>'2017 Proposed RC Ratios'!H6</f>
        <v>16057200.576517463</v>
      </c>
      <c r="N8" s="128">
        <f>(D8*I8*12+E8*J8+F8*J8)-M8</f>
        <v>0</v>
      </c>
    </row>
    <row r="9" spans="2:14" ht="15" x14ac:dyDescent="0.25">
      <c r="B9" s="38" t="s">
        <v>7</v>
      </c>
      <c r="C9" s="235" t="s">
        <v>35</v>
      </c>
      <c r="D9" s="123">
        <f>ROUND((Forecast!H9+Forecast!I9)/2,0)</f>
        <v>50</v>
      </c>
      <c r="E9" s="5"/>
      <c r="F9" s="5">
        <f>Forecast!I25</f>
        <v>198901</v>
      </c>
      <c r="G9" s="124">
        <v>0.1200968956263495</v>
      </c>
      <c r="H9" s="124">
        <f t="shared" ref="H9:H11" si="0">1-G9</f>
        <v>0.87990310437365049</v>
      </c>
      <c r="I9" s="125">
        <f t="shared" ref="I9:I11" si="1">K9/(D9*12)</f>
        <v>791.72537359669741</v>
      </c>
      <c r="J9" s="126">
        <f>L9/F9</f>
        <v>17.498141164911093</v>
      </c>
      <c r="K9" s="5">
        <f t="shared" ref="K9:K11" si="2">G9*M9</f>
        <v>475035.22415801848</v>
      </c>
      <c r="L9" s="5">
        <f t="shared" ref="L9:L11" si="3">H9*M9</f>
        <v>3480397.7758419816</v>
      </c>
      <c r="M9" s="127">
        <f>'2017 Proposed RC Ratios'!H7</f>
        <v>3955433</v>
      </c>
      <c r="N9" s="128">
        <f t="shared" ref="N9:N11" si="4">(D9*I9*12+E9*J9+F9*J9)-M9</f>
        <v>0</v>
      </c>
    </row>
    <row r="10" spans="2:14" ht="15" x14ac:dyDescent="0.25">
      <c r="B10" s="38" t="s">
        <v>8</v>
      </c>
      <c r="C10" s="235" t="s">
        <v>127</v>
      </c>
      <c r="D10" s="123">
        <f>ROUND((Forecast!H8+Forecast!I8)/2,0)</f>
        <v>3138</v>
      </c>
      <c r="E10" s="5">
        <f>Forecast!I16</f>
        <v>7731414</v>
      </c>
      <c r="F10" s="5"/>
      <c r="G10" s="124">
        <v>0.43756357758419168</v>
      </c>
      <c r="H10" s="124">
        <f t="shared" si="0"/>
        <v>0.56243642241580827</v>
      </c>
      <c r="I10" s="125">
        <f t="shared" si="1"/>
        <v>30.199428248089664</v>
      </c>
      <c r="J10" s="126">
        <f t="shared" ref="J10:J11" si="5">L10/E10</f>
        <v>0.18906287127942384</v>
      </c>
      <c r="K10" s="5">
        <f t="shared" si="2"/>
        <v>1137189.6701100643</v>
      </c>
      <c r="L10" s="5">
        <f t="shared" si="3"/>
        <v>1461723.3298899354</v>
      </c>
      <c r="M10" s="127">
        <f>'2017 Proposed RC Ratios'!H8</f>
        <v>2598913</v>
      </c>
      <c r="N10" s="128">
        <f t="shared" si="4"/>
        <v>0</v>
      </c>
    </row>
    <row r="11" spans="2:14" ht="15" x14ac:dyDescent="0.25">
      <c r="B11" s="38" t="s">
        <v>9</v>
      </c>
      <c r="C11" s="235" t="s">
        <v>127</v>
      </c>
      <c r="D11" s="123">
        <f>ROUND((Forecast!H10+Forecast!I10)/2,0)</f>
        <v>1018</v>
      </c>
      <c r="E11" s="5">
        <f>Forecast!I18</f>
        <v>804705</v>
      </c>
      <c r="F11" s="5"/>
      <c r="G11" s="124">
        <v>0</v>
      </c>
      <c r="H11" s="124">
        <f t="shared" si="0"/>
        <v>1</v>
      </c>
      <c r="I11" s="125">
        <f t="shared" si="1"/>
        <v>0</v>
      </c>
      <c r="J11" s="126">
        <f t="shared" si="5"/>
        <v>0.25429691626123857</v>
      </c>
      <c r="K11" s="5">
        <f t="shared" si="2"/>
        <v>0</v>
      </c>
      <c r="L11" s="5">
        <f t="shared" si="3"/>
        <v>204634</v>
      </c>
      <c r="M11" s="127">
        <f>'2017 Proposed RC Ratios'!H9</f>
        <v>204634</v>
      </c>
      <c r="N11" s="128">
        <f t="shared" si="4"/>
        <v>0</v>
      </c>
    </row>
    <row r="12" spans="2:14" ht="15.75" thickBot="1" x14ac:dyDescent="0.3">
      <c r="B12" s="7"/>
      <c r="C12" s="10"/>
      <c r="D12" s="10"/>
      <c r="E12" s="10"/>
      <c r="F12" s="10"/>
      <c r="G12" s="10"/>
      <c r="H12" s="10"/>
      <c r="I12" s="10"/>
      <c r="J12" s="10"/>
      <c r="K12" s="129">
        <f>SUM(K8:K11)</f>
        <v>3803506.3788924562</v>
      </c>
      <c r="L12" s="129">
        <f>SUM(L8:L11)</f>
        <v>19012674.197625007</v>
      </c>
      <c r="M12" s="129">
        <f>SUM(M8:M11)</f>
        <v>22816180.576517463</v>
      </c>
      <c r="N12" s="130">
        <f>SUM(N8:N11)</f>
        <v>0</v>
      </c>
    </row>
    <row r="14" spans="2:14" ht="30" customHeight="1" x14ac:dyDescent="0.25">
      <c r="B14" s="385" t="s">
        <v>211</v>
      </c>
      <c r="C14" s="385"/>
      <c r="D14" s="385"/>
      <c r="E14" s="385"/>
      <c r="F14" s="385"/>
      <c r="G14" s="385"/>
      <c r="H14" s="385"/>
      <c r="I14" s="385"/>
      <c r="J14" s="385"/>
      <c r="K14" s="385"/>
      <c r="L14" s="385"/>
      <c r="M14" s="385"/>
      <c r="N14" s="385"/>
    </row>
  </sheetData>
  <mergeCells count="11">
    <mergeCell ref="B14:N14"/>
    <mergeCell ref="B3:N3"/>
    <mergeCell ref="B4:N4"/>
    <mergeCell ref="B5:N5"/>
    <mergeCell ref="B6:B7"/>
    <mergeCell ref="C6:C7"/>
    <mergeCell ref="D6:D7"/>
    <mergeCell ref="E6:F6"/>
    <mergeCell ref="G6:H6"/>
    <mergeCell ref="I6:J6"/>
    <mergeCell ref="K6:N6"/>
  </mergeCells>
  <pageMargins left="0.7" right="0.7" top="0.75" bottom="0.75" header="0.3" footer="0.3"/>
  <pageSetup scale="63" fitToHeight="0" orientation="portrait" r:id="rId1"/>
  <ignoredErrors>
    <ignoredError sqref="J9"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B2:H11"/>
  <sheetViews>
    <sheetView showGridLines="0" workbookViewId="0">
      <selection activeCell="H6" sqref="H6"/>
    </sheetView>
  </sheetViews>
  <sheetFormatPr defaultRowHeight="14.4" x14ac:dyDescent="0.3"/>
  <cols>
    <col min="1" max="1" width="2.6640625" customWidth="1"/>
    <col min="2" max="2" width="18.5546875" customWidth="1"/>
    <col min="3" max="3" width="11.109375" customWidth="1"/>
    <col min="4" max="4" width="8.5546875" customWidth="1"/>
    <col min="6" max="6" width="18.5546875" customWidth="1"/>
    <col min="7" max="7" width="11.109375" customWidth="1"/>
    <col min="8" max="8" width="8.5546875" customWidth="1"/>
  </cols>
  <sheetData>
    <row r="2" spans="2:8" ht="30.75" customHeight="1" x14ac:dyDescent="0.25">
      <c r="B2" s="386" t="s">
        <v>188</v>
      </c>
      <c r="C2" s="386"/>
      <c r="D2" s="386"/>
      <c r="F2" s="386" t="s">
        <v>212</v>
      </c>
      <c r="G2" s="386"/>
      <c r="H2" s="386"/>
    </row>
    <row r="3" spans="2:8" ht="15.75" thickBot="1" x14ac:dyDescent="0.3"/>
    <row r="4" spans="2:8" ht="15" x14ac:dyDescent="0.25">
      <c r="B4" s="169" t="s">
        <v>147</v>
      </c>
      <c r="C4" s="170" t="s">
        <v>148</v>
      </c>
      <c r="D4" s="171" t="s">
        <v>149</v>
      </c>
      <c r="F4" s="169" t="s">
        <v>147</v>
      </c>
      <c r="G4" s="170" t="s">
        <v>148</v>
      </c>
      <c r="H4" s="171" t="s">
        <v>149</v>
      </c>
    </row>
    <row r="5" spans="2:8" ht="15" x14ac:dyDescent="0.25">
      <c r="B5" s="4" t="s">
        <v>150</v>
      </c>
      <c r="C5" s="235" t="s">
        <v>189</v>
      </c>
      <c r="D5" s="172">
        <v>2.1000000000000001E-2</v>
      </c>
      <c r="F5" s="4" t="s">
        <v>150</v>
      </c>
      <c r="G5" s="235" t="s">
        <v>235</v>
      </c>
      <c r="H5" s="172">
        <v>1.9E-2</v>
      </c>
    </row>
    <row r="6" spans="2:8" ht="15" x14ac:dyDescent="0.25">
      <c r="B6" s="4" t="s">
        <v>151</v>
      </c>
      <c r="C6" s="235" t="s">
        <v>189</v>
      </c>
      <c r="D6" s="172">
        <v>0</v>
      </c>
      <c r="F6" s="4" t="s">
        <v>151</v>
      </c>
      <c r="G6" s="272" t="s">
        <v>235</v>
      </c>
      <c r="H6" s="172">
        <v>0</v>
      </c>
    </row>
    <row r="7" spans="2:8" ht="15" x14ac:dyDescent="0.25">
      <c r="B7" s="4" t="s">
        <v>152</v>
      </c>
      <c r="C7" s="235" t="s">
        <v>153</v>
      </c>
      <c r="D7" s="173">
        <v>6.0000000000000001E-3</v>
      </c>
      <c r="F7" s="4" t="s">
        <v>152</v>
      </c>
      <c r="G7" s="272" t="s">
        <v>235</v>
      </c>
      <c r="H7" s="173">
        <v>6.0000000000000001E-3</v>
      </c>
    </row>
    <row r="8" spans="2:8" ht="15.75" thickBot="1" x14ac:dyDescent="0.3">
      <c r="B8" s="7" t="s">
        <v>154</v>
      </c>
      <c r="C8" s="237" t="s">
        <v>155</v>
      </c>
      <c r="D8" s="174">
        <f>D5-D6-D7</f>
        <v>1.5000000000000001E-2</v>
      </c>
      <c r="F8" s="7" t="s">
        <v>154</v>
      </c>
      <c r="G8" s="237" t="s">
        <v>155</v>
      </c>
      <c r="H8" s="174">
        <f>H5-H6-H7</f>
        <v>1.2999999999999999E-2</v>
      </c>
    </row>
    <row r="11" spans="2:8" ht="31.5" customHeight="1" x14ac:dyDescent="0.25"/>
  </sheetData>
  <mergeCells count="2">
    <mergeCell ref="B2:D2"/>
    <mergeCell ref="F2:H2"/>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B1:J26"/>
  <sheetViews>
    <sheetView showGridLines="0" workbookViewId="0">
      <selection activeCell="N26" sqref="N26"/>
    </sheetView>
  </sheetViews>
  <sheetFormatPr defaultRowHeight="14.4" x14ac:dyDescent="0.3"/>
  <cols>
    <col min="1" max="1" width="2.6640625" customWidth="1"/>
    <col min="2" max="2" width="24.6640625" customWidth="1"/>
    <col min="3" max="3" width="10.5546875" bestFit="1" customWidth="1"/>
    <col min="4" max="5" width="11.5546875" bestFit="1" customWidth="1"/>
    <col min="7" max="7" width="24.6640625" customWidth="1"/>
    <col min="8" max="8" width="10.5546875" bestFit="1" customWidth="1"/>
    <col min="9" max="10" width="11.5546875" bestFit="1" customWidth="1"/>
  </cols>
  <sheetData>
    <row r="1" spans="2:10" ht="15.75" thickBot="1" x14ac:dyDescent="0.3"/>
    <row r="2" spans="2:10" ht="33.75" customHeight="1" x14ac:dyDescent="0.25">
      <c r="B2" s="303" t="s">
        <v>187</v>
      </c>
      <c r="C2" s="304"/>
      <c r="D2" s="304"/>
      <c r="E2" s="305"/>
      <c r="G2" s="303" t="s">
        <v>236</v>
      </c>
      <c r="H2" s="304"/>
      <c r="I2" s="304"/>
      <c r="J2" s="305"/>
    </row>
    <row r="3" spans="2:10" ht="15.75" x14ac:dyDescent="0.25">
      <c r="B3" s="298" t="s">
        <v>120</v>
      </c>
      <c r="C3" s="299"/>
      <c r="D3" s="299"/>
      <c r="E3" s="388"/>
      <c r="G3" s="298" t="s">
        <v>120</v>
      </c>
      <c r="H3" s="299"/>
      <c r="I3" s="299"/>
      <c r="J3" s="388"/>
    </row>
    <row r="4" spans="2:10" ht="15" customHeight="1" x14ac:dyDescent="0.3">
      <c r="B4" s="348" t="s">
        <v>121</v>
      </c>
      <c r="C4" s="354" t="s">
        <v>126</v>
      </c>
      <c r="D4" s="346"/>
      <c r="E4" s="347"/>
      <c r="G4" s="348" t="s">
        <v>121</v>
      </c>
      <c r="H4" s="354" t="s">
        <v>126</v>
      </c>
      <c r="I4" s="346"/>
      <c r="J4" s="347"/>
    </row>
    <row r="5" spans="2:10" ht="26.4" x14ac:dyDescent="0.3">
      <c r="B5" s="349"/>
      <c r="C5" s="121" t="s">
        <v>131</v>
      </c>
      <c r="D5" s="121" t="s">
        <v>132</v>
      </c>
      <c r="E5" s="132" t="s">
        <v>133</v>
      </c>
      <c r="G5" s="349"/>
      <c r="H5" s="121" t="s">
        <v>131</v>
      </c>
      <c r="I5" s="121" t="s">
        <v>132</v>
      </c>
      <c r="J5" s="132" t="s">
        <v>133</v>
      </c>
    </row>
    <row r="6" spans="2:10" ht="15" x14ac:dyDescent="0.25">
      <c r="B6" s="38" t="s">
        <v>6</v>
      </c>
      <c r="C6" s="5">
        <f>'2017 Allocated Revenues'!K8*(1+'IRM Adjustment Factors'!D8)</f>
        <v>2224150.7068937393</v>
      </c>
      <c r="D6" s="5">
        <f>'2017 Allocated Revenues'!L8*(1+'IRM Adjustment Factors'!D8)</f>
        <v>14073907.878271485</v>
      </c>
      <c r="E6" s="128">
        <f>C6+D6</f>
        <v>16298058.585165225</v>
      </c>
      <c r="G6" s="38" t="s">
        <v>6</v>
      </c>
      <c r="H6" s="5">
        <f>C6*(1+'IRM Adjustment Factors'!$H$8)</f>
        <v>2253064.6660833578</v>
      </c>
      <c r="I6" s="5">
        <f>D6*(1+'IRM Adjustment Factors'!$H$8)</f>
        <v>14256868.680689013</v>
      </c>
      <c r="J6" s="128">
        <f>H6+I6</f>
        <v>16509933.346772371</v>
      </c>
    </row>
    <row r="7" spans="2:10" ht="15" x14ac:dyDescent="0.25">
      <c r="B7" s="38" t="s">
        <v>7</v>
      </c>
      <c r="C7" s="5">
        <f>'2017 Allocated Revenues'!K9*(1+'IRM Adjustment Factors'!D8)</f>
        <v>482160.75252038869</v>
      </c>
      <c r="D7" s="5">
        <f>'2017 Allocated Revenues'!L9*(1+'IRM Adjustment Factors'!D8)</f>
        <v>3532603.7424796112</v>
      </c>
      <c r="E7" s="128">
        <f t="shared" ref="E7:E9" si="0">C7+D7</f>
        <v>4014764.4950000001</v>
      </c>
      <c r="G7" s="38" t="s">
        <v>7</v>
      </c>
      <c r="H7" s="5">
        <f>C7*(1+'IRM Adjustment Factors'!$H$8)</f>
        <v>488428.84230315371</v>
      </c>
      <c r="I7" s="5">
        <f>D7*(1+'IRM Adjustment Factors'!$H$8)</f>
        <v>3578527.591131846</v>
      </c>
      <c r="J7" s="128">
        <f t="shared" ref="J7:J9" si="1">H7+I7</f>
        <v>4066956.4334349995</v>
      </c>
    </row>
    <row r="8" spans="2:10" ht="15" x14ac:dyDescent="0.25">
      <c r="B8" s="38" t="s">
        <v>8</v>
      </c>
      <c r="C8" s="5">
        <f>'2017 Allocated Revenues'!K10*(1+'IRM Adjustment Factors'!D8)</f>
        <v>1154247.5151617152</v>
      </c>
      <c r="D8" s="5">
        <f>'2017 Allocated Revenues'!L10*(1+'IRM Adjustment Factors'!D8)</f>
        <v>1483649.1798382844</v>
      </c>
      <c r="E8" s="128">
        <f t="shared" si="0"/>
        <v>2637896.6949999994</v>
      </c>
      <c r="G8" s="38" t="s">
        <v>8</v>
      </c>
      <c r="H8" s="5">
        <f>C8*(1+'IRM Adjustment Factors'!$H$8)</f>
        <v>1169252.7328588173</v>
      </c>
      <c r="I8" s="5">
        <f>D8*(1+'IRM Adjustment Factors'!$H$8)</f>
        <v>1502936.619176182</v>
      </c>
      <c r="J8" s="128">
        <f t="shared" si="1"/>
        <v>2672189.3520349991</v>
      </c>
    </row>
    <row r="9" spans="2:10" ht="15" x14ac:dyDescent="0.25">
      <c r="B9" s="38" t="s">
        <v>9</v>
      </c>
      <c r="C9" s="5">
        <f>'2017 Allocated Revenues'!K11*(1+'IRM Adjustment Factors'!D8)</f>
        <v>0</v>
      </c>
      <c r="D9" s="5">
        <f>'2017 Allocated Revenues'!L11*(1+'IRM Adjustment Factors'!D8)</f>
        <v>207703.50999999998</v>
      </c>
      <c r="E9" s="128">
        <f t="shared" si="0"/>
        <v>207703.50999999998</v>
      </c>
      <c r="G9" s="38" t="s">
        <v>9</v>
      </c>
      <c r="H9" s="5">
        <f>C9*(1+'IRM Adjustment Factors'!$H$8)</f>
        <v>0</v>
      </c>
      <c r="I9" s="5">
        <f>D9*(1+'IRM Adjustment Factors'!$H$8)</f>
        <v>210403.65562999996</v>
      </c>
      <c r="J9" s="128">
        <f t="shared" si="1"/>
        <v>210403.65562999996</v>
      </c>
    </row>
    <row r="10" spans="2:10" ht="15.75" thickBot="1" x14ac:dyDescent="0.3">
      <c r="B10" s="7"/>
      <c r="C10" s="129">
        <f>SUM(C6:C9)</f>
        <v>3860558.9745758437</v>
      </c>
      <c r="D10" s="129">
        <f>SUM(D6:D9)</f>
        <v>19297864.310589384</v>
      </c>
      <c r="E10" s="130">
        <f>SUM(E6:E9)</f>
        <v>23158423.285165228</v>
      </c>
      <c r="G10" s="7"/>
      <c r="H10" s="129">
        <f>SUM(H6:H9)</f>
        <v>3910746.2412453284</v>
      </c>
      <c r="I10" s="129">
        <f>SUM(I6:I9)</f>
        <v>19548736.546627041</v>
      </c>
      <c r="J10" s="130">
        <f>SUM(J6:J9)</f>
        <v>23459482.787872367</v>
      </c>
    </row>
    <row r="11" spans="2:10" ht="15" x14ac:dyDescent="0.25">
      <c r="B11" s="37"/>
      <c r="C11" s="176"/>
      <c r="D11" s="176"/>
      <c r="E11" s="176"/>
      <c r="G11" s="37"/>
      <c r="H11" s="176"/>
      <c r="I11" s="176"/>
      <c r="J11" s="176"/>
    </row>
    <row r="12" spans="2:10" ht="35.25" customHeight="1" x14ac:dyDescent="0.25">
      <c r="B12" s="389" t="s">
        <v>237</v>
      </c>
      <c r="C12" s="389"/>
      <c r="D12" s="389"/>
      <c r="E12" s="389"/>
      <c r="F12" s="389"/>
      <c r="G12" s="389"/>
      <c r="H12" s="389"/>
      <c r="I12" s="389"/>
      <c r="J12" s="389"/>
    </row>
    <row r="14" spans="2:10" ht="15" x14ac:dyDescent="0.25">
      <c r="C14" s="387" t="s">
        <v>156</v>
      </c>
      <c r="D14" s="387"/>
      <c r="E14" s="175" t="str">
        <f>IF('2017 Allocated Revenues'!M12*(1+'IRM Adjustment Factors'!D8)='Indexed Allocated Revenue'!E10,"YES","NO")</f>
        <v>YES</v>
      </c>
      <c r="H14" s="387" t="s">
        <v>156</v>
      </c>
      <c r="I14" s="387"/>
      <c r="J14" s="175" t="str">
        <f>IF(E10*(1+'IRM Adjustment Factors'!H8)='Indexed Allocated Revenue'!J10,"YES","NO")</f>
        <v>YES</v>
      </c>
    </row>
    <row r="26" ht="60.75" customHeight="1" x14ac:dyDescent="0.25"/>
  </sheetData>
  <mergeCells count="11">
    <mergeCell ref="H14:I14"/>
    <mergeCell ref="B2:E2"/>
    <mergeCell ref="B3:E3"/>
    <mergeCell ref="B4:B5"/>
    <mergeCell ref="C4:E4"/>
    <mergeCell ref="C14:D14"/>
    <mergeCell ref="G2:J2"/>
    <mergeCell ref="G3:J3"/>
    <mergeCell ref="G4:G5"/>
    <mergeCell ref="H4:J4"/>
    <mergeCell ref="B12:J12"/>
  </mergeCells>
  <pageMargins left="0.7" right="0.7" top="0.75" bottom="0.75" header="0.3" footer="0.3"/>
  <pageSetup scale="7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B2:O20"/>
  <sheetViews>
    <sheetView showGridLines="0" workbookViewId="0">
      <selection activeCell="I14" sqref="I14"/>
    </sheetView>
  </sheetViews>
  <sheetFormatPr defaultRowHeight="14.4" x14ac:dyDescent="0.3"/>
  <cols>
    <col min="1" max="1" width="2.6640625" customWidth="1"/>
    <col min="2" max="2" width="19.88671875" customWidth="1"/>
    <col min="3" max="3" width="6.44140625" customWidth="1"/>
    <col min="4" max="4" width="10.109375" customWidth="1"/>
    <col min="5" max="5" width="12.5546875" bestFit="1" customWidth="1"/>
    <col min="6" max="6" width="9" bestFit="1" customWidth="1"/>
    <col min="7" max="7" width="10.109375" bestFit="1" customWidth="1"/>
    <col min="8" max="8" width="12.33203125" bestFit="1" customWidth="1"/>
    <col min="9" max="9" width="9.33203125" bestFit="1" customWidth="1"/>
    <col min="10" max="10" width="11.33203125" bestFit="1" customWidth="1"/>
    <col min="11" max="11" width="10.5546875" bestFit="1" customWidth="1"/>
    <col min="12" max="12" width="12.33203125" bestFit="1" customWidth="1"/>
    <col min="13" max="13" width="14.33203125" bestFit="1" customWidth="1"/>
    <col min="15" max="15" width="11.5546875" bestFit="1" customWidth="1"/>
  </cols>
  <sheetData>
    <row r="2" spans="2:15" ht="15.75" x14ac:dyDescent="0.25">
      <c r="B2" s="279" t="s">
        <v>157</v>
      </c>
      <c r="C2" s="279"/>
      <c r="D2" s="279"/>
      <c r="E2" s="279"/>
      <c r="F2" s="279"/>
      <c r="G2" s="279"/>
      <c r="H2" s="279"/>
      <c r="I2" s="279"/>
      <c r="J2" s="279"/>
      <c r="K2" s="279"/>
      <c r="L2" s="279"/>
      <c r="M2" s="279"/>
    </row>
    <row r="3" spans="2:15" ht="16.5" thickBot="1" x14ac:dyDescent="0.3">
      <c r="B3" s="234"/>
      <c r="C3" s="234"/>
      <c r="D3" s="234"/>
      <c r="E3" s="234"/>
      <c r="F3" s="234"/>
      <c r="G3" s="234"/>
      <c r="H3" s="234"/>
      <c r="I3" s="234"/>
      <c r="J3" s="234"/>
      <c r="K3" s="234"/>
      <c r="L3" s="234"/>
      <c r="M3" s="178"/>
    </row>
    <row r="4" spans="2:15" ht="16.5" thickBot="1" x14ac:dyDescent="0.3">
      <c r="B4" s="177" t="s">
        <v>213</v>
      </c>
      <c r="C4" s="177"/>
      <c r="D4" s="177"/>
      <c r="E4" s="177"/>
      <c r="F4" s="177"/>
      <c r="G4" s="177"/>
      <c r="H4" s="177"/>
      <c r="I4" s="177"/>
      <c r="J4" s="177"/>
      <c r="K4" s="177"/>
      <c r="L4" s="177"/>
      <c r="M4" s="179">
        <f>SUM('Indexed Allocated Revenue'!J6:J7)</f>
        <v>20576889.780207369</v>
      </c>
    </row>
    <row r="5" spans="2:15" ht="15.75" thickBot="1" x14ac:dyDescent="0.3"/>
    <row r="6" spans="2:15" ht="15" x14ac:dyDescent="0.25">
      <c r="B6" s="356" t="s">
        <v>214</v>
      </c>
      <c r="C6" s="357"/>
      <c r="D6" s="357"/>
      <c r="E6" s="357"/>
      <c r="F6" s="357"/>
      <c r="G6" s="357"/>
      <c r="H6" s="357"/>
      <c r="I6" s="357"/>
      <c r="J6" s="357"/>
      <c r="K6" s="357"/>
      <c r="L6" s="357"/>
      <c r="M6" s="358"/>
    </row>
    <row r="7" spans="2:15" ht="15" x14ac:dyDescent="0.25">
      <c r="B7" s="370" t="s">
        <v>137</v>
      </c>
      <c r="C7" s="363"/>
      <c r="D7" s="363"/>
      <c r="E7" s="363"/>
      <c r="F7" s="363"/>
      <c r="G7" s="363"/>
      <c r="H7" s="363"/>
      <c r="I7" s="363"/>
      <c r="J7" s="363"/>
      <c r="K7" s="363"/>
      <c r="L7" s="363"/>
      <c r="M7" s="364"/>
    </row>
    <row r="8" spans="2:15" ht="15" x14ac:dyDescent="0.25">
      <c r="B8" s="345" t="s">
        <v>215</v>
      </c>
      <c r="C8" s="346"/>
      <c r="D8" s="346"/>
      <c r="E8" s="346"/>
      <c r="F8" s="346"/>
      <c r="G8" s="346"/>
      <c r="H8" s="346"/>
      <c r="I8" s="346"/>
      <c r="J8" s="346"/>
      <c r="K8" s="346"/>
      <c r="L8" s="355"/>
      <c r="M8" s="180">
        <v>2.9600000000000001E-2</v>
      </c>
    </row>
    <row r="9" spans="2:15" x14ac:dyDescent="0.3">
      <c r="B9" s="359" t="s">
        <v>121</v>
      </c>
      <c r="C9" s="360" t="s">
        <v>41</v>
      </c>
      <c r="D9" s="361" t="s">
        <v>122</v>
      </c>
      <c r="E9" s="363" t="s">
        <v>123</v>
      </c>
      <c r="F9" s="363"/>
      <c r="G9" s="363" t="s">
        <v>124</v>
      </c>
      <c r="H9" s="363"/>
      <c r="I9" s="363" t="s">
        <v>125</v>
      </c>
      <c r="J9" s="363"/>
      <c r="K9" s="363" t="s">
        <v>126</v>
      </c>
      <c r="L9" s="363"/>
      <c r="M9" s="364"/>
    </row>
    <row r="10" spans="2:15" ht="39.6" x14ac:dyDescent="0.3">
      <c r="B10" s="359"/>
      <c r="C10" s="360"/>
      <c r="D10" s="362"/>
      <c r="E10" s="238" t="s">
        <v>127</v>
      </c>
      <c r="F10" s="238" t="s">
        <v>35</v>
      </c>
      <c r="G10" s="121" t="s">
        <v>128</v>
      </c>
      <c r="H10" s="121" t="s">
        <v>129</v>
      </c>
      <c r="I10" s="121" t="s">
        <v>42</v>
      </c>
      <c r="J10" s="121" t="s">
        <v>130</v>
      </c>
      <c r="K10" s="121" t="s">
        <v>131</v>
      </c>
      <c r="L10" s="121" t="s">
        <v>132</v>
      </c>
      <c r="M10" s="132" t="s">
        <v>133</v>
      </c>
    </row>
    <row r="11" spans="2:15" ht="15" x14ac:dyDescent="0.25">
      <c r="B11" s="38" t="s">
        <v>224</v>
      </c>
      <c r="C11" s="235" t="s">
        <v>127</v>
      </c>
      <c r="D11" s="123">
        <v>7531</v>
      </c>
      <c r="E11" s="5">
        <v>80045884</v>
      </c>
      <c r="F11" s="5"/>
      <c r="G11" s="124">
        <f>K11/M11</f>
        <v>0.52112621781381951</v>
      </c>
      <c r="H11" s="124">
        <f>L11/M11</f>
        <v>0.4788737821861806</v>
      </c>
      <c r="I11" s="125">
        <f>'Rate Summary'!F9*(1+M8)</f>
        <v>28.581696000000004</v>
      </c>
      <c r="J11" s="126">
        <f>'Rate Summary'!F10*(1+M8)</f>
        <v>2.9652480000000002E-2</v>
      </c>
      <c r="K11" s="5">
        <f>D11*I11*12</f>
        <v>2582985.0309120002</v>
      </c>
      <c r="L11" s="5">
        <f>J11*E11</f>
        <v>2373558.97439232</v>
      </c>
      <c r="M11" s="128">
        <f>K11+L11</f>
        <v>4956544.0053043198</v>
      </c>
    </row>
    <row r="12" spans="2:15" ht="15" x14ac:dyDescent="0.25">
      <c r="B12" s="38" t="s">
        <v>223</v>
      </c>
      <c r="C12" s="235" t="s">
        <v>127</v>
      </c>
      <c r="D12" s="123">
        <v>965</v>
      </c>
      <c r="E12" s="5">
        <v>25745817</v>
      </c>
      <c r="F12" s="5"/>
      <c r="G12" s="124">
        <f>K12/M12</f>
        <v>0.24240389085330832</v>
      </c>
      <c r="H12" s="124">
        <f>L12/M12</f>
        <v>0.75759610914669173</v>
      </c>
      <c r="I12" s="125">
        <f>'Rate Summary'!F13*(1+M8)</f>
        <v>24.463296000000003</v>
      </c>
      <c r="J12" s="126">
        <f>'Rate Summary'!F14*(1+M8)</f>
        <v>3.4388639999999998E-2</v>
      </c>
      <c r="K12" s="5">
        <f>D12*I12*12</f>
        <v>283284.96768000006</v>
      </c>
      <c r="L12" s="5">
        <f>J12*E12</f>
        <v>885363.63231887994</v>
      </c>
      <c r="M12" s="128">
        <f>K12+L12</f>
        <v>1168648.5999988799</v>
      </c>
    </row>
    <row r="13" spans="2:15" ht="15" x14ac:dyDescent="0.25">
      <c r="B13" s="135" t="s">
        <v>7</v>
      </c>
      <c r="C13" s="136" t="s">
        <v>35</v>
      </c>
      <c r="D13" s="137">
        <f>'2017 Allocated Revenues'!D9</f>
        <v>50</v>
      </c>
      <c r="E13" s="138"/>
      <c r="F13" s="138">
        <f>'2017 Allocated Revenues'!F9</f>
        <v>198901</v>
      </c>
      <c r="G13" s="139">
        <f>K13/M13</f>
        <v>0.36796973236903224</v>
      </c>
      <c r="H13" s="139">
        <f>L13/M13</f>
        <v>0.6320302676309677</v>
      </c>
      <c r="I13" s="140">
        <f>'Rate Summary'!F17*(1+M8)</f>
        <v>629.74454400000002</v>
      </c>
      <c r="J13" s="141">
        <f>'Rate Summary'!F18*(1+M8)</f>
        <v>3.26290536</v>
      </c>
      <c r="K13" s="138">
        <f>D13*I13*12</f>
        <v>377846.72640000004</v>
      </c>
      <c r="L13" s="138">
        <f>J13*F13</f>
        <v>648995.13900935999</v>
      </c>
      <c r="M13" s="142">
        <f>K13+L13</f>
        <v>1026841.86540936</v>
      </c>
    </row>
    <row r="14" spans="2:15" ht="15" x14ac:dyDescent="0.25">
      <c r="B14" s="38" t="s">
        <v>139</v>
      </c>
      <c r="C14" s="235"/>
      <c r="D14" s="123"/>
      <c r="E14" s="5"/>
      <c r="F14" s="5"/>
      <c r="G14" s="124"/>
      <c r="H14" s="124"/>
      <c r="I14" s="125"/>
      <c r="J14" s="126"/>
      <c r="K14" s="5"/>
      <c r="L14" s="5">
        <f>Forecast!I34</f>
        <v>74096.399999999994</v>
      </c>
      <c r="M14" s="128">
        <f>K14+L14</f>
        <v>74096.399999999994</v>
      </c>
    </row>
    <row r="15" spans="2:15" ht="15" x14ac:dyDescent="0.25">
      <c r="B15" s="4"/>
      <c r="C15" s="21"/>
      <c r="D15" s="21"/>
      <c r="E15" s="21"/>
      <c r="F15" s="21"/>
      <c r="G15" s="21"/>
      <c r="H15" s="21"/>
      <c r="I15" s="21"/>
      <c r="J15" s="21"/>
      <c r="K15" s="21"/>
      <c r="L15" s="21"/>
      <c r="M15" s="143"/>
    </row>
    <row r="16" spans="2:15" ht="15.75" thickBot="1" x14ac:dyDescent="0.3">
      <c r="B16" s="365" t="s">
        <v>145</v>
      </c>
      <c r="C16" s="366"/>
      <c r="D16" s="366"/>
      <c r="E16" s="366"/>
      <c r="F16" s="366"/>
      <c r="G16" s="366"/>
      <c r="H16" s="366"/>
      <c r="I16" s="366"/>
      <c r="J16" s="366"/>
      <c r="K16" s="366"/>
      <c r="L16" s="366"/>
      <c r="M16" s="144">
        <f>M4-M11-M12-M13+M14</f>
        <v>13498951.709494811</v>
      </c>
      <c r="O16" s="266"/>
    </row>
    <row r="17" spans="2:13" ht="15" x14ac:dyDescent="0.25">
      <c r="L17" s="131" t="s">
        <v>135</v>
      </c>
      <c r="M17" s="13" t="str">
        <f>IF((M4+M14-M11-M12-M13-M16&lt;1),"YES","NO")</f>
        <v>YES</v>
      </c>
    </row>
    <row r="18" spans="2:13" ht="15" x14ac:dyDescent="0.25">
      <c r="B18" s="268" t="s">
        <v>227</v>
      </c>
    </row>
    <row r="19" spans="2:13" ht="15" x14ac:dyDescent="0.25">
      <c r="B19" s="267" t="s">
        <v>228</v>
      </c>
    </row>
    <row r="20" spans="2:13" ht="15" x14ac:dyDescent="0.25">
      <c r="B20" t="s">
        <v>229</v>
      </c>
    </row>
  </sheetData>
  <mergeCells count="12">
    <mergeCell ref="K9:M9"/>
    <mergeCell ref="B16:L16"/>
    <mergeCell ref="B2:M2"/>
    <mergeCell ref="B6:M6"/>
    <mergeCell ref="B7:M7"/>
    <mergeCell ref="B8:L8"/>
    <mergeCell ref="B9:B10"/>
    <mergeCell ref="C9:C10"/>
    <mergeCell ref="D9:D10"/>
    <mergeCell ref="E9:F9"/>
    <mergeCell ref="G9:H9"/>
    <mergeCell ref="I9:J9"/>
  </mergeCells>
  <pageMargins left="0.7" right="0.7" top="0.75" bottom="0.75" header="0.3" footer="0.3"/>
  <pageSetup scale="64"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B2:M11"/>
  <sheetViews>
    <sheetView showGridLines="0" workbookViewId="0">
      <selection activeCell="F7" sqref="F7"/>
    </sheetView>
  </sheetViews>
  <sheetFormatPr defaultRowHeight="14.4" x14ac:dyDescent="0.3"/>
  <cols>
    <col min="1" max="1" width="2.6640625" customWidth="1"/>
    <col min="2" max="2" width="29.109375" bestFit="1" customWidth="1"/>
    <col min="3" max="3" width="6.44140625" customWidth="1"/>
    <col min="4" max="4" width="10.109375" customWidth="1"/>
    <col min="5" max="6" width="12.33203125" bestFit="1" customWidth="1"/>
    <col min="7" max="7" width="10.109375" bestFit="1" customWidth="1"/>
    <col min="8" max="8" width="9.44140625" bestFit="1" customWidth="1"/>
    <col min="9" max="9" width="11.5546875" customWidth="1"/>
    <col min="10" max="13" width="10.5546875" bestFit="1" customWidth="1"/>
  </cols>
  <sheetData>
    <row r="2" spans="2:13" ht="15.75" x14ac:dyDescent="0.25">
      <c r="B2" s="279" t="s">
        <v>140</v>
      </c>
      <c r="C2" s="279"/>
      <c r="D2" s="279"/>
      <c r="E2" s="279"/>
      <c r="F2" s="279"/>
      <c r="G2" s="279"/>
      <c r="H2" s="279"/>
      <c r="I2" s="279"/>
      <c r="J2" s="279"/>
      <c r="K2" s="279"/>
      <c r="L2" s="279"/>
      <c r="M2" s="177"/>
    </row>
    <row r="3" spans="2:13" ht="15.75" thickBot="1" x14ac:dyDescent="0.3"/>
    <row r="4" spans="2:13" ht="15" x14ac:dyDescent="0.25">
      <c r="B4" s="390" t="s">
        <v>230</v>
      </c>
      <c r="C4" s="391"/>
      <c r="D4" s="391"/>
      <c r="E4" s="391"/>
      <c r="F4" s="391"/>
      <c r="G4" s="391"/>
      <c r="H4" s="391"/>
      <c r="I4" s="391"/>
      <c r="J4" s="391"/>
      <c r="K4" s="391"/>
      <c r="L4" s="392"/>
      <c r="M4" s="271"/>
    </row>
    <row r="5" spans="2:13" x14ac:dyDescent="0.3">
      <c r="B5" s="359" t="s">
        <v>121</v>
      </c>
      <c r="C5" s="360" t="s">
        <v>41</v>
      </c>
      <c r="D5" s="371" t="s">
        <v>122</v>
      </c>
      <c r="E5" s="393" t="s">
        <v>127</v>
      </c>
      <c r="F5" s="354" t="s">
        <v>124</v>
      </c>
      <c r="G5" s="355"/>
      <c r="H5" s="354" t="s">
        <v>125</v>
      </c>
      <c r="I5" s="355"/>
      <c r="J5" s="354" t="s">
        <v>126</v>
      </c>
      <c r="K5" s="346"/>
      <c r="L5" s="347"/>
      <c r="M5" s="271"/>
    </row>
    <row r="6" spans="2:13" ht="39.6" x14ac:dyDescent="0.3">
      <c r="B6" s="359"/>
      <c r="C6" s="360"/>
      <c r="D6" s="371"/>
      <c r="E6" s="394"/>
      <c r="F6" s="121" t="s">
        <v>128</v>
      </c>
      <c r="G6" s="121" t="s">
        <v>129</v>
      </c>
      <c r="H6" s="121" t="s">
        <v>42</v>
      </c>
      <c r="I6" s="121" t="s">
        <v>130</v>
      </c>
      <c r="J6" s="121" t="s">
        <v>131</v>
      </c>
      <c r="K6" s="121" t="s">
        <v>132</v>
      </c>
      <c r="L6" s="132" t="s">
        <v>133</v>
      </c>
    </row>
    <row r="7" spans="2:13" ht="15" x14ac:dyDescent="0.25">
      <c r="B7" s="135" t="s">
        <v>8</v>
      </c>
      <c r="C7" s="136" t="s">
        <v>127</v>
      </c>
      <c r="D7" s="146">
        <f>'2017 Allocated Revenues'!D10</f>
        <v>3138</v>
      </c>
      <c r="E7" s="138">
        <f>'2017 Allocated Revenues'!E10</f>
        <v>7731414</v>
      </c>
      <c r="F7" s="139">
        <v>0.53800000000000003</v>
      </c>
      <c r="G7" s="124">
        <f>1-F7</f>
        <v>0.46199999999999997</v>
      </c>
      <c r="H7" s="147">
        <f>ROUND(J7/(D7*12),2)</f>
        <v>38.18</v>
      </c>
      <c r="I7" s="148">
        <f>ROUND(K7/E7,4)</f>
        <v>0.15970000000000001</v>
      </c>
      <c r="J7" s="149">
        <f>F7*L7</f>
        <v>1437637.8713948296</v>
      </c>
      <c r="K7" s="149">
        <f>G7*L7</f>
        <v>1234551.4806401695</v>
      </c>
      <c r="L7" s="150">
        <f>'Indexed Allocated Revenue'!J8</f>
        <v>2672189.3520349991</v>
      </c>
    </row>
    <row r="8" spans="2:13" ht="15" x14ac:dyDescent="0.25">
      <c r="B8" s="135" t="s">
        <v>9</v>
      </c>
      <c r="C8" s="136" t="s">
        <v>127</v>
      </c>
      <c r="D8" s="146">
        <f>'2017 Allocated Revenues'!D11</f>
        <v>1018</v>
      </c>
      <c r="E8" s="138">
        <f>'2017 Allocated Revenues'!E11</f>
        <v>804705</v>
      </c>
      <c r="F8" s="139">
        <f>'2015 Non-RRRP Rate Design'!G8</f>
        <v>8.5999999999999993E-2</v>
      </c>
      <c r="G8" s="124">
        <f>1-F8</f>
        <v>0.91400000000000003</v>
      </c>
      <c r="H8" s="147">
        <f>ROUND(J8/(D8*12),2)</f>
        <v>1.48</v>
      </c>
      <c r="I8" s="148">
        <f>ROUND(K8/E8,4)</f>
        <v>0.23899999999999999</v>
      </c>
      <c r="J8" s="149">
        <f>F8*L8</f>
        <v>18094.714384179995</v>
      </c>
      <c r="K8" s="149">
        <f>G8*L8</f>
        <v>192308.94124581997</v>
      </c>
      <c r="L8" s="150">
        <f>'Indexed Allocated Revenue'!J9</f>
        <v>210403.65562999996</v>
      </c>
    </row>
    <row r="9" spans="2:13" ht="15.75" thickBot="1" x14ac:dyDescent="0.3">
      <c r="B9" s="7"/>
      <c r="C9" s="10"/>
      <c r="D9" s="10"/>
      <c r="E9" s="10"/>
      <c r="F9" s="10"/>
      <c r="G9" s="10"/>
      <c r="H9" s="10"/>
      <c r="I9" s="10"/>
      <c r="J9" s="129">
        <f>J7+J8</f>
        <v>1455732.5857790096</v>
      </c>
      <c r="K9" s="129">
        <f>K7+K8</f>
        <v>1426860.4218859894</v>
      </c>
      <c r="L9" s="130">
        <f>L7+L8</f>
        <v>2882593.007664999</v>
      </c>
    </row>
    <row r="11" spans="2:13" ht="15" x14ac:dyDescent="0.25">
      <c r="K11" s="131" t="s">
        <v>135</v>
      </c>
      <c r="L11" s="13" t="str">
        <f>IF(('Indexed Allocated Revenue'!J8+'Indexed Allocated Revenue'!J9)='2017 Non-RRRP Rate Design'!L9,"YES","NO")</f>
        <v>YES</v>
      </c>
    </row>
  </sheetData>
  <mergeCells count="9">
    <mergeCell ref="H5:I5"/>
    <mergeCell ref="B4:L4"/>
    <mergeCell ref="J5:L5"/>
    <mergeCell ref="B2:L2"/>
    <mergeCell ref="B5:B6"/>
    <mergeCell ref="C5:C6"/>
    <mergeCell ref="D5:D6"/>
    <mergeCell ref="F5:G5"/>
    <mergeCell ref="E5:E6"/>
  </mergeCells>
  <pageMargins left="0.7" right="0.7" top="0.75" bottom="0.75" header="0.3" footer="0.3"/>
  <pageSetup scale="61"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B2:M27"/>
  <sheetViews>
    <sheetView showGridLines="0" tabSelected="1" topLeftCell="A4" workbookViewId="0">
      <selection activeCell="L18" sqref="L18"/>
    </sheetView>
  </sheetViews>
  <sheetFormatPr defaultRowHeight="14.4" x14ac:dyDescent="0.3"/>
  <cols>
    <col min="1" max="1" width="2.33203125" customWidth="1"/>
    <col min="2" max="2" width="19.109375" bestFit="1" customWidth="1"/>
    <col min="3" max="3" width="12.6640625" customWidth="1"/>
    <col min="4" max="4" width="12.33203125" bestFit="1" customWidth="1"/>
    <col min="5" max="5" width="13" customWidth="1"/>
    <col min="7" max="7" width="9.6640625" customWidth="1"/>
    <col min="8" max="8" width="9.6640625" bestFit="1" customWidth="1"/>
    <col min="9" max="10" width="10.5546875" bestFit="1" customWidth="1"/>
    <col min="11" max="11" width="11.5546875" bestFit="1" customWidth="1"/>
  </cols>
  <sheetData>
    <row r="2" spans="2:13" ht="18.75" x14ac:dyDescent="0.3">
      <c r="B2" s="408" t="s">
        <v>225</v>
      </c>
      <c r="C2" s="408"/>
      <c r="D2" s="408"/>
      <c r="E2" s="408"/>
      <c r="F2" s="408"/>
      <c r="G2" s="408"/>
      <c r="H2" s="408"/>
      <c r="I2" s="408"/>
      <c r="J2" s="408"/>
      <c r="K2" s="408"/>
      <c r="L2" s="408"/>
      <c r="M2" s="408"/>
    </row>
    <row r="3" spans="2:13" ht="18.75" x14ac:dyDescent="0.3">
      <c r="B3" s="408" t="s">
        <v>192</v>
      </c>
      <c r="C3" s="408"/>
      <c r="D3" s="408"/>
      <c r="E3" s="408"/>
      <c r="F3" s="408"/>
      <c r="G3" s="408"/>
      <c r="H3" s="408"/>
      <c r="I3" s="408"/>
      <c r="J3" s="408"/>
      <c r="K3" s="408"/>
      <c r="L3" s="408"/>
      <c r="M3" s="408"/>
    </row>
    <row r="5" spans="2:13" ht="15.75" thickBot="1" x14ac:dyDescent="0.3"/>
    <row r="6" spans="2:13" ht="15.75" customHeight="1" thickBot="1" x14ac:dyDescent="0.35">
      <c r="B6" s="409" t="s">
        <v>161</v>
      </c>
      <c r="C6" s="411" t="s">
        <v>162</v>
      </c>
      <c r="D6" s="405"/>
      <c r="E6" s="406" t="s">
        <v>163</v>
      </c>
      <c r="F6" s="395" t="s">
        <v>164</v>
      </c>
      <c r="G6" s="396"/>
      <c r="H6" s="397"/>
      <c r="I6" s="398" t="s">
        <v>165</v>
      </c>
      <c r="J6" s="399"/>
      <c r="K6" s="400"/>
      <c r="L6" s="399" t="s">
        <v>166</v>
      </c>
      <c r="M6" s="400"/>
    </row>
    <row r="7" spans="2:13" ht="40.200000000000003" thickBot="1" x14ac:dyDescent="0.35">
      <c r="B7" s="410"/>
      <c r="C7" s="210"/>
      <c r="D7" s="187" t="s">
        <v>185</v>
      </c>
      <c r="E7" s="407"/>
      <c r="F7" s="187" t="s">
        <v>42</v>
      </c>
      <c r="G7" s="395" t="s">
        <v>167</v>
      </c>
      <c r="H7" s="397"/>
      <c r="I7" s="189" t="s">
        <v>131</v>
      </c>
      <c r="J7" s="189" t="s">
        <v>132</v>
      </c>
      <c r="K7" s="189" t="s">
        <v>49</v>
      </c>
      <c r="L7" s="189" t="s">
        <v>131</v>
      </c>
      <c r="M7" s="190" t="s">
        <v>132</v>
      </c>
    </row>
    <row r="8" spans="2:13" ht="15" x14ac:dyDescent="0.25">
      <c r="B8" s="191"/>
      <c r="C8" s="193"/>
      <c r="D8" s="51"/>
      <c r="E8" s="273" t="s">
        <v>127</v>
      </c>
      <c r="F8" s="191"/>
      <c r="G8" s="192" t="s">
        <v>127</v>
      </c>
      <c r="H8" s="192" t="s">
        <v>35</v>
      </c>
      <c r="I8" s="192" t="s">
        <v>36</v>
      </c>
      <c r="J8" s="192" t="s">
        <v>36</v>
      </c>
      <c r="K8" s="192" t="s">
        <v>36</v>
      </c>
      <c r="L8" s="193"/>
      <c r="M8" s="194"/>
    </row>
    <row r="9" spans="2:13" ht="15" x14ac:dyDescent="0.25">
      <c r="B9" s="206" t="s">
        <v>238</v>
      </c>
      <c r="C9" s="212" t="s">
        <v>168</v>
      </c>
      <c r="D9" s="215">
        <f>'2017 RRRP Rate Design'!D11</f>
        <v>7531</v>
      </c>
      <c r="E9" s="216">
        <f>'2017 RRRP Rate Design'!E11</f>
        <v>80045884</v>
      </c>
      <c r="F9" s="213">
        <f>'2017 RRRP Rate Design'!I11</f>
        <v>28.581696000000004</v>
      </c>
      <c r="G9" s="214">
        <f>'2017 RRRP Rate Design'!J11</f>
        <v>2.9652480000000002E-2</v>
      </c>
      <c r="H9" s="207"/>
      <c r="I9" s="216">
        <f>D9*F9*12</f>
        <v>2582985.0309120002</v>
      </c>
      <c r="J9" s="216">
        <f>E9*G9</f>
        <v>2373558.97439232</v>
      </c>
      <c r="K9" s="216">
        <f>I9+J9</f>
        <v>4956544.0053043198</v>
      </c>
      <c r="L9" s="218">
        <f>I9/K9</f>
        <v>0.52112621781381951</v>
      </c>
      <c r="M9" s="219">
        <f>J9/K9</f>
        <v>0.4788737821861806</v>
      </c>
    </row>
    <row r="10" spans="2:13" ht="15" x14ac:dyDescent="0.25">
      <c r="B10" s="206" t="s">
        <v>239</v>
      </c>
      <c r="C10" s="209" t="s">
        <v>168</v>
      </c>
      <c r="D10" s="215">
        <f>'2017 RRRP Rate Design'!D12</f>
        <v>965</v>
      </c>
      <c r="E10" s="216">
        <f>'2017 RRRP Rate Design'!E12</f>
        <v>25745817</v>
      </c>
      <c r="F10" s="213">
        <f>'2017 RRRP Rate Design'!I12</f>
        <v>24.463296000000003</v>
      </c>
      <c r="G10" s="214">
        <f>'2017 RRRP Rate Design'!J12</f>
        <v>3.4388639999999998E-2</v>
      </c>
      <c r="H10" s="207"/>
      <c r="I10" s="216">
        <f>D10*F10*12</f>
        <v>283284.96768000006</v>
      </c>
      <c r="J10" s="216">
        <f>E10*G10</f>
        <v>885363.63231887994</v>
      </c>
      <c r="K10" s="216">
        <f>I10+J10</f>
        <v>1168648.5999988799</v>
      </c>
      <c r="L10" s="218">
        <f>I10/K10</f>
        <v>0.24240389085330832</v>
      </c>
      <c r="M10" s="219">
        <f>J10/K10</f>
        <v>0.75759610914669173</v>
      </c>
    </row>
    <row r="11" spans="2:13" ht="15.75" thickBot="1" x14ac:dyDescent="0.3">
      <c r="B11" s="195" t="s">
        <v>240</v>
      </c>
      <c r="C11" s="208" t="s">
        <v>168</v>
      </c>
      <c r="D11" s="211">
        <f>D9+D10</f>
        <v>8496</v>
      </c>
      <c r="E11" s="196">
        <f>E9+E10</f>
        <v>105791701</v>
      </c>
      <c r="F11" s="197"/>
      <c r="G11" s="198"/>
      <c r="H11" s="198"/>
      <c r="I11" s="211">
        <f t="shared" ref="I11:K11" si="0">I9+I10</f>
        <v>2866269.9985920005</v>
      </c>
      <c r="J11" s="211">
        <f t="shared" si="0"/>
        <v>3258922.6067112</v>
      </c>
      <c r="K11" s="211">
        <f t="shared" si="0"/>
        <v>6125192.6053032</v>
      </c>
      <c r="L11" s="201">
        <f>I11/K11</f>
        <v>0.46794773377581306</v>
      </c>
      <c r="M11" s="202">
        <f>J11/K11</f>
        <v>0.532052266224187</v>
      </c>
    </row>
    <row r="13" spans="2:13" ht="15" x14ac:dyDescent="0.25">
      <c r="B13" s="402" t="s">
        <v>241</v>
      </c>
      <c r="C13" s="402"/>
      <c r="D13" s="402"/>
      <c r="E13" s="402"/>
    </row>
    <row r="14" spans="2:13" ht="15" x14ac:dyDescent="0.25">
      <c r="F14" s="232">
        <v>2017</v>
      </c>
      <c r="G14" s="233">
        <v>2018</v>
      </c>
      <c r="H14" s="232">
        <v>2019</v>
      </c>
      <c r="I14" s="233">
        <v>2020</v>
      </c>
      <c r="J14" s="232">
        <v>2021</v>
      </c>
      <c r="K14" s="233">
        <v>2022</v>
      </c>
      <c r="L14" s="232">
        <v>2023</v>
      </c>
    </row>
    <row r="15" spans="2:13" ht="15" x14ac:dyDescent="0.25">
      <c r="B15" s="403" t="s">
        <v>158</v>
      </c>
      <c r="C15" s="403"/>
      <c r="D15" s="403"/>
      <c r="E15" s="403"/>
      <c r="F15" s="181">
        <f>F9</f>
        <v>28.581696000000004</v>
      </c>
      <c r="G15" s="181">
        <f>F18</f>
        <v>32.581696000000008</v>
      </c>
      <c r="H15" s="181">
        <f t="shared" ref="H15:L15" si="1">G18</f>
        <v>36.581696000000008</v>
      </c>
      <c r="I15" s="181">
        <f t="shared" si="1"/>
        <v>40.581696000000008</v>
      </c>
      <c r="J15" s="181">
        <f t="shared" si="1"/>
        <v>44.581696000000008</v>
      </c>
      <c r="K15" s="181">
        <f t="shared" si="1"/>
        <v>48.581696000000008</v>
      </c>
      <c r="L15" s="181">
        <f t="shared" si="1"/>
        <v>52.581696000000008</v>
      </c>
    </row>
    <row r="16" spans="2:13" ht="15" x14ac:dyDescent="0.25">
      <c r="B16" s="403" t="s">
        <v>159</v>
      </c>
      <c r="C16" s="403"/>
      <c r="D16" s="403"/>
      <c r="E16" s="403"/>
      <c r="F16" s="182">
        <f>K9/D9/12</f>
        <v>54.846014310896294</v>
      </c>
      <c r="G16" s="181"/>
    </row>
    <row r="17" spans="2:13" ht="15" x14ac:dyDescent="0.25">
      <c r="B17" s="239" t="s">
        <v>221</v>
      </c>
      <c r="C17" s="239"/>
      <c r="D17" s="239"/>
      <c r="E17" s="239"/>
      <c r="F17" s="182">
        <f t="shared" ref="F17:L17" si="2">IF(($F16-F15)&gt;4,4,$F16-F15)</f>
        <v>4</v>
      </c>
      <c r="G17" s="182">
        <f t="shared" si="2"/>
        <v>4</v>
      </c>
      <c r="H17" s="182">
        <f t="shared" si="2"/>
        <v>4</v>
      </c>
      <c r="I17" s="182">
        <f t="shared" si="2"/>
        <v>4</v>
      </c>
      <c r="J17" s="182">
        <f t="shared" si="2"/>
        <v>4</v>
      </c>
      <c r="K17" s="182">
        <f t="shared" si="2"/>
        <v>4</v>
      </c>
      <c r="L17" s="182">
        <f t="shared" si="2"/>
        <v>2.2643183108962859</v>
      </c>
    </row>
    <row r="18" spans="2:13" ht="15" x14ac:dyDescent="0.25">
      <c r="B18" s="403" t="s">
        <v>220</v>
      </c>
      <c r="C18" s="403"/>
      <c r="D18" s="403"/>
      <c r="E18" s="403"/>
      <c r="F18" s="182">
        <f>F15+F17</f>
        <v>32.581696000000008</v>
      </c>
      <c r="G18" s="182">
        <f t="shared" ref="G18:L18" si="3">G15+G17</f>
        <v>36.581696000000008</v>
      </c>
      <c r="H18" s="182">
        <f t="shared" si="3"/>
        <v>40.581696000000008</v>
      </c>
      <c r="I18" s="182">
        <f t="shared" si="3"/>
        <v>44.581696000000008</v>
      </c>
      <c r="J18" s="182">
        <f t="shared" si="3"/>
        <v>48.581696000000008</v>
      </c>
      <c r="K18" s="182">
        <f t="shared" si="3"/>
        <v>52.581696000000008</v>
      </c>
      <c r="L18" s="182">
        <f t="shared" si="3"/>
        <v>54.846014310896294</v>
      </c>
    </row>
    <row r="20" spans="2:13" ht="15" x14ac:dyDescent="0.25">
      <c r="B20" s="183" t="s">
        <v>160</v>
      </c>
    </row>
    <row r="21" spans="2:13" ht="15.75" thickBot="1" x14ac:dyDescent="0.3"/>
    <row r="22" spans="2:13" ht="15" thickBot="1" x14ac:dyDescent="0.35">
      <c r="B22" s="184" t="s">
        <v>161</v>
      </c>
      <c r="C22" s="404" t="s">
        <v>162</v>
      </c>
      <c r="D22" s="405"/>
      <c r="E22" s="406" t="s">
        <v>163</v>
      </c>
      <c r="F22" s="395" t="s">
        <v>164</v>
      </c>
      <c r="G22" s="396"/>
      <c r="H22" s="397"/>
      <c r="I22" s="398" t="s">
        <v>165</v>
      </c>
      <c r="J22" s="399"/>
      <c r="K22" s="400"/>
      <c r="L22" s="399" t="s">
        <v>124</v>
      </c>
      <c r="M22" s="400"/>
    </row>
    <row r="23" spans="2:13" ht="40.200000000000003" thickBot="1" x14ac:dyDescent="0.35">
      <c r="B23" s="185"/>
      <c r="C23" s="186"/>
      <c r="D23" s="187" t="s">
        <v>185</v>
      </c>
      <c r="E23" s="407"/>
      <c r="F23" s="187" t="s">
        <v>42</v>
      </c>
      <c r="G23" s="395" t="s">
        <v>167</v>
      </c>
      <c r="H23" s="397"/>
      <c r="I23" s="189" t="s">
        <v>131</v>
      </c>
      <c r="J23" s="189" t="s">
        <v>132</v>
      </c>
      <c r="K23" s="189" t="s">
        <v>49</v>
      </c>
      <c r="L23" s="189" t="s">
        <v>131</v>
      </c>
      <c r="M23" s="190" t="s">
        <v>132</v>
      </c>
    </row>
    <row r="24" spans="2:13" ht="15" x14ac:dyDescent="0.25">
      <c r="B24" s="191"/>
      <c r="C24" s="191"/>
      <c r="D24" s="191"/>
      <c r="E24" s="273" t="s">
        <v>127</v>
      </c>
      <c r="F24" s="191"/>
      <c r="G24" s="192" t="s">
        <v>127</v>
      </c>
      <c r="H24" s="192" t="s">
        <v>35</v>
      </c>
      <c r="I24" s="192" t="s">
        <v>36</v>
      </c>
      <c r="J24" s="192" t="s">
        <v>36</v>
      </c>
      <c r="K24" s="192" t="s">
        <v>36</v>
      </c>
      <c r="L24" s="193"/>
      <c r="M24" s="194"/>
    </row>
    <row r="25" spans="2:13" ht="15.75" thickBot="1" x14ac:dyDescent="0.3">
      <c r="B25" s="195" t="s">
        <v>238</v>
      </c>
      <c r="C25" s="195" t="s">
        <v>168</v>
      </c>
      <c r="D25" s="196">
        <f>D9</f>
        <v>7531</v>
      </c>
      <c r="E25" s="196">
        <f>E9</f>
        <v>80045884</v>
      </c>
      <c r="F25" s="197">
        <f>F18</f>
        <v>32.581696000000008</v>
      </c>
      <c r="G25" s="198">
        <f>(K25-I25)/E25</f>
        <v>2.5136470157445186E-2</v>
      </c>
      <c r="H25" s="198"/>
      <c r="I25" s="199">
        <f>F25*D25*12</f>
        <v>2944473.0309120007</v>
      </c>
      <c r="J25" s="199">
        <f>E25*G25</f>
        <v>2012070.9743923191</v>
      </c>
      <c r="K25" s="200">
        <f>K9</f>
        <v>4956544.0053043198</v>
      </c>
      <c r="L25" s="201">
        <f>I25/K25</f>
        <v>0.59405767965762613</v>
      </c>
      <c r="M25" s="202">
        <f>J25/K25</f>
        <v>0.40594232034237387</v>
      </c>
    </row>
    <row r="27" spans="2:13" ht="15" x14ac:dyDescent="0.25">
      <c r="I27" s="401" t="s">
        <v>156</v>
      </c>
      <c r="J27" s="401"/>
      <c r="K27" s="203">
        <f>K9-K25</f>
        <v>0</v>
      </c>
    </row>
  </sheetData>
  <mergeCells count="20">
    <mergeCell ref="L6:M6"/>
    <mergeCell ref="G7:H7"/>
    <mergeCell ref="B2:M2"/>
    <mergeCell ref="B3:M3"/>
    <mergeCell ref="B6:B7"/>
    <mergeCell ref="C6:D6"/>
    <mergeCell ref="F6:H6"/>
    <mergeCell ref="I6:K6"/>
    <mergeCell ref="E6:E7"/>
    <mergeCell ref="B13:E13"/>
    <mergeCell ref="B15:E15"/>
    <mergeCell ref="B16:E16"/>
    <mergeCell ref="B18:E18"/>
    <mergeCell ref="C22:D22"/>
    <mergeCell ref="E22:E23"/>
    <mergeCell ref="F22:H22"/>
    <mergeCell ref="I22:K22"/>
    <mergeCell ref="L22:M22"/>
    <mergeCell ref="G23:H23"/>
    <mergeCell ref="I27:J27"/>
  </mergeCells>
  <pageMargins left="0.7" right="0.7" top="0.75" bottom="0.75" header="0.3" footer="0.3"/>
  <pageSetup scale="65"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B2:S25"/>
  <sheetViews>
    <sheetView showGridLines="0" topLeftCell="A13" workbookViewId="0">
      <selection activeCell="F14" sqref="F14"/>
    </sheetView>
  </sheetViews>
  <sheetFormatPr defaultRowHeight="14.4" x14ac:dyDescent="0.3"/>
  <cols>
    <col min="1" max="1" width="2.33203125" customWidth="1"/>
    <col min="2" max="2" width="13.88671875" customWidth="1"/>
    <col min="3" max="3" width="12.5546875" customWidth="1"/>
    <col min="4" max="4" width="11.5546875" bestFit="1" customWidth="1"/>
    <col min="5" max="5" width="11.88671875" customWidth="1"/>
    <col min="6" max="6" width="8" bestFit="1" customWidth="1"/>
    <col min="8" max="8" width="9.6640625" customWidth="1"/>
    <col min="9" max="9" width="8" bestFit="1" customWidth="1"/>
    <col min="10" max="12" width="10.5546875" bestFit="1" customWidth="1"/>
    <col min="13" max="13" width="8" bestFit="1" customWidth="1"/>
    <col min="14" max="14" width="8.44140625" bestFit="1" customWidth="1"/>
  </cols>
  <sheetData>
    <row r="2" spans="2:19" ht="18.75" x14ac:dyDescent="0.3">
      <c r="B2" s="408" t="s">
        <v>226</v>
      </c>
      <c r="C2" s="408"/>
      <c r="D2" s="408"/>
      <c r="E2" s="408"/>
      <c r="F2" s="408"/>
      <c r="G2" s="408"/>
      <c r="H2" s="408"/>
      <c r="I2" s="408"/>
      <c r="J2" s="408"/>
      <c r="K2" s="408"/>
      <c r="L2" s="408"/>
      <c r="M2" s="408"/>
      <c r="N2" s="408"/>
    </row>
    <row r="3" spans="2:19" ht="18.75" x14ac:dyDescent="0.3">
      <c r="B3" s="408" t="s">
        <v>192</v>
      </c>
      <c r="C3" s="408"/>
      <c r="D3" s="408"/>
      <c r="E3" s="408"/>
      <c r="F3" s="408"/>
      <c r="G3" s="408"/>
      <c r="H3" s="408"/>
      <c r="I3" s="408"/>
      <c r="J3" s="408"/>
      <c r="K3" s="408"/>
      <c r="L3" s="408"/>
      <c r="M3" s="408"/>
      <c r="N3" s="408"/>
    </row>
    <row r="4" spans="2:19" ht="15.75" thickBot="1" x14ac:dyDescent="0.3"/>
    <row r="5" spans="2:19" ht="30" customHeight="1" thickBot="1" x14ac:dyDescent="0.35">
      <c r="B5" s="409" t="s">
        <v>161</v>
      </c>
      <c r="C5" s="404" t="s">
        <v>162</v>
      </c>
      <c r="D5" s="405"/>
      <c r="E5" s="404" t="s">
        <v>163</v>
      </c>
      <c r="F5" s="405"/>
      <c r="G5" s="395" t="s">
        <v>164</v>
      </c>
      <c r="H5" s="396"/>
      <c r="I5" s="397"/>
      <c r="J5" s="398" t="s">
        <v>165</v>
      </c>
      <c r="K5" s="399"/>
      <c r="L5" s="400"/>
      <c r="M5" s="399" t="s">
        <v>166</v>
      </c>
      <c r="N5" s="400"/>
    </row>
    <row r="6" spans="2:19" ht="40.200000000000003" thickBot="1" x14ac:dyDescent="0.35">
      <c r="B6" s="410"/>
      <c r="C6" s="186"/>
      <c r="D6" s="187" t="s">
        <v>186</v>
      </c>
      <c r="E6" s="240" t="s">
        <v>127</v>
      </c>
      <c r="F6" s="188" t="s">
        <v>35</v>
      </c>
      <c r="G6" s="187" t="s">
        <v>42</v>
      </c>
      <c r="H6" s="395" t="s">
        <v>167</v>
      </c>
      <c r="I6" s="397"/>
      <c r="J6" s="189" t="s">
        <v>131</v>
      </c>
      <c r="K6" s="189" t="s">
        <v>132</v>
      </c>
      <c r="L6" s="189" t="s">
        <v>49</v>
      </c>
      <c r="M6" s="189" t="s">
        <v>131</v>
      </c>
      <c r="N6" s="190" t="s">
        <v>132</v>
      </c>
    </row>
    <row r="7" spans="2:19" ht="15" x14ac:dyDescent="0.25">
      <c r="B7" s="191"/>
      <c r="C7" s="191"/>
      <c r="D7" s="191"/>
      <c r="E7" s="191"/>
      <c r="F7" s="51"/>
      <c r="G7" s="191"/>
      <c r="H7" s="192" t="s">
        <v>127</v>
      </c>
      <c r="I7" s="192" t="s">
        <v>35</v>
      </c>
      <c r="J7" s="192" t="s">
        <v>36</v>
      </c>
      <c r="K7" s="192" t="s">
        <v>36</v>
      </c>
      <c r="L7" s="192" t="s">
        <v>36</v>
      </c>
      <c r="M7" s="193"/>
      <c r="N7" s="194"/>
    </row>
    <row r="8" spans="2:19" ht="15.75" thickBot="1" x14ac:dyDescent="0.3">
      <c r="B8" s="195" t="s">
        <v>8</v>
      </c>
      <c r="C8" s="195" t="s">
        <v>168</v>
      </c>
      <c r="D8" s="196">
        <f>'2017 Non-RRRP Rate Design'!D7</f>
        <v>3138</v>
      </c>
      <c r="E8" s="196">
        <f>'2017 Non-RRRP Rate Design'!E7</f>
        <v>7731414</v>
      </c>
      <c r="F8" s="196"/>
      <c r="G8" s="197">
        <f>'2017 Non-RRRP Rate Design'!H7</f>
        <v>38.18</v>
      </c>
      <c r="H8" s="198">
        <f>'2017 Non-RRRP Rate Design'!I7</f>
        <v>0.15970000000000001</v>
      </c>
      <c r="I8" s="198"/>
      <c r="J8" s="199">
        <f>'2017 Non-RRRP Rate Design'!J7</f>
        <v>1437637.8713948296</v>
      </c>
      <c r="K8" s="199">
        <f>'2017 Non-RRRP Rate Design'!K7</f>
        <v>1234551.4806401695</v>
      </c>
      <c r="L8" s="200">
        <f>'2017 Non-RRRP Rate Design'!L7</f>
        <v>2672189.3520349991</v>
      </c>
      <c r="M8" s="201">
        <f>J8/L8</f>
        <v>0.53800000000000003</v>
      </c>
      <c r="N8" s="202">
        <f>K8/L8</f>
        <v>0.46199999999999997</v>
      </c>
    </row>
    <row r="11" spans="2:19" ht="15" x14ac:dyDescent="0.25">
      <c r="B11" s="402" t="s">
        <v>219</v>
      </c>
      <c r="C11" s="402"/>
      <c r="D11" s="402"/>
      <c r="E11" s="402"/>
    </row>
    <row r="12" spans="2:19" ht="15" x14ac:dyDescent="0.25">
      <c r="F12" s="232"/>
      <c r="G12" s="233"/>
      <c r="H12" s="232"/>
      <c r="I12" s="233"/>
      <c r="J12" s="232"/>
      <c r="K12" s="233"/>
      <c r="L12" s="232"/>
      <c r="M12" s="233"/>
      <c r="N12" s="232"/>
      <c r="O12" s="233"/>
      <c r="P12" s="270"/>
      <c r="Q12" s="270"/>
      <c r="R12" s="270"/>
      <c r="S12" s="270"/>
    </row>
    <row r="13" spans="2:19" ht="15" x14ac:dyDescent="0.25">
      <c r="B13" s="403" t="s">
        <v>158</v>
      </c>
      <c r="C13" s="403"/>
      <c r="D13" s="403"/>
      <c r="E13" s="403"/>
      <c r="F13" s="181">
        <f>G8</f>
        <v>38.18</v>
      </c>
      <c r="G13" s="231"/>
      <c r="H13" s="231"/>
      <c r="I13" s="231"/>
      <c r="J13" s="231"/>
      <c r="K13" s="231"/>
      <c r="L13" s="231"/>
      <c r="M13" s="231"/>
      <c r="N13" s="231"/>
      <c r="O13" s="231"/>
      <c r="P13" s="231"/>
      <c r="Q13" s="231"/>
      <c r="R13" s="231"/>
      <c r="S13" s="231"/>
    </row>
    <row r="14" spans="2:19" ht="15" x14ac:dyDescent="0.25">
      <c r="B14" s="403" t="s">
        <v>159</v>
      </c>
      <c r="C14" s="403"/>
      <c r="D14" s="403"/>
      <c r="E14" s="403"/>
      <c r="F14" s="182">
        <f>ROUND(L8/D8/12,2)</f>
        <v>70.959999999999994</v>
      </c>
      <c r="G14" s="231"/>
      <c r="H14" s="231"/>
      <c r="I14" s="231"/>
      <c r="J14" s="231"/>
      <c r="K14" s="231"/>
      <c r="L14" s="231"/>
      <c r="M14" s="231"/>
      <c r="N14" s="231"/>
      <c r="O14" s="231"/>
      <c r="P14" s="231"/>
      <c r="Q14" s="231"/>
      <c r="R14" s="231"/>
      <c r="S14" s="231"/>
    </row>
    <row r="15" spans="2:19" ht="15" x14ac:dyDescent="0.25">
      <c r="B15" s="239" t="s">
        <v>221</v>
      </c>
      <c r="C15" s="239"/>
      <c r="D15" s="239"/>
      <c r="E15" s="239"/>
      <c r="F15" s="182">
        <v>4</v>
      </c>
      <c r="G15" s="182"/>
      <c r="H15" s="182"/>
      <c r="I15" s="182"/>
      <c r="J15" s="182"/>
      <c r="K15" s="182"/>
      <c r="L15" s="182"/>
      <c r="M15" s="182"/>
      <c r="N15" s="182"/>
      <c r="O15" s="182"/>
      <c r="P15" s="182"/>
      <c r="Q15" s="182"/>
      <c r="R15" s="182"/>
      <c r="S15" s="182"/>
    </row>
    <row r="16" spans="2:19" ht="15" x14ac:dyDescent="0.25">
      <c r="B16" s="403" t="s">
        <v>220</v>
      </c>
      <c r="C16" s="403"/>
      <c r="D16" s="403"/>
      <c r="E16" s="403"/>
      <c r="F16" s="182">
        <f t="shared" ref="F16" si="0">F13+F15</f>
        <v>42.18</v>
      </c>
      <c r="G16" s="182"/>
      <c r="H16" s="182"/>
      <c r="I16" s="182"/>
      <c r="J16" s="182"/>
      <c r="K16" s="182"/>
      <c r="L16" s="182"/>
      <c r="M16" s="182"/>
      <c r="N16" s="182"/>
      <c r="O16" s="182"/>
      <c r="P16" s="182"/>
      <c r="Q16" s="182"/>
      <c r="R16" s="182"/>
      <c r="S16" s="182"/>
    </row>
    <row r="18" spans="2:14" ht="15" x14ac:dyDescent="0.25">
      <c r="B18" s="183" t="s">
        <v>231</v>
      </c>
    </row>
    <row r="19" spans="2:14" ht="15.75" thickBot="1" x14ac:dyDescent="0.3"/>
    <row r="20" spans="2:14" ht="30.75" customHeight="1" thickBot="1" x14ac:dyDescent="0.3">
      <c r="B20" s="184" t="s">
        <v>161</v>
      </c>
      <c r="C20" s="404" t="s">
        <v>162</v>
      </c>
      <c r="D20" s="405"/>
      <c r="E20" s="404" t="s">
        <v>163</v>
      </c>
      <c r="F20" s="405"/>
      <c r="G20" s="395" t="s">
        <v>164</v>
      </c>
      <c r="H20" s="396"/>
      <c r="I20" s="397"/>
      <c r="J20" s="398" t="s">
        <v>165</v>
      </c>
      <c r="K20" s="399"/>
      <c r="L20" s="400"/>
      <c r="M20" s="399" t="s">
        <v>124</v>
      </c>
      <c r="N20" s="400"/>
    </row>
    <row r="21" spans="2:14" ht="39" thickBot="1" x14ac:dyDescent="0.3">
      <c r="B21" s="185"/>
      <c r="C21" s="186"/>
      <c r="D21" s="187" t="s">
        <v>186</v>
      </c>
      <c r="E21" s="240" t="s">
        <v>127</v>
      </c>
      <c r="F21" s="188" t="s">
        <v>35</v>
      </c>
      <c r="G21" s="187" t="s">
        <v>42</v>
      </c>
      <c r="H21" s="395" t="s">
        <v>167</v>
      </c>
      <c r="I21" s="397"/>
      <c r="J21" s="189" t="s">
        <v>131</v>
      </c>
      <c r="K21" s="189" t="s">
        <v>132</v>
      </c>
      <c r="L21" s="189" t="s">
        <v>49</v>
      </c>
      <c r="M21" s="189" t="s">
        <v>131</v>
      </c>
      <c r="N21" s="190" t="s">
        <v>132</v>
      </c>
    </row>
    <row r="22" spans="2:14" ht="15" x14ac:dyDescent="0.25">
      <c r="B22" s="191"/>
      <c r="C22" s="191"/>
      <c r="D22" s="191"/>
      <c r="E22" s="191"/>
      <c r="F22" s="51"/>
      <c r="G22" s="191"/>
      <c r="H22" s="192" t="s">
        <v>127</v>
      </c>
      <c r="I22" s="192" t="s">
        <v>35</v>
      </c>
      <c r="J22" s="192" t="s">
        <v>36</v>
      </c>
      <c r="K22" s="192" t="s">
        <v>36</v>
      </c>
      <c r="L22" s="192" t="s">
        <v>36</v>
      </c>
      <c r="M22" s="193"/>
      <c r="N22" s="194"/>
    </row>
    <row r="23" spans="2:14" ht="15.75" thickBot="1" x14ac:dyDescent="0.3">
      <c r="B23" s="195" t="s">
        <v>8</v>
      </c>
      <c r="C23" s="195" t="s">
        <v>168</v>
      </c>
      <c r="D23" s="196">
        <f>D8</f>
        <v>3138</v>
      </c>
      <c r="E23" s="196">
        <f>E8</f>
        <v>7731414</v>
      </c>
      <c r="F23" s="196"/>
      <c r="G23" s="197">
        <f>F16</f>
        <v>42.18</v>
      </c>
      <c r="H23" s="198">
        <f>ROUND(K23/E23,4)</f>
        <v>0.14019999999999999</v>
      </c>
      <c r="I23" s="198"/>
      <c r="J23" s="199">
        <f>G23*D23*12</f>
        <v>1588330.08</v>
      </c>
      <c r="K23" s="199">
        <f>L23-J23</f>
        <v>1083859.272034999</v>
      </c>
      <c r="L23" s="200">
        <f>L8</f>
        <v>2672189.3520349991</v>
      </c>
      <c r="M23" s="201">
        <f>J23/L23</f>
        <v>0.59439278836674181</v>
      </c>
      <c r="N23" s="202">
        <f>K23/L23</f>
        <v>0.40560721163325819</v>
      </c>
    </row>
    <row r="25" spans="2:14" ht="15" x14ac:dyDescent="0.25">
      <c r="J25" s="401" t="s">
        <v>156</v>
      </c>
      <c r="K25" s="401"/>
      <c r="L25" s="203">
        <f>L8-L23</f>
        <v>0</v>
      </c>
    </row>
  </sheetData>
  <mergeCells count="20">
    <mergeCell ref="B2:N2"/>
    <mergeCell ref="B3:N3"/>
    <mergeCell ref="B5:B6"/>
    <mergeCell ref="C5:D5"/>
    <mergeCell ref="E5:F5"/>
    <mergeCell ref="G5:I5"/>
    <mergeCell ref="J5:L5"/>
    <mergeCell ref="M5:N5"/>
    <mergeCell ref="H6:I6"/>
    <mergeCell ref="B11:E11"/>
    <mergeCell ref="B13:E13"/>
    <mergeCell ref="B14:E14"/>
    <mergeCell ref="B16:E16"/>
    <mergeCell ref="C20:D20"/>
    <mergeCell ref="E20:F20"/>
    <mergeCell ref="G20:I20"/>
    <mergeCell ref="J20:L20"/>
    <mergeCell ref="M20:N20"/>
    <mergeCell ref="H21:I21"/>
    <mergeCell ref="J25:K25"/>
  </mergeCells>
  <pageMargins left="0.7" right="0.7" top="0.75" bottom="0.75" header="0.3" footer="0.3"/>
  <pageSetup scale="6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B2:E12"/>
  <sheetViews>
    <sheetView workbookViewId="0">
      <selection activeCell="H13" sqref="H13"/>
    </sheetView>
  </sheetViews>
  <sheetFormatPr defaultRowHeight="14.4" x14ac:dyDescent="0.3"/>
  <cols>
    <col min="1" max="1" width="2.44140625" customWidth="1"/>
    <col min="2" max="2" width="31.109375" bestFit="1" customWidth="1"/>
  </cols>
  <sheetData>
    <row r="2" spans="2:5" ht="36.75" customHeight="1" x14ac:dyDescent="0.3">
      <c r="B2" s="412" t="s">
        <v>222</v>
      </c>
      <c r="C2" s="408"/>
      <c r="D2" s="408"/>
      <c r="E2" s="408"/>
    </row>
    <row r="3" spans="2:5" ht="18.75" x14ac:dyDescent="0.3">
      <c r="B3" s="408" t="s">
        <v>192</v>
      </c>
      <c r="C3" s="408"/>
      <c r="D3" s="408"/>
      <c r="E3" s="408"/>
    </row>
    <row r="4" spans="2:5" ht="9" customHeight="1" thickBot="1" x14ac:dyDescent="0.3"/>
    <row r="5" spans="2:5" ht="45" x14ac:dyDescent="0.25">
      <c r="B5" s="225" t="s">
        <v>121</v>
      </c>
      <c r="C5" s="226" t="s">
        <v>42</v>
      </c>
      <c r="D5" s="413" t="s">
        <v>169</v>
      </c>
      <c r="E5" s="414"/>
    </row>
    <row r="6" spans="2:5" ht="15" x14ac:dyDescent="0.25">
      <c r="B6" s="4"/>
      <c r="C6" s="217" t="s">
        <v>36</v>
      </c>
      <c r="D6" s="235" t="s">
        <v>44</v>
      </c>
      <c r="E6" s="236" t="s">
        <v>45</v>
      </c>
    </row>
    <row r="7" spans="2:5" ht="15" x14ac:dyDescent="0.25">
      <c r="B7" s="4" t="s">
        <v>6</v>
      </c>
      <c r="C7" s="223">
        <f>'2017 R1(i) Decoupling'!F25</f>
        <v>32.581696000000008</v>
      </c>
      <c r="D7" s="224">
        <f>'2017 R1(i) Decoupling'!G25</f>
        <v>2.5136470157445186E-2</v>
      </c>
      <c r="E7" s="143"/>
    </row>
    <row r="8" spans="2:5" ht="15" x14ac:dyDescent="0.25">
      <c r="B8" s="4" t="s">
        <v>172</v>
      </c>
      <c r="C8" s="223">
        <f>'2017 RRRP Rate Design'!I12</f>
        <v>24.463296000000003</v>
      </c>
      <c r="D8" s="224">
        <f>'2017 RRRP Rate Design'!J12</f>
        <v>3.4388639999999998E-2</v>
      </c>
      <c r="E8" s="143"/>
    </row>
    <row r="9" spans="2:5" ht="15" x14ac:dyDescent="0.25">
      <c r="B9" s="4" t="s">
        <v>7</v>
      </c>
      <c r="C9" s="223">
        <f>'2017 RRRP Rate Design'!I13</f>
        <v>629.74454400000002</v>
      </c>
      <c r="D9" s="224"/>
      <c r="E9" s="227">
        <f>'2017 RRRP Rate Design'!J13</f>
        <v>3.26290536</v>
      </c>
    </row>
    <row r="10" spans="2:5" ht="15" x14ac:dyDescent="0.25">
      <c r="B10" s="4" t="s">
        <v>8</v>
      </c>
      <c r="C10" s="223">
        <f>'2017 Seasonal Decoupling'!G23</f>
        <v>42.18</v>
      </c>
      <c r="D10" s="224">
        <f>'2017 Seasonal Decoupling'!H23</f>
        <v>0.14019999999999999</v>
      </c>
      <c r="E10" s="227"/>
    </row>
    <row r="11" spans="2:5" ht="15" x14ac:dyDescent="0.25">
      <c r="B11" s="4" t="s">
        <v>9</v>
      </c>
      <c r="C11" s="223">
        <f>'2017 Non-RRRP Rate Design'!H8</f>
        <v>1.48</v>
      </c>
      <c r="D11" s="224">
        <f>'2017 Non-RRRP Rate Design'!I8</f>
        <v>0.23899999999999999</v>
      </c>
      <c r="E11" s="227"/>
    </row>
    <row r="12" spans="2:5" ht="15.75" thickBot="1" x14ac:dyDescent="0.3">
      <c r="B12" s="7" t="s">
        <v>170</v>
      </c>
      <c r="C12" s="228">
        <v>5.4</v>
      </c>
      <c r="D12" s="10"/>
      <c r="E12" s="229"/>
    </row>
  </sheetData>
  <mergeCells count="3">
    <mergeCell ref="B2:E2"/>
    <mergeCell ref="B3:E3"/>
    <mergeCell ref="D5:E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I34"/>
  <sheetViews>
    <sheetView showGridLines="0" workbookViewId="0">
      <selection activeCell="D41" sqref="D41"/>
    </sheetView>
  </sheetViews>
  <sheetFormatPr defaultRowHeight="14.4" x14ac:dyDescent="0.3"/>
  <cols>
    <col min="1" max="1" width="2.6640625" customWidth="1"/>
    <col min="2" max="2" width="32" customWidth="1"/>
    <col min="3" max="3" width="12.44140625" customWidth="1"/>
    <col min="4" max="4" width="13" customWidth="1"/>
    <col min="5" max="5" width="12.6640625" customWidth="1"/>
    <col min="6" max="7" width="12" customWidth="1"/>
    <col min="8" max="8" width="13.44140625" customWidth="1"/>
    <col min="9" max="9" width="14.109375" bestFit="1" customWidth="1"/>
  </cols>
  <sheetData>
    <row r="3" spans="2:9" ht="15.75" x14ac:dyDescent="0.25">
      <c r="B3" s="279" t="s">
        <v>173</v>
      </c>
      <c r="C3" s="279"/>
      <c r="D3" s="279"/>
      <c r="E3" s="279"/>
      <c r="F3" s="279"/>
      <c r="G3" s="279"/>
      <c r="H3" s="279"/>
      <c r="I3" s="279"/>
    </row>
    <row r="5" spans="2:9" ht="75" x14ac:dyDescent="0.25">
      <c r="B5" s="14" t="s">
        <v>11</v>
      </c>
      <c r="C5" s="15" t="s">
        <v>12</v>
      </c>
      <c r="D5" s="15" t="s">
        <v>13</v>
      </c>
      <c r="E5" s="15" t="s">
        <v>14</v>
      </c>
      <c r="F5" s="16" t="s">
        <v>15</v>
      </c>
      <c r="G5" s="16" t="s">
        <v>16</v>
      </c>
      <c r="H5" s="16" t="s">
        <v>17</v>
      </c>
      <c r="I5" s="16" t="s">
        <v>18</v>
      </c>
    </row>
    <row r="6" spans="2:9" ht="15" x14ac:dyDescent="0.25">
      <c r="B6" s="280" t="s">
        <v>19</v>
      </c>
      <c r="C6" s="281"/>
      <c r="D6" s="281"/>
      <c r="E6" s="281"/>
      <c r="F6" s="281"/>
      <c r="G6" s="281"/>
      <c r="H6" s="281"/>
      <c r="I6" s="282"/>
    </row>
    <row r="7" spans="2:9" ht="15" x14ac:dyDescent="0.25">
      <c r="B7" s="17" t="s">
        <v>20</v>
      </c>
      <c r="C7" s="18">
        <v>8031</v>
      </c>
      <c r="D7" s="18">
        <v>8082</v>
      </c>
      <c r="E7" s="18">
        <v>8166</v>
      </c>
      <c r="F7" s="18">
        <v>8306</v>
      </c>
      <c r="G7" s="18">
        <v>8306</v>
      </c>
      <c r="H7" s="18">
        <v>8432</v>
      </c>
      <c r="I7" s="18">
        <v>8559</v>
      </c>
    </row>
    <row r="8" spans="2:9" ht="15" x14ac:dyDescent="0.25">
      <c r="B8" s="17" t="s">
        <v>21</v>
      </c>
      <c r="C8" s="18">
        <v>3538</v>
      </c>
      <c r="D8" s="18">
        <v>3453</v>
      </c>
      <c r="E8" s="18">
        <v>3405</v>
      </c>
      <c r="F8" s="18">
        <v>3298</v>
      </c>
      <c r="G8" s="18">
        <v>3298</v>
      </c>
      <c r="H8" s="18">
        <v>3191</v>
      </c>
      <c r="I8" s="18">
        <v>3084</v>
      </c>
    </row>
    <row r="9" spans="2:9" ht="15" x14ac:dyDescent="0.25">
      <c r="B9" s="17" t="s">
        <v>22</v>
      </c>
      <c r="C9" s="18">
        <v>43</v>
      </c>
      <c r="D9" s="18">
        <v>46</v>
      </c>
      <c r="E9" s="18">
        <v>49</v>
      </c>
      <c r="F9" s="18">
        <v>50</v>
      </c>
      <c r="G9" s="18">
        <v>50</v>
      </c>
      <c r="H9" s="18">
        <v>50</v>
      </c>
      <c r="I9" s="18">
        <v>50</v>
      </c>
    </row>
    <row r="10" spans="2:9" ht="15" x14ac:dyDescent="0.25">
      <c r="B10" s="17" t="s">
        <v>23</v>
      </c>
      <c r="C10" s="18">
        <v>1052</v>
      </c>
      <c r="D10" s="18">
        <v>1052</v>
      </c>
      <c r="E10" s="19">
        <v>1018</v>
      </c>
      <c r="F10" s="18">
        <v>1018</v>
      </c>
      <c r="G10" s="18">
        <v>1018</v>
      </c>
      <c r="H10" s="18">
        <v>1018</v>
      </c>
      <c r="I10" s="18">
        <v>1018</v>
      </c>
    </row>
    <row r="11" spans="2:9" ht="15" x14ac:dyDescent="0.25">
      <c r="B11" s="17" t="s">
        <v>24</v>
      </c>
      <c r="C11" s="20">
        <v>12664</v>
      </c>
      <c r="D11" s="20">
        <v>12633</v>
      </c>
      <c r="E11" s="20">
        <v>12638</v>
      </c>
      <c r="F11" s="20">
        <v>12672</v>
      </c>
      <c r="G11" s="20">
        <v>12672</v>
      </c>
      <c r="H11" s="20">
        <v>12691</v>
      </c>
      <c r="I11" s="20">
        <v>12711</v>
      </c>
    </row>
    <row r="12" spans="2:9" ht="15" x14ac:dyDescent="0.25">
      <c r="B12" s="21"/>
      <c r="C12" s="21"/>
      <c r="D12" s="21"/>
      <c r="E12" s="21"/>
      <c r="F12" s="21"/>
      <c r="G12" s="21"/>
      <c r="H12" s="21"/>
      <c r="I12" s="21"/>
    </row>
    <row r="13" spans="2:9" ht="15" x14ac:dyDescent="0.25">
      <c r="B13" s="280" t="s">
        <v>25</v>
      </c>
      <c r="C13" s="281"/>
      <c r="D13" s="281"/>
      <c r="E13" s="281"/>
      <c r="F13" s="281"/>
      <c r="G13" s="281"/>
      <c r="H13" s="281"/>
      <c r="I13" s="282"/>
    </row>
    <row r="14" spans="2:9" ht="75" customHeight="1" x14ac:dyDescent="0.25">
      <c r="B14" s="22"/>
      <c r="C14" s="23" t="s">
        <v>12</v>
      </c>
      <c r="D14" s="23" t="s">
        <v>13</v>
      </c>
      <c r="E14" s="23" t="s">
        <v>14</v>
      </c>
      <c r="F14" s="24" t="s">
        <v>15</v>
      </c>
      <c r="G14" s="24" t="s">
        <v>16</v>
      </c>
      <c r="H14" s="24" t="s">
        <v>17</v>
      </c>
      <c r="I14" s="24" t="s">
        <v>18</v>
      </c>
    </row>
    <row r="15" spans="2:9" ht="15" x14ac:dyDescent="0.25">
      <c r="B15" s="17" t="s">
        <v>20</v>
      </c>
      <c r="C15" s="18">
        <v>98515494</v>
      </c>
      <c r="D15" s="18">
        <v>103344412</v>
      </c>
      <c r="E15" s="18">
        <v>103512450</v>
      </c>
      <c r="F15" s="18">
        <v>106250425</v>
      </c>
      <c r="G15" s="18">
        <v>104788841</v>
      </c>
      <c r="H15" s="18">
        <v>104839037</v>
      </c>
      <c r="I15" s="18">
        <v>105791701</v>
      </c>
    </row>
    <row r="16" spans="2:9" ht="15" x14ac:dyDescent="0.25">
      <c r="B16" s="17" t="s">
        <v>21</v>
      </c>
      <c r="C16" s="18">
        <v>11130245</v>
      </c>
      <c r="D16" s="18">
        <v>10087145</v>
      </c>
      <c r="E16" s="18">
        <v>10136343</v>
      </c>
      <c r="F16" s="18">
        <v>8458860</v>
      </c>
      <c r="G16" s="18">
        <v>8342500</v>
      </c>
      <c r="H16" s="18">
        <v>8025496</v>
      </c>
      <c r="I16" s="18">
        <v>7731414</v>
      </c>
    </row>
    <row r="17" spans="2:9" ht="15" x14ac:dyDescent="0.25">
      <c r="B17" s="17" t="s">
        <v>22</v>
      </c>
      <c r="C17" s="18">
        <v>70938155</v>
      </c>
      <c r="D17" s="18">
        <v>75394032</v>
      </c>
      <c r="E17" s="18">
        <v>79423076</v>
      </c>
      <c r="F17" s="18">
        <v>83700857</v>
      </c>
      <c r="G17" s="18">
        <v>83416121</v>
      </c>
      <c r="H17" s="18">
        <v>83425900</v>
      </c>
      <c r="I17" s="18">
        <v>83288188</v>
      </c>
    </row>
    <row r="18" spans="2:9" ht="15" x14ac:dyDescent="0.25">
      <c r="B18" s="17" t="s">
        <v>26</v>
      </c>
      <c r="C18" s="18">
        <v>721376</v>
      </c>
      <c r="D18" s="18">
        <v>523958</v>
      </c>
      <c r="E18" s="19">
        <v>728404</v>
      </c>
      <c r="F18" s="18">
        <v>807250</v>
      </c>
      <c r="G18" s="18">
        <v>807250</v>
      </c>
      <c r="H18" s="18">
        <v>807250</v>
      </c>
      <c r="I18" s="18">
        <v>804705</v>
      </c>
    </row>
    <row r="19" spans="2:9" ht="15" x14ac:dyDescent="0.25">
      <c r="B19" s="17" t="s">
        <v>24</v>
      </c>
      <c r="C19" s="25">
        <v>181305270</v>
      </c>
      <c r="D19" s="25">
        <v>189349547</v>
      </c>
      <c r="E19" s="25">
        <v>193800273</v>
      </c>
      <c r="F19" s="25">
        <v>199217392</v>
      </c>
      <c r="G19" s="25">
        <v>197354712</v>
      </c>
      <c r="H19" s="25">
        <v>197097683</v>
      </c>
      <c r="I19" s="25">
        <f>SUM(I15:I18)</f>
        <v>197616008</v>
      </c>
    </row>
    <row r="20" spans="2:9" ht="15" x14ac:dyDescent="0.25">
      <c r="B20" s="21"/>
      <c r="C20" s="21"/>
      <c r="D20" s="21"/>
      <c r="E20" s="21"/>
      <c r="F20" s="21"/>
      <c r="G20" s="21"/>
      <c r="H20" s="21"/>
      <c r="I20" s="21"/>
    </row>
    <row r="21" spans="2:9" ht="15" x14ac:dyDescent="0.25">
      <c r="B21" s="280" t="s">
        <v>27</v>
      </c>
      <c r="C21" s="281"/>
      <c r="D21" s="281"/>
      <c r="E21" s="281"/>
      <c r="F21" s="281"/>
      <c r="G21" s="281"/>
      <c r="H21" s="281"/>
      <c r="I21" s="282"/>
    </row>
    <row r="22" spans="2:9" ht="75" customHeight="1" x14ac:dyDescent="0.25">
      <c r="B22" s="22"/>
      <c r="C22" s="23" t="s">
        <v>12</v>
      </c>
      <c r="D22" s="23" t="s">
        <v>13</v>
      </c>
      <c r="E22" s="23" t="s">
        <v>14</v>
      </c>
      <c r="F22" s="24" t="s">
        <v>15</v>
      </c>
      <c r="G22" s="24" t="s">
        <v>16</v>
      </c>
      <c r="H22" s="24" t="s">
        <v>17</v>
      </c>
      <c r="I22" s="24" t="s">
        <v>18</v>
      </c>
    </row>
    <row r="23" spans="2:9" ht="15" x14ac:dyDescent="0.25">
      <c r="B23" s="17" t="s">
        <v>20</v>
      </c>
      <c r="C23" s="26"/>
      <c r="D23" s="26"/>
      <c r="E23" s="26"/>
      <c r="F23" s="26"/>
      <c r="G23" s="26"/>
      <c r="H23" s="26"/>
      <c r="I23" s="26"/>
    </row>
    <row r="24" spans="2:9" ht="15" x14ac:dyDescent="0.25">
      <c r="B24" s="17" t="s">
        <v>21</v>
      </c>
      <c r="C24" s="26"/>
      <c r="D24" s="26"/>
      <c r="E24" s="26"/>
      <c r="F24" s="26"/>
      <c r="G24" s="26"/>
      <c r="H24" s="26"/>
      <c r="I24" s="26"/>
    </row>
    <row r="25" spans="2:9" x14ac:dyDescent="0.3">
      <c r="B25" s="17" t="s">
        <v>22</v>
      </c>
      <c r="C25" s="18">
        <v>163570</v>
      </c>
      <c r="D25" s="18">
        <v>176514</v>
      </c>
      <c r="E25" s="18">
        <v>185948</v>
      </c>
      <c r="F25" s="18">
        <v>199530</v>
      </c>
      <c r="G25" s="18">
        <v>199530</v>
      </c>
      <c r="H25" s="18">
        <v>199530</v>
      </c>
      <c r="I25" s="18">
        <v>198901</v>
      </c>
    </row>
    <row r="26" spans="2:9" x14ac:dyDescent="0.3">
      <c r="B26" s="17" t="s">
        <v>26</v>
      </c>
      <c r="C26" s="283" t="s">
        <v>28</v>
      </c>
      <c r="D26" s="284"/>
      <c r="E26" s="284"/>
      <c r="F26" s="284"/>
      <c r="G26" s="284"/>
      <c r="H26" s="284"/>
      <c r="I26" s="285"/>
    </row>
    <row r="27" spans="2:9" x14ac:dyDescent="0.3">
      <c r="B27" s="17" t="s">
        <v>24</v>
      </c>
      <c r="C27" s="25">
        <v>163570</v>
      </c>
      <c r="D27" s="25">
        <v>176514</v>
      </c>
      <c r="E27" s="25">
        <v>185948</v>
      </c>
      <c r="F27" s="25">
        <v>199530</v>
      </c>
      <c r="G27" s="25">
        <v>199530</v>
      </c>
      <c r="H27" s="25">
        <v>199530</v>
      </c>
      <c r="I27" s="25">
        <f>SUM(I23:I26)</f>
        <v>198901</v>
      </c>
    </row>
    <row r="28" spans="2:9" x14ac:dyDescent="0.3">
      <c r="B28" s="27"/>
      <c r="C28" s="27"/>
      <c r="D28" s="27"/>
      <c r="E28" s="27"/>
      <c r="F28" s="27"/>
      <c r="G28" s="27"/>
      <c r="H28" s="27"/>
      <c r="I28" s="27"/>
    </row>
    <row r="29" spans="2:9" ht="27" x14ac:dyDescent="0.3">
      <c r="B29" s="28"/>
      <c r="C29" s="29" t="s">
        <v>29</v>
      </c>
      <c r="D29" s="29" t="s">
        <v>13</v>
      </c>
      <c r="E29" s="29" t="s">
        <v>14</v>
      </c>
      <c r="F29" s="29" t="s">
        <v>30</v>
      </c>
      <c r="G29" s="30"/>
      <c r="H29" s="29" t="s">
        <v>31</v>
      </c>
      <c r="I29" s="31" t="s">
        <v>32</v>
      </c>
    </row>
    <row r="30" spans="2:9" x14ac:dyDescent="0.3">
      <c r="B30" s="32" t="s">
        <v>33</v>
      </c>
      <c r="C30" s="21"/>
      <c r="D30" s="33">
        <v>2.5000000000000001E-2</v>
      </c>
      <c r="E30" s="33">
        <v>2.81E-2</v>
      </c>
      <c r="F30" s="33">
        <v>3.7499999999999999E-2</v>
      </c>
      <c r="G30" s="34"/>
      <c r="H30" s="33">
        <v>3.7600000000000001E-2</v>
      </c>
      <c r="I30" s="33">
        <v>7.9000000000000008E-3</v>
      </c>
    </row>
    <row r="31" spans="2:9" x14ac:dyDescent="0.3">
      <c r="B31" s="27"/>
      <c r="C31" s="27"/>
      <c r="D31" s="27"/>
      <c r="E31" s="27"/>
      <c r="F31" s="27"/>
      <c r="G31" s="34"/>
      <c r="H31" s="27"/>
      <c r="I31" s="27"/>
    </row>
    <row r="32" spans="2:9" x14ac:dyDescent="0.3">
      <c r="B32" s="21" t="s">
        <v>34</v>
      </c>
      <c r="C32" s="21"/>
      <c r="D32" s="21"/>
      <c r="E32" s="21"/>
      <c r="F32" s="21"/>
      <c r="G32" s="34"/>
      <c r="H32" s="21"/>
      <c r="I32" s="21"/>
    </row>
    <row r="33" spans="2:9" x14ac:dyDescent="0.3">
      <c r="B33" s="35" t="s">
        <v>35</v>
      </c>
      <c r="C33" s="21"/>
      <c r="D33" s="25">
        <v>115523</v>
      </c>
      <c r="E33" s="25">
        <v>118393</v>
      </c>
      <c r="F33" s="25">
        <v>123494</v>
      </c>
      <c r="G33" s="34"/>
      <c r="H33" s="25">
        <v>123494</v>
      </c>
      <c r="I33" s="25">
        <v>123494</v>
      </c>
    </row>
    <row r="34" spans="2:9" x14ac:dyDescent="0.3">
      <c r="B34" s="35" t="s">
        <v>36</v>
      </c>
      <c r="C34" s="21"/>
      <c r="D34" s="25">
        <f>D33*0.6</f>
        <v>69313.8</v>
      </c>
      <c r="E34" s="25">
        <f>E33*0.6</f>
        <v>71035.8</v>
      </c>
      <c r="F34" s="25">
        <f>F33*0.6</f>
        <v>74096.399999999994</v>
      </c>
      <c r="G34" s="34"/>
      <c r="H34" s="25">
        <f>H33*0.6</f>
        <v>74096.399999999994</v>
      </c>
      <c r="I34" s="25">
        <f>I33*0.6</f>
        <v>74096.399999999994</v>
      </c>
    </row>
  </sheetData>
  <mergeCells count="5">
    <mergeCell ref="B3:I3"/>
    <mergeCell ref="B6:I6"/>
    <mergeCell ref="B13:I13"/>
    <mergeCell ref="B21:I21"/>
    <mergeCell ref="C26:I26"/>
  </mergeCells>
  <pageMargins left="0.7" right="0.7" top="0.75" bottom="0.75" header="0.3" footer="0.3"/>
  <pageSetup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28"/>
  <sheetViews>
    <sheetView showGridLines="0" workbookViewId="0">
      <selection activeCell="F32" sqref="F32"/>
    </sheetView>
  </sheetViews>
  <sheetFormatPr defaultRowHeight="14.4" x14ac:dyDescent="0.3"/>
  <cols>
    <col min="1" max="1" width="2.6640625" customWidth="1"/>
    <col min="2" max="2" width="39.5546875" customWidth="1"/>
    <col min="3" max="3" width="6.5546875" bestFit="1" customWidth="1"/>
    <col min="4" max="4" width="2.88671875" customWidth="1"/>
    <col min="5" max="5" width="5.5546875" customWidth="1"/>
    <col min="6" max="6" width="11.5546875" bestFit="1" customWidth="1"/>
    <col min="7" max="7" width="7" customWidth="1"/>
    <col min="8" max="8" width="1.88671875" customWidth="1"/>
    <col min="9" max="9" width="6.33203125" customWidth="1"/>
    <col min="10" max="10" width="12.33203125" bestFit="1" customWidth="1"/>
    <col min="11" max="11" width="8.88671875" customWidth="1"/>
    <col min="12" max="12" width="3" customWidth="1"/>
    <col min="13" max="13" width="9.109375" style="13"/>
  </cols>
  <sheetData>
    <row r="2" spans="2:13" ht="15.75" x14ac:dyDescent="0.25">
      <c r="B2" s="279" t="s">
        <v>194</v>
      </c>
      <c r="C2" s="279"/>
      <c r="D2" s="279"/>
      <c r="E2" s="279"/>
      <c r="F2" s="279"/>
      <c r="G2" s="279"/>
      <c r="H2" s="279"/>
      <c r="I2" s="279"/>
      <c r="J2" s="279"/>
      <c r="K2" s="279"/>
    </row>
    <row r="3" spans="2:13" ht="15.75" thickBot="1" x14ac:dyDescent="0.3">
      <c r="C3" s="13"/>
    </row>
    <row r="4" spans="2:13" ht="16.2" thickBot="1" x14ac:dyDescent="0.35">
      <c r="B4" s="287"/>
      <c r="C4" s="288"/>
      <c r="D4" s="288"/>
      <c r="E4" s="289" t="s">
        <v>216</v>
      </c>
      <c r="F4" s="290"/>
      <c r="G4" s="291"/>
      <c r="H4" s="36"/>
      <c r="I4" s="292" t="s">
        <v>217</v>
      </c>
      <c r="J4" s="293"/>
      <c r="K4" s="294"/>
      <c r="M4" s="286" t="s">
        <v>171</v>
      </c>
    </row>
    <row r="5" spans="2:13" ht="16.2" thickBot="1" x14ac:dyDescent="0.35">
      <c r="B5" s="298" t="s">
        <v>39</v>
      </c>
      <c r="C5" s="299"/>
      <c r="D5" s="299"/>
      <c r="E5" s="295" t="s">
        <v>144</v>
      </c>
      <c r="F5" s="296"/>
      <c r="G5" s="297"/>
      <c r="H5" s="37"/>
      <c r="I5" s="295" t="s">
        <v>192</v>
      </c>
      <c r="J5" s="296"/>
      <c r="K5" s="297"/>
      <c r="M5" s="286"/>
    </row>
    <row r="6" spans="2:13" ht="16.5" thickBot="1" x14ac:dyDescent="0.3">
      <c r="B6" s="298"/>
      <c r="C6" s="299"/>
      <c r="D6" s="299"/>
      <c r="E6" s="300"/>
      <c r="F6" s="301"/>
      <c r="G6" s="302"/>
      <c r="H6" s="37"/>
      <c r="I6" s="303"/>
      <c r="J6" s="304"/>
      <c r="K6" s="305"/>
      <c r="M6" s="152"/>
    </row>
    <row r="7" spans="2:13" ht="43.5" customHeight="1" x14ac:dyDescent="0.25">
      <c r="B7" s="38" t="s">
        <v>40</v>
      </c>
      <c r="C7" s="39" t="s">
        <v>41</v>
      </c>
      <c r="D7" s="40"/>
      <c r="E7" s="306" t="s">
        <v>143</v>
      </c>
      <c r="F7" s="307"/>
      <c r="G7" s="308"/>
      <c r="H7" s="37"/>
      <c r="I7" s="309" t="s">
        <v>218</v>
      </c>
      <c r="J7" s="310"/>
      <c r="K7" s="311"/>
      <c r="M7" s="152"/>
    </row>
    <row r="8" spans="2:13" ht="15" x14ac:dyDescent="0.25">
      <c r="B8" s="38" t="s">
        <v>6</v>
      </c>
      <c r="C8" s="41"/>
      <c r="D8" s="42"/>
      <c r="E8" s="45"/>
      <c r="F8" s="43"/>
      <c r="G8" s="44"/>
      <c r="H8" s="37"/>
      <c r="I8" s="45"/>
      <c r="J8" s="46"/>
      <c r="K8" s="44"/>
      <c r="M8" s="152"/>
    </row>
    <row r="9" spans="2:13" ht="15" x14ac:dyDescent="0.25">
      <c r="B9" s="4" t="s">
        <v>42</v>
      </c>
      <c r="C9" s="41" t="s">
        <v>36</v>
      </c>
      <c r="D9" s="47"/>
      <c r="E9" s="220"/>
      <c r="F9" s="48">
        <v>27.76</v>
      </c>
      <c r="G9" s="44"/>
      <c r="H9" s="37"/>
      <c r="I9" s="49"/>
      <c r="J9" s="50">
        <f>'2017 Proposed Rates'!C7</f>
        <v>32.581696000000008</v>
      </c>
      <c r="K9" s="51"/>
      <c r="M9" s="204">
        <f>(J9-F9)/F9</f>
        <v>0.17369221902017312</v>
      </c>
    </row>
    <row r="10" spans="2:13" ht="15" x14ac:dyDescent="0.25">
      <c r="B10" s="4" t="s">
        <v>43</v>
      </c>
      <c r="C10" s="41" t="s">
        <v>44</v>
      </c>
      <c r="D10" s="52"/>
      <c r="E10" s="220"/>
      <c r="F10" s="53">
        <v>2.8799999999999999E-2</v>
      </c>
      <c r="G10" s="44"/>
      <c r="H10" s="37"/>
      <c r="I10" s="45"/>
      <c r="J10" s="53">
        <f>'2017 Proposed Rates'!D7</f>
        <v>2.5136470157445186E-2</v>
      </c>
      <c r="K10" s="44"/>
      <c r="M10" s="204">
        <f>(J10-F10)/F10</f>
        <v>-0.12720589731093102</v>
      </c>
    </row>
    <row r="11" spans="2:13" ht="15" x14ac:dyDescent="0.25">
      <c r="B11" s="4"/>
      <c r="C11" s="205"/>
      <c r="D11" s="52"/>
      <c r="E11" s="220"/>
      <c r="F11" s="53"/>
      <c r="G11" s="44"/>
      <c r="H11" s="37"/>
      <c r="I11" s="45"/>
      <c r="J11" s="53"/>
      <c r="K11" s="44"/>
      <c r="M11" s="204"/>
    </row>
    <row r="12" spans="2:13" ht="15" x14ac:dyDescent="0.25">
      <c r="B12" s="38" t="s">
        <v>172</v>
      </c>
      <c r="C12" s="205"/>
      <c r="D12" s="52"/>
      <c r="E12" s="220"/>
      <c r="F12" s="53"/>
      <c r="G12" s="44"/>
      <c r="H12" s="37"/>
      <c r="I12" s="45"/>
      <c r="J12" s="50"/>
      <c r="K12" s="44"/>
      <c r="M12" s="204"/>
    </row>
    <row r="13" spans="2:13" ht="15" x14ac:dyDescent="0.25">
      <c r="B13" s="4" t="s">
        <v>42</v>
      </c>
      <c r="C13" s="235" t="s">
        <v>36</v>
      </c>
      <c r="D13" s="52"/>
      <c r="E13" s="220"/>
      <c r="F13" s="269">
        <v>23.76</v>
      </c>
      <c r="G13" s="44"/>
      <c r="H13" s="37"/>
      <c r="I13" s="45"/>
      <c r="J13" s="50">
        <f>'2017 Proposed Rates'!C8</f>
        <v>24.463296000000003</v>
      </c>
      <c r="K13" s="44"/>
      <c r="M13" s="204">
        <f>(J13-F13)/F13</f>
        <v>2.9600000000000071E-2</v>
      </c>
    </row>
    <row r="14" spans="2:13" ht="15" x14ac:dyDescent="0.25">
      <c r="B14" s="4" t="s">
        <v>43</v>
      </c>
      <c r="C14" s="235" t="s">
        <v>44</v>
      </c>
      <c r="D14" s="52"/>
      <c r="E14" s="220"/>
      <c r="F14" s="53">
        <v>3.3399999999999999E-2</v>
      </c>
      <c r="G14" s="44"/>
      <c r="H14" s="37"/>
      <c r="I14" s="45"/>
      <c r="J14" s="53">
        <f>'2017 Proposed Rates'!D8</f>
        <v>3.4388639999999998E-2</v>
      </c>
      <c r="K14" s="44"/>
      <c r="M14" s="204">
        <f>(J14-F14)/F14</f>
        <v>2.959999999999997E-2</v>
      </c>
    </row>
    <row r="15" spans="2:13" ht="15" x14ac:dyDescent="0.25">
      <c r="B15" s="4"/>
      <c r="C15" s="41"/>
      <c r="D15" s="42"/>
      <c r="E15" s="45"/>
      <c r="F15" s="46"/>
      <c r="G15" s="44"/>
      <c r="H15" s="37"/>
      <c r="I15" s="45"/>
      <c r="J15" s="46"/>
      <c r="K15" s="44"/>
      <c r="M15" s="151"/>
    </row>
    <row r="16" spans="2:13" ht="15" x14ac:dyDescent="0.25">
      <c r="B16" s="38" t="s">
        <v>7</v>
      </c>
      <c r="C16" s="41"/>
      <c r="D16" s="42"/>
      <c r="E16" s="45"/>
      <c r="F16" s="46"/>
      <c r="G16" s="44"/>
      <c r="H16" s="37"/>
      <c r="I16" s="45"/>
      <c r="J16" s="46"/>
      <c r="K16" s="44"/>
      <c r="M16" s="151"/>
    </row>
    <row r="17" spans="2:13" ht="15" x14ac:dyDescent="0.25">
      <c r="B17" s="4" t="s">
        <v>42</v>
      </c>
      <c r="C17" s="41" t="s">
        <v>36</v>
      </c>
      <c r="D17" s="47"/>
      <c r="E17" s="220"/>
      <c r="F17" s="54">
        <v>611.64</v>
      </c>
      <c r="G17" s="44"/>
      <c r="H17" s="37"/>
      <c r="I17" s="45"/>
      <c r="J17" s="48">
        <f>'2017 Proposed Rates'!C9</f>
        <v>629.74454400000002</v>
      </c>
      <c r="K17" s="44"/>
      <c r="M17" s="204">
        <f t="shared" ref="M17:M18" si="0">(J17-F17)/F17</f>
        <v>2.9600000000000053E-2</v>
      </c>
    </row>
    <row r="18" spans="2:13" ht="15" x14ac:dyDescent="0.25">
      <c r="B18" s="4" t="s">
        <v>43</v>
      </c>
      <c r="C18" s="41" t="s">
        <v>45</v>
      </c>
      <c r="D18" s="52"/>
      <c r="E18" s="220"/>
      <c r="F18" s="53">
        <v>3.1690999999999998</v>
      </c>
      <c r="G18" s="44"/>
      <c r="H18" s="37"/>
      <c r="I18" s="45"/>
      <c r="J18" s="53">
        <f>'2017 Proposed Rates'!E9</f>
        <v>3.26290536</v>
      </c>
      <c r="K18" s="44"/>
      <c r="M18" s="204">
        <f t="shared" si="0"/>
        <v>2.9600000000000057E-2</v>
      </c>
    </row>
    <row r="19" spans="2:13" ht="15" x14ac:dyDescent="0.25">
      <c r="B19" s="4"/>
      <c r="C19" s="41"/>
      <c r="D19" s="42"/>
      <c r="E19" s="45"/>
      <c r="F19" s="46"/>
      <c r="G19" s="44"/>
      <c r="H19" s="37"/>
      <c r="I19" s="45"/>
      <c r="J19" s="46"/>
      <c r="K19" s="44"/>
      <c r="M19" s="151"/>
    </row>
    <row r="20" spans="2:13" ht="15" x14ac:dyDescent="0.25">
      <c r="B20" s="38" t="s">
        <v>8</v>
      </c>
      <c r="C20" s="41"/>
      <c r="D20" s="42"/>
      <c r="E20" s="45"/>
      <c r="F20" s="46"/>
      <c r="G20" s="44"/>
      <c r="H20" s="37"/>
      <c r="I20" s="45"/>
      <c r="J20" s="46"/>
      <c r="K20" s="44"/>
      <c r="M20" s="151"/>
    </row>
    <row r="21" spans="2:13" ht="15" x14ac:dyDescent="0.25">
      <c r="B21" s="4" t="s">
        <v>42</v>
      </c>
      <c r="C21" s="41" t="s">
        <v>36</v>
      </c>
      <c r="D21" s="47"/>
      <c r="E21" s="220"/>
      <c r="F21" s="54">
        <v>34.270000000000003</v>
      </c>
      <c r="G21" s="44"/>
      <c r="H21" s="37"/>
      <c r="I21" s="45"/>
      <c r="J21" s="54">
        <f>'2017 Proposed Rates'!C10</f>
        <v>42.18</v>
      </c>
      <c r="K21" s="44"/>
      <c r="M21" s="204">
        <f t="shared" ref="M21:M22" si="1">(J21-F21)/F21</f>
        <v>0.23081412313977229</v>
      </c>
    </row>
    <row r="22" spans="2:13" ht="15" x14ac:dyDescent="0.25">
      <c r="B22" s="4" t="s">
        <v>43</v>
      </c>
      <c r="C22" s="41" t="s">
        <v>44</v>
      </c>
      <c r="D22" s="52"/>
      <c r="E22" s="220"/>
      <c r="F22" s="53">
        <v>0.14349999999999999</v>
      </c>
      <c r="G22" s="44"/>
      <c r="H22" s="37"/>
      <c r="I22" s="45"/>
      <c r="J22" s="53">
        <f>'2017 Proposed Rates'!D10</f>
        <v>0.14019999999999999</v>
      </c>
      <c r="K22" s="44"/>
      <c r="M22" s="204">
        <f t="shared" si="1"/>
        <v>-2.2996515679442494E-2</v>
      </c>
    </row>
    <row r="23" spans="2:13" ht="15" x14ac:dyDescent="0.25">
      <c r="B23" s="4"/>
      <c r="C23" s="41"/>
      <c r="D23" s="42"/>
      <c r="E23" s="45"/>
      <c r="F23" s="46"/>
      <c r="G23" s="44"/>
      <c r="H23" s="37"/>
      <c r="I23" s="45"/>
      <c r="J23" s="46"/>
      <c r="K23" s="44"/>
      <c r="M23" s="151"/>
    </row>
    <row r="24" spans="2:13" ht="15" x14ac:dyDescent="0.25">
      <c r="B24" s="38" t="s">
        <v>9</v>
      </c>
      <c r="C24" s="41"/>
      <c r="D24" s="42"/>
      <c r="E24" s="45"/>
      <c r="F24" s="46"/>
      <c r="G24" s="44"/>
      <c r="H24" s="37"/>
      <c r="I24" s="45"/>
      <c r="J24" s="46"/>
      <c r="K24" s="44"/>
      <c r="M24" s="151"/>
    </row>
    <row r="25" spans="2:13" ht="15" x14ac:dyDescent="0.25">
      <c r="B25" s="55" t="s">
        <v>42</v>
      </c>
      <c r="C25" s="41" t="s">
        <v>36</v>
      </c>
      <c r="D25" s="47"/>
      <c r="E25" s="220"/>
      <c r="F25" s="54">
        <v>1.34</v>
      </c>
      <c r="G25" s="44"/>
      <c r="H25" s="37"/>
      <c r="I25" s="45"/>
      <c r="J25" s="54">
        <f>'2017 Proposed Rates'!C11</f>
        <v>1.48</v>
      </c>
      <c r="K25" s="44"/>
      <c r="M25" s="204">
        <f t="shared" ref="M25:M26" si="2">(J25-F25)/F25</f>
        <v>0.10447761194029843</v>
      </c>
    </row>
    <row r="26" spans="2:13" ht="15" x14ac:dyDescent="0.25">
      <c r="B26" s="4" t="s">
        <v>43</v>
      </c>
      <c r="C26" s="41" t="s">
        <v>44</v>
      </c>
      <c r="D26" s="52"/>
      <c r="E26" s="220"/>
      <c r="F26" s="53">
        <v>0.21640000000000001</v>
      </c>
      <c r="G26" s="44"/>
      <c r="H26" s="37"/>
      <c r="I26" s="45"/>
      <c r="J26" s="53">
        <f>'2017 Proposed Rates'!D11</f>
        <v>0.23899999999999999</v>
      </c>
      <c r="K26" s="44"/>
      <c r="M26" s="204">
        <f t="shared" si="2"/>
        <v>0.10443622920517551</v>
      </c>
    </row>
    <row r="27" spans="2:13" ht="15" x14ac:dyDescent="0.25">
      <c r="B27" s="4"/>
      <c r="C27" s="41"/>
      <c r="D27" s="42"/>
      <c r="E27" s="45"/>
      <c r="F27" s="46"/>
      <c r="G27" s="44"/>
      <c r="H27" s="37"/>
      <c r="I27" s="45"/>
      <c r="J27" s="46"/>
      <c r="K27" s="44"/>
      <c r="M27" s="151"/>
    </row>
    <row r="28" spans="2:13" ht="15.75" thickBot="1" x14ac:dyDescent="0.3">
      <c r="B28" s="56" t="s">
        <v>46</v>
      </c>
      <c r="C28" s="57" t="s">
        <v>36</v>
      </c>
      <c r="D28" s="58"/>
      <c r="E28" s="221"/>
      <c r="F28" s="59">
        <v>13678440</v>
      </c>
      <c r="G28" s="60"/>
      <c r="H28" s="61"/>
      <c r="I28" s="62"/>
      <c r="J28" s="59">
        <f>'2017 RRRP Rate Design'!M16</f>
        <v>13498951.709494811</v>
      </c>
      <c r="K28" s="60"/>
      <c r="M28" s="204">
        <f>(J28-F28)/F28</f>
        <v>-1.3121985438777335E-2</v>
      </c>
    </row>
  </sheetData>
  <mergeCells count="13">
    <mergeCell ref="B6:D6"/>
    <mergeCell ref="E6:G6"/>
    <mergeCell ref="I6:K6"/>
    <mergeCell ref="E7:G7"/>
    <mergeCell ref="I7:K7"/>
    <mergeCell ref="M4:M5"/>
    <mergeCell ref="B2:K2"/>
    <mergeCell ref="B4:D4"/>
    <mergeCell ref="E4:G4"/>
    <mergeCell ref="I4:K4"/>
    <mergeCell ref="E5:G5"/>
    <mergeCell ref="I5:K5"/>
    <mergeCell ref="B5:D5"/>
  </mergeCells>
  <pageMargins left="0.7" right="0.7" top="0.75" bottom="0.75" header="0.3" footer="0.3"/>
  <pageSetup scale="7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O71"/>
  <sheetViews>
    <sheetView workbookViewId="0">
      <selection activeCell="D41" sqref="D41"/>
    </sheetView>
  </sheetViews>
  <sheetFormatPr defaultRowHeight="14.4" x14ac:dyDescent="0.3"/>
  <cols>
    <col min="1" max="1" width="10.5546875" customWidth="1"/>
    <col min="2" max="2" width="48.44140625" bestFit="1" customWidth="1"/>
    <col min="3" max="5" width="15.6640625" customWidth="1"/>
    <col min="6" max="9" width="0" hidden="1" customWidth="1"/>
    <col min="10" max="10" width="15.6640625" customWidth="1"/>
    <col min="11" max="14" width="0" hidden="1" customWidth="1"/>
    <col min="15" max="15" width="15.6640625" customWidth="1"/>
  </cols>
  <sheetData>
    <row r="1" spans="1:15" ht="18" x14ac:dyDescent="0.25">
      <c r="A1" s="315" t="s">
        <v>174</v>
      </c>
      <c r="B1" s="315"/>
      <c r="C1" s="315"/>
      <c r="D1" s="315"/>
      <c r="E1" s="315"/>
      <c r="F1" s="63"/>
      <c r="G1" s="63"/>
      <c r="H1" s="63"/>
      <c r="I1" s="63"/>
      <c r="J1" s="63"/>
      <c r="K1" s="63"/>
      <c r="L1" s="63"/>
      <c r="M1" s="63"/>
      <c r="N1" s="63"/>
      <c r="O1" s="63"/>
    </row>
    <row r="2" spans="1:15" ht="20.25" x14ac:dyDescent="0.3">
      <c r="A2" s="64" t="s">
        <v>47</v>
      </c>
      <c r="B2" s="65"/>
      <c r="C2" s="66"/>
      <c r="D2" s="66"/>
      <c r="E2" s="67"/>
      <c r="F2" s="63"/>
      <c r="G2" s="63"/>
      <c r="H2" s="63"/>
      <c r="I2" s="63"/>
      <c r="J2" s="63"/>
      <c r="K2" s="63"/>
      <c r="L2" s="63"/>
      <c r="M2" s="63"/>
      <c r="N2" s="63"/>
      <c r="O2" s="63"/>
    </row>
    <row r="3" spans="1:15" ht="15" x14ac:dyDescent="0.25">
      <c r="A3" s="68"/>
      <c r="B3" s="68"/>
      <c r="C3" s="69"/>
      <c r="D3" s="69"/>
      <c r="E3" s="68"/>
      <c r="F3" s="68"/>
      <c r="G3" s="68"/>
      <c r="H3" s="68"/>
      <c r="I3" s="68"/>
      <c r="J3" s="68"/>
      <c r="K3" s="68"/>
      <c r="L3" s="68"/>
      <c r="M3" s="68"/>
      <c r="N3" s="68"/>
      <c r="O3" s="68"/>
    </row>
    <row r="4" spans="1:15" ht="15" x14ac:dyDescent="0.25">
      <c r="A4" s="70"/>
      <c r="B4" s="71"/>
      <c r="C4" s="71"/>
      <c r="D4" s="71"/>
      <c r="E4" s="71"/>
      <c r="F4" s="71"/>
      <c r="G4" s="71"/>
      <c r="H4" s="71"/>
      <c r="I4" s="71"/>
      <c r="J4" s="71"/>
      <c r="K4" s="71"/>
      <c r="L4" s="71"/>
      <c r="M4" s="72"/>
      <c r="N4" s="72"/>
      <c r="O4" s="72"/>
    </row>
    <row r="5" spans="1:15" ht="15.75" thickBot="1" x14ac:dyDescent="0.3">
      <c r="A5" s="73"/>
      <c r="B5" s="74"/>
      <c r="C5" s="316"/>
      <c r="D5" s="316"/>
      <c r="E5" s="316"/>
      <c r="F5" s="316"/>
      <c r="G5" s="316"/>
      <c r="H5" s="316"/>
      <c r="I5" s="316"/>
      <c r="J5" s="316"/>
      <c r="K5" s="316"/>
      <c r="L5" s="316"/>
      <c r="M5" s="72"/>
      <c r="N5" s="72"/>
      <c r="O5" s="72"/>
    </row>
    <row r="6" spans="1:15" ht="15" x14ac:dyDescent="0.25">
      <c r="A6" s="75"/>
      <c r="B6" s="76"/>
      <c r="C6" s="77"/>
      <c r="D6" s="78">
        <v>1</v>
      </c>
      <c r="E6" s="78">
        <v>2</v>
      </c>
      <c r="F6" s="78">
        <v>3</v>
      </c>
      <c r="G6" s="78">
        <v>4</v>
      </c>
      <c r="H6" s="78">
        <v>5</v>
      </c>
      <c r="I6" s="78">
        <v>6</v>
      </c>
      <c r="J6" s="78">
        <v>7</v>
      </c>
      <c r="K6" s="78">
        <v>8</v>
      </c>
      <c r="L6" s="78">
        <v>9</v>
      </c>
      <c r="M6" s="78">
        <v>10</v>
      </c>
      <c r="N6" s="78">
        <v>11</v>
      </c>
      <c r="O6" s="78">
        <v>12</v>
      </c>
    </row>
    <row r="7" spans="1:15" ht="51.75" thickBot="1" x14ac:dyDescent="0.3">
      <c r="A7" s="79" t="s">
        <v>48</v>
      </c>
      <c r="B7" s="80"/>
      <c r="C7" s="81" t="s">
        <v>49</v>
      </c>
      <c r="D7" s="82" t="s">
        <v>50</v>
      </c>
      <c r="E7" s="82" t="s">
        <v>51</v>
      </c>
      <c r="F7" s="82" t="s">
        <v>52</v>
      </c>
      <c r="G7" s="82" t="s">
        <v>53</v>
      </c>
      <c r="H7" s="82" t="s">
        <v>54</v>
      </c>
      <c r="I7" s="82" t="s">
        <v>55</v>
      </c>
      <c r="J7" s="82" t="s">
        <v>56</v>
      </c>
      <c r="K7" s="82" t="s">
        <v>57</v>
      </c>
      <c r="L7" s="82" t="s">
        <v>58</v>
      </c>
      <c r="M7" s="82" t="s">
        <v>59</v>
      </c>
      <c r="N7" s="82" t="s">
        <v>60</v>
      </c>
      <c r="O7" s="82" t="s">
        <v>8</v>
      </c>
    </row>
    <row r="8" spans="1:15" ht="15" x14ac:dyDescent="0.25">
      <c r="A8" s="83" t="s">
        <v>61</v>
      </c>
      <c r="B8" s="84" t="s">
        <v>62</v>
      </c>
      <c r="C8" s="85">
        <v>20478676.201099999</v>
      </c>
      <c r="D8" s="86">
        <v>14900659.6505</v>
      </c>
      <c r="E8" s="86">
        <v>3674440.8198000002</v>
      </c>
      <c r="F8" s="86">
        <v>0</v>
      </c>
      <c r="G8" s="86">
        <v>0</v>
      </c>
      <c r="H8" s="86">
        <v>0</v>
      </c>
      <c r="I8" s="86">
        <v>0</v>
      </c>
      <c r="J8" s="86">
        <v>139696.788</v>
      </c>
      <c r="K8" s="86">
        <v>0</v>
      </c>
      <c r="L8" s="86">
        <v>0</v>
      </c>
      <c r="M8" s="86">
        <v>0</v>
      </c>
      <c r="N8" s="86">
        <v>0</v>
      </c>
      <c r="O8" s="86">
        <v>1763878.9427999998</v>
      </c>
    </row>
    <row r="9" spans="1:15" ht="15" x14ac:dyDescent="0.25">
      <c r="A9" s="83" t="s">
        <v>63</v>
      </c>
      <c r="B9" s="84" t="s">
        <v>64</v>
      </c>
      <c r="C9" s="87">
        <v>466757.64</v>
      </c>
      <c r="D9" s="88">
        <v>292845.03390436457</v>
      </c>
      <c r="E9" s="88">
        <v>75826.547480141744</v>
      </c>
      <c r="F9" s="88">
        <v>0</v>
      </c>
      <c r="G9" s="88">
        <v>0</v>
      </c>
      <c r="H9" s="88">
        <v>0</v>
      </c>
      <c r="I9" s="88">
        <v>0</v>
      </c>
      <c r="J9" s="88">
        <v>18777.981852369074</v>
      </c>
      <c r="K9" s="88">
        <v>0</v>
      </c>
      <c r="L9" s="88">
        <v>0</v>
      </c>
      <c r="M9" s="88">
        <v>0</v>
      </c>
      <c r="N9" s="88">
        <v>0</v>
      </c>
      <c r="O9" s="88">
        <v>79308.076763124598</v>
      </c>
    </row>
    <row r="10" spans="1:15" ht="15.75" thickBot="1" x14ac:dyDescent="0.3">
      <c r="A10" s="83"/>
      <c r="B10" s="84"/>
      <c r="C10" s="317" t="s">
        <v>65</v>
      </c>
      <c r="D10" s="318"/>
      <c r="E10" s="318"/>
      <c r="F10" s="319"/>
      <c r="G10" s="88"/>
      <c r="H10" s="88"/>
      <c r="I10" s="88"/>
      <c r="J10" s="88"/>
      <c r="K10" s="88"/>
      <c r="L10" s="88"/>
      <c r="M10" s="89"/>
      <c r="N10" s="89"/>
      <c r="O10" s="89"/>
    </row>
    <row r="11" spans="1:15" ht="15.75" thickBot="1" x14ac:dyDescent="0.3">
      <c r="A11" s="83"/>
      <c r="B11" s="90" t="s">
        <v>66</v>
      </c>
      <c r="C11" s="91">
        <v>20945433.8411</v>
      </c>
      <c r="D11" s="92">
        <v>15193504.684404364</v>
      </c>
      <c r="E11" s="92">
        <v>3750267.3672801419</v>
      </c>
      <c r="F11" s="92">
        <v>0</v>
      </c>
      <c r="G11" s="92">
        <v>0</v>
      </c>
      <c r="H11" s="92">
        <v>0</v>
      </c>
      <c r="I11" s="92">
        <v>0</v>
      </c>
      <c r="J11" s="92">
        <v>158474.76985236906</v>
      </c>
      <c r="K11" s="92">
        <v>0</v>
      </c>
      <c r="L11" s="92">
        <v>0</v>
      </c>
      <c r="M11" s="92">
        <v>0</v>
      </c>
      <c r="N11" s="92">
        <v>0</v>
      </c>
      <c r="O11" s="92">
        <v>1843187.0195631245</v>
      </c>
    </row>
    <row r="12" spans="1:15" ht="16.5" thickTop="1" thickBot="1" x14ac:dyDescent="0.3">
      <c r="A12" s="83"/>
      <c r="B12" s="84" t="s">
        <v>67</v>
      </c>
      <c r="C12" s="93">
        <v>1.1141433338983067</v>
      </c>
      <c r="D12" s="88"/>
      <c r="E12" s="88"/>
      <c r="F12" s="88"/>
      <c r="G12" s="88"/>
      <c r="H12" s="88"/>
      <c r="I12" s="88"/>
      <c r="J12" s="88"/>
      <c r="K12" s="88"/>
      <c r="L12" s="88"/>
      <c r="M12" s="94"/>
      <c r="N12" s="94"/>
      <c r="O12" s="94"/>
    </row>
    <row r="13" spans="1:15" ht="15" x14ac:dyDescent="0.25">
      <c r="A13" s="83"/>
      <c r="B13" s="84" t="s">
        <v>68</v>
      </c>
      <c r="C13" s="85">
        <v>22816180.576517463</v>
      </c>
      <c r="D13" s="86">
        <v>16601470.620292047</v>
      </c>
      <c r="E13" s="86">
        <v>4093853.7451839992</v>
      </c>
      <c r="F13" s="86">
        <v>0</v>
      </c>
      <c r="G13" s="86">
        <v>0</v>
      </c>
      <c r="H13" s="86">
        <v>0</v>
      </c>
      <c r="I13" s="86">
        <v>0</v>
      </c>
      <c r="J13" s="86">
        <v>155642.24511720496</v>
      </c>
      <c r="K13" s="86">
        <v>0</v>
      </c>
      <c r="L13" s="86">
        <v>0</v>
      </c>
      <c r="M13" s="86">
        <v>0</v>
      </c>
      <c r="N13" s="86">
        <v>0</v>
      </c>
      <c r="O13" s="86">
        <v>1965213.9659242125</v>
      </c>
    </row>
    <row r="14" spans="1:15" ht="15.75" thickBot="1" x14ac:dyDescent="0.3">
      <c r="A14" s="83"/>
      <c r="B14" s="84" t="s">
        <v>64</v>
      </c>
      <c r="C14" s="95">
        <v>466757.64</v>
      </c>
      <c r="D14" s="89">
        <v>292845.03390436457</v>
      </c>
      <c r="E14" s="89">
        <v>75826.547480141744</v>
      </c>
      <c r="F14" s="89">
        <v>0</v>
      </c>
      <c r="G14" s="89">
        <v>0</v>
      </c>
      <c r="H14" s="89">
        <v>0</v>
      </c>
      <c r="I14" s="89">
        <v>0</v>
      </c>
      <c r="J14" s="89">
        <v>18777.981852369074</v>
      </c>
      <c r="K14" s="89">
        <v>0</v>
      </c>
      <c r="L14" s="89">
        <v>0</v>
      </c>
      <c r="M14" s="89">
        <v>0</v>
      </c>
      <c r="N14" s="89">
        <v>0</v>
      </c>
      <c r="O14" s="89">
        <v>79308.076763124598</v>
      </c>
    </row>
    <row r="15" spans="1:15" ht="15.75" thickBot="1" x14ac:dyDescent="0.3">
      <c r="A15" s="83"/>
      <c r="B15" s="90" t="s">
        <v>69</v>
      </c>
      <c r="C15" s="91">
        <v>23282938.216517463</v>
      </c>
      <c r="D15" s="92">
        <v>16894315.654196411</v>
      </c>
      <c r="E15" s="92">
        <v>4169680.2926641409</v>
      </c>
      <c r="F15" s="92">
        <v>0</v>
      </c>
      <c r="G15" s="92">
        <v>0</v>
      </c>
      <c r="H15" s="92">
        <v>0</v>
      </c>
      <c r="I15" s="92">
        <v>0</v>
      </c>
      <c r="J15" s="92">
        <v>174420.22696957403</v>
      </c>
      <c r="K15" s="92">
        <v>0</v>
      </c>
      <c r="L15" s="92">
        <v>0</v>
      </c>
      <c r="M15" s="92">
        <v>0</v>
      </c>
      <c r="N15" s="92">
        <v>0</v>
      </c>
      <c r="O15" s="92">
        <v>2044522.0426873371</v>
      </c>
    </row>
    <row r="16" spans="1:15" ht="15.75" thickTop="1" x14ac:dyDescent="0.25">
      <c r="A16" s="83"/>
      <c r="B16" s="84"/>
      <c r="C16" s="96"/>
      <c r="D16" s="88"/>
      <c r="E16" s="88"/>
      <c r="F16" s="88"/>
      <c r="G16" s="88"/>
      <c r="H16" s="88"/>
      <c r="I16" s="88"/>
      <c r="J16" s="88"/>
      <c r="K16" s="88"/>
      <c r="L16" s="88"/>
      <c r="M16" s="94"/>
      <c r="N16" s="94"/>
      <c r="O16" s="94"/>
    </row>
    <row r="17" spans="1:15" ht="15" x14ac:dyDescent="0.25">
      <c r="A17" s="83"/>
      <c r="B17" s="97" t="s">
        <v>70</v>
      </c>
      <c r="C17" s="96"/>
      <c r="D17" s="88"/>
      <c r="E17" s="88"/>
      <c r="F17" s="88"/>
      <c r="G17" s="88"/>
      <c r="H17" s="88"/>
      <c r="I17" s="88"/>
      <c r="J17" s="88"/>
      <c r="K17" s="88"/>
      <c r="L17" s="88"/>
      <c r="M17" s="94"/>
      <c r="N17" s="94"/>
      <c r="O17" s="94"/>
    </row>
    <row r="18" spans="1:15" ht="15" x14ac:dyDescent="0.25">
      <c r="A18" s="83" t="s">
        <v>71</v>
      </c>
      <c r="B18" s="84" t="s">
        <v>72</v>
      </c>
      <c r="C18" s="96">
        <v>5795694.4399999995</v>
      </c>
      <c r="D18" s="88">
        <v>3667981.5955145527</v>
      </c>
      <c r="E18" s="88">
        <v>1069576.8758549565</v>
      </c>
      <c r="F18" s="88">
        <v>0</v>
      </c>
      <c r="G18" s="88">
        <v>0</v>
      </c>
      <c r="H18" s="88">
        <v>0</v>
      </c>
      <c r="I18" s="88">
        <v>0</v>
      </c>
      <c r="J18" s="88">
        <v>204322.5872712658</v>
      </c>
      <c r="K18" s="88">
        <v>0</v>
      </c>
      <c r="L18" s="88">
        <v>0</v>
      </c>
      <c r="M18" s="88">
        <v>0</v>
      </c>
      <c r="N18" s="88">
        <v>0</v>
      </c>
      <c r="O18" s="88">
        <v>853813.38135922479</v>
      </c>
    </row>
    <row r="19" spans="1:15" ht="15" x14ac:dyDescent="0.25">
      <c r="A19" s="83" t="s">
        <v>73</v>
      </c>
      <c r="B19" s="84" t="s">
        <v>74</v>
      </c>
      <c r="C19" s="96">
        <v>2036392.2</v>
      </c>
      <c r="D19" s="88">
        <v>1507777.7390144041</v>
      </c>
      <c r="E19" s="88">
        <v>36643.730989477452</v>
      </c>
      <c r="F19" s="88">
        <v>0</v>
      </c>
      <c r="G19" s="88">
        <v>0</v>
      </c>
      <c r="H19" s="88">
        <v>0</v>
      </c>
      <c r="I19" s="88">
        <v>0</v>
      </c>
      <c r="J19" s="88">
        <v>9141.4340380565736</v>
      </c>
      <c r="K19" s="88">
        <v>0</v>
      </c>
      <c r="L19" s="88">
        <v>0</v>
      </c>
      <c r="M19" s="88">
        <v>0</v>
      </c>
      <c r="N19" s="88">
        <v>0</v>
      </c>
      <c r="O19" s="88">
        <v>482829.29595806188</v>
      </c>
    </row>
    <row r="20" spans="1:15" ht="15" x14ac:dyDescent="0.25">
      <c r="A20" s="83" t="s">
        <v>75</v>
      </c>
      <c r="B20" s="84" t="s">
        <v>76</v>
      </c>
      <c r="C20" s="96">
        <v>4580592.120000001</v>
      </c>
      <c r="D20" s="88">
        <v>3023163.2103913883</v>
      </c>
      <c r="E20" s="88">
        <v>653755.69449001376</v>
      </c>
      <c r="F20" s="88">
        <v>0</v>
      </c>
      <c r="G20" s="88">
        <v>0</v>
      </c>
      <c r="H20" s="88">
        <v>0</v>
      </c>
      <c r="I20" s="88">
        <v>0</v>
      </c>
      <c r="J20" s="88">
        <v>125799.49132797636</v>
      </c>
      <c r="K20" s="88">
        <v>0</v>
      </c>
      <c r="L20" s="88">
        <v>0</v>
      </c>
      <c r="M20" s="88">
        <v>0</v>
      </c>
      <c r="N20" s="88">
        <v>0</v>
      </c>
      <c r="O20" s="88">
        <v>777873.72379062255</v>
      </c>
    </row>
    <row r="21" spans="1:15" ht="15" x14ac:dyDescent="0.25">
      <c r="A21" s="83" t="s">
        <v>77</v>
      </c>
      <c r="B21" s="84" t="s">
        <v>78</v>
      </c>
      <c r="C21" s="98">
        <v>3899208.7288166666</v>
      </c>
      <c r="D21" s="99">
        <v>2504649.3798755757</v>
      </c>
      <c r="E21" s="99">
        <v>680360.02239908441</v>
      </c>
      <c r="F21" s="99">
        <v>0</v>
      </c>
      <c r="G21" s="99">
        <v>0</v>
      </c>
      <c r="H21" s="99">
        <v>0</v>
      </c>
      <c r="I21" s="99">
        <v>0</v>
      </c>
      <c r="J21" s="99">
        <v>123961.81817109598</v>
      </c>
      <c r="K21" s="99">
        <v>0</v>
      </c>
      <c r="L21" s="99">
        <v>0</v>
      </c>
      <c r="M21" s="99">
        <v>0</v>
      </c>
      <c r="N21" s="99">
        <v>0</v>
      </c>
      <c r="O21" s="99">
        <v>590237.508370911</v>
      </c>
    </row>
    <row r="22" spans="1:15" ht="15" x14ac:dyDescent="0.25">
      <c r="A22" s="83" t="s">
        <v>79</v>
      </c>
      <c r="B22" s="84" t="s">
        <v>80</v>
      </c>
      <c r="C22" s="96">
        <v>409652.99999999988</v>
      </c>
      <c r="D22" s="88">
        <v>260408.60459714194</v>
      </c>
      <c r="E22" s="88">
        <v>75900.788251064529</v>
      </c>
      <c r="F22" s="88">
        <v>0</v>
      </c>
      <c r="G22" s="88">
        <v>0</v>
      </c>
      <c r="H22" s="88">
        <v>0</v>
      </c>
      <c r="I22" s="88">
        <v>0</v>
      </c>
      <c r="J22" s="88">
        <v>13697.426270472708</v>
      </c>
      <c r="K22" s="88">
        <v>0</v>
      </c>
      <c r="L22" s="88">
        <v>0</v>
      </c>
      <c r="M22" s="88">
        <v>0</v>
      </c>
      <c r="N22" s="88">
        <v>0</v>
      </c>
      <c r="O22" s="88">
        <v>59646.180881320761</v>
      </c>
    </row>
    <row r="23" spans="1:15" ht="15.75" thickBot="1" x14ac:dyDescent="0.3">
      <c r="A23" s="83" t="s">
        <v>81</v>
      </c>
      <c r="B23" s="84" t="s">
        <v>82</v>
      </c>
      <c r="C23" s="95">
        <v>2913125.6442608</v>
      </c>
      <c r="D23" s="89">
        <v>1851818.4513188116</v>
      </c>
      <c r="E23" s="89">
        <v>539745.91342864558</v>
      </c>
      <c r="F23" s="89">
        <v>0</v>
      </c>
      <c r="G23" s="89">
        <v>0</v>
      </c>
      <c r="H23" s="89">
        <v>0</v>
      </c>
      <c r="I23" s="89">
        <v>0</v>
      </c>
      <c r="J23" s="89">
        <v>97405.178843766858</v>
      </c>
      <c r="K23" s="89">
        <v>0</v>
      </c>
      <c r="L23" s="89">
        <v>0</v>
      </c>
      <c r="M23" s="89">
        <v>0</v>
      </c>
      <c r="N23" s="89">
        <v>0</v>
      </c>
      <c r="O23" s="89">
        <v>424156.10066957591</v>
      </c>
    </row>
    <row r="24" spans="1:15" ht="15.75" thickBot="1" x14ac:dyDescent="0.3">
      <c r="A24" s="83"/>
      <c r="B24" s="90" t="s">
        <v>83</v>
      </c>
      <c r="C24" s="91">
        <v>19634666.133077469</v>
      </c>
      <c r="D24" s="92">
        <v>12815798.980711874</v>
      </c>
      <c r="E24" s="92">
        <v>3055983.0254132422</v>
      </c>
      <c r="F24" s="92">
        <v>0</v>
      </c>
      <c r="G24" s="92">
        <v>0</v>
      </c>
      <c r="H24" s="92">
        <v>0</v>
      </c>
      <c r="I24" s="92">
        <v>0</v>
      </c>
      <c r="J24" s="92">
        <v>574327.93592263432</v>
      </c>
      <c r="K24" s="92">
        <v>0</v>
      </c>
      <c r="L24" s="92">
        <v>0</v>
      </c>
      <c r="M24" s="92">
        <v>0</v>
      </c>
      <c r="N24" s="92">
        <v>0</v>
      </c>
      <c r="O24" s="92">
        <v>3188556.1910297167</v>
      </c>
    </row>
    <row r="25" spans="1:15" ht="15.75" thickTop="1" x14ac:dyDescent="0.25">
      <c r="A25" s="83"/>
      <c r="B25" s="97"/>
      <c r="C25" s="96"/>
      <c r="D25" s="100"/>
      <c r="E25" s="100"/>
      <c r="F25" s="100"/>
      <c r="G25" s="100"/>
      <c r="H25" s="100"/>
      <c r="I25" s="100"/>
      <c r="J25" s="100"/>
      <c r="K25" s="100"/>
      <c r="L25" s="100"/>
      <c r="M25" s="100"/>
      <c r="N25" s="100"/>
      <c r="O25" s="100"/>
    </row>
    <row r="26" spans="1:15" ht="15" x14ac:dyDescent="0.25">
      <c r="A26" s="83"/>
      <c r="B26" s="97" t="s">
        <v>84</v>
      </c>
      <c r="C26" s="96">
        <v>0</v>
      </c>
      <c r="D26" s="100">
        <v>0</v>
      </c>
      <c r="E26" s="100">
        <v>0</v>
      </c>
      <c r="F26" s="100">
        <v>0</v>
      </c>
      <c r="G26" s="100">
        <v>0</v>
      </c>
      <c r="H26" s="100">
        <v>0</v>
      </c>
      <c r="I26" s="100">
        <v>0</v>
      </c>
      <c r="J26" s="100">
        <v>0</v>
      </c>
      <c r="K26" s="100">
        <v>0</v>
      </c>
      <c r="L26" s="100">
        <v>0</v>
      </c>
      <c r="M26" s="100">
        <v>0</v>
      </c>
      <c r="N26" s="100">
        <v>0</v>
      </c>
      <c r="O26" s="100">
        <v>0</v>
      </c>
    </row>
    <row r="27" spans="1:15" ht="15" x14ac:dyDescent="0.25">
      <c r="A27" s="83"/>
      <c r="B27" s="84"/>
      <c r="C27" s="96"/>
      <c r="D27" s="88"/>
      <c r="E27" s="88"/>
      <c r="F27" s="88"/>
      <c r="G27" s="88"/>
      <c r="H27" s="88"/>
      <c r="I27" s="88"/>
      <c r="J27" s="88"/>
      <c r="K27" s="88"/>
      <c r="L27" s="88"/>
      <c r="M27" s="94"/>
      <c r="N27" s="94"/>
      <c r="O27" s="94"/>
    </row>
    <row r="28" spans="1:15" ht="15" x14ac:dyDescent="0.25">
      <c r="A28" s="83" t="s">
        <v>85</v>
      </c>
      <c r="B28" s="84" t="s">
        <v>86</v>
      </c>
      <c r="C28" s="96">
        <v>3648272.0834400002</v>
      </c>
      <c r="D28" s="88">
        <v>2319137.031681248</v>
      </c>
      <c r="E28" s="88">
        <v>675954.3488939408</v>
      </c>
      <c r="F28" s="88">
        <v>0</v>
      </c>
      <c r="G28" s="88">
        <v>0</v>
      </c>
      <c r="H28" s="88">
        <v>0</v>
      </c>
      <c r="I28" s="88">
        <v>0</v>
      </c>
      <c r="J28" s="88">
        <v>121986.01713533959</v>
      </c>
      <c r="K28" s="88">
        <v>0</v>
      </c>
      <c r="L28" s="88">
        <v>0</v>
      </c>
      <c r="M28" s="88">
        <v>0</v>
      </c>
      <c r="N28" s="88">
        <v>0</v>
      </c>
      <c r="O28" s="88">
        <v>531194.68572947162</v>
      </c>
    </row>
    <row r="29" spans="1:15" ht="15" x14ac:dyDescent="0.25">
      <c r="A29" s="83"/>
      <c r="B29" s="84"/>
      <c r="C29" s="96"/>
      <c r="D29" s="88"/>
      <c r="E29" s="88"/>
      <c r="F29" s="88"/>
      <c r="G29" s="88"/>
      <c r="H29" s="88"/>
      <c r="I29" s="88"/>
      <c r="J29" s="88"/>
      <c r="K29" s="88"/>
      <c r="L29" s="88"/>
      <c r="M29" s="94"/>
      <c r="N29" s="94"/>
      <c r="O29" s="94"/>
    </row>
    <row r="30" spans="1:15" ht="15" x14ac:dyDescent="0.25">
      <c r="A30" s="83"/>
      <c r="B30" s="97" t="s">
        <v>87</v>
      </c>
      <c r="C30" s="96">
        <v>23282938.216517463</v>
      </c>
      <c r="D30" s="101">
        <v>15134936.012393121</v>
      </c>
      <c r="E30" s="101">
        <v>3731937.3743071831</v>
      </c>
      <c r="F30" s="101">
        <v>0</v>
      </c>
      <c r="G30" s="101">
        <v>0</v>
      </c>
      <c r="H30" s="101">
        <v>0</v>
      </c>
      <c r="I30" s="101">
        <v>0</v>
      </c>
      <c r="J30" s="101">
        <v>696313.95305797388</v>
      </c>
      <c r="K30" s="101">
        <v>0</v>
      </c>
      <c r="L30" s="101">
        <v>0</v>
      </c>
      <c r="M30" s="101">
        <v>0</v>
      </c>
      <c r="N30" s="101">
        <v>0</v>
      </c>
      <c r="O30" s="101">
        <v>3719750.8767591882</v>
      </c>
    </row>
    <row r="31" spans="1:15" ht="15" x14ac:dyDescent="0.25">
      <c r="A31" s="102"/>
      <c r="B31" s="84"/>
      <c r="C31" s="320" t="s">
        <v>88</v>
      </c>
      <c r="D31" s="321"/>
      <c r="E31" s="322"/>
      <c r="F31" s="88"/>
      <c r="G31" s="88"/>
      <c r="H31" s="88"/>
      <c r="I31" s="88"/>
      <c r="J31" s="88"/>
      <c r="K31" s="88"/>
      <c r="L31" s="88"/>
      <c r="M31" s="94"/>
      <c r="N31" s="94"/>
      <c r="O31" s="94"/>
    </row>
    <row r="32" spans="1:15" ht="15" x14ac:dyDescent="0.25">
      <c r="A32" s="83"/>
      <c r="B32" s="84"/>
      <c r="C32" s="96"/>
      <c r="D32" s="88"/>
      <c r="E32" s="88"/>
      <c r="F32" s="88"/>
      <c r="G32" s="88"/>
      <c r="H32" s="88"/>
      <c r="I32" s="88"/>
      <c r="J32" s="88"/>
      <c r="K32" s="88"/>
      <c r="L32" s="88"/>
      <c r="M32" s="94"/>
      <c r="N32" s="94"/>
      <c r="O32" s="94"/>
    </row>
    <row r="33" spans="1:15" ht="15" x14ac:dyDescent="0.25">
      <c r="A33" s="83"/>
      <c r="B33" s="84"/>
      <c r="C33" s="96"/>
      <c r="D33" s="88"/>
      <c r="E33" s="88"/>
      <c r="F33" s="88"/>
      <c r="G33" s="88"/>
      <c r="H33" s="88"/>
      <c r="I33" s="88"/>
      <c r="J33" s="88"/>
      <c r="K33" s="88"/>
      <c r="L33" s="88"/>
      <c r="M33" s="94"/>
      <c r="N33" s="94"/>
      <c r="O33" s="94"/>
    </row>
    <row r="34" spans="1:15" x14ac:dyDescent="0.3">
      <c r="A34" s="83"/>
      <c r="B34" s="97" t="s">
        <v>89</v>
      </c>
      <c r="C34" s="96"/>
      <c r="D34" s="88"/>
      <c r="E34" s="88"/>
      <c r="F34" s="88"/>
      <c r="G34" s="88"/>
      <c r="H34" s="88"/>
      <c r="I34" s="88"/>
      <c r="J34" s="88"/>
      <c r="K34" s="88"/>
      <c r="L34" s="88"/>
      <c r="M34" s="94"/>
      <c r="N34" s="94"/>
      <c r="O34" s="94"/>
    </row>
    <row r="35" spans="1:15" x14ac:dyDescent="0.3">
      <c r="A35" s="83"/>
      <c r="B35" s="97"/>
      <c r="C35" s="96"/>
      <c r="D35" s="88"/>
      <c r="E35" s="88"/>
      <c r="F35" s="88"/>
      <c r="G35" s="88"/>
      <c r="H35" s="88"/>
      <c r="I35" s="88"/>
      <c r="J35" s="88"/>
      <c r="K35" s="88"/>
      <c r="L35" s="88"/>
      <c r="M35" s="94"/>
      <c r="N35" s="94"/>
      <c r="O35" s="94"/>
    </row>
    <row r="36" spans="1:15" x14ac:dyDescent="0.3">
      <c r="A36" s="83"/>
      <c r="B36" s="103" t="s">
        <v>90</v>
      </c>
      <c r="C36" s="96"/>
      <c r="D36" s="88"/>
      <c r="E36" s="88"/>
      <c r="F36" s="88"/>
      <c r="G36" s="88"/>
      <c r="H36" s="88"/>
      <c r="I36" s="88"/>
      <c r="J36" s="88"/>
      <c r="K36" s="88"/>
      <c r="L36" s="88"/>
      <c r="M36" s="94"/>
      <c r="N36" s="94"/>
      <c r="O36" s="94"/>
    </row>
    <row r="37" spans="1:15" x14ac:dyDescent="0.3">
      <c r="A37" s="83" t="s">
        <v>91</v>
      </c>
      <c r="B37" s="84" t="s">
        <v>92</v>
      </c>
      <c r="C37" s="96">
        <v>122555750.75499998</v>
      </c>
      <c r="D37" s="88">
        <v>78199285.900127128</v>
      </c>
      <c r="E37" s="88">
        <v>22170419.146495003</v>
      </c>
      <c r="F37" s="88">
        <v>0</v>
      </c>
      <c r="G37" s="88">
        <v>0</v>
      </c>
      <c r="H37" s="88">
        <v>0</v>
      </c>
      <c r="I37" s="88">
        <v>0</v>
      </c>
      <c r="J37" s="88">
        <v>4091599.6156565566</v>
      </c>
      <c r="K37" s="88">
        <v>0</v>
      </c>
      <c r="L37" s="88">
        <v>0</v>
      </c>
      <c r="M37" s="88">
        <v>0</v>
      </c>
      <c r="N37" s="88">
        <v>0</v>
      </c>
      <c r="O37" s="88">
        <v>18094446.092721298</v>
      </c>
    </row>
    <row r="38" spans="1:15" x14ac:dyDescent="0.3">
      <c r="A38" s="83" t="s">
        <v>93</v>
      </c>
      <c r="B38" s="84" t="s">
        <v>94</v>
      </c>
      <c r="C38" s="96">
        <v>39239754.173549995</v>
      </c>
      <c r="D38" s="88">
        <v>24948138.866113167</v>
      </c>
      <c r="E38" s="88">
        <v>7260204.4728470584</v>
      </c>
      <c r="F38" s="88">
        <v>0</v>
      </c>
      <c r="G38" s="88">
        <v>0</v>
      </c>
      <c r="H38" s="88">
        <v>0</v>
      </c>
      <c r="I38" s="88">
        <v>0</v>
      </c>
      <c r="J38" s="88">
        <v>1313178.0645101296</v>
      </c>
      <c r="K38" s="88">
        <v>0</v>
      </c>
      <c r="L38" s="88">
        <v>0</v>
      </c>
      <c r="M38" s="88">
        <v>0</v>
      </c>
      <c r="N38" s="88">
        <v>0</v>
      </c>
      <c r="O38" s="88">
        <v>5718232.7700796416</v>
      </c>
    </row>
    <row r="39" spans="1:15" x14ac:dyDescent="0.3">
      <c r="A39" s="83" t="s">
        <v>95</v>
      </c>
      <c r="B39" s="84" t="s">
        <v>96</v>
      </c>
      <c r="C39" s="98">
        <v>-66750600.319825009</v>
      </c>
      <c r="D39" s="99">
        <v>-42719077.835023291</v>
      </c>
      <c r="E39" s="99">
        <v>-11845257.5513069</v>
      </c>
      <c r="F39" s="99">
        <v>0</v>
      </c>
      <c r="G39" s="99">
        <v>0</v>
      </c>
      <c r="H39" s="99">
        <v>0</v>
      </c>
      <c r="I39" s="99">
        <v>0</v>
      </c>
      <c r="J39" s="99">
        <v>-2224052.2524889158</v>
      </c>
      <c r="K39" s="99">
        <v>0</v>
      </c>
      <c r="L39" s="99">
        <v>0</v>
      </c>
      <c r="M39" s="99">
        <v>0</v>
      </c>
      <c r="N39" s="99">
        <v>0</v>
      </c>
      <c r="O39" s="99">
        <v>-9962212.6810059026</v>
      </c>
    </row>
    <row r="40" spans="1:15" ht="15" thickBot="1" x14ac:dyDescent="0.35">
      <c r="A40" s="83" t="s">
        <v>97</v>
      </c>
      <c r="B40" s="84" t="s">
        <v>98</v>
      </c>
      <c r="C40" s="104">
        <v>-521234.00000000006</v>
      </c>
      <c r="D40" s="105">
        <v>-339031.34334772028</v>
      </c>
      <c r="E40" s="105">
        <v>-77846.414118781729</v>
      </c>
      <c r="F40" s="105">
        <v>0</v>
      </c>
      <c r="G40" s="105">
        <v>0</v>
      </c>
      <c r="H40" s="105">
        <v>0</v>
      </c>
      <c r="I40" s="105">
        <v>0</v>
      </c>
      <c r="J40" s="105">
        <v>-19513.986409200854</v>
      </c>
      <c r="K40" s="105">
        <v>0</v>
      </c>
      <c r="L40" s="105">
        <v>0</v>
      </c>
      <c r="M40" s="105">
        <v>0</v>
      </c>
      <c r="N40" s="105">
        <v>0</v>
      </c>
      <c r="O40" s="105">
        <v>-84842.256124297157</v>
      </c>
    </row>
    <row r="41" spans="1:15" ht="15" thickBot="1" x14ac:dyDescent="0.35">
      <c r="A41" s="83"/>
      <c r="B41" s="90" t="s">
        <v>99</v>
      </c>
      <c r="C41" s="91">
        <v>94523670.608724967</v>
      </c>
      <c r="D41" s="92">
        <v>60089315.587869287</v>
      </c>
      <c r="E41" s="92">
        <v>17507519.653916381</v>
      </c>
      <c r="F41" s="92">
        <v>0</v>
      </c>
      <c r="G41" s="92">
        <v>0</v>
      </c>
      <c r="H41" s="92">
        <v>0</v>
      </c>
      <c r="I41" s="92">
        <v>0</v>
      </c>
      <c r="J41" s="92">
        <v>3161211.4412685693</v>
      </c>
      <c r="K41" s="92">
        <v>0</v>
      </c>
      <c r="L41" s="92">
        <v>0</v>
      </c>
      <c r="M41" s="92">
        <v>0</v>
      </c>
      <c r="N41" s="92">
        <v>0</v>
      </c>
      <c r="O41" s="92">
        <v>13765623.925670741</v>
      </c>
    </row>
    <row r="42" spans="1:15" ht="15" thickTop="1" x14ac:dyDescent="0.3">
      <c r="A42" s="83"/>
      <c r="B42" s="97"/>
      <c r="C42" s="96"/>
      <c r="D42" s="100"/>
      <c r="E42" s="100"/>
      <c r="F42" s="100"/>
      <c r="G42" s="100"/>
      <c r="H42" s="100"/>
      <c r="I42" s="100"/>
      <c r="J42" s="100"/>
      <c r="K42" s="100"/>
      <c r="L42" s="100"/>
      <c r="M42" s="100"/>
      <c r="N42" s="100"/>
      <c r="O42" s="100"/>
    </row>
    <row r="43" spans="1:15" x14ac:dyDescent="0.3">
      <c r="A43" s="83"/>
      <c r="B43" s="97" t="s">
        <v>100</v>
      </c>
      <c r="C43" s="96">
        <v>0</v>
      </c>
      <c r="D43" s="100">
        <v>0</v>
      </c>
      <c r="E43" s="100">
        <v>0</v>
      </c>
      <c r="F43" s="100">
        <v>0</v>
      </c>
      <c r="G43" s="100">
        <v>0</v>
      </c>
      <c r="H43" s="100">
        <v>0</v>
      </c>
      <c r="I43" s="100">
        <v>0</v>
      </c>
      <c r="J43" s="100">
        <v>0</v>
      </c>
      <c r="K43" s="100">
        <v>0</v>
      </c>
      <c r="L43" s="100">
        <v>0</v>
      </c>
      <c r="M43" s="100">
        <v>0</v>
      </c>
      <c r="N43" s="100">
        <v>0</v>
      </c>
      <c r="O43" s="100">
        <v>0</v>
      </c>
    </row>
    <row r="44" spans="1:15" x14ac:dyDescent="0.3">
      <c r="A44" s="83"/>
      <c r="B44" s="84"/>
      <c r="C44" s="96"/>
      <c r="D44" s="88"/>
      <c r="E44" s="88"/>
      <c r="F44" s="88"/>
      <c r="G44" s="88"/>
      <c r="H44" s="88"/>
      <c r="I44" s="88"/>
      <c r="J44" s="88"/>
      <c r="K44" s="88"/>
      <c r="L44" s="88"/>
      <c r="M44" s="94"/>
      <c r="N44" s="94"/>
      <c r="O44" s="94"/>
    </row>
    <row r="45" spans="1:15" x14ac:dyDescent="0.3">
      <c r="A45" s="83"/>
      <c r="B45" s="97"/>
      <c r="C45" s="96"/>
      <c r="D45" s="88"/>
      <c r="E45" s="88"/>
      <c r="F45" s="88"/>
      <c r="G45" s="88"/>
      <c r="H45" s="88"/>
      <c r="I45" s="88"/>
      <c r="J45" s="88"/>
      <c r="K45" s="88"/>
      <c r="L45" s="88"/>
      <c r="M45" s="94"/>
      <c r="N45" s="94"/>
      <c r="O45" s="94"/>
    </row>
    <row r="46" spans="1:15" x14ac:dyDescent="0.3">
      <c r="A46" s="83" t="s">
        <v>101</v>
      </c>
      <c r="B46" s="84" t="s">
        <v>102</v>
      </c>
      <c r="C46" s="96">
        <v>23068924</v>
      </c>
      <c r="D46" s="88">
        <v>12366016.656759126</v>
      </c>
      <c r="E46" s="88">
        <v>9676699.6363034118</v>
      </c>
      <c r="F46" s="88">
        <v>0</v>
      </c>
      <c r="G46" s="88">
        <v>0</v>
      </c>
      <c r="H46" s="88">
        <v>0</v>
      </c>
      <c r="I46" s="88">
        <v>0</v>
      </c>
      <c r="J46" s="88">
        <v>100839.36604569879</v>
      </c>
      <c r="K46" s="88">
        <v>0</v>
      </c>
      <c r="L46" s="88">
        <v>0</v>
      </c>
      <c r="M46" s="88">
        <v>0</v>
      </c>
      <c r="N46" s="88">
        <v>0</v>
      </c>
      <c r="O46" s="88">
        <v>925368.34089176438</v>
      </c>
    </row>
    <row r="47" spans="1:15" x14ac:dyDescent="0.3">
      <c r="A47" s="83"/>
      <c r="B47" s="84" t="s">
        <v>103</v>
      </c>
      <c r="C47" s="96">
        <v>12412678.76</v>
      </c>
      <c r="D47" s="88">
        <v>8198922.5449203448</v>
      </c>
      <c r="E47" s="88">
        <v>1759976.3013344477</v>
      </c>
      <c r="F47" s="88">
        <v>0</v>
      </c>
      <c r="G47" s="88">
        <v>0</v>
      </c>
      <c r="H47" s="88">
        <v>0</v>
      </c>
      <c r="I47" s="88">
        <v>0</v>
      </c>
      <c r="J47" s="88">
        <v>339263.51263729873</v>
      </c>
      <c r="K47" s="88">
        <v>0</v>
      </c>
      <c r="L47" s="88">
        <v>0</v>
      </c>
      <c r="M47" s="88">
        <v>0</v>
      </c>
      <c r="N47" s="88">
        <v>0</v>
      </c>
      <c r="O47" s="88">
        <v>2114516.4011079092</v>
      </c>
    </row>
    <row r="48" spans="1:15" x14ac:dyDescent="0.3">
      <c r="A48" s="83"/>
      <c r="B48" s="106" t="s">
        <v>104</v>
      </c>
      <c r="C48" s="96">
        <v>0</v>
      </c>
      <c r="D48" s="88">
        <v>0</v>
      </c>
      <c r="E48" s="88">
        <v>0</v>
      </c>
      <c r="F48" s="88">
        <v>0</v>
      </c>
      <c r="G48" s="88">
        <v>0</v>
      </c>
      <c r="H48" s="88">
        <v>0</v>
      </c>
      <c r="I48" s="88">
        <v>0</v>
      </c>
      <c r="J48" s="88">
        <v>0</v>
      </c>
      <c r="K48" s="88">
        <v>0</v>
      </c>
      <c r="L48" s="88">
        <v>0</v>
      </c>
      <c r="M48" s="88">
        <v>0</v>
      </c>
      <c r="N48" s="88">
        <v>0</v>
      </c>
      <c r="O48" s="88">
        <v>0</v>
      </c>
    </row>
    <row r="49" spans="1:15" x14ac:dyDescent="0.3">
      <c r="A49" s="83"/>
      <c r="B49" s="107" t="s">
        <v>105</v>
      </c>
      <c r="C49" s="108">
        <v>35481602.760000005</v>
      </c>
      <c r="D49" s="109">
        <v>20564939.201679472</v>
      </c>
      <c r="E49" s="109">
        <v>11436675.93763786</v>
      </c>
      <c r="F49" s="109">
        <v>0</v>
      </c>
      <c r="G49" s="109">
        <v>0</v>
      </c>
      <c r="H49" s="109">
        <v>0</v>
      </c>
      <c r="I49" s="109">
        <v>0</v>
      </c>
      <c r="J49" s="109">
        <v>440102.87868299754</v>
      </c>
      <c r="K49" s="109">
        <v>0</v>
      </c>
      <c r="L49" s="109">
        <v>0</v>
      </c>
      <c r="M49" s="109">
        <v>0</v>
      </c>
      <c r="N49" s="109">
        <v>0</v>
      </c>
      <c r="O49" s="109">
        <v>3039884.7419996737</v>
      </c>
    </row>
    <row r="50" spans="1:15" x14ac:dyDescent="0.3">
      <c r="A50" s="83"/>
      <c r="B50" s="97"/>
      <c r="C50" s="96"/>
      <c r="D50" s="88"/>
      <c r="E50" s="88"/>
      <c r="F50" s="88"/>
      <c r="G50" s="88"/>
      <c r="H50" s="88"/>
      <c r="I50" s="88"/>
      <c r="J50" s="88"/>
      <c r="K50" s="88"/>
      <c r="L50" s="88"/>
      <c r="M50" s="88"/>
      <c r="N50" s="88"/>
      <c r="O50" s="88"/>
    </row>
    <row r="51" spans="1:15" x14ac:dyDescent="0.3">
      <c r="A51" s="83"/>
      <c r="B51" s="97" t="s">
        <v>106</v>
      </c>
      <c r="C51" s="96">
        <v>3548160.2760000005</v>
      </c>
      <c r="D51" s="100">
        <v>2056493.9201679472</v>
      </c>
      <c r="E51" s="100">
        <v>1143667.5937637861</v>
      </c>
      <c r="F51" s="100">
        <v>0</v>
      </c>
      <c r="G51" s="100">
        <v>0</v>
      </c>
      <c r="H51" s="100">
        <v>0</v>
      </c>
      <c r="I51" s="100">
        <v>0</v>
      </c>
      <c r="J51" s="100">
        <v>44010.287868299754</v>
      </c>
      <c r="K51" s="100">
        <v>0</v>
      </c>
      <c r="L51" s="100">
        <v>0</v>
      </c>
      <c r="M51" s="100">
        <v>0</v>
      </c>
      <c r="N51" s="100">
        <v>0</v>
      </c>
      <c r="O51" s="100">
        <v>303988.4741999674</v>
      </c>
    </row>
    <row r="52" spans="1:15" x14ac:dyDescent="0.3">
      <c r="A52" s="83"/>
      <c r="B52" s="110"/>
      <c r="C52" s="96"/>
      <c r="D52" s="88"/>
      <c r="E52" s="88"/>
      <c r="F52" s="88"/>
      <c r="G52" s="88"/>
      <c r="H52" s="88"/>
      <c r="I52" s="88"/>
      <c r="J52" s="88"/>
      <c r="K52" s="88"/>
      <c r="L52" s="88"/>
      <c r="M52" s="94"/>
      <c r="N52" s="94"/>
      <c r="O52" s="94"/>
    </row>
    <row r="53" spans="1:15" ht="15" thickBot="1" x14ac:dyDescent="0.35">
      <c r="A53" s="83"/>
      <c r="B53" s="90" t="s">
        <v>107</v>
      </c>
      <c r="C53" s="111">
        <v>98071830.884724975</v>
      </c>
      <c r="D53" s="112">
        <v>62145809.508037232</v>
      </c>
      <c r="E53" s="112">
        <v>18651187.247680169</v>
      </c>
      <c r="F53" s="112">
        <v>0</v>
      </c>
      <c r="G53" s="112">
        <v>0</v>
      </c>
      <c r="H53" s="112">
        <v>0</v>
      </c>
      <c r="I53" s="112">
        <v>0</v>
      </c>
      <c r="J53" s="112">
        <v>3205221.7291368693</v>
      </c>
      <c r="K53" s="112">
        <v>0</v>
      </c>
      <c r="L53" s="112">
        <v>0</v>
      </c>
      <c r="M53" s="112">
        <v>0</v>
      </c>
      <c r="N53" s="112">
        <v>0</v>
      </c>
      <c r="O53" s="112">
        <v>14069612.399870709</v>
      </c>
    </row>
    <row r="54" spans="1:15" ht="15" thickTop="1" x14ac:dyDescent="0.3">
      <c r="A54" s="102"/>
      <c r="B54" s="97"/>
      <c r="C54" s="323" t="s">
        <v>108</v>
      </c>
      <c r="D54" s="324"/>
      <c r="E54" s="325"/>
      <c r="F54" s="100"/>
      <c r="G54" s="100"/>
      <c r="H54" s="100"/>
      <c r="I54" s="100"/>
      <c r="J54" s="100"/>
      <c r="K54" s="100"/>
      <c r="L54" s="100"/>
      <c r="M54" s="100"/>
      <c r="N54" s="100"/>
      <c r="O54" s="100"/>
    </row>
    <row r="55" spans="1:15" x14ac:dyDescent="0.3">
      <c r="A55" s="83"/>
      <c r="B55" s="97" t="s">
        <v>109</v>
      </c>
      <c r="C55" s="96">
        <v>39228732.353889994</v>
      </c>
      <c r="D55" s="100">
        <v>24858323.803214893</v>
      </c>
      <c r="E55" s="100">
        <v>7460474.8990720678</v>
      </c>
      <c r="F55" s="100">
        <v>0</v>
      </c>
      <c r="G55" s="100">
        <v>0</v>
      </c>
      <c r="H55" s="100">
        <v>0</v>
      </c>
      <c r="I55" s="100">
        <v>0</v>
      </c>
      <c r="J55" s="100">
        <v>1282088.6916547478</v>
      </c>
      <c r="K55" s="100">
        <v>0</v>
      </c>
      <c r="L55" s="100">
        <v>0</v>
      </c>
      <c r="M55" s="100">
        <v>0</v>
      </c>
      <c r="N55" s="100">
        <v>0</v>
      </c>
      <c r="O55" s="100">
        <v>5627844.9599482836</v>
      </c>
    </row>
    <row r="56" spans="1:15" x14ac:dyDescent="0.3">
      <c r="A56" s="83"/>
      <c r="B56" s="97"/>
      <c r="C56" s="96"/>
      <c r="D56" s="100"/>
      <c r="E56" s="100"/>
      <c r="F56" s="100"/>
      <c r="G56" s="100"/>
      <c r="H56" s="100"/>
      <c r="I56" s="100"/>
      <c r="J56" s="100"/>
      <c r="K56" s="100"/>
      <c r="L56" s="100"/>
      <c r="M56" s="100"/>
      <c r="N56" s="100"/>
      <c r="O56" s="100"/>
    </row>
    <row r="57" spans="1:15" x14ac:dyDescent="0.3">
      <c r="A57" s="83"/>
      <c r="B57" s="97" t="s">
        <v>110</v>
      </c>
      <c r="C57" s="96">
        <v>3446937.0603157845</v>
      </c>
      <c r="D57" s="100">
        <v>4078516.6734845378</v>
      </c>
      <c r="E57" s="100">
        <v>1113697.2672508988</v>
      </c>
      <c r="F57" s="100">
        <v>0</v>
      </c>
      <c r="G57" s="100">
        <v>0</v>
      </c>
      <c r="H57" s="100">
        <v>0</v>
      </c>
      <c r="I57" s="100">
        <v>0</v>
      </c>
      <c r="J57" s="100">
        <v>-399907.70895306033</v>
      </c>
      <c r="K57" s="100">
        <v>0</v>
      </c>
      <c r="L57" s="100">
        <v>0</v>
      </c>
      <c r="M57" s="100">
        <v>0</v>
      </c>
      <c r="N57" s="100">
        <v>0</v>
      </c>
      <c r="O57" s="100">
        <v>-1345369.1714665922</v>
      </c>
    </row>
    <row r="58" spans="1:15" x14ac:dyDescent="0.3">
      <c r="A58" s="83"/>
      <c r="B58" s="97"/>
      <c r="C58" s="96"/>
      <c r="D58" s="100"/>
      <c r="E58" s="100"/>
      <c r="F58" s="100"/>
      <c r="G58" s="100"/>
      <c r="H58" s="100"/>
      <c r="I58" s="100"/>
      <c r="J58" s="100"/>
      <c r="K58" s="100"/>
      <c r="L58" s="100"/>
      <c r="M58" s="100"/>
      <c r="N58" s="100"/>
      <c r="O58" s="100"/>
    </row>
    <row r="59" spans="1:15" x14ac:dyDescent="0.3">
      <c r="A59" s="83"/>
      <c r="B59" s="97" t="s">
        <v>111</v>
      </c>
      <c r="C59" s="96">
        <v>0</v>
      </c>
      <c r="D59" s="100">
        <v>0</v>
      </c>
      <c r="E59" s="100">
        <v>0</v>
      </c>
      <c r="F59" s="100">
        <v>0</v>
      </c>
      <c r="G59" s="100">
        <v>0</v>
      </c>
      <c r="H59" s="100">
        <v>0</v>
      </c>
      <c r="I59" s="100">
        <v>0</v>
      </c>
      <c r="J59" s="100">
        <v>0</v>
      </c>
      <c r="K59" s="100">
        <v>0</v>
      </c>
      <c r="L59" s="100">
        <v>0</v>
      </c>
      <c r="M59" s="100">
        <v>0</v>
      </c>
      <c r="N59" s="100">
        <v>0</v>
      </c>
      <c r="O59" s="100">
        <v>0</v>
      </c>
    </row>
    <row r="60" spans="1:15" x14ac:dyDescent="0.3">
      <c r="A60" s="83"/>
      <c r="B60" s="84"/>
      <c r="C60" s="96"/>
      <c r="D60" s="88"/>
      <c r="E60" s="88"/>
      <c r="F60" s="88"/>
      <c r="G60" s="88"/>
      <c r="H60" s="88"/>
      <c r="I60" s="88"/>
      <c r="J60" s="88"/>
      <c r="K60" s="88"/>
      <c r="L60" s="88"/>
      <c r="M60" s="94"/>
      <c r="N60" s="94"/>
      <c r="O60" s="94"/>
    </row>
    <row r="61" spans="1:15" x14ac:dyDescent="0.3">
      <c r="A61" s="83"/>
      <c r="B61" s="90" t="s">
        <v>112</v>
      </c>
      <c r="C61" s="113">
        <v>3446937.0603157845</v>
      </c>
      <c r="D61" s="114">
        <v>4078516.6734845378</v>
      </c>
      <c r="E61" s="114">
        <v>1113697.2672508988</v>
      </c>
      <c r="F61" s="114">
        <v>0</v>
      </c>
      <c r="G61" s="114">
        <v>0</v>
      </c>
      <c r="H61" s="114">
        <v>0</v>
      </c>
      <c r="I61" s="114">
        <v>0</v>
      </c>
      <c r="J61" s="114">
        <v>-399907.70895306033</v>
      </c>
      <c r="K61" s="114">
        <v>0</v>
      </c>
      <c r="L61" s="114">
        <v>0</v>
      </c>
      <c r="M61" s="114">
        <v>0</v>
      </c>
      <c r="N61" s="114">
        <v>0</v>
      </c>
      <c r="O61" s="114">
        <v>-1345369.1714665922</v>
      </c>
    </row>
    <row r="62" spans="1:15" x14ac:dyDescent="0.3">
      <c r="A62" s="83"/>
      <c r="B62" s="84"/>
      <c r="C62" s="96"/>
      <c r="D62" s="88"/>
      <c r="E62" s="88"/>
      <c r="F62" s="88"/>
      <c r="G62" s="88"/>
      <c r="H62" s="88"/>
      <c r="I62" s="88"/>
      <c r="J62" s="88"/>
      <c r="K62" s="88"/>
      <c r="L62" s="88"/>
      <c r="M62" s="94"/>
      <c r="N62" s="94"/>
      <c r="O62" s="94"/>
    </row>
    <row r="63" spans="1:15" x14ac:dyDescent="0.3">
      <c r="A63" s="83"/>
      <c r="B63" s="97" t="s">
        <v>113</v>
      </c>
      <c r="C63" s="96"/>
      <c r="D63" s="88"/>
      <c r="E63" s="88"/>
      <c r="F63" s="88"/>
      <c r="G63" s="88"/>
      <c r="H63" s="88"/>
      <c r="I63" s="88"/>
      <c r="J63" s="88"/>
      <c r="K63" s="88"/>
      <c r="L63" s="88"/>
      <c r="M63" s="94"/>
      <c r="N63" s="94"/>
      <c r="O63" s="94"/>
    </row>
    <row r="64" spans="1:15" x14ac:dyDescent="0.3">
      <c r="A64" s="83"/>
      <c r="B64" s="84"/>
      <c r="C64" s="96"/>
      <c r="D64" s="88"/>
      <c r="E64" s="88"/>
      <c r="F64" s="88"/>
      <c r="G64" s="88"/>
      <c r="H64" s="88"/>
      <c r="I64" s="88"/>
      <c r="J64" s="88"/>
      <c r="K64" s="88"/>
      <c r="L64" s="88"/>
      <c r="M64" s="94"/>
      <c r="N64" s="94"/>
      <c r="O64" s="94"/>
    </row>
    <row r="65" spans="1:15" x14ac:dyDescent="0.3">
      <c r="A65" s="115"/>
      <c r="B65" s="116" t="s">
        <v>114</v>
      </c>
      <c r="C65" s="117">
        <v>1</v>
      </c>
      <c r="D65" s="118">
        <v>1.1162462557068387</v>
      </c>
      <c r="E65" s="118">
        <v>1.1172964266149357</v>
      </c>
      <c r="F65" s="118" t="s">
        <v>115</v>
      </c>
      <c r="G65" s="118" t="s">
        <v>115</v>
      </c>
      <c r="H65" s="118" t="s">
        <v>115</v>
      </c>
      <c r="I65" s="118" t="s">
        <v>115</v>
      </c>
      <c r="J65" s="118">
        <v>0.25049078250346668</v>
      </c>
      <c r="K65" s="118" t="s">
        <v>115</v>
      </c>
      <c r="L65" s="118" t="s">
        <v>115</v>
      </c>
      <c r="M65" s="119" t="s">
        <v>115</v>
      </c>
      <c r="N65" s="119" t="s">
        <v>115</v>
      </c>
      <c r="O65" s="119">
        <v>0.54963950824271746</v>
      </c>
    </row>
    <row r="66" spans="1:15" x14ac:dyDescent="0.3">
      <c r="A66" s="83"/>
      <c r="B66" s="84"/>
      <c r="C66" s="96"/>
      <c r="D66" s="88"/>
      <c r="E66" s="88"/>
      <c r="F66" s="88"/>
      <c r="G66" s="88"/>
      <c r="H66" s="88"/>
      <c r="I66" s="88"/>
      <c r="J66" s="88"/>
      <c r="K66" s="88"/>
      <c r="L66" s="88"/>
      <c r="M66" s="94"/>
      <c r="N66" s="94"/>
      <c r="O66" s="94"/>
    </row>
    <row r="67" spans="1:15" x14ac:dyDescent="0.3">
      <c r="A67" s="83"/>
      <c r="B67" s="84" t="s">
        <v>116</v>
      </c>
      <c r="C67" s="96">
        <v>-2337504.3754174663</v>
      </c>
      <c r="D67" s="88">
        <v>58568.672011243179</v>
      </c>
      <c r="E67" s="88">
        <v>18329.992972958833</v>
      </c>
      <c r="F67" s="88">
        <v>0</v>
      </c>
      <c r="G67" s="88">
        <v>0</v>
      </c>
      <c r="H67" s="88">
        <v>0</v>
      </c>
      <c r="I67" s="88">
        <v>0</v>
      </c>
      <c r="J67" s="88">
        <v>-537839.18320560479</v>
      </c>
      <c r="K67" s="88">
        <v>0</v>
      </c>
      <c r="L67" s="88">
        <v>0</v>
      </c>
      <c r="M67" s="88">
        <v>0</v>
      </c>
      <c r="N67" s="88">
        <v>0</v>
      </c>
      <c r="O67" s="88">
        <v>-1876563.8571960637</v>
      </c>
    </row>
    <row r="68" spans="1:15" x14ac:dyDescent="0.3">
      <c r="A68" s="102"/>
      <c r="B68" s="97"/>
      <c r="C68" s="312" t="s">
        <v>117</v>
      </c>
      <c r="D68" s="313"/>
      <c r="E68" s="314"/>
      <c r="F68" s="100"/>
      <c r="G68" s="100"/>
      <c r="H68" s="100"/>
      <c r="I68" s="100"/>
      <c r="J68" s="100"/>
      <c r="K68" s="100"/>
      <c r="L68" s="100"/>
      <c r="M68" s="100"/>
      <c r="N68" s="100"/>
      <c r="O68" s="100"/>
    </row>
    <row r="69" spans="1:15" x14ac:dyDescent="0.3">
      <c r="A69" s="83"/>
      <c r="B69" s="84" t="s">
        <v>118</v>
      </c>
      <c r="C69" s="96">
        <v>-2.5611370801925659E-9</v>
      </c>
      <c r="D69" s="88">
        <v>1759379.6418032907</v>
      </c>
      <c r="E69" s="88">
        <v>437742.91835695785</v>
      </c>
      <c r="F69" s="88">
        <v>0</v>
      </c>
      <c r="G69" s="88">
        <v>0</v>
      </c>
      <c r="H69" s="88">
        <v>0</v>
      </c>
      <c r="I69" s="88">
        <v>0</v>
      </c>
      <c r="J69" s="88">
        <v>-521893.72608839988</v>
      </c>
      <c r="K69" s="88">
        <v>0</v>
      </c>
      <c r="L69" s="88">
        <v>0</v>
      </c>
      <c r="M69" s="88">
        <v>0</v>
      </c>
      <c r="N69" s="88">
        <v>0</v>
      </c>
      <c r="O69" s="88">
        <v>-1675228.8340718511</v>
      </c>
    </row>
    <row r="70" spans="1:15" x14ac:dyDescent="0.3">
      <c r="A70" s="83"/>
      <c r="B70" s="84"/>
      <c r="C70" s="96"/>
      <c r="D70" s="88"/>
      <c r="E70" s="88"/>
      <c r="F70" s="88"/>
      <c r="G70" s="88"/>
      <c r="H70" s="88"/>
      <c r="I70" s="88"/>
      <c r="J70" s="88"/>
      <c r="K70" s="88"/>
      <c r="L70" s="88"/>
      <c r="M70" s="94"/>
      <c r="N70" s="94"/>
      <c r="O70" s="94"/>
    </row>
    <row r="71" spans="1:15" ht="15" thickBot="1" x14ac:dyDescent="0.35">
      <c r="A71" s="83"/>
      <c r="B71" s="84" t="s">
        <v>119</v>
      </c>
      <c r="C71" s="120">
        <v>8.7867663660918166E-2</v>
      </c>
      <c r="D71" s="120">
        <v>0.16407046210239923</v>
      </c>
      <c r="E71" s="120">
        <v>0.14927967486217536</v>
      </c>
      <c r="F71" s="120" t="s">
        <v>115</v>
      </c>
      <c r="G71" s="120" t="s">
        <v>115</v>
      </c>
      <c r="H71" s="120" t="s">
        <v>115</v>
      </c>
      <c r="I71" s="120" t="s">
        <v>115</v>
      </c>
      <c r="J71" s="120">
        <v>-0.31191891134841321</v>
      </c>
      <c r="K71" s="120" t="s">
        <v>115</v>
      </c>
      <c r="L71" s="120" t="s">
        <v>115</v>
      </c>
      <c r="M71" s="120" t="s">
        <v>115</v>
      </c>
      <c r="N71" s="120" t="s">
        <v>115</v>
      </c>
      <c r="O71" s="120">
        <v>-0.2390558341676412</v>
      </c>
    </row>
  </sheetData>
  <mergeCells count="6">
    <mergeCell ref="C68:E68"/>
    <mergeCell ref="A1:E1"/>
    <mergeCell ref="C5:L5"/>
    <mergeCell ref="C10:F10"/>
    <mergeCell ref="C31:E31"/>
    <mergeCell ref="C54:E54"/>
  </mergeCells>
  <conditionalFormatting sqref="C31 C54">
    <cfRule type="cellIs" dxfId="2" priority="3" stopIfTrue="1" operator="equal">
      <formula>"Error"</formula>
    </cfRule>
  </conditionalFormatting>
  <conditionalFormatting sqref="C68">
    <cfRule type="cellIs" dxfId="1" priority="2" stopIfTrue="1" operator="equal">
      <formula>"Error"</formula>
    </cfRule>
  </conditionalFormatting>
  <conditionalFormatting sqref="C10">
    <cfRule type="cellIs" dxfId="0" priority="1" stopIfTrue="1" operator="equal">
      <formula>"Error"</formula>
    </cfRule>
  </conditionalFormatting>
  <pageMargins left="0.7" right="0.7" top="0.75" bottom="0.75" header="0.3" footer="0.3"/>
  <pageSetup scale="6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B2:H19"/>
  <sheetViews>
    <sheetView showGridLines="0" workbookViewId="0">
      <selection activeCell="D41" sqref="D41"/>
    </sheetView>
  </sheetViews>
  <sheetFormatPr defaultRowHeight="14.4" x14ac:dyDescent="0.3"/>
  <cols>
    <col min="1" max="1" width="2.6640625" customWidth="1"/>
    <col min="2" max="2" width="15" customWidth="1"/>
    <col min="3" max="3" width="14.109375" customWidth="1"/>
    <col min="4" max="4" width="10.44140625" bestFit="1" customWidth="1"/>
    <col min="5" max="5" width="14.109375" customWidth="1"/>
    <col min="6" max="6" width="12" customWidth="1"/>
    <col min="7" max="7" width="11.5546875" customWidth="1"/>
    <col min="8" max="8" width="14.109375" customWidth="1"/>
  </cols>
  <sheetData>
    <row r="2" spans="2:8" ht="15.75" thickBot="1" x14ac:dyDescent="0.3"/>
    <row r="3" spans="2:8" x14ac:dyDescent="0.3">
      <c r="B3" s="326" t="s">
        <v>175</v>
      </c>
      <c r="C3" s="327"/>
      <c r="D3" s="327"/>
      <c r="E3" s="327"/>
      <c r="F3" s="327"/>
      <c r="G3" s="327"/>
      <c r="H3" s="328"/>
    </row>
    <row r="4" spans="2:8" ht="15" thickBot="1" x14ac:dyDescent="0.35">
      <c r="B4" s="329"/>
      <c r="C4" s="330"/>
      <c r="D4" s="330"/>
      <c r="E4" s="330"/>
      <c r="F4" s="330"/>
      <c r="G4" s="330"/>
      <c r="H4" s="331"/>
    </row>
    <row r="5" spans="2:8" ht="127.5" x14ac:dyDescent="0.25">
      <c r="B5" s="1"/>
      <c r="C5" s="2" t="s">
        <v>0</v>
      </c>
      <c r="D5" s="2" t="s">
        <v>1</v>
      </c>
      <c r="E5" s="2" t="s">
        <v>2</v>
      </c>
      <c r="F5" s="2" t="s">
        <v>3</v>
      </c>
      <c r="G5" s="2" t="s">
        <v>4</v>
      </c>
      <c r="H5" s="3" t="s">
        <v>5</v>
      </c>
    </row>
    <row r="6" spans="2:8" ht="15" x14ac:dyDescent="0.25">
      <c r="B6" s="4" t="s">
        <v>6</v>
      </c>
      <c r="C6" s="5">
        <v>15134936.012393121</v>
      </c>
      <c r="D6" s="5">
        <v>292845.03390436457</v>
      </c>
      <c r="E6" s="5">
        <f>C6-D6</f>
        <v>14842090.978488756</v>
      </c>
      <c r="F6" s="5">
        <v>16601470.620292047</v>
      </c>
      <c r="G6" s="6">
        <f>(H6+D6)/C6</f>
        <v>1.1063099322120511</v>
      </c>
      <c r="H6" s="168">
        <v>16451085</v>
      </c>
    </row>
    <row r="7" spans="2:8" ht="15" x14ac:dyDescent="0.25">
      <c r="B7" s="4" t="s">
        <v>7</v>
      </c>
      <c r="C7" s="5">
        <v>3731937.3743071831</v>
      </c>
      <c r="D7" s="5">
        <v>75826.547480141744</v>
      </c>
      <c r="E7" s="5">
        <f t="shared" ref="E7:E10" si="0">C7-D7</f>
        <v>3656110.8268270413</v>
      </c>
      <c r="F7" s="5">
        <v>4093853.7451839992</v>
      </c>
      <c r="G7" s="6">
        <f t="shared" ref="G7:G9" si="1">(H7+D7)/C7</f>
        <v>1.1074142538308547</v>
      </c>
      <c r="H7" s="168">
        <f>H10-(H6+H8+H9)</f>
        <v>4056974.0952317268</v>
      </c>
    </row>
    <row r="8" spans="2:8" ht="15" x14ac:dyDescent="0.25">
      <c r="B8" s="4" t="s">
        <v>8</v>
      </c>
      <c r="C8" s="5">
        <v>3719750.8767591882</v>
      </c>
      <c r="D8" s="5">
        <v>79308.076763124598</v>
      </c>
      <c r="E8" s="5">
        <f t="shared" si="0"/>
        <v>3640442.7999960636</v>
      </c>
      <c r="F8" s="5">
        <v>1965213.9659242125</v>
      </c>
      <c r="G8" s="6">
        <f t="shared" si="1"/>
        <v>0.6000000000000002</v>
      </c>
      <c r="H8" s="168">
        <v>2152542.4492923892</v>
      </c>
    </row>
    <row r="9" spans="2:8" ht="15" x14ac:dyDescent="0.25">
      <c r="B9" s="4" t="s">
        <v>9</v>
      </c>
      <c r="C9" s="5">
        <v>696313.95305797388</v>
      </c>
      <c r="D9" s="5">
        <v>18777.981852369074</v>
      </c>
      <c r="E9" s="5">
        <f t="shared" si="0"/>
        <v>677535.97120560484</v>
      </c>
      <c r="F9" s="5">
        <v>155642.24511720496</v>
      </c>
      <c r="G9" s="6">
        <f t="shared" si="1"/>
        <v>0.25040000000000012</v>
      </c>
      <c r="H9" s="168">
        <v>155579.03199334769</v>
      </c>
    </row>
    <row r="10" spans="2:8" ht="15.75" thickBot="1" x14ac:dyDescent="0.3">
      <c r="B10" s="7"/>
      <c r="C10" s="8">
        <f>SUM(C6:C9)</f>
        <v>23282938.216517463</v>
      </c>
      <c r="D10" s="8">
        <f>SUM(D6:D9)</f>
        <v>466757.64</v>
      </c>
      <c r="E10" s="9">
        <f t="shared" si="0"/>
        <v>22816180.576517463</v>
      </c>
      <c r="F10" s="8">
        <f>SUM(F6:F9)</f>
        <v>22816180.576517463</v>
      </c>
      <c r="G10" s="10"/>
      <c r="H10" s="230">
        <v>22816180.576517463</v>
      </c>
    </row>
    <row r="12" spans="2:8" ht="15" x14ac:dyDescent="0.25">
      <c r="F12" s="11"/>
      <c r="G12" s="12" t="s">
        <v>10</v>
      </c>
      <c r="H12" s="13" t="str">
        <f>IF(H10-SUM(H6:H9)&lt;1,"YES","NO")</f>
        <v>YES</v>
      </c>
    </row>
    <row r="13" spans="2:8" ht="15.75" thickBot="1" x14ac:dyDescent="0.3"/>
    <row r="14" spans="2:8" ht="16.5" thickBot="1" x14ac:dyDescent="0.3">
      <c r="B14" s="336" t="s">
        <v>176</v>
      </c>
      <c r="C14" s="337"/>
      <c r="D14" s="337"/>
      <c r="E14" s="337"/>
      <c r="F14" s="337"/>
      <c r="G14" s="338"/>
    </row>
    <row r="15" spans="2:8" ht="15" x14ac:dyDescent="0.25">
      <c r="B15" s="155"/>
      <c r="C15" s="156">
        <v>2015</v>
      </c>
      <c r="D15" s="156">
        <v>2016</v>
      </c>
      <c r="E15" s="156">
        <v>2017</v>
      </c>
      <c r="F15" s="156">
        <v>2018</v>
      </c>
      <c r="G15" s="157">
        <v>2019</v>
      </c>
    </row>
    <row r="16" spans="2:8" ht="15" x14ac:dyDescent="0.25">
      <c r="B16" s="4" t="s">
        <v>6</v>
      </c>
      <c r="C16" s="151">
        <f>G6</f>
        <v>1.1063099322120511</v>
      </c>
      <c r="D16" s="332" t="s">
        <v>141</v>
      </c>
      <c r="E16" s="332"/>
      <c r="F16" s="332"/>
      <c r="G16" s="333"/>
    </row>
    <row r="17" spans="2:7" ht="15" x14ac:dyDescent="0.25">
      <c r="B17" s="4" t="s">
        <v>7</v>
      </c>
      <c r="C17" s="151">
        <f t="shared" ref="C17:C19" si="2">G7</f>
        <v>1.1074142538308547</v>
      </c>
      <c r="D17" s="332" t="s">
        <v>141</v>
      </c>
      <c r="E17" s="332"/>
      <c r="F17" s="332"/>
      <c r="G17" s="333"/>
    </row>
    <row r="18" spans="2:7" ht="15" x14ac:dyDescent="0.25">
      <c r="B18" s="4" t="s">
        <v>8</v>
      </c>
      <c r="C18" s="151">
        <f t="shared" si="2"/>
        <v>0.6000000000000002</v>
      </c>
      <c r="D18" s="151">
        <v>0.66</v>
      </c>
      <c r="E18" s="151">
        <v>0.72</v>
      </c>
      <c r="F18" s="151">
        <v>0.78</v>
      </c>
      <c r="G18" s="153">
        <v>0.85</v>
      </c>
    </row>
    <row r="19" spans="2:7" ht="15.75" thickBot="1" x14ac:dyDescent="0.3">
      <c r="B19" s="7" t="s">
        <v>9</v>
      </c>
      <c r="C19" s="154">
        <f t="shared" si="2"/>
        <v>0.25040000000000012</v>
      </c>
      <c r="D19" s="334" t="s">
        <v>142</v>
      </c>
      <c r="E19" s="334"/>
      <c r="F19" s="334"/>
      <c r="G19" s="335"/>
    </row>
  </sheetData>
  <mergeCells count="5">
    <mergeCell ref="B3:H4"/>
    <mergeCell ref="D16:G16"/>
    <mergeCell ref="D17:G17"/>
    <mergeCell ref="D19:G19"/>
    <mergeCell ref="B14:G14"/>
  </mergeCells>
  <pageMargins left="0.7" right="0.7" top="0.75" bottom="0.75" header="0.3" footer="0.3"/>
  <pageSetup scale="96"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B2:N14"/>
  <sheetViews>
    <sheetView showGridLines="0" workbookViewId="0">
      <selection activeCell="D41" sqref="D41"/>
    </sheetView>
  </sheetViews>
  <sheetFormatPr defaultRowHeight="14.4" x14ac:dyDescent="0.3"/>
  <cols>
    <col min="1" max="1" width="2.6640625" customWidth="1"/>
    <col min="2" max="2" width="16.44140625" customWidth="1"/>
    <col min="3" max="3" width="6.44140625" customWidth="1"/>
    <col min="4" max="4" width="10.109375" customWidth="1"/>
    <col min="5" max="5" width="12.5546875" bestFit="1" customWidth="1"/>
    <col min="6" max="6" width="9" bestFit="1" customWidth="1"/>
    <col min="7" max="8" width="10.109375" bestFit="1" customWidth="1"/>
    <col min="9" max="9" width="9.33203125" bestFit="1" customWidth="1"/>
    <col min="10" max="10" width="8.6640625" bestFit="1" customWidth="1"/>
    <col min="11" max="11" width="10.33203125" bestFit="1" customWidth="1"/>
    <col min="12" max="12" width="11.33203125" bestFit="1" customWidth="1"/>
    <col min="13" max="13" width="11.5546875" bestFit="1" customWidth="1"/>
    <col min="14" max="14" width="14.109375" bestFit="1" customWidth="1"/>
  </cols>
  <sheetData>
    <row r="2" spans="2:14" ht="15.75" thickBot="1" x14ac:dyDescent="0.3"/>
    <row r="3" spans="2:14" ht="31.5" customHeight="1" x14ac:dyDescent="0.25">
      <c r="B3" s="339" t="s">
        <v>177</v>
      </c>
      <c r="C3" s="340"/>
      <c r="D3" s="340"/>
      <c r="E3" s="340"/>
      <c r="F3" s="340"/>
      <c r="G3" s="340"/>
      <c r="H3" s="340"/>
      <c r="I3" s="340"/>
      <c r="J3" s="340"/>
      <c r="K3" s="340"/>
      <c r="L3" s="340"/>
      <c r="M3" s="340"/>
      <c r="N3" s="341"/>
    </row>
    <row r="4" spans="2:14" ht="15.75" x14ac:dyDescent="0.25">
      <c r="B4" s="342" t="s">
        <v>120</v>
      </c>
      <c r="C4" s="343"/>
      <c r="D4" s="343"/>
      <c r="E4" s="343"/>
      <c r="F4" s="343"/>
      <c r="G4" s="343"/>
      <c r="H4" s="343"/>
      <c r="I4" s="343"/>
      <c r="J4" s="343"/>
      <c r="K4" s="343"/>
      <c r="L4" s="343"/>
      <c r="M4" s="343"/>
      <c r="N4" s="344"/>
    </row>
    <row r="5" spans="2:14" ht="15" x14ac:dyDescent="0.25">
      <c r="B5" s="345" t="s">
        <v>178</v>
      </c>
      <c r="C5" s="346"/>
      <c r="D5" s="346"/>
      <c r="E5" s="346"/>
      <c r="F5" s="346"/>
      <c r="G5" s="346"/>
      <c r="H5" s="346"/>
      <c r="I5" s="346"/>
      <c r="J5" s="346"/>
      <c r="K5" s="346"/>
      <c r="L5" s="346"/>
      <c r="M5" s="346"/>
      <c r="N5" s="347"/>
    </row>
    <row r="6" spans="2:14" ht="15" customHeight="1" x14ac:dyDescent="0.3">
      <c r="B6" s="348" t="s">
        <v>121</v>
      </c>
      <c r="C6" s="350" t="s">
        <v>41</v>
      </c>
      <c r="D6" s="352" t="s">
        <v>122</v>
      </c>
      <c r="E6" s="354" t="s">
        <v>123</v>
      </c>
      <c r="F6" s="355"/>
      <c r="G6" s="354" t="s">
        <v>124</v>
      </c>
      <c r="H6" s="355"/>
      <c r="I6" s="354" t="s">
        <v>125</v>
      </c>
      <c r="J6" s="355"/>
      <c r="K6" s="354" t="s">
        <v>126</v>
      </c>
      <c r="L6" s="346"/>
      <c r="M6" s="346"/>
      <c r="N6" s="347"/>
    </row>
    <row r="7" spans="2:14" ht="39.6" x14ac:dyDescent="0.3">
      <c r="B7" s="349"/>
      <c r="C7" s="351"/>
      <c r="D7" s="353"/>
      <c r="E7" s="39" t="s">
        <v>127</v>
      </c>
      <c r="F7" s="39" t="s">
        <v>35</v>
      </c>
      <c r="G7" s="121" t="s">
        <v>128</v>
      </c>
      <c r="H7" s="121" t="s">
        <v>129</v>
      </c>
      <c r="I7" s="121" t="s">
        <v>42</v>
      </c>
      <c r="J7" s="121" t="s">
        <v>130</v>
      </c>
      <c r="K7" s="121" t="s">
        <v>131</v>
      </c>
      <c r="L7" s="121" t="s">
        <v>132</v>
      </c>
      <c r="M7" s="121" t="s">
        <v>133</v>
      </c>
      <c r="N7" s="122" t="s">
        <v>134</v>
      </c>
    </row>
    <row r="8" spans="2:14" ht="15" x14ac:dyDescent="0.25">
      <c r="B8" s="38" t="s">
        <v>6</v>
      </c>
      <c r="C8" s="41" t="s">
        <v>127</v>
      </c>
      <c r="D8" s="123">
        <f>ROUND((Forecast!H7+Forecast!I7)/2,0)</f>
        <v>8496</v>
      </c>
      <c r="E8" s="5">
        <f>Forecast!I15</f>
        <v>105791701</v>
      </c>
      <c r="F8" s="5"/>
      <c r="G8" s="124">
        <v>0.13646721756898086</v>
      </c>
      <c r="H8" s="124">
        <f>1-G8</f>
        <v>0.86353278243101916</v>
      </c>
      <c r="I8" s="125">
        <f>K8/(D8*12)</f>
        <v>22.020497841541097</v>
      </c>
      <c r="J8" s="126">
        <f>L8/E8</f>
        <v>0.13428322892794023</v>
      </c>
      <c r="K8" s="5">
        <f>G8*M8</f>
        <v>2245033.7959407978</v>
      </c>
      <c r="L8" s="5">
        <f>H8*M8</f>
        <v>14206051.204059202</v>
      </c>
      <c r="M8" s="127">
        <f>'2015 BA RC Ratios'!H6</f>
        <v>16451085</v>
      </c>
      <c r="N8" s="128">
        <f>(D8*I8*12+E8*J8+F8*J8)-M8</f>
        <v>0</v>
      </c>
    </row>
    <row r="9" spans="2:14" ht="15" x14ac:dyDescent="0.25">
      <c r="B9" s="38" t="s">
        <v>7</v>
      </c>
      <c r="C9" s="41" t="s">
        <v>35</v>
      </c>
      <c r="D9" s="123">
        <f>ROUND((Forecast!H9+Forecast!I9)/2,0)</f>
        <v>50</v>
      </c>
      <c r="E9" s="5"/>
      <c r="F9" s="5">
        <f>Forecast!I25</f>
        <v>198901</v>
      </c>
      <c r="G9" s="124">
        <v>0.1200968956263495</v>
      </c>
      <c r="H9" s="124">
        <f t="shared" ref="H9:H11" si="0">1-G9</f>
        <v>0.87990310437365049</v>
      </c>
      <c r="I9" s="125">
        <f t="shared" ref="I9:I11" si="1">K9/(D9*12)</f>
        <v>812.04999078974731</v>
      </c>
      <c r="J9" s="126">
        <f>L9/F9</f>
        <v>17.947341143372221</v>
      </c>
      <c r="K9" s="5">
        <f t="shared" ref="K9:K11" si="2">G9*M9</f>
        <v>487229.99447384838</v>
      </c>
      <c r="L9" s="5">
        <f t="shared" ref="L9:L11" si="3">H9*M9</f>
        <v>3569744.1007578783</v>
      </c>
      <c r="M9" s="127">
        <f>'2015 BA RC Ratios'!H7</f>
        <v>4056974.0952317268</v>
      </c>
      <c r="N9" s="128">
        <f t="shared" ref="N9:N11" si="4">(D9*I9*12+E9*J9+F9*J9)-M9</f>
        <v>0</v>
      </c>
    </row>
    <row r="10" spans="2:14" ht="15" x14ac:dyDescent="0.25">
      <c r="B10" s="38" t="s">
        <v>8</v>
      </c>
      <c r="C10" s="41" t="s">
        <v>127</v>
      </c>
      <c r="D10" s="123">
        <f>ROUND((Forecast!H8+Forecast!I8)/2,0)</f>
        <v>3138</v>
      </c>
      <c r="E10" s="5">
        <f>Forecast!I16</f>
        <v>7731414</v>
      </c>
      <c r="F10" s="5"/>
      <c r="G10" s="124">
        <v>0.43756357758419168</v>
      </c>
      <c r="H10" s="124">
        <f t="shared" si="0"/>
        <v>0.56243642241580827</v>
      </c>
      <c r="I10" s="125">
        <f t="shared" si="1"/>
        <v>25.012592283147875</v>
      </c>
      <c r="J10" s="126">
        <f t="shared" ref="J10:J11" si="5">L10/E10</f>
        <v>0.15659079623444982</v>
      </c>
      <c r="K10" s="5">
        <f t="shared" si="2"/>
        <v>941874.17501421634</v>
      </c>
      <c r="L10" s="5">
        <f t="shared" si="3"/>
        <v>1210668.2742781728</v>
      </c>
      <c r="M10" s="127">
        <f>'2015 BA RC Ratios'!H8</f>
        <v>2152542.4492923892</v>
      </c>
      <c r="N10" s="128">
        <f t="shared" si="4"/>
        <v>0</v>
      </c>
    </row>
    <row r="11" spans="2:14" ht="15" x14ac:dyDescent="0.25">
      <c r="B11" s="38" t="s">
        <v>9</v>
      </c>
      <c r="C11" s="41" t="s">
        <v>127</v>
      </c>
      <c r="D11" s="123">
        <f>ROUND((Forecast!H10+Forecast!I10)/2,0)</f>
        <v>1018</v>
      </c>
      <c r="E11" s="5">
        <f>Forecast!I18</f>
        <v>804705</v>
      </c>
      <c r="F11" s="5"/>
      <c r="G11" s="124">
        <v>0</v>
      </c>
      <c r="H11" s="124">
        <f t="shared" si="0"/>
        <v>1</v>
      </c>
      <c r="I11" s="125">
        <f t="shared" si="1"/>
        <v>0</v>
      </c>
      <c r="J11" s="126">
        <f t="shared" si="5"/>
        <v>0.19333672835802895</v>
      </c>
      <c r="K11" s="5">
        <f t="shared" si="2"/>
        <v>0</v>
      </c>
      <c r="L11" s="5">
        <f t="shared" si="3"/>
        <v>155579.03199334769</v>
      </c>
      <c r="M11" s="127">
        <f>'2015 BA RC Ratios'!H9</f>
        <v>155579.03199334769</v>
      </c>
      <c r="N11" s="128">
        <f t="shared" si="4"/>
        <v>0</v>
      </c>
    </row>
    <row r="12" spans="2:14" ht="15.75" thickBot="1" x14ac:dyDescent="0.3">
      <c r="B12" s="7"/>
      <c r="C12" s="10"/>
      <c r="D12" s="10"/>
      <c r="E12" s="10"/>
      <c r="F12" s="10"/>
      <c r="G12" s="10"/>
      <c r="H12" s="10"/>
      <c r="I12" s="10"/>
      <c r="J12" s="10"/>
      <c r="K12" s="129">
        <f>SUM(K8:K11)</f>
        <v>3674137.9654288627</v>
      </c>
      <c r="L12" s="129">
        <f>SUM(L8:L11)</f>
        <v>19142042.6110886</v>
      </c>
      <c r="M12" s="129">
        <f>SUM(M8:M11)</f>
        <v>22816180.576517463</v>
      </c>
      <c r="N12" s="130">
        <f>SUM(N8:N11)</f>
        <v>0</v>
      </c>
    </row>
    <row r="14" spans="2:14" ht="15" x14ac:dyDescent="0.25">
      <c r="L14" s="131" t="s">
        <v>135</v>
      </c>
      <c r="M14" s="13" t="str">
        <f>IF(ABS(M12-L12-K12)&lt;1,"YES","NO")</f>
        <v>YES</v>
      </c>
    </row>
  </sheetData>
  <mergeCells count="10">
    <mergeCell ref="B3:N3"/>
    <mergeCell ref="B4:N4"/>
    <mergeCell ref="B5:N5"/>
    <mergeCell ref="B6:B7"/>
    <mergeCell ref="C6:C7"/>
    <mergeCell ref="D6:D7"/>
    <mergeCell ref="E6:F6"/>
    <mergeCell ref="G6:H6"/>
    <mergeCell ref="I6:J6"/>
    <mergeCell ref="K6:N6"/>
  </mergeCells>
  <pageMargins left="0.7" right="0.7" top="0.75" bottom="0.75" header="0.3" footer="0.3"/>
  <pageSetup scale="6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B2:M23"/>
  <sheetViews>
    <sheetView showGridLines="0" workbookViewId="0">
      <selection activeCell="D41" sqref="D41"/>
    </sheetView>
  </sheetViews>
  <sheetFormatPr defaultRowHeight="14.4" x14ac:dyDescent="0.3"/>
  <cols>
    <col min="1" max="1" width="2.6640625" customWidth="1"/>
    <col min="2" max="2" width="15.33203125" bestFit="1" customWidth="1"/>
    <col min="3" max="3" width="6.44140625" customWidth="1"/>
    <col min="4" max="4" width="10.109375" customWidth="1"/>
    <col min="5" max="5" width="12.5546875" bestFit="1" customWidth="1"/>
    <col min="6" max="6" width="9" bestFit="1" customWidth="1"/>
    <col min="7" max="7" width="10.109375" bestFit="1" customWidth="1"/>
    <col min="8" max="8" width="12.33203125" bestFit="1" customWidth="1"/>
    <col min="9" max="9" width="9.33203125" bestFit="1" customWidth="1"/>
    <col min="10" max="10" width="11.33203125" bestFit="1" customWidth="1"/>
    <col min="11" max="11" width="10.5546875" bestFit="1" customWidth="1"/>
    <col min="12" max="13" width="12.33203125" bestFit="1" customWidth="1"/>
  </cols>
  <sheetData>
    <row r="2" spans="2:13" ht="15.75" x14ac:dyDescent="0.25">
      <c r="B2" s="279" t="s">
        <v>179</v>
      </c>
      <c r="C2" s="279"/>
      <c r="D2" s="279"/>
      <c r="E2" s="279"/>
      <c r="F2" s="279"/>
      <c r="G2" s="279"/>
      <c r="H2" s="279"/>
      <c r="I2" s="279"/>
      <c r="J2" s="279"/>
      <c r="K2" s="279"/>
      <c r="L2" s="279"/>
      <c r="M2" s="279"/>
    </row>
    <row r="3" spans="2:13" ht="15.75" thickBot="1" x14ac:dyDescent="0.3"/>
    <row r="4" spans="2:13" ht="15" x14ac:dyDescent="0.25">
      <c r="B4" s="356" t="s">
        <v>180</v>
      </c>
      <c r="C4" s="357"/>
      <c r="D4" s="357"/>
      <c r="E4" s="357"/>
      <c r="F4" s="357"/>
      <c r="G4" s="357"/>
      <c r="H4" s="357"/>
      <c r="I4" s="357"/>
      <c r="J4" s="357"/>
      <c r="K4" s="357"/>
      <c r="L4" s="357"/>
      <c r="M4" s="358"/>
    </row>
    <row r="5" spans="2:13" x14ac:dyDescent="0.3">
      <c r="B5" s="359" t="s">
        <v>121</v>
      </c>
      <c r="C5" s="360" t="s">
        <v>41</v>
      </c>
      <c r="D5" s="361" t="s">
        <v>122</v>
      </c>
      <c r="E5" s="363" t="s">
        <v>123</v>
      </c>
      <c r="F5" s="363"/>
      <c r="G5" s="363" t="s">
        <v>124</v>
      </c>
      <c r="H5" s="363"/>
      <c r="I5" s="363" t="s">
        <v>125</v>
      </c>
      <c r="J5" s="363"/>
      <c r="K5" s="363" t="s">
        <v>126</v>
      </c>
      <c r="L5" s="363"/>
      <c r="M5" s="364"/>
    </row>
    <row r="6" spans="2:13" ht="39.6" x14ac:dyDescent="0.3">
      <c r="B6" s="359"/>
      <c r="C6" s="360"/>
      <c r="D6" s="362"/>
      <c r="E6" s="39" t="s">
        <v>127</v>
      </c>
      <c r="F6" s="39" t="s">
        <v>35</v>
      </c>
      <c r="G6" s="121" t="s">
        <v>128</v>
      </c>
      <c r="H6" s="121" t="s">
        <v>129</v>
      </c>
      <c r="I6" s="121" t="s">
        <v>42</v>
      </c>
      <c r="J6" s="121" t="s">
        <v>130</v>
      </c>
      <c r="K6" s="121" t="s">
        <v>131</v>
      </c>
      <c r="L6" s="121" t="s">
        <v>132</v>
      </c>
      <c r="M6" s="132" t="s">
        <v>133</v>
      </c>
    </row>
    <row r="7" spans="2:13" ht="15" x14ac:dyDescent="0.25">
      <c r="B7" s="38" t="s">
        <v>6</v>
      </c>
      <c r="C7" s="41" t="s">
        <v>127</v>
      </c>
      <c r="D7" s="123">
        <f>'2015 Allocated Revenues'!D8</f>
        <v>8496</v>
      </c>
      <c r="E7" s="5">
        <f>'2015 Allocated Revenues'!E8</f>
        <v>105791701</v>
      </c>
      <c r="F7" s="5"/>
      <c r="G7" s="124">
        <f>'2015 Allocated Revenues'!G8</f>
        <v>0.13646721756898086</v>
      </c>
      <c r="H7" s="124">
        <f>'2015 Allocated Revenues'!H8</f>
        <v>0.86353278243101916</v>
      </c>
      <c r="I7" s="125">
        <f>'2015 Allocated Revenues'!I8</f>
        <v>22.020497841541097</v>
      </c>
      <c r="J7" s="145">
        <f>'2015 Allocated Revenues'!J8</f>
        <v>0.13428322892794023</v>
      </c>
      <c r="K7" s="5">
        <f>'2015 Allocated Revenues'!K8</f>
        <v>2245033.7959407978</v>
      </c>
      <c r="L7" s="5">
        <f>'2015 Allocated Revenues'!L8</f>
        <v>14206051.204059202</v>
      </c>
      <c r="M7" s="168">
        <f>'2015 Allocated Revenues'!M8</f>
        <v>16451085</v>
      </c>
    </row>
    <row r="8" spans="2:13" ht="15" x14ac:dyDescent="0.25">
      <c r="B8" s="38" t="s">
        <v>7</v>
      </c>
      <c r="C8" s="41" t="s">
        <v>35</v>
      </c>
      <c r="D8" s="123">
        <f>'2015 Allocated Revenues'!D9</f>
        <v>50</v>
      </c>
      <c r="E8" s="5"/>
      <c r="F8" s="5">
        <f>'2015 Allocated Revenues'!F9</f>
        <v>198901</v>
      </c>
      <c r="G8" s="124">
        <f>'2015 Allocated Revenues'!G9</f>
        <v>0.1200968956263495</v>
      </c>
      <c r="H8" s="124">
        <f>'2015 Allocated Revenues'!H9</f>
        <v>0.87990310437365049</v>
      </c>
      <c r="I8" s="125">
        <f>'2015 Allocated Revenues'!I9</f>
        <v>812.04999078974731</v>
      </c>
      <c r="J8" s="145">
        <f>'2015 Allocated Revenues'!J9</f>
        <v>17.947341143372221</v>
      </c>
      <c r="K8" s="5">
        <f>'2015 Allocated Revenues'!K9</f>
        <v>487229.99447384838</v>
      </c>
      <c r="L8" s="5">
        <f>'2015 Allocated Revenues'!L9</f>
        <v>3569744.1007578783</v>
      </c>
      <c r="M8" s="168">
        <f>'2015 Allocated Revenues'!M9</f>
        <v>4056974.0952317268</v>
      </c>
    </row>
    <row r="9" spans="2:13" ht="15" x14ac:dyDescent="0.25">
      <c r="B9" s="38"/>
      <c r="C9" s="41"/>
      <c r="D9" s="123"/>
      <c r="E9" s="5"/>
      <c r="F9" s="5"/>
      <c r="G9" s="124"/>
      <c r="H9" s="124"/>
      <c r="I9" s="125"/>
      <c r="J9" s="126"/>
      <c r="K9" s="5"/>
      <c r="L9" s="5"/>
      <c r="M9" s="128"/>
    </row>
    <row r="10" spans="2:13" ht="15" x14ac:dyDescent="0.25">
      <c r="B10" s="4"/>
      <c r="C10" s="21"/>
      <c r="D10" s="21"/>
      <c r="E10" s="21"/>
      <c r="F10" s="21"/>
      <c r="G10" s="21"/>
      <c r="H10" s="21"/>
      <c r="I10" s="21"/>
      <c r="J10" s="21"/>
      <c r="K10" s="133">
        <f>SUM(K7:K8)</f>
        <v>2732263.7904146463</v>
      </c>
      <c r="L10" s="133">
        <f>SUM(L7:L8)</f>
        <v>17775795.30481708</v>
      </c>
      <c r="M10" s="134">
        <f>SUM(M7:M8)</f>
        <v>20508059.095231727</v>
      </c>
    </row>
    <row r="11" spans="2:13" ht="15" x14ac:dyDescent="0.25">
      <c r="B11" s="367"/>
      <c r="C11" s="368"/>
      <c r="D11" s="368"/>
      <c r="E11" s="368"/>
      <c r="F11" s="368"/>
      <c r="G11" s="368"/>
      <c r="H11" s="368"/>
      <c r="I11" s="368"/>
      <c r="J11" s="368"/>
      <c r="K11" s="368"/>
      <c r="L11" s="368"/>
      <c r="M11" s="369"/>
    </row>
    <row r="12" spans="2:13" ht="15" x14ac:dyDescent="0.25">
      <c r="B12" s="370" t="s">
        <v>181</v>
      </c>
      <c r="C12" s="363"/>
      <c r="D12" s="363"/>
      <c r="E12" s="363"/>
      <c r="F12" s="363"/>
      <c r="G12" s="363"/>
      <c r="H12" s="363"/>
      <c r="I12" s="363"/>
      <c r="J12" s="363"/>
      <c r="K12" s="363"/>
      <c r="L12" s="363"/>
      <c r="M12" s="364"/>
    </row>
    <row r="13" spans="2:13" ht="15" x14ac:dyDescent="0.25">
      <c r="B13" s="370" t="s">
        <v>137</v>
      </c>
      <c r="C13" s="363"/>
      <c r="D13" s="363"/>
      <c r="E13" s="363"/>
      <c r="F13" s="363"/>
      <c r="G13" s="363"/>
      <c r="H13" s="363"/>
      <c r="I13" s="363"/>
      <c r="J13" s="363"/>
      <c r="K13" s="363"/>
      <c r="L13" s="363"/>
      <c r="M13" s="364"/>
    </row>
    <row r="14" spans="2:13" ht="15" x14ac:dyDescent="0.25">
      <c r="B14" s="345" t="s">
        <v>138</v>
      </c>
      <c r="C14" s="346"/>
      <c r="D14" s="346"/>
      <c r="E14" s="346"/>
      <c r="F14" s="346"/>
      <c r="G14" s="346"/>
      <c r="H14" s="346"/>
      <c r="I14" s="346"/>
      <c r="J14" s="346"/>
      <c r="K14" s="346"/>
      <c r="L14" s="355"/>
      <c r="M14" s="222">
        <f>Forecast!I30</f>
        <v>7.9000000000000008E-3</v>
      </c>
    </row>
    <row r="15" spans="2:13" x14ac:dyDescent="0.3">
      <c r="B15" s="359" t="s">
        <v>121</v>
      </c>
      <c r="C15" s="360" t="s">
        <v>41</v>
      </c>
      <c r="D15" s="361" t="s">
        <v>122</v>
      </c>
      <c r="E15" s="363" t="s">
        <v>123</v>
      </c>
      <c r="F15" s="363"/>
      <c r="G15" s="363" t="s">
        <v>124</v>
      </c>
      <c r="H15" s="363"/>
      <c r="I15" s="363" t="s">
        <v>125</v>
      </c>
      <c r="J15" s="363"/>
      <c r="K15" s="363" t="s">
        <v>126</v>
      </c>
      <c r="L15" s="363"/>
      <c r="M15" s="364"/>
    </row>
    <row r="16" spans="2:13" ht="39.6" x14ac:dyDescent="0.3">
      <c r="B16" s="359"/>
      <c r="C16" s="360"/>
      <c r="D16" s="362"/>
      <c r="E16" s="39" t="s">
        <v>127</v>
      </c>
      <c r="F16" s="39" t="s">
        <v>35</v>
      </c>
      <c r="G16" s="121" t="s">
        <v>128</v>
      </c>
      <c r="H16" s="121" t="s">
        <v>129</v>
      </c>
      <c r="I16" s="121" t="s">
        <v>42</v>
      </c>
      <c r="J16" s="121" t="s">
        <v>130</v>
      </c>
      <c r="K16" s="121" t="s">
        <v>131</v>
      </c>
      <c r="L16" s="121" t="s">
        <v>132</v>
      </c>
      <c r="M16" s="132" t="s">
        <v>133</v>
      </c>
    </row>
    <row r="17" spans="2:13" ht="15" x14ac:dyDescent="0.25">
      <c r="B17" s="38" t="s">
        <v>6</v>
      </c>
      <c r="C17" s="41" t="s">
        <v>127</v>
      </c>
      <c r="D17" s="123">
        <f>D7</f>
        <v>8496</v>
      </c>
      <c r="E17" s="5">
        <f>E7</f>
        <v>105791701</v>
      </c>
      <c r="F17" s="5"/>
      <c r="G17" s="124">
        <f>K17/M17</f>
        <v>0.40714429134263774</v>
      </c>
      <c r="H17" s="124">
        <f>L17/M17</f>
        <v>0.59285570865736215</v>
      </c>
      <c r="I17" s="125">
        <v>23.342964000000002</v>
      </c>
      <c r="J17" s="126">
        <v>3.2756750000000001E-2</v>
      </c>
      <c r="K17" s="5">
        <f>D17*I17*12</f>
        <v>2379861.8657280002</v>
      </c>
      <c r="L17" s="5">
        <f>J17*E17</f>
        <v>3465392.3017317499</v>
      </c>
      <c r="M17" s="128">
        <f>K17+L17</f>
        <v>5845254.1674597505</v>
      </c>
    </row>
    <row r="18" spans="2:13" ht="15" x14ac:dyDescent="0.25">
      <c r="B18" s="135" t="s">
        <v>7</v>
      </c>
      <c r="C18" s="136" t="s">
        <v>35</v>
      </c>
      <c r="D18" s="137">
        <f>D8</f>
        <v>50</v>
      </c>
      <c r="E18" s="138"/>
      <c r="F18" s="138">
        <f>F8</f>
        <v>198901</v>
      </c>
      <c r="G18" s="139">
        <f>K18/M18</f>
        <v>0.36796867661228916</v>
      </c>
      <c r="H18" s="139">
        <f>L18/M18</f>
        <v>0.63203132338771095</v>
      </c>
      <c r="I18" s="140">
        <v>600.82934799999998</v>
      </c>
      <c r="J18" s="141">
        <v>3.1131007299999998</v>
      </c>
      <c r="K18" s="138">
        <f>D18*I18*12</f>
        <v>360497.60879999999</v>
      </c>
      <c r="L18" s="138">
        <f>J18*F18</f>
        <v>619198.84829772997</v>
      </c>
      <c r="M18" s="142">
        <f>K18+L18</f>
        <v>979696.4570977299</v>
      </c>
    </row>
    <row r="19" spans="2:13" ht="15" x14ac:dyDescent="0.25">
      <c r="B19" s="38" t="s">
        <v>139</v>
      </c>
      <c r="C19" s="41"/>
      <c r="D19" s="123"/>
      <c r="E19" s="5"/>
      <c r="F19" s="5"/>
      <c r="G19" s="124"/>
      <c r="H19" s="124"/>
      <c r="I19" s="125"/>
      <c r="J19" s="126"/>
      <c r="K19" s="5"/>
      <c r="L19" s="5">
        <f>Forecast!I34</f>
        <v>74096.399999999994</v>
      </c>
      <c r="M19" s="128">
        <f>K19+L19</f>
        <v>74096.399999999994</v>
      </c>
    </row>
    <row r="20" spans="2:13" ht="15" x14ac:dyDescent="0.25">
      <c r="B20" s="4"/>
      <c r="C20" s="21"/>
      <c r="D20" s="21"/>
      <c r="E20" s="21"/>
      <c r="F20" s="21"/>
      <c r="G20" s="21"/>
      <c r="H20" s="21"/>
      <c r="I20" s="21"/>
      <c r="J20" s="21"/>
      <c r="K20" s="21"/>
      <c r="L20" s="21"/>
      <c r="M20" s="143"/>
    </row>
    <row r="21" spans="2:13" ht="15.75" thickBot="1" x14ac:dyDescent="0.3">
      <c r="B21" s="365" t="s">
        <v>182</v>
      </c>
      <c r="C21" s="366"/>
      <c r="D21" s="366"/>
      <c r="E21" s="366"/>
      <c r="F21" s="366"/>
      <c r="G21" s="366"/>
      <c r="H21" s="366"/>
      <c r="I21" s="366"/>
      <c r="J21" s="366"/>
      <c r="K21" s="366"/>
      <c r="L21" s="366"/>
      <c r="M21" s="144">
        <f>M10-M17-M18+M19</f>
        <v>13757204.870674247</v>
      </c>
    </row>
    <row r="23" spans="2:13" ht="15" x14ac:dyDescent="0.25">
      <c r="L23" s="131" t="s">
        <v>135</v>
      </c>
      <c r="M23" s="13" t="str">
        <f>IF((M10+M19-M17-M18-M21&lt;1),"YES","NO")</f>
        <v>YES</v>
      </c>
    </row>
  </sheetData>
  <mergeCells count="21">
    <mergeCell ref="K15:M15"/>
    <mergeCell ref="B21:L21"/>
    <mergeCell ref="B11:M11"/>
    <mergeCell ref="B12:M12"/>
    <mergeCell ref="B13:M13"/>
    <mergeCell ref="B14:L14"/>
    <mergeCell ref="B15:B16"/>
    <mergeCell ref="C15:C16"/>
    <mergeCell ref="D15:D16"/>
    <mergeCell ref="E15:F15"/>
    <mergeCell ref="G15:H15"/>
    <mergeCell ref="I15:J15"/>
    <mergeCell ref="B2:M2"/>
    <mergeCell ref="B4:M4"/>
    <mergeCell ref="B5:B6"/>
    <mergeCell ref="C5:C6"/>
    <mergeCell ref="D5:D6"/>
    <mergeCell ref="E5:F5"/>
    <mergeCell ref="G5:H5"/>
    <mergeCell ref="I5:J5"/>
    <mergeCell ref="K5:M5"/>
  </mergeCells>
  <pageMargins left="0.7" right="0.7" top="0.75" bottom="0.75" header="0.3" footer="0.3"/>
  <pageSetup scale="67"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B2:M11"/>
  <sheetViews>
    <sheetView showGridLines="0" workbookViewId="0">
      <selection activeCell="D41" sqref="D41"/>
    </sheetView>
  </sheetViews>
  <sheetFormatPr defaultRowHeight="14.4" x14ac:dyDescent="0.3"/>
  <cols>
    <col min="1" max="1" width="2.6640625" customWidth="1"/>
    <col min="2" max="2" width="19.88671875" bestFit="1" customWidth="1"/>
    <col min="3" max="3" width="6.44140625" customWidth="1"/>
    <col min="4" max="4" width="10.109375" customWidth="1"/>
    <col min="5" max="5" width="12.33203125" bestFit="1" customWidth="1"/>
    <col min="6" max="6" width="9.6640625" customWidth="1"/>
    <col min="7" max="7" width="12.33203125" bestFit="1" customWidth="1"/>
    <col min="8" max="8" width="10.109375" bestFit="1" customWidth="1"/>
    <col min="9" max="9" width="9.44140625" bestFit="1" customWidth="1"/>
    <col min="10" max="10" width="8.88671875" bestFit="1" customWidth="1"/>
    <col min="11" max="12" width="10.33203125" bestFit="1" customWidth="1"/>
    <col min="13" max="13" width="10.5546875" bestFit="1" customWidth="1"/>
  </cols>
  <sheetData>
    <row r="2" spans="2:13" ht="15.75" x14ac:dyDescent="0.25">
      <c r="B2" s="279" t="s">
        <v>184</v>
      </c>
      <c r="C2" s="279"/>
      <c r="D2" s="279"/>
      <c r="E2" s="279"/>
      <c r="F2" s="279"/>
      <c r="G2" s="279"/>
      <c r="H2" s="279"/>
      <c r="I2" s="279"/>
      <c r="J2" s="279"/>
      <c r="K2" s="279"/>
      <c r="L2" s="279"/>
      <c r="M2" s="279"/>
    </row>
    <row r="3" spans="2:13" ht="15.75" thickBot="1" x14ac:dyDescent="0.3"/>
    <row r="4" spans="2:13" ht="15" x14ac:dyDescent="0.25">
      <c r="B4" s="356" t="s">
        <v>136</v>
      </c>
      <c r="C4" s="357"/>
      <c r="D4" s="357"/>
      <c r="E4" s="357"/>
      <c r="F4" s="357"/>
      <c r="G4" s="357"/>
      <c r="H4" s="357"/>
      <c r="I4" s="357"/>
      <c r="J4" s="357"/>
      <c r="K4" s="357"/>
      <c r="L4" s="357"/>
      <c r="M4" s="358"/>
    </row>
    <row r="5" spans="2:13" x14ac:dyDescent="0.3">
      <c r="B5" s="359" t="s">
        <v>121</v>
      </c>
      <c r="C5" s="360" t="s">
        <v>41</v>
      </c>
      <c r="D5" s="371" t="s">
        <v>122</v>
      </c>
      <c r="E5" s="363" t="s">
        <v>123</v>
      </c>
      <c r="F5" s="363"/>
      <c r="G5" s="354" t="s">
        <v>124</v>
      </c>
      <c r="H5" s="355"/>
      <c r="I5" s="363" t="s">
        <v>125</v>
      </c>
      <c r="J5" s="363"/>
      <c r="K5" s="363" t="s">
        <v>126</v>
      </c>
      <c r="L5" s="363"/>
      <c r="M5" s="364"/>
    </row>
    <row r="6" spans="2:13" ht="39.6" x14ac:dyDescent="0.3">
      <c r="B6" s="359"/>
      <c r="C6" s="360"/>
      <c r="D6" s="371"/>
      <c r="E6" s="39" t="s">
        <v>127</v>
      </c>
      <c r="F6" s="39" t="s">
        <v>35</v>
      </c>
      <c r="G6" s="121" t="s">
        <v>128</v>
      </c>
      <c r="H6" s="121" t="s">
        <v>129</v>
      </c>
      <c r="I6" s="121" t="s">
        <v>42</v>
      </c>
      <c r="J6" s="121" t="s">
        <v>130</v>
      </c>
      <c r="K6" s="121" t="s">
        <v>131</v>
      </c>
      <c r="L6" s="121" t="s">
        <v>132</v>
      </c>
      <c r="M6" s="132" t="s">
        <v>133</v>
      </c>
    </row>
    <row r="7" spans="2:13" ht="15" x14ac:dyDescent="0.25">
      <c r="B7" s="135" t="s">
        <v>8</v>
      </c>
      <c r="C7" s="136" t="s">
        <v>127</v>
      </c>
      <c r="D7" s="146">
        <f>'2015 Allocated Revenues'!D10</f>
        <v>3138</v>
      </c>
      <c r="E7" s="138">
        <f>'2015 Allocated Revenues'!E10</f>
        <v>7731414</v>
      </c>
      <c r="F7" s="138"/>
      <c r="G7" s="139">
        <v>0.47499999999999998</v>
      </c>
      <c r="H7" s="124">
        <f>1-G7</f>
        <v>0.52500000000000002</v>
      </c>
      <c r="I7" s="147">
        <f>K7/(D7*12)</f>
        <v>27.152582945981646</v>
      </c>
      <c r="J7" s="148">
        <f>L7/E7</f>
        <v>0.14616793071467968</v>
      </c>
      <c r="K7" s="149">
        <f>G7*M7</f>
        <v>1022457.6634138848</v>
      </c>
      <c r="L7" s="149">
        <f>H7*M7</f>
        <v>1130084.7858785044</v>
      </c>
      <c r="M7" s="150">
        <f>'2015 Allocated Revenues'!M10</f>
        <v>2152542.4492923892</v>
      </c>
    </row>
    <row r="8" spans="2:13" ht="15" x14ac:dyDescent="0.25">
      <c r="B8" s="135" t="s">
        <v>9</v>
      </c>
      <c r="C8" s="136" t="s">
        <v>127</v>
      </c>
      <c r="D8" s="146">
        <f>'2015 Allocated Revenues'!D11</f>
        <v>1018</v>
      </c>
      <c r="E8" s="138">
        <f>'2015 Allocated Revenues'!E11</f>
        <v>804705</v>
      </c>
      <c r="F8" s="138"/>
      <c r="G8" s="139">
        <v>8.5999999999999993E-2</v>
      </c>
      <c r="H8" s="124">
        <f>1-G8</f>
        <v>0.91400000000000003</v>
      </c>
      <c r="I8" s="147">
        <f>K8/(D8*12)</f>
        <v>1.0952682343997955</v>
      </c>
      <c r="J8" s="148">
        <f>L8/E8</f>
        <v>0.17670976971923846</v>
      </c>
      <c r="K8" s="149">
        <f>G8*M8</f>
        <v>13379.796751427901</v>
      </c>
      <c r="L8" s="149">
        <f>H8*M8</f>
        <v>142199.23524191979</v>
      </c>
      <c r="M8" s="150">
        <f>'2015 Allocated Revenues'!M11</f>
        <v>155579.03199334769</v>
      </c>
    </row>
    <row r="9" spans="2:13" ht="15.75" thickBot="1" x14ac:dyDescent="0.3">
      <c r="B9" s="7"/>
      <c r="C9" s="10"/>
      <c r="D9" s="10"/>
      <c r="E9" s="10"/>
      <c r="F9" s="10"/>
      <c r="G9" s="10"/>
      <c r="H9" s="10"/>
      <c r="I9" s="10"/>
      <c r="J9" s="10"/>
      <c r="K9" s="129">
        <f>K7+K8</f>
        <v>1035837.4601653127</v>
      </c>
      <c r="L9" s="129">
        <f>L7+L8</f>
        <v>1272284.0211204241</v>
      </c>
      <c r="M9" s="130">
        <f>M7+M8</f>
        <v>2308121.4812857369</v>
      </c>
    </row>
    <row r="11" spans="2:13" ht="15" x14ac:dyDescent="0.25">
      <c r="K11" s="131" t="s">
        <v>135</v>
      </c>
      <c r="L11" s="13" t="str">
        <f>IF(ABS(M9-L9-K9&lt;1),"YES","NO")</f>
        <v>YES</v>
      </c>
    </row>
  </sheetData>
  <mergeCells count="9">
    <mergeCell ref="B2:M2"/>
    <mergeCell ref="B4:M4"/>
    <mergeCell ref="B5:B6"/>
    <mergeCell ref="C5:C6"/>
    <mergeCell ref="D5:D6"/>
    <mergeCell ref="E5:F5"/>
    <mergeCell ref="G5:H5"/>
    <mergeCell ref="I5:J5"/>
    <mergeCell ref="K5:M5"/>
  </mergeCells>
  <pageMargins left="0.7" right="0.7" top="0.75" bottom="0.75" header="0.3" footer="0.3"/>
  <pageSetup scale="6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B2:K21"/>
  <sheetViews>
    <sheetView showGridLines="0" workbookViewId="0">
      <selection activeCell="J20" sqref="J20"/>
    </sheetView>
  </sheetViews>
  <sheetFormatPr defaultRowHeight="14.4" x14ac:dyDescent="0.3"/>
  <cols>
    <col min="1" max="1" width="2.6640625" customWidth="1"/>
    <col min="2" max="2" width="19.88671875" bestFit="1" customWidth="1"/>
    <col min="3" max="3" width="12" customWidth="1"/>
    <col min="4" max="4" width="12.33203125" bestFit="1" customWidth="1"/>
    <col min="5" max="5" width="10.33203125" customWidth="1"/>
    <col min="6" max="6" width="10.109375" bestFit="1" customWidth="1"/>
    <col min="7" max="7" width="9.44140625" bestFit="1" customWidth="1"/>
    <col min="8" max="8" width="8.88671875" bestFit="1" customWidth="1"/>
    <col min="9" max="9" width="10.33203125" bestFit="1" customWidth="1"/>
    <col min="10" max="11" width="10.5546875" bestFit="1" customWidth="1"/>
  </cols>
  <sheetData>
    <row r="2" spans="2:11" ht="15.75" x14ac:dyDescent="0.25">
      <c r="B2" s="279" t="s">
        <v>232</v>
      </c>
      <c r="C2" s="279"/>
      <c r="D2" s="279"/>
      <c r="E2" s="279"/>
      <c r="F2" s="279"/>
      <c r="G2" s="279"/>
      <c r="H2" s="279"/>
      <c r="I2" s="279"/>
      <c r="J2" s="279"/>
      <c r="K2" s="279"/>
    </row>
    <row r="3" spans="2:11" ht="15" x14ac:dyDescent="0.25">
      <c r="B3" s="242"/>
      <c r="C3" s="242"/>
      <c r="D3" s="242"/>
      <c r="E3" s="242"/>
      <c r="F3" s="242"/>
      <c r="G3" s="242"/>
      <c r="H3" s="242"/>
      <c r="I3" s="242"/>
      <c r="J3" s="242"/>
      <c r="K3" s="242"/>
    </row>
    <row r="4" spans="2:11" ht="15.75" thickBot="1" x14ac:dyDescent="0.3">
      <c r="B4" s="244"/>
      <c r="C4" s="244"/>
      <c r="D4" s="244"/>
      <c r="E4" s="244"/>
      <c r="F4" s="244"/>
      <c r="G4" s="244"/>
      <c r="H4" s="244"/>
      <c r="I4" s="244"/>
      <c r="J4" s="244"/>
      <c r="K4" s="244"/>
    </row>
    <row r="5" spans="2:11" ht="15" x14ac:dyDescent="0.25">
      <c r="B5" s="356" t="s">
        <v>201</v>
      </c>
      <c r="C5" s="357"/>
      <c r="D5" s="357"/>
      <c r="E5" s="357"/>
      <c r="F5" s="357"/>
      <c r="G5" s="357"/>
      <c r="H5" s="357"/>
      <c r="I5" s="357"/>
      <c r="J5" s="357"/>
      <c r="K5" s="358"/>
    </row>
    <row r="6" spans="2:11" x14ac:dyDescent="0.3">
      <c r="B6" s="359" t="s">
        <v>121</v>
      </c>
      <c r="C6" s="371" t="s">
        <v>195</v>
      </c>
      <c r="D6" s="352" t="s">
        <v>127</v>
      </c>
      <c r="E6" s="354" t="s">
        <v>125</v>
      </c>
      <c r="F6" s="346"/>
      <c r="G6" s="346"/>
      <c r="H6" s="355"/>
      <c r="I6" s="363" t="s">
        <v>242</v>
      </c>
      <c r="J6" s="363"/>
      <c r="K6" s="364"/>
    </row>
    <row r="7" spans="2:11" ht="26.4" x14ac:dyDescent="0.3">
      <c r="B7" s="359"/>
      <c r="C7" s="371"/>
      <c r="D7" s="353"/>
      <c r="E7" s="121" t="s">
        <v>196</v>
      </c>
      <c r="F7" s="121" t="s">
        <v>199</v>
      </c>
      <c r="G7" s="121" t="s">
        <v>197</v>
      </c>
      <c r="H7" s="121" t="s">
        <v>198</v>
      </c>
      <c r="I7" s="121">
        <v>2016</v>
      </c>
      <c r="J7" s="121">
        <v>2017</v>
      </c>
      <c r="K7" s="132" t="s">
        <v>200</v>
      </c>
    </row>
    <row r="8" spans="2:11" ht="15.75" thickBot="1" x14ac:dyDescent="0.3">
      <c r="B8" s="245" t="s">
        <v>9</v>
      </c>
      <c r="C8" s="246">
        <v>391</v>
      </c>
      <c r="D8" s="247">
        <v>19056</v>
      </c>
      <c r="E8" s="248">
        <v>1.34</v>
      </c>
      <c r="F8" s="249">
        <v>0.21640000000000001</v>
      </c>
      <c r="G8" s="250">
        <v>1.48</v>
      </c>
      <c r="H8" s="251">
        <f>ROUND(F8*G8/E8,4)</f>
        <v>0.23899999999999999</v>
      </c>
      <c r="I8" s="252">
        <v>8260.9</v>
      </c>
      <c r="J8" s="252">
        <v>9061.67</v>
      </c>
      <c r="K8" s="253">
        <f>J8/I8-1</f>
        <v>9.6934958660678694E-2</v>
      </c>
    </row>
    <row r="9" spans="2:11" ht="15" x14ac:dyDescent="0.25">
      <c r="B9" s="244"/>
      <c r="C9" s="244"/>
      <c r="D9" s="244"/>
      <c r="E9" s="244"/>
      <c r="F9" s="244"/>
      <c r="G9" s="244"/>
      <c r="H9" s="244"/>
      <c r="I9" s="244"/>
      <c r="J9" s="244"/>
      <c r="K9" s="244"/>
    </row>
    <row r="10" spans="2:11" ht="15.75" thickBot="1" x14ac:dyDescent="0.3">
      <c r="B10" s="243"/>
      <c r="C10" s="243"/>
      <c r="D10" s="243"/>
      <c r="E10" s="243"/>
      <c r="F10" s="243"/>
      <c r="G10" s="243"/>
      <c r="H10" s="243"/>
      <c r="I10" s="243"/>
      <c r="J10" s="243"/>
      <c r="K10" s="243"/>
    </row>
    <row r="11" spans="2:11" ht="15" x14ac:dyDescent="0.25">
      <c r="B11" s="356" t="s">
        <v>203</v>
      </c>
      <c r="C11" s="357"/>
      <c r="D11" s="357"/>
      <c r="E11" s="357"/>
      <c r="F11" s="357"/>
      <c r="G11" s="357"/>
      <c r="H11" s="357"/>
      <c r="I11" s="357"/>
      <c r="J11" s="357"/>
      <c r="K11" s="358"/>
    </row>
    <row r="12" spans="2:11" ht="15" customHeight="1" x14ac:dyDescent="0.3">
      <c r="B12" s="359" t="s">
        <v>121</v>
      </c>
      <c r="C12" s="371" t="s">
        <v>195</v>
      </c>
      <c r="D12" s="352" t="s">
        <v>127</v>
      </c>
      <c r="E12" s="354" t="s">
        <v>124</v>
      </c>
      <c r="F12" s="355"/>
      <c r="G12" s="363" t="s">
        <v>125</v>
      </c>
      <c r="H12" s="363"/>
      <c r="I12" s="363" t="s">
        <v>202</v>
      </c>
      <c r="J12" s="363"/>
      <c r="K12" s="364"/>
    </row>
    <row r="13" spans="2:11" ht="39.6" x14ac:dyDescent="0.3">
      <c r="B13" s="359"/>
      <c r="C13" s="371"/>
      <c r="D13" s="353"/>
      <c r="E13" s="121" t="s">
        <v>128</v>
      </c>
      <c r="F13" s="121" t="s">
        <v>129</v>
      </c>
      <c r="G13" s="121" t="s">
        <v>42</v>
      </c>
      <c r="H13" s="121" t="s">
        <v>130</v>
      </c>
      <c r="I13" s="121" t="s">
        <v>131</v>
      </c>
      <c r="J13" s="121" t="s">
        <v>132</v>
      </c>
      <c r="K13" s="132" t="s">
        <v>133</v>
      </c>
    </row>
    <row r="14" spans="2:11" ht="15.75" thickBot="1" x14ac:dyDescent="0.3">
      <c r="B14" s="245" t="s">
        <v>9</v>
      </c>
      <c r="C14" s="246">
        <f>'2015 Allocated Revenues'!D11</f>
        <v>1018</v>
      </c>
      <c r="D14" s="247">
        <f>'2015 Allocated Revenues'!E11</f>
        <v>804705</v>
      </c>
      <c r="E14" s="259">
        <f>I14/K14</f>
        <v>8.5928332933507628E-2</v>
      </c>
      <c r="F14" s="260">
        <f>J14/K14</f>
        <v>0.91407166706649245</v>
      </c>
      <c r="G14" s="250">
        <f>G8</f>
        <v>1.48</v>
      </c>
      <c r="H14" s="261">
        <f>H8</f>
        <v>0.23899999999999999</v>
      </c>
      <c r="I14" s="262">
        <f>C14*G14*12</f>
        <v>18079.68</v>
      </c>
      <c r="J14" s="262">
        <f>D14*H14</f>
        <v>192324.495</v>
      </c>
      <c r="K14" s="263">
        <f>I14+J14</f>
        <v>210404.17499999999</v>
      </c>
    </row>
    <row r="16" spans="2:11" ht="15.75" thickBot="1" x14ac:dyDescent="0.3">
      <c r="I16" s="131"/>
      <c r="J16" s="13"/>
    </row>
    <row r="17" spans="2:11" ht="15" x14ac:dyDescent="0.25">
      <c r="B17" s="377" t="s">
        <v>204</v>
      </c>
      <c r="C17" s="378"/>
      <c r="D17" s="378"/>
      <c r="E17" s="378"/>
      <c r="F17" s="378"/>
      <c r="G17" s="378"/>
      <c r="H17" s="379"/>
      <c r="I17" s="255"/>
      <c r="J17" s="255"/>
      <c r="K17" s="255"/>
    </row>
    <row r="18" spans="2:11" ht="15" customHeight="1" x14ac:dyDescent="0.25">
      <c r="B18" s="256" t="s">
        <v>205</v>
      </c>
      <c r="C18" s="286" t="s">
        <v>206</v>
      </c>
      <c r="D18" s="286"/>
      <c r="E18" s="286"/>
      <c r="F18" s="380" t="s">
        <v>207</v>
      </c>
      <c r="G18" s="380"/>
      <c r="H18" s="381"/>
      <c r="I18" s="254"/>
      <c r="J18" s="254"/>
      <c r="K18" s="254"/>
    </row>
    <row r="19" spans="2:11" ht="15" x14ac:dyDescent="0.25">
      <c r="B19" s="257">
        <v>2017</v>
      </c>
      <c r="C19" s="372">
        <f>'IRM Adjustment Factors'!H8</f>
        <v>1.2999999999999999E-2</v>
      </c>
      <c r="D19" s="332"/>
      <c r="E19" s="332"/>
      <c r="F19" s="373">
        <f>K14</f>
        <v>210404.17499999999</v>
      </c>
      <c r="G19" s="373"/>
      <c r="H19" s="374"/>
    </row>
    <row r="20" spans="2:11" ht="15" x14ac:dyDescent="0.25">
      <c r="B20" s="257">
        <v>2016</v>
      </c>
      <c r="C20" s="372">
        <f>'IRM Adjustment Factors'!D8</f>
        <v>1.5000000000000001E-2</v>
      </c>
      <c r="D20" s="332"/>
      <c r="E20" s="332"/>
      <c r="F20" s="373">
        <f>ROUND(F19/(1+C19),0)</f>
        <v>207704</v>
      </c>
      <c r="G20" s="373"/>
      <c r="H20" s="374"/>
    </row>
    <row r="21" spans="2:11" ht="15.75" thickBot="1" x14ac:dyDescent="0.3">
      <c r="B21" s="258">
        <v>2015</v>
      </c>
      <c r="C21" s="334" t="s">
        <v>208</v>
      </c>
      <c r="D21" s="334"/>
      <c r="E21" s="334"/>
      <c r="F21" s="375">
        <f>ROUND(F20/(1+C20),0)</f>
        <v>204634</v>
      </c>
      <c r="G21" s="375"/>
      <c r="H21" s="376"/>
    </row>
  </sheetData>
  <mergeCells count="23">
    <mergeCell ref="B2:K2"/>
    <mergeCell ref="B11:K11"/>
    <mergeCell ref="B12:B13"/>
    <mergeCell ref="C12:C13"/>
    <mergeCell ref="E12:F12"/>
    <mergeCell ref="G12:H12"/>
    <mergeCell ref="I12:K12"/>
    <mergeCell ref="B5:K5"/>
    <mergeCell ref="I6:K6"/>
    <mergeCell ref="E6:H6"/>
    <mergeCell ref="D6:D7"/>
    <mergeCell ref="D12:D13"/>
    <mergeCell ref="B17:H17"/>
    <mergeCell ref="B6:B7"/>
    <mergeCell ref="C6:C7"/>
    <mergeCell ref="C18:E18"/>
    <mergeCell ref="F18:H18"/>
    <mergeCell ref="C19:E19"/>
    <mergeCell ref="C20:E20"/>
    <mergeCell ref="C21:E21"/>
    <mergeCell ref="F19:H19"/>
    <mergeCell ref="F20:H20"/>
    <mergeCell ref="F21:H21"/>
  </mergeCells>
  <pageMargins left="0.7" right="0.7" top="0.75" bottom="0.75" header="0.3" footer="0.3"/>
  <pageSetup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Cover Sheet</vt:lpstr>
      <vt:lpstr>Forecast</vt:lpstr>
      <vt:lpstr>Rate Summary</vt:lpstr>
      <vt:lpstr>2015 BA Cost Allocation</vt:lpstr>
      <vt:lpstr>2015 BA RC Ratios</vt:lpstr>
      <vt:lpstr>2015 Allocated Revenues</vt:lpstr>
      <vt:lpstr>2015 RRRP Rate Design</vt:lpstr>
      <vt:lpstr>2015 Non-RRRP Rate Design</vt:lpstr>
      <vt:lpstr>2017 SL Adj for 10% Impact</vt:lpstr>
      <vt:lpstr>2017 Proposed RC Ratios</vt:lpstr>
      <vt:lpstr>2017 Allocated Revenues</vt:lpstr>
      <vt:lpstr>IRM Adjustment Factors</vt:lpstr>
      <vt:lpstr>Indexed Allocated Revenue</vt:lpstr>
      <vt:lpstr>2017 RRRP Rate Design</vt:lpstr>
      <vt:lpstr>2017 Non-RRRP Rate Design</vt:lpstr>
      <vt:lpstr>2017 R1(i) Decoupling</vt:lpstr>
      <vt:lpstr>2017 Seasonal Decoupling</vt:lpstr>
      <vt:lpstr>2017 Proposed Rates</vt:lpstr>
    </vt:vector>
  </TitlesOfParts>
  <Company>Westario Power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Bradbury, Doug</dc:creator>
  <cp:lastModifiedBy>Kelli Benincasa</cp:lastModifiedBy>
  <cp:lastPrinted>2016-08-04T12:15:09Z</cp:lastPrinted>
  <dcterms:created xsi:type="dcterms:W3CDTF">2015-06-18T18:08:53Z</dcterms:created>
  <dcterms:modified xsi:type="dcterms:W3CDTF">2016-11-01T16:01:39Z</dcterms:modified>
</cp:coreProperties>
</file>