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376" windowHeight="11832" tabRatio="918" firstSheet="7" activeTab="11"/>
  </bookViews>
  <sheets>
    <sheet name="Cover" sheetId="12" r:id="rId1"/>
    <sheet name="Rates" sheetId="3" r:id="rId2"/>
    <sheet name="Residential_R1RPP_750" sheetId="2" r:id="rId3"/>
    <sheet name="Residential_R1RPP_10th_PCTL" sheetId="27" r:id="rId4"/>
    <sheet name="Residential_R1GSRPP_2000" sheetId="22" r:id="rId5"/>
    <sheet name="Residential_R1Non-RPP_750" sheetId="17" r:id="rId6"/>
    <sheet name="Residential - R2" sheetId="14" r:id="rId7"/>
    <sheet name="Seasonal_RPP_750" sheetId="4" r:id="rId8"/>
    <sheet name="Seasonal_RPP_AVG" sheetId="29" r:id="rId9"/>
    <sheet name="Seasonal_RPP_10th_PCTL" sheetId="28" r:id="rId10"/>
    <sheet name="Seasonal_Non-RPP_750" sheetId="19" r:id="rId11"/>
    <sheet name="Street Lighting Non-RPP" sheetId="10" r:id="rId12"/>
    <sheet name="Street Lighting Non-RPP (2)" sheetId="31" r:id="rId13"/>
    <sheet name="Summary" sheetId="21" r:id="rId14"/>
    <sheet name="Sheet1" sheetId="32" r:id="rId15"/>
  </sheets>
  <externalReferences>
    <externalReference r:id="rId16"/>
  </externalReferences>
  <definedNames>
    <definedName name="EBNUMBER">'[1]LDC Info'!$E$16</definedName>
    <definedName name="_xlnm.Print_Area" localSheetId="6">'Residential - R2'!$A$1:$O$39</definedName>
    <definedName name="_xlnm.Print_Area" localSheetId="4">Residential_R1GSRPP_2000!$A$1:$O$40</definedName>
    <definedName name="_xlnm.Print_Area" localSheetId="5">'Residential_R1Non-RPP_750'!$A$1:$O$39</definedName>
    <definedName name="_xlnm.Print_Area" localSheetId="3">Residential_R1RPP_10th_PCTL!$A$1:$O$40</definedName>
    <definedName name="_xlnm.Print_Area" localSheetId="2">Residential_R1RPP_750!$A$1:$O$40</definedName>
    <definedName name="_xlnm.Print_Area" localSheetId="10">'Seasonal_Non-RPP_750'!$A$1:$O$43</definedName>
    <definedName name="_xlnm.Print_Area" localSheetId="9">Seasonal_RPP_10th_PCTL!$A$1:$O$44</definedName>
    <definedName name="_xlnm.Print_Area" localSheetId="7">Seasonal_RPP_750!$A$1:$O$44</definedName>
    <definedName name="_xlnm.Print_Area" localSheetId="8">Seasonal_RPP_AVG!$A$1:$O$44</definedName>
    <definedName name="_xlnm.Print_Area" localSheetId="11">'Street Lighting Non-RPP'!$A$1:$O$38</definedName>
    <definedName name="_xlnm.Print_Area" localSheetId="12">'Street Lighting Non-RPP (2)'!$A$1:$O$38</definedName>
  </definedNames>
  <calcPr calcId="145621"/>
</workbook>
</file>

<file path=xl/calcChain.xml><?xml version="1.0" encoding="utf-8"?>
<calcChain xmlns="http://schemas.openxmlformats.org/spreadsheetml/2006/main">
  <c r="J18" i="31" l="1"/>
  <c r="J18" i="10"/>
  <c r="J23" i="19"/>
  <c r="J23" i="28"/>
  <c r="J23" i="29"/>
  <c r="J23" i="4"/>
  <c r="K20" i="14"/>
  <c r="O20" i="14"/>
  <c r="L20" i="14"/>
  <c r="N20" i="14" s="1"/>
  <c r="J20" i="14"/>
  <c r="G20" i="14"/>
  <c r="H20" i="14" s="1"/>
  <c r="F20" i="14"/>
  <c r="J19" i="17"/>
  <c r="J19" i="22"/>
  <c r="J19" i="27"/>
  <c r="J19" i="2"/>
  <c r="J16" i="17" l="1"/>
  <c r="J15" i="17"/>
  <c r="J16" i="22"/>
  <c r="J15" i="22"/>
  <c r="J16" i="27"/>
  <c r="J15" i="27"/>
  <c r="J16" i="2"/>
  <c r="J15" i="2"/>
  <c r="J26" i="19" l="1"/>
  <c r="F26" i="19"/>
  <c r="G36" i="19"/>
  <c r="J36" i="19"/>
  <c r="F36" i="19"/>
  <c r="F19" i="2"/>
  <c r="H22" i="10" l="1"/>
  <c r="L22" i="10"/>
  <c r="N22" i="10"/>
  <c r="H22" i="31"/>
  <c r="L22" i="31"/>
  <c r="N22" i="31"/>
  <c r="J38" i="31"/>
  <c r="K27" i="31" s="1"/>
  <c r="K28" i="31" s="1"/>
  <c r="F38" i="31"/>
  <c r="G27" i="31" s="1"/>
  <c r="G28" i="31" s="1"/>
  <c r="K31" i="31"/>
  <c r="J31" i="31"/>
  <c r="G31" i="31"/>
  <c r="F31" i="31"/>
  <c r="K30" i="31"/>
  <c r="J30" i="31"/>
  <c r="G30" i="31"/>
  <c r="F30" i="31"/>
  <c r="J29" i="31"/>
  <c r="L29" i="31" s="1"/>
  <c r="F29" i="31"/>
  <c r="H29" i="31" s="1"/>
  <c r="J28" i="31"/>
  <c r="F28" i="31"/>
  <c r="J27" i="31"/>
  <c r="F27" i="31"/>
  <c r="J25" i="31"/>
  <c r="F25" i="31"/>
  <c r="J24" i="31"/>
  <c r="F24" i="31"/>
  <c r="J21" i="31"/>
  <c r="F21" i="31"/>
  <c r="L20" i="31"/>
  <c r="H20" i="31"/>
  <c r="O20" i="31" s="1"/>
  <c r="K19" i="31"/>
  <c r="J19" i="31"/>
  <c r="G19" i="31"/>
  <c r="F19" i="31"/>
  <c r="B19" i="31"/>
  <c r="K18" i="31"/>
  <c r="G18" i="31"/>
  <c r="F18" i="31"/>
  <c r="B18" i="31"/>
  <c r="K16" i="31"/>
  <c r="J16" i="31"/>
  <c r="G16" i="31"/>
  <c r="F16" i="31"/>
  <c r="B16" i="31"/>
  <c r="K15" i="31"/>
  <c r="J15" i="31"/>
  <c r="G15" i="31"/>
  <c r="F15" i="31"/>
  <c r="J14" i="31"/>
  <c r="L14" i="31" s="1"/>
  <c r="F14" i="31"/>
  <c r="H14" i="31" s="1"/>
  <c r="J14" i="10"/>
  <c r="J15" i="10"/>
  <c r="K19" i="10"/>
  <c r="K18" i="10"/>
  <c r="G19" i="10"/>
  <c r="G18" i="10"/>
  <c r="L19" i="27"/>
  <c r="C27" i="21"/>
  <c r="C26" i="21"/>
  <c r="C22" i="21"/>
  <c r="C15" i="21"/>
  <c r="C14" i="21"/>
  <c r="C10" i="21"/>
  <c r="J44" i="29"/>
  <c r="K28" i="29" s="1"/>
  <c r="F44" i="29"/>
  <c r="G28" i="29" s="1"/>
  <c r="K37" i="29"/>
  <c r="J37" i="29"/>
  <c r="G37" i="29"/>
  <c r="F37" i="29"/>
  <c r="K36" i="29"/>
  <c r="J36" i="29"/>
  <c r="G36" i="29"/>
  <c r="F36" i="29"/>
  <c r="J35" i="29"/>
  <c r="G35" i="29"/>
  <c r="K35" i="29" s="1"/>
  <c r="F35" i="29"/>
  <c r="K34" i="29"/>
  <c r="J34" i="29"/>
  <c r="G34" i="29"/>
  <c r="F34" i="29"/>
  <c r="H34" i="29" s="1"/>
  <c r="J33" i="29"/>
  <c r="L33" i="29" s="1"/>
  <c r="F33" i="29"/>
  <c r="H33" i="29" s="1"/>
  <c r="J32" i="29"/>
  <c r="F32" i="29"/>
  <c r="J31" i="29"/>
  <c r="F31" i="29"/>
  <c r="J29" i="29"/>
  <c r="F29" i="29"/>
  <c r="J28" i="29"/>
  <c r="F28" i="29"/>
  <c r="J26" i="29"/>
  <c r="L26" i="29" s="1"/>
  <c r="F26" i="29"/>
  <c r="H26" i="29" s="1"/>
  <c r="K25" i="29"/>
  <c r="K24" i="29"/>
  <c r="L24" i="29" s="1"/>
  <c r="G24" i="29"/>
  <c r="H24" i="29" s="1"/>
  <c r="O24" i="29" s="1"/>
  <c r="K23" i="29"/>
  <c r="G23" i="29"/>
  <c r="F23" i="29"/>
  <c r="B23" i="29"/>
  <c r="K21" i="29"/>
  <c r="J21" i="29"/>
  <c r="G21" i="29"/>
  <c r="F21" i="29"/>
  <c r="B21" i="29"/>
  <c r="K20" i="29"/>
  <c r="J20" i="29"/>
  <c r="G20" i="29"/>
  <c r="F20" i="29"/>
  <c r="B20" i="29"/>
  <c r="K19" i="29"/>
  <c r="L19" i="29" s="1"/>
  <c r="G19" i="29"/>
  <c r="H19" i="29" s="1"/>
  <c r="O19" i="29" s="1"/>
  <c r="K18" i="29"/>
  <c r="L18" i="29" s="1"/>
  <c r="G18" i="29"/>
  <c r="H18" i="29" s="1"/>
  <c r="O18" i="29" s="1"/>
  <c r="K17" i="29"/>
  <c r="G17" i="29"/>
  <c r="F17" i="29"/>
  <c r="J16" i="29"/>
  <c r="L16" i="29" s="1"/>
  <c r="F16" i="29"/>
  <c r="H16" i="29" s="1"/>
  <c r="B16" i="29"/>
  <c r="L15" i="29"/>
  <c r="F15" i="29"/>
  <c r="H15" i="29" s="1"/>
  <c r="J44" i="28"/>
  <c r="K28" i="28" s="1"/>
  <c r="F44" i="28"/>
  <c r="G28" i="28" s="1"/>
  <c r="K37" i="28"/>
  <c r="J37" i="28"/>
  <c r="G37" i="28"/>
  <c r="F37" i="28"/>
  <c r="H37" i="28" s="1"/>
  <c r="K36" i="28"/>
  <c r="J36" i="28"/>
  <c r="G36" i="28"/>
  <c r="F36" i="28"/>
  <c r="H36" i="28" s="1"/>
  <c r="K35" i="28"/>
  <c r="J35" i="28"/>
  <c r="G35" i="28"/>
  <c r="F35" i="28"/>
  <c r="K34" i="28"/>
  <c r="J34" i="28"/>
  <c r="G34" i="28"/>
  <c r="F34" i="28"/>
  <c r="H34" i="28" s="1"/>
  <c r="J33" i="28"/>
  <c r="L33" i="28" s="1"/>
  <c r="F33" i="28"/>
  <c r="H33" i="28" s="1"/>
  <c r="J32" i="28"/>
  <c r="F32" i="28"/>
  <c r="J31" i="28"/>
  <c r="F31" i="28"/>
  <c r="J29" i="28"/>
  <c r="F29" i="28"/>
  <c r="J28" i="28"/>
  <c r="F28" i="28"/>
  <c r="J26" i="28"/>
  <c r="L26" i="28" s="1"/>
  <c r="F26" i="28"/>
  <c r="H26" i="28" s="1"/>
  <c r="K24" i="28"/>
  <c r="L24" i="28" s="1"/>
  <c r="G24" i="28"/>
  <c r="H24" i="28" s="1"/>
  <c r="O24" i="28" s="1"/>
  <c r="K23" i="28"/>
  <c r="G23" i="28"/>
  <c r="F23" i="28"/>
  <c r="B23" i="28"/>
  <c r="K21" i="28"/>
  <c r="J21" i="28"/>
  <c r="G21" i="28"/>
  <c r="F21" i="28"/>
  <c r="B21" i="28"/>
  <c r="K20" i="28"/>
  <c r="J20" i="28"/>
  <c r="L20" i="28" s="1"/>
  <c r="G20" i="28"/>
  <c r="F20" i="28"/>
  <c r="B20" i="28"/>
  <c r="K19" i="28"/>
  <c r="L19" i="28" s="1"/>
  <c r="G19" i="28"/>
  <c r="H19" i="28" s="1"/>
  <c r="O19" i="28" s="1"/>
  <c r="K18" i="28"/>
  <c r="L18" i="28" s="1"/>
  <c r="G18" i="28"/>
  <c r="H18" i="28" s="1"/>
  <c r="O18" i="28" s="1"/>
  <c r="K17" i="28"/>
  <c r="G17" i="28"/>
  <c r="F17" i="28"/>
  <c r="J16" i="28"/>
  <c r="L16" i="28" s="1"/>
  <c r="F16" i="28"/>
  <c r="H16" i="28" s="1"/>
  <c r="B16" i="28"/>
  <c r="L15" i="28"/>
  <c r="F15" i="28"/>
  <c r="H15" i="28" s="1"/>
  <c r="G19" i="14"/>
  <c r="K19" i="14"/>
  <c r="F20" i="17"/>
  <c r="F19" i="17"/>
  <c r="F19" i="22"/>
  <c r="F19" i="27"/>
  <c r="J40" i="27"/>
  <c r="K21" i="27" s="1"/>
  <c r="F40" i="27"/>
  <c r="G24" i="27" s="1"/>
  <c r="J33" i="27"/>
  <c r="G33" i="27"/>
  <c r="K33" i="27" s="1"/>
  <c r="F33" i="27"/>
  <c r="J32" i="27"/>
  <c r="G32" i="27"/>
  <c r="K32" i="27" s="1"/>
  <c r="F32" i="27"/>
  <c r="J31" i="27"/>
  <c r="G31" i="27"/>
  <c r="K31" i="27" s="1"/>
  <c r="F31" i="27"/>
  <c r="K30" i="27"/>
  <c r="J30" i="27"/>
  <c r="G30" i="27"/>
  <c r="F30" i="27"/>
  <c r="J29" i="27"/>
  <c r="L29" i="27" s="1"/>
  <c r="F29" i="27"/>
  <c r="H29" i="27" s="1"/>
  <c r="J28" i="27"/>
  <c r="F28" i="27"/>
  <c r="J27" i="27"/>
  <c r="F27" i="27"/>
  <c r="J25" i="27"/>
  <c r="F25" i="27"/>
  <c r="J24" i="27"/>
  <c r="F24" i="27"/>
  <c r="J22" i="27"/>
  <c r="L22" i="27" s="1"/>
  <c r="F22" i="27"/>
  <c r="H22" i="27" s="1"/>
  <c r="K20" i="27"/>
  <c r="L20" i="27" s="1"/>
  <c r="G20" i="27"/>
  <c r="H20" i="27" s="1"/>
  <c r="O20" i="27" s="1"/>
  <c r="K19" i="27"/>
  <c r="G19" i="27"/>
  <c r="B19" i="27"/>
  <c r="K17" i="27"/>
  <c r="J17" i="27"/>
  <c r="G17" i="27"/>
  <c r="F17" i="27"/>
  <c r="B17" i="27"/>
  <c r="K16" i="27"/>
  <c r="G16" i="27"/>
  <c r="F16" i="27"/>
  <c r="L15" i="27"/>
  <c r="F15" i="27"/>
  <c r="H15" i="27" s="1"/>
  <c r="G25" i="29" l="1"/>
  <c r="H20" i="29"/>
  <c r="J25" i="29"/>
  <c r="J25" i="28"/>
  <c r="F25" i="28"/>
  <c r="L23" i="29"/>
  <c r="K25" i="28"/>
  <c r="N16" i="29"/>
  <c r="O16" i="29" s="1"/>
  <c r="L28" i="31"/>
  <c r="G24" i="31"/>
  <c r="G25" i="31" s="1"/>
  <c r="H25" i="31" s="1"/>
  <c r="L35" i="29"/>
  <c r="G21" i="31"/>
  <c r="H21" i="31" s="1"/>
  <c r="K21" i="31"/>
  <c r="L21" i="31" s="1"/>
  <c r="K24" i="31"/>
  <c r="L24" i="31" s="1"/>
  <c r="H16" i="31"/>
  <c r="L19" i="31"/>
  <c r="H28" i="31"/>
  <c r="H18" i="31"/>
  <c r="O18" i="31" s="1"/>
  <c r="N29" i="31"/>
  <c r="O29" i="31" s="1"/>
  <c r="L30" i="31"/>
  <c r="L31" i="31"/>
  <c r="L16" i="31"/>
  <c r="H19" i="31"/>
  <c r="O19" i="31" s="1"/>
  <c r="N20" i="31"/>
  <c r="H15" i="31"/>
  <c r="L18" i="31"/>
  <c r="H30" i="31"/>
  <c r="H31" i="31"/>
  <c r="L15" i="31"/>
  <c r="N14" i="31"/>
  <c r="O14" i="31" s="1"/>
  <c r="L27" i="31"/>
  <c r="H24" i="31"/>
  <c r="H27" i="31"/>
  <c r="L35" i="28"/>
  <c r="L37" i="28"/>
  <c r="N37" i="28" s="1"/>
  <c r="O37" i="28" s="1"/>
  <c r="L28" i="28"/>
  <c r="L34" i="28"/>
  <c r="N34" i="28" s="1"/>
  <c r="O34" i="28" s="1"/>
  <c r="L36" i="28"/>
  <c r="N36" i="28" s="1"/>
  <c r="O36" i="28" s="1"/>
  <c r="L21" i="28"/>
  <c r="L22" i="28" s="1"/>
  <c r="L17" i="29"/>
  <c r="H21" i="29"/>
  <c r="L28" i="29"/>
  <c r="N33" i="29"/>
  <c r="O33" i="29" s="1"/>
  <c r="L36" i="29"/>
  <c r="L37" i="29"/>
  <c r="L20" i="29"/>
  <c r="H23" i="29"/>
  <c r="O23" i="29" s="1"/>
  <c r="L25" i="29"/>
  <c r="L34" i="29"/>
  <c r="N34" i="29" s="1"/>
  <c r="O34" i="29" s="1"/>
  <c r="H17" i="29"/>
  <c r="L21" i="29"/>
  <c r="N24" i="29"/>
  <c r="F25" i="29"/>
  <c r="H25" i="29" s="1"/>
  <c r="H36" i="29"/>
  <c r="H37" i="29"/>
  <c r="N26" i="28"/>
  <c r="H20" i="28"/>
  <c r="L23" i="28"/>
  <c r="L17" i="28"/>
  <c r="H21" i="28"/>
  <c r="H23" i="28"/>
  <c r="O23" i="28" s="1"/>
  <c r="N24" i="28"/>
  <c r="H17" i="28"/>
  <c r="N19" i="29"/>
  <c r="H35" i="29"/>
  <c r="N18" i="29"/>
  <c r="N15" i="29"/>
  <c r="O15" i="29" s="1"/>
  <c r="H28" i="29"/>
  <c r="H22" i="29"/>
  <c r="N26" i="29"/>
  <c r="K29" i="29"/>
  <c r="G29" i="29"/>
  <c r="N15" i="28"/>
  <c r="O15" i="28" s="1"/>
  <c r="N18" i="28"/>
  <c r="N33" i="28"/>
  <c r="O33" i="28" s="1"/>
  <c r="H28" i="28"/>
  <c r="G29" i="28"/>
  <c r="N16" i="28"/>
  <c r="O16" i="28" s="1"/>
  <c r="N19" i="28"/>
  <c r="N20" i="28"/>
  <c r="O20" i="28" s="1"/>
  <c r="G25" i="28"/>
  <c r="K29" i="28"/>
  <c r="H35" i="28"/>
  <c r="K24" i="27"/>
  <c r="K25" i="27" s="1"/>
  <c r="K27" i="27" s="1"/>
  <c r="L27" i="27" s="1"/>
  <c r="H19" i="27"/>
  <c r="O19" i="27" s="1"/>
  <c r="F21" i="27"/>
  <c r="G21" i="27"/>
  <c r="J21" i="27"/>
  <c r="L21" i="27" s="1"/>
  <c r="H30" i="27"/>
  <c r="H16" i="27"/>
  <c r="L31" i="27"/>
  <c r="L32" i="27"/>
  <c r="L33" i="27"/>
  <c r="L16" i="27"/>
  <c r="N16" i="27" s="1"/>
  <c r="O16" i="27" s="1"/>
  <c r="H17" i="27"/>
  <c r="N22" i="27"/>
  <c r="L30" i="27"/>
  <c r="N30" i="27" s="1"/>
  <c r="O30" i="27" s="1"/>
  <c r="H31" i="27"/>
  <c r="H32" i="27"/>
  <c r="H33" i="27"/>
  <c r="L17" i="27"/>
  <c r="H24" i="27"/>
  <c r="N29" i="27"/>
  <c r="O29" i="27" s="1"/>
  <c r="N15" i="27"/>
  <c r="O15" i="27" s="1"/>
  <c r="N20" i="27"/>
  <c r="G25" i="27"/>
  <c r="G35" i="19"/>
  <c r="F35" i="19"/>
  <c r="G34" i="4"/>
  <c r="F34" i="4"/>
  <c r="G31" i="14"/>
  <c r="F31" i="14"/>
  <c r="G31" i="17"/>
  <c r="F31" i="17"/>
  <c r="G30" i="22"/>
  <c r="F30" i="22"/>
  <c r="H30" i="22" s="1"/>
  <c r="G30" i="2"/>
  <c r="F30" i="2"/>
  <c r="N35" i="28" l="1"/>
  <c r="N37" i="29"/>
  <c r="O37" i="29" s="1"/>
  <c r="N36" i="29"/>
  <c r="O36" i="29" s="1"/>
  <c r="N21" i="29"/>
  <c r="O21" i="29" s="1"/>
  <c r="L25" i="28"/>
  <c r="L27" i="28" s="1"/>
  <c r="N20" i="29"/>
  <c r="O20" i="29" s="1"/>
  <c r="H17" i="31"/>
  <c r="H23" i="31" s="1"/>
  <c r="N28" i="31"/>
  <c r="O28" i="31" s="1"/>
  <c r="N21" i="28"/>
  <c r="O21" i="28" s="1"/>
  <c r="N16" i="31"/>
  <c r="O16" i="31" s="1"/>
  <c r="N21" i="31"/>
  <c r="O21" i="31" s="1"/>
  <c r="H25" i="28"/>
  <c r="N17" i="29"/>
  <c r="O17" i="29" s="1"/>
  <c r="L24" i="27"/>
  <c r="N24" i="27" s="1"/>
  <c r="O24" i="27" s="1"/>
  <c r="K28" i="27"/>
  <c r="L28" i="27" s="1"/>
  <c r="H22" i="28"/>
  <c r="K25" i="31"/>
  <c r="L25" i="31" s="1"/>
  <c r="N25" i="31" s="1"/>
  <c r="O25" i="31" s="1"/>
  <c r="N18" i="31"/>
  <c r="L25" i="27"/>
  <c r="N33" i="27"/>
  <c r="O33" i="27" s="1"/>
  <c r="N35" i="29"/>
  <c r="O35" i="29" s="1"/>
  <c r="N31" i="31"/>
  <c r="O31" i="31" s="1"/>
  <c r="N30" i="31"/>
  <c r="O30" i="31" s="1"/>
  <c r="N15" i="31"/>
  <c r="O15" i="31" s="1"/>
  <c r="L17" i="31"/>
  <c r="L23" i="31" s="1"/>
  <c r="N19" i="31"/>
  <c r="N27" i="31"/>
  <c r="O27" i="31" s="1"/>
  <c r="N24" i="31"/>
  <c r="O24" i="31" s="1"/>
  <c r="L22" i="29"/>
  <c r="N22" i="29" s="1"/>
  <c r="O22" i="29" s="1"/>
  <c r="N23" i="28"/>
  <c r="N25" i="29"/>
  <c r="O25" i="29" s="1"/>
  <c r="N23" i="29"/>
  <c r="N17" i="28"/>
  <c r="O17" i="28" s="1"/>
  <c r="H29" i="29"/>
  <c r="G32" i="29"/>
  <c r="H32" i="29" s="1"/>
  <c r="G31" i="29"/>
  <c r="H31" i="29" s="1"/>
  <c r="N28" i="29"/>
  <c r="O28" i="29" s="1"/>
  <c r="H27" i="29"/>
  <c r="L29" i="29"/>
  <c r="K31" i="29"/>
  <c r="L31" i="29" s="1"/>
  <c r="K32" i="29"/>
  <c r="L32" i="29" s="1"/>
  <c r="N28" i="28"/>
  <c r="O28" i="28" s="1"/>
  <c r="O35" i="28"/>
  <c r="L29" i="28"/>
  <c r="K32" i="28"/>
  <c r="L32" i="28" s="1"/>
  <c r="K31" i="28"/>
  <c r="L31" i="28" s="1"/>
  <c r="H29" i="28"/>
  <c r="G32" i="28"/>
  <c r="H32" i="28" s="1"/>
  <c r="G31" i="28"/>
  <c r="H31" i="28" s="1"/>
  <c r="L18" i="27"/>
  <c r="L23" i="27" s="1"/>
  <c r="N19" i="27"/>
  <c r="N31" i="27"/>
  <c r="O31" i="27" s="1"/>
  <c r="H21" i="27"/>
  <c r="N21" i="27" s="1"/>
  <c r="O21" i="27" s="1"/>
  <c r="N32" i="27"/>
  <c r="O32" i="27" s="1"/>
  <c r="H31" i="14"/>
  <c r="N17" i="27"/>
  <c r="O17" i="27" s="1"/>
  <c r="H18" i="27"/>
  <c r="H25" i="27"/>
  <c r="G28" i="27"/>
  <c r="H28" i="27" s="1"/>
  <c r="G27" i="27"/>
  <c r="H27" i="27" s="1"/>
  <c r="N27" i="27" s="1"/>
  <c r="H31" i="17"/>
  <c r="H35" i="19"/>
  <c r="H34" i="4"/>
  <c r="H30" i="2"/>
  <c r="G30" i="10"/>
  <c r="F30" i="10"/>
  <c r="H30" i="10" s="1"/>
  <c r="F74" i="3"/>
  <c r="D74" i="3"/>
  <c r="N25" i="28" l="1"/>
  <c r="O25" i="28" s="1"/>
  <c r="H23" i="27"/>
  <c r="H26" i="27" s="1"/>
  <c r="F10" i="21" s="1"/>
  <c r="H27" i="28"/>
  <c r="N27" i="28" s="1"/>
  <c r="O27" i="28" s="1"/>
  <c r="N17" i="31"/>
  <c r="O17" i="31" s="1"/>
  <c r="N18" i="27"/>
  <c r="O18" i="27" s="1"/>
  <c r="N22" i="28"/>
  <c r="O22" i="28" s="1"/>
  <c r="N25" i="27"/>
  <c r="O25" i="27" s="1"/>
  <c r="N29" i="29"/>
  <c r="O29" i="29" s="1"/>
  <c r="N23" i="31"/>
  <c r="O23" i="31" s="1"/>
  <c r="L26" i="31"/>
  <c r="H26" i="31"/>
  <c r="L27" i="29"/>
  <c r="L30" i="29" s="1"/>
  <c r="N29" i="28"/>
  <c r="O29" i="28" s="1"/>
  <c r="N32" i="29"/>
  <c r="O32" i="29" s="1"/>
  <c r="H30" i="29"/>
  <c r="N31" i="29"/>
  <c r="O31" i="29" s="1"/>
  <c r="L30" i="28"/>
  <c r="G15" i="21" s="1"/>
  <c r="N31" i="28"/>
  <c r="O31" i="28" s="1"/>
  <c r="N32" i="28"/>
  <c r="O32" i="28" s="1"/>
  <c r="H30" i="28"/>
  <c r="F15" i="21" s="1"/>
  <c r="L26" i="27"/>
  <c r="G10" i="21" s="1"/>
  <c r="N23" i="27"/>
  <c r="O23" i="27" s="1"/>
  <c r="O27" i="27"/>
  <c r="N28" i="27"/>
  <c r="O28" i="27" s="1"/>
  <c r="N27" i="29" l="1"/>
  <c r="O27" i="29" s="1"/>
  <c r="G14" i="21"/>
  <c r="L39" i="29"/>
  <c r="H39" i="28"/>
  <c r="H40" i="28" s="1"/>
  <c r="H41" i="28" s="1"/>
  <c r="F27" i="21" s="1"/>
  <c r="N26" i="31"/>
  <c r="O26" i="31" s="1"/>
  <c r="L33" i="31"/>
  <c r="H33" i="31"/>
  <c r="L39" i="28"/>
  <c r="L40" i="28" s="1"/>
  <c r="H39" i="29"/>
  <c r="H40" i="29" s="1"/>
  <c r="F14" i="21"/>
  <c r="N30" i="29"/>
  <c r="O30" i="29" s="1"/>
  <c r="N30" i="28"/>
  <c r="O30" i="28" s="1"/>
  <c r="H35" i="27"/>
  <c r="N26" i="27"/>
  <c r="O26" i="27" s="1"/>
  <c r="L35" i="27"/>
  <c r="K30" i="10"/>
  <c r="J30" i="10"/>
  <c r="K35" i="19"/>
  <c r="J35" i="19"/>
  <c r="K34" i="4"/>
  <c r="J34" i="4"/>
  <c r="K31" i="14"/>
  <c r="J31" i="14"/>
  <c r="L31" i="14" s="1"/>
  <c r="N31" i="14" s="1"/>
  <c r="O31" i="14" s="1"/>
  <c r="K31" i="17"/>
  <c r="J31" i="17"/>
  <c r="K30" i="22"/>
  <c r="J30" i="22"/>
  <c r="K30" i="2"/>
  <c r="J30" i="2"/>
  <c r="N39" i="29" l="1"/>
  <c r="O39" i="29" s="1"/>
  <c r="L40" i="29"/>
  <c r="L41" i="29" s="1"/>
  <c r="G26" i="21" s="1"/>
  <c r="L30" i="10"/>
  <c r="N30" i="10" s="1"/>
  <c r="O30" i="10" s="1"/>
  <c r="L34" i="31"/>
  <c r="N33" i="31"/>
  <c r="O33" i="31" s="1"/>
  <c r="H34" i="31"/>
  <c r="N39" i="28"/>
  <c r="O39" i="28" s="1"/>
  <c r="N40" i="28"/>
  <c r="O40" i="28" s="1"/>
  <c r="L41" i="28"/>
  <c r="N40" i="29"/>
  <c r="O40" i="29" s="1"/>
  <c r="H41" i="29"/>
  <c r="F26" i="21" s="1"/>
  <c r="L34" i="4"/>
  <c r="N34" i="4" s="1"/>
  <c r="O34" i="4" s="1"/>
  <c r="L31" i="17"/>
  <c r="N31" i="17" s="1"/>
  <c r="O31" i="17" s="1"/>
  <c r="L36" i="27"/>
  <c r="N35" i="27"/>
  <c r="O35" i="27" s="1"/>
  <c r="H36" i="27"/>
  <c r="H37" i="27" s="1"/>
  <c r="F22" i="21" s="1"/>
  <c r="L35" i="19"/>
  <c r="N35" i="19" s="1"/>
  <c r="O35" i="19" s="1"/>
  <c r="L30" i="22"/>
  <c r="N30" i="22" s="1"/>
  <c r="O30" i="22" s="1"/>
  <c r="L30" i="2"/>
  <c r="N30" i="2" s="1"/>
  <c r="O30" i="2" s="1"/>
  <c r="C23" i="21"/>
  <c r="C11" i="21"/>
  <c r="F16" i="22"/>
  <c r="F15" i="22"/>
  <c r="H15" i="22" s="1"/>
  <c r="L15" i="22"/>
  <c r="J40" i="22"/>
  <c r="K24" i="22" s="1"/>
  <c r="F40" i="22"/>
  <c r="G24" i="22" s="1"/>
  <c r="G25" i="22" s="1"/>
  <c r="J33" i="22"/>
  <c r="G33" i="22"/>
  <c r="F33" i="22"/>
  <c r="J32" i="22"/>
  <c r="G32" i="22"/>
  <c r="K32" i="22" s="1"/>
  <c r="F32" i="22"/>
  <c r="J31" i="22"/>
  <c r="G31" i="22"/>
  <c r="K31" i="22" s="1"/>
  <c r="F31" i="22"/>
  <c r="J29" i="22"/>
  <c r="L29" i="22" s="1"/>
  <c r="F29" i="22"/>
  <c r="H29" i="22" s="1"/>
  <c r="J28" i="22"/>
  <c r="F28" i="22"/>
  <c r="J27" i="22"/>
  <c r="F27" i="22"/>
  <c r="J25" i="22"/>
  <c r="F25" i="22"/>
  <c r="J24" i="22"/>
  <c r="F24" i="22"/>
  <c r="J22" i="22"/>
  <c r="L22" i="22" s="1"/>
  <c r="F22" i="22"/>
  <c r="H22" i="22" s="1"/>
  <c r="K20" i="22"/>
  <c r="L20" i="22" s="1"/>
  <c r="G20" i="22"/>
  <c r="H20" i="22" s="1"/>
  <c r="O20" i="22" s="1"/>
  <c r="K19" i="22"/>
  <c r="G19" i="22"/>
  <c r="H19" i="22" s="1"/>
  <c r="O19" i="22" s="1"/>
  <c r="B19" i="22"/>
  <c r="K17" i="22"/>
  <c r="J17" i="22"/>
  <c r="G17" i="22"/>
  <c r="F17" i="22"/>
  <c r="B17" i="22"/>
  <c r="K16" i="22"/>
  <c r="G16" i="22"/>
  <c r="N34" i="31" l="1"/>
  <c r="O34" i="31" s="1"/>
  <c r="H35" i="31"/>
  <c r="L35" i="31"/>
  <c r="N41" i="28"/>
  <c r="O41" i="28" s="1"/>
  <c r="G27" i="21"/>
  <c r="N41" i="29"/>
  <c r="O41" i="29" s="1"/>
  <c r="N36" i="27"/>
  <c r="O36" i="27" s="1"/>
  <c r="L37" i="27"/>
  <c r="J21" i="22"/>
  <c r="H17" i="22"/>
  <c r="F21" i="22"/>
  <c r="G21" i="22"/>
  <c r="L31" i="22"/>
  <c r="L16" i="22"/>
  <c r="K21" i="22"/>
  <c r="L19" i="22"/>
  <c r="N19" i="22" s="1"/>
  <c r="H33" i="22"/>
  <c r="L32" i="22"/>
  <c r="N29" i="22"/>
  <c r="O29" i="22" s="1"/>
  <c r="N22" i="22"/>
  <c r="H25" i="22"/>
  <c r="N15" i="22"/>
  <c r="O15" i="22" s="1"/>
  <c r="H16" i="22"/>
  <c r="N20" i="22"/>
  <c r="L24" i="22"/>
  <c r="H31" i="22"/>
  <c r="K33" i="22"/>
  <c r="L33" i="22" s="1"/>
  <c r="G28" i="22"/>
  <c r="H28" i="22" s="1"/>
  <c r="G27" i="22"/>
  <c r="H27" i="22" s="1"/>
  <c r="L17" i="22"/>
  <c r="H24" i="22"/>
  <c r="H32" i="22"/>
  <c r="K25" i="22"/>
  <c r="D28" i="21"/>
  <c r="C28" i="21"/>
  <c r="D16" i="21"/>
  <c r="C16" i="21"/>
  <c r="C25" i="21"/>
  <c r="C13" i="21"/>
  <c r="D24" i="21"/>
  <c r="C24" i="21"/>
  <c r="D12" i="21"/>
  <c r="C12" i="21"/>
  <c r="C21" i="21"/>
  <c r="C9" i="21"/>
  <c r="N35" i="31" l="1"/>
  <c r="O35" i="31" s="1"/>
  <c r="N37" i="27"/>
  <c r="O37" i="27" s="1"/>
  <c r="G22" i="21"/>
  <c r="L21" i="22"/>
  <c r="H15" i="21"/>
  <c r="I15" i="21" s="1"/>
  <c r="N17" i="22"/>
  <c r="O17" i="22" s="1"/>
  <c r="H21" i="22"/>
  <c r="H14" i="21"/>
  <c r="I14" i="21" s="1"/>
  <c r="N31" i="22"/>
  <c r="O31" i="22" s="1"/>
  <c r="N33" i="22"/>
  <c r="O33" i="22" s="1"/>
  <c r="L18" i="22"/>
  <c r="N32" i="22"/>
  <c r="O32" i="22" s="1"/>
  <c r="H18" i="22"/>
  <c r="N16" i="22"/>
  <c r="O16" i="22" s="1"/>
  <c r="L25" i="22"/>
  <c r="N25" i="22" s="1"/>
  <c r="O25" i="22" s="1"/>
  <c r="K28" i="22"/>
  <c r="L28" i="22" s="1"/>
  <c r="N28" i="22" s="1"/>
  <c r="O28" i="22" s="1"/>
  <c r="K27" i="22"/>
  <c r="L27" i="22" s="1"/>
  <c r="N24" i="22"/>
  <c r="O24" i="22" s="1"/>
  <c r="N21" i="22" l="1"/>
  <c r="O21" i="22" s="1"/>
  <c r="L23" i="22"/>
  <c r="L26" i="22" s="1"/>
  <c r="G11" i="21" s="1"/>
  <c r="H10" i="21"/>
  <c r="I10" i="21" s="1"/>
  <c r="N27" i="22"/>
  <c r="O27" i="22" s="1"/>
  <c r="H23" i="22"/>
  <c r="N18" i="22"/>
  <c r="O18" i="22" s="1"/>
  <c r="N23" i="22" l="1"/>
  <c r="O23" i="22" s="1"/>
  <c r="L35" i="22"/>
  <c r="L36" i="22" s="1"/>
  <c r="H26" i="22"/>
  <c r="F11" i="21" s="1"/>
  <c r="H11" i="21" s="1"/>
  <c r="I11" i="21" s="1"/>
  <c r="J19" i="10"/>
  <c r="F19" i="10"/>
  <c r="F18" i="10"/>
  <c r="B19" i="10"/>
  <c r="B18" i="10"/>
  <c r="J43" i="19"/>
  <c r="K29" i="19" s="1"/>
  <c r="K30" i="19" s="1"/>
  <c r="F43" i="19"/>
  <c r="G26" i="19" s="1"/>
  <c r="K36" i="19"/>
  <c r="J34" i="19"/>
  <c r="L34" i="19" s="1"/>
  <c r="F34" i="19"/>
  <c r="H34" i="19" s="1"/>
  <c r="J33" i="19"/>
  <c r="F33" i="19"/>
  <c r="J32" i="19"/>
  <c r="F32" i="19"/>
  <c r="J30" i="19"/>
  <c r="F30" i="19"/>
  <c r="J29" i="19"/>
  <c r="F29" i="19"/>
  <c r="J27" i="19"/>
  <c r="L27" i="19" s="1"/>
  <c r="F27" i="19"/>
  <c r="H27" i="19" s="1"/>
  <c r="K25" i="19"/>
  <c r="L25" i="19" s="1"/>
  <c r="G25" i="19"/>
  <c r="H25" i="19" s="1"/>
  <c r="K24" i="19"/>
  <c r="J24" i="19"/>
  <c r="G24" i="19"/>
  <c r="F24" i="19"/>
  <c r="B24" i="19"/>
  <c r="K23" i="19"/>
  <c r="G23" i="19"/>
  <c r="F23" i="19"/>
  <c r="B23" i="19"/>
  <c r="K21" i="19"/>
  <c r="J21" i="19"/>
  <c r="G21" i="19"/>
  <c r="F21" i="19"/>
  <c r="B21" i="19"/>
  <c r="K20" i="19"/>
  <c r="J20" i="19"/>
  <c r="G20" i="19"/>
  <c r="F20" i="19"/>
  <c r="B20" i="19"/>
  <c r="K19" i="19"/>
  <c r="L19" i="19" s="1"/>
  <c r="G19" i="19"/>
  <c r="H19" i="19" s="1"/>
  <c r="O19" i="19" s="1"/>
  <c r="K18" i="19"/>
  <c r="L18" i="19" s="1"/>
  <c r="G18" i="19"/>
  <c r="H18" i="19" s="1"/>
  <c r="O18" i="19" s="1"/>
  <c r="K17" i="19"/>
  <c r="G17" i="19"/>
  <c r="F17" i="19"/>
  <c r="J16" i="19"/>
  <c r="L16" i="19" s="1"/>
  <c r="F16" i="19"/>
  <c r="H16" i="19" s="1"/>
  <c r="B16" i="19"/>
  <c r="L15" i="19"/>
  <c r="F15" i="19"/>
  <c r="H15" i="19" s="1"/>
  <c r="F23" i="4"/>
  <c r="B23" i="4"/>
  <c r="J19" i="14"/>
  <c r="J18" i="14"/>
  <c r="F19" i="14"/>
  <c r="F18" i="14"/>
  <c r="B19" i="14"/>
  <c r="B18" i="14"/>
  <c r="J20" i="17"/>
  <c r="B20" i="17"/>
  <c r="B19" i="17"/>
  <c r="B19" i="2"/>
  <c r="H23" i="19" l="1"/>
  <c r="O23" i="19" s="1"/>
  <c r="L21" i="19"/>
  <c r="H26" i="19"/>
  <c r="H20" i="19"/>
  <c r="N27" i="19"/>
  <c r="H17" i="19"/>
  <c r="G29" i="19"/>
  <c r="G30" i="19" s="1"/>
  <c r="H30" i="19" s="1"/>
  <c r="H35" i="22"/>
  <c r="N26" i="22"/>
  <c r="O26" i="22" s="1"/>
  <c r="L37" i="22"/>
  <c r="G23" i="21" s="1"/>
  <c r="K26" i="19"/>
  <c r="L24" i="19"/>
  <c r="H36" i="19"/>
  <c r="L23" i="19"/>
  <c r="L30" i="19"/>
  <c r="N34" i="19"/>
  <c r="O34" i="19" s="1"/>
  <c r="N16" i="19"/>
  <c r="O16" i="19" s="1"/>
  <c r="N18" i="19"/>
  <c r="N19" i="19"/>
  <c r="O25" i="19"/>
  <c r="N25" i="19"/>
  <c r="L36" i="19"/>
  <c r="H21" i="19"/>
  <c r="L29" i="19"/>
  <c r="H24" i="19"/>
  <c r="O24" i="19" s="1"/>
  <c r="N15" i="19"/>
  <c r="O15" i="19" s="1"/>
  <c r="L17" i="19"/>
  <c r="L20" i="19"/>
  <c r="K33" i="19"/>
  <c r="L33" i="19" s="1"/>
  <c r="K32" i="19"/>
  <c r="L32" i="19" s="1"/>
  <c r="N23" i="19" l="1"/>
  <c r="H27" i="21"/>
  <c r="I27" i="21" s="1"/>
  <c r="N20" i="19"/>
  <c r="O20" i="19" s="1"/>
  <c r="H22" i="19"/>
  <c r="H28" i="19" s="1"/>
  <c r="L26" i="19"/>
  <c r="N26" i="19" s="1"/>
  <c r="O26" i="19" s="1"/>
  <c r="N17" i="19"/>
  <c r="O17" i="19" s="1"/>
  <c r="H29" i="19"/>
  <c r="N29" i="19" s="1"/>
  <c r="O29" i="19" s="1"/>
  <c r="H36" i="22"/>
  <c r="N35" i="22"/>
  <c r="O35" i="22" s="1"/>
  <c r="N36" i="19"/>
  <c r="O36" i="19" s="1"/>
  <c r="N30" i="19"/>
  <c r="O30" i="19" s="1"/>
  <c r="N21" i="19"/>
  <c r="O21" i="19" s="1"/>
  <c r="G33" i="19"/>
  <c r="H33" i="19" s="1"/>
  <c r="N33" i="19" s="1"/>
  <c r="G32" i="19"/>
  <c r="H32" i="19" s="1"/>
  <c r="N32" i="19" s="1"/>
  <c r="L22" i="19"/>
  <c r="N24" i="19"/>
  <c r="H26" i="21" l="1"/>
  <c r="I26" i="21" s="1"/>
  <c r="H22" i="21"/>
  <c r="I22" i="21" s="1"/>
  <c r="N36" i="22"/>
  <c r="O36" i="22" s="1"/>
  <c r="H37" i="22"/>
  <c r="F23" i="21" s="1"/>
  <c r="O32" i="19"/>
  <c r="O33" i="19"/>
  <c r="H31" i="19"/>
  <c r="N22" i="19"/>
  <c r="O22" i="19" s="1"/>
  <c r="L28" i="19"/>
  <c r="H23" i="21" l="1"/>
  <c r="I23" i="21" s="1"/>
  <c r="N37" i="22"/>
  <c r="O37" i="22" s="1"/>
  <c r="N28" i="19"/>
  <c r="O28" i="19" s="1"/>
  <c r="L31" i="19"/>
  <c r="H38" i="19"/>
  <c r="N31" i="19" l="1"/>
  <c r="O31" i="19" s="1"/>
  <c r="L38" i="19"/>
  <c r="H39" i="19"/>
  <c r="H40" i="19" l="1"/>
  <c r="L39" i="19"/>
  <c r="N39" i="19" s="1"/>
  <c r="O39" i="19" s="1"/>
  <c r="N38" i="19"/>
  <c r="O38" i="19" s="1"/>
  <c r="L40" i="19" l="1"/>
  <c r="G32" i="17"/>
  <c r="K32" i="17" s="1"/>
  <c r="J22" i="17"/>
  <c r="F22" i="17"/>
  <c r="J32" i="17"/>
  <c r="F32" i="17"/>
  <c r="J39" i="17"/>
  <c r="K22" i="17" s="1"/>
  <c r="F39" i="17"/>
  <c r="G22" i="17" s="1"/>
  <c r="J30" i="17"/>
  <c r="L30" i="17" s="1"/>
  <c r="F30" i="17"/>
  <c r="H30" i="17" s="1"/>
  <c r="J29" i="17"/>
  <c r="F29" i="17"/>
  <c r="J28" i="17"/>
  <c r="F28" i="17"/>
  <c r="J26" i="17"/>
  <c r="F26" i="17"/>
  <c r="J25" i="17"/>
  <c r="F25" i="17"/>
  <c r="J23" i="17"/>
  <c r="L23" i="17" s="1"/>
  <c r="F23" i="17"/>
  <c r="H23" i="17" s="1"/>
  <c r="K21" i="17"/>
  <c r="L21" i="17" s="1"/>
  <c r="G21" i="17"/>
  <c r="H21" i="17" s="1"/>
  <c r="O21" i="17" s="1"/>
  <c r="K20" i="17"/>
  <c r="L20" i="17" s="1"/>
  <c r="G20" i="17"/>
  <c r="H20" i="17" s="1"/>
  <c r="O20" i="17" s="1"/>
  <c r="K19" i="17"/>
  <c r="L19" i="17" s="1"/>
  <c r="G19" i="17"/>
  <c r="H19" i="17" s="1"/>
  <c r="O19" i="17" s="1"/>
  <c r="K17" i="17"/>
  <c r="J17" i="17"/>
  <c r="G17" i="17"/>
  <c r="F17" i="17"/>
  <c r="B17" i="17"/>
  <c r="K16" i="17"/>
  <c r="G16" i="17"/>
  <c r="F16" i="17"/>
  <c r="L15" i="17"/>
  <c r="F15" i="17"/>
  <c r="H15" i="17" s="1"/>
  <c r="N40" i="19" l="1"/>
  <c r="O40" i="19" s="1"/>
  <c r="H32" i="17"/>
  <c r="N21" i="17"/>
  <c r="G25" i="17"/>
  <c r="H25" i="17" s="1"/>
  <c r="L32" i="17"/>
  <c r="L22" i="17"/>
  <c r="H22" i="17"/>
  <c r="H17" i="17"/>
  <c r="L16" i="17"/>
  <c r="L17" i="17"/>
  <c r="N30" i="17"/>
  <c r="O30" i="17" s="1"/>
  <c r="K25" i="17"/>
  <c r="N19" i="17"/>
  <c r="N15" i="17"/>
  <c r="O15" i="17" s="1"/>
  <c r="H16" i="17"/>
  <c r="N20" i="17"/>
  <c r="N23" i="17"/>
  <c r="K16" i="10"/>
  <c r="G16" i="10"/>
  <c r="J16" i="10"/>
  <c r="F16" i="10"/>
  <c r="B16" i="10"/>
  <c r="J21" i="4"/>
  <c r="F21" i="4"/>
  <c r="B21" i="4"/>
  <c r="J22" i="14"/>
  <c r="F22" i="14"/>
  <c r="J39" i="14"/>
  <c r="K22" i="14" s="1"/>
  <c r="F39" i="14"/>
  <c r="K32" i="14"/>
  <c r="J32" i="14"/>
  <c r="G32" i="14"/>
  <c r="F32" i="14"/>
  <c r="J30" i="14"/>
  <c r="L30" i="14" s="1"/>
  <c r="F30" i="14"/>
  <c r="H30" i="14" s="1"/>
  <c r="J29" i="14"/>
  <c r="F29" i="14"/>
  <c r="J28" i="14"/>
  <c r="F28" i="14"/>
  <c r="J26" i="14"/>
  <c r="F26" i="14"/>
  <c r="J25" i="14"/>
  <c r="F25" i="14"/>
  <c r="L23" i="14"/>
  <c r="H23" i="14"/>
  <c r="K21" i="14"/>
  <c r="L21" i="14" s="1"/>
  <c r="G21" i="14"/>
  <c r="H21" i="14" s="1"/>
  <c r="O21" i="14" s="1"/>
  <c r="L19" i="14"/>
  <c r="H19" i="14"/>
  <c r="O19" i="14" s="1"/>
  <c r="K18" i="14"/>
  <c r="L18" i="14" s="1"/>
  <c r="G18" i="14"/>
  <c r="H18" i="14" s="1"/>
  <c r="O18" i="14" s="1"/>
  <c r="K16" i="14"/>
  <c r="J16" i="14"/>
  <c r="G16" i="14"/>
  <c r="F16" i="14"/>
  <c r="B16" i="14"/>
  <c r="K15" i="14"/>
  <c r="G15" i="14"/>
  <c r="F15" i="14"/>
  <c r="L14" i="14"/>
  <c r="F14" i="14"/>
  <c r="H14" i="14" s="1"/>
  <c r="J17" i="2"/>
  <c r="F17" i="2"/>
  <c r="B17" i="2"/>
  <c r="N23" i="14" l="1"/>
  <c r="L16" i="14"/>
  <c r="N18" i="14"/>
  <c r="N19" i="14"/>
  <c r="N21" i="14"/>
  <c r="H16" i="14"/>
  <c r="H15" i="14"/>
  <c r="N30" i="14"/>
  <c r="O30" i="14" s="1"/>
  <c r="L32" i="14"/>
  <c r="G26" i="17"/>
  <c r="H26" i="17" s="1"/>
  <c r="N16" i="17"/>
  <c r="O16" i="17" s="1"/>
  <c r="N32" i="17"/>
  <c r="O32" i="17" s="1"/>
  <c r="N17" i="17"/>
  <c r="O17" i="17" s="1"/>
  <c r="N22" i="17"/>
  <c r="O22" i="17" s="1"/>
  <c r="L18" i="17"/>
  <c r="L24" i="17" s="1"/>
  <c r="K26" i="17"/>
  <c r="L25" i="17"/>
  <c r="N25" i="17" s="1"/>
  <c r="O25" i="17" s="1"/>
  <c r="H18" i="17"/>
  <c r="L22" i="14"/>
  <c r="G28" i="14"/>
  <c r="G25" i="14"/>
  <c r="N14" i="14"/>
  <c r="O14" i="14" s="1"/>
  <c r="L15" i="14"/>
  <c r="H32" i="14"/>
  <c r="G22" i="14"/>
  <c r="H22" i="14" s="1"/>
  <c r="K25" i="14"/>
  <c r="K28" i="14"/>
  <c r="N16" i="14" l="1"/>
  <c r="O16" i="14" s="1"/>
  <c r="G28" i="17"/>
  <c r="H28" i="17" s="1"/>
  <c r="G29" i="17"/>
  <c r="H29" i="17" s="1"/>
  <c r="L26" i="17"/>
  <c r="N26" i="17" s="1"/>
  <c r="O26" i="17" s="1"/>
  <c r="K28" i="17"/>
  <c r="L28" i="17" s="1"/>
  <c r="K29" i="17"/>
  <c r="L29" i="17" s="1"/>
  <c r="H24" i="17"/>
  <c r="N18" i="17"/>
  <c r="O18" i="17" s="1"/>
  <c r="L28" i="14"/>
  <c r="K29" i="14"/>
  <c r="L29" i="14" s="1"/>
  <c r="G26" i="14"/>
  <c r="H26" i="14" s="1"/>
  <c r="H25" i="14"/>
  <c r="L25" i="14"/>
  <c r="K26" i="14"/>
  <c r="L26" i="14" s="1"/>
  <c r="N15" i="14"/>
  <c r="O15" i="14" s="1"/>
  <c r="L17" i="14"/>
  <c r="G29" i="14"/>
  <c r="H29" i="14" s="1"/>
  <c r="H28" i="14"/>
  <c r="N32" i="14"/>
  <c r="O32" i="14" s="1"/>
  <c r="H17" i="14"/>
  <c r="N22" i="14"/>
  <c r="O22" i="14" s="1"/>
  <c r="N26" i="14" l="1"/>
  <c r="O26" i="14" s="1"/>
  <c r="N25" i="14"/>
  <c r="O25" i="14" s="1"/>
  <c r="N28" i="17"/>
  <c r="O28" i="17" s="1"/>
  <c r="N29" i="17"/>
  <c r="O29" i="17" s="1"/>
  <c r="L27" i="17"/>
  <c r="H27" i="17"/>
  <c r="N24" i="17"/>
  <c r="O24" i="17" s="1"/>
  <c r="N29" i="14"/>
  <c r="O29" i="14" s="1"/>
  <c r="H24" i="14"/>
  <c r="L24" i="14"/>
  <c r="N17" i="14"/>
  <c r="O17" i="14" s="1"/>
  <c r="N28" i="14"/>
  <c r="O28" i="14" s="1"/>
  <c r="J29" i="10"/>
  <c r="L29" i="10" s="1"/>
  <c r="F29" i="10"/>
  <c r="H29" i="10" s="1"/>
  <c r="J28" i="10"/>
  <c r="F28" i="10"/>
  <c r="J27" i="10"/>
  <c r="F27" i="10"/>
  <c r="J25" i="10"/>
  <c r="J24" i="10"/>
  <c r="F25" i="10"/>
  <c r="F24" i="10"/>
  <c r="K15" i="10"/>
  <c r="G15" i="10"/>
  <c r="F15" i="10"/>
  <c r="L14" i="10"/>
  <c r="F14" i="10"/>
  <c r="H14" i="10" s="1"/>
  <c r="J38" i="10"/>
  <c r="K21" i="10" s="1"/>
  <c r="F38" i="10"/>
  <c r="G27" i="10" s="1"/>
  <c r="K31" i="10"/>
  <c r="J31" i="10"/>
  <c r="G31" i="10"/>
  <c r="F31" i="10"/>
  <c r="J21" i="10"/>
  <c r="F21" i="10"/>
  <c r="L20" i="10"/>
  <c r="H20" i="10"/>
  <c r="O20" i="10" s="1"/>
  <c r="L19" i="10"/>
  <c r="H19" i="10"/>
  <c r="O19" i="10" s="1"/>
  <c r="L18" i="10"/>
  <c r="H18" i="10"/>
  <c r="O18" i="10" s="1"/>
  <c r="L16" i="10"/>
  <c r="H16" i="10"/>
  <c r="N19" i="10" l="1"/>
  <c r="N27" i="17"/>
  <c r="O27" i="17" s="1"/>
  <c r="L34" i="17"/>
  <c r="L35" i="17" s="1"/>
  <c r="L36" i="17" s="1"/>
  <c r="H34" i="17"/>
  <c r="N16" i="10"/>
  <c r="O16" i="10" s="1"/>
  <c r="L27" i="14"/>
  <c r="G12" i="21" s="1"/>
  <c r="N24" i="14"/>
  <c r="O24" i="14" s="1"/>
  <c r="H27" i="14"/>
  <c r="F12" i="21" s="1"/>
  <c r="G24" i="10"/>
  <c r="H24" i="10" s="1"/>
  <c r="G21" i="10"/>
  <c r="H21" i="10" s="1"/>
  <c r="H31" i="10"/>
  <c r="L31" i="10"/>
  <c r="N29" i="10"/>
  <c r="O29" i="10" s="1"/>
  <c r="H27" i="10"/>
  <c r="L15" i="10"/>
  <c r="N18" i="10"/>
  <c r="N20" i="10"/>
  <c r="N14" i="10"/>
  <c r="O14" i="10" s="1"/>
  <c r="H15" i="10"/>
  <c r="K27" i="10"/>
  <c r="K24" i="10"/>
  <c r="L21" i="10"/>
  <c r="G28" i="10"/>
  <c r="H28" i="10" s="1"/>
  <c r="H12" i="21" l="1"/>
  <c r="I12" i="21" s="1"/>
  <c r="H35" i="17"/>
  <c r="N35" i="17" s="1"/>
  <c r="N34" i="17"/>
  <c r="O34" i="17" s="1"/>
  <c r="N27" i="14"/>
  <c r="O27" i="14" s="1"/>
  <c r="L34" i="14"/>
  <c r="H34" i="14"/>
  <c r="G25" i="10"/>
  <c r="H25" i="10" s="1"/>
  <c r="N21" i="10"/>
  <c r="O21" i="10" s="1"/>
  <c r="N31" i="10"/>
  <c r="O31" i="10" s="1"/>
  <c r="N15" i="10"/>
  <c r="O15" i="10" s="1"/>
  <c r="L24" i="10"/>
  <c r="N24" i="10" s="1"/>
  <c r="O24" i="10" s="1"/>
  <c r="K25" i="10"/>
  <c r="L25" i="10" s="1"/>
  <c r="L27" i="10"/>
  <c r="K28" i="10"/>
  <c r="L28" i="10" s="1"/>
  <c r="N28" i="10" s="1"/>
  <c r="O28" i="10" s="1"/>
  <c r="L17" i="10"/>
  <c r="H17" i="10"/>
  <c r="O35" i="17" l="1"/>
  <c r="H36" i="17"/>
  <c r="N34" i="14"/>
  <c r="O34" i="14" s="1"/>
  <c r="L35" i="14"/>
  <c r="L36" i="14" s="1"/>
  <c r="G24" i="21" s="1"/>
  <c r="H35" i="14"/>
  <c r="N25" i="10"/>
  <c r="O25" i="10" s="1"/>
  <c r="H23" i="10"/>
  <c r="N27" i="10"/>
  <c r="O27" i="10" s="1"/>
  <c r="L23" i="10"/>
  <c r="N17" i="10"/>
  <c r="O17" i="10" s="1"/>
  <c r="N36" i="17" l="1"/>
  <c r="O36" i="17" s="1"/>
  <c r="H36" i="14"/>
  <c r="F24" i="21" s="1"/>
  <c r="N35" i="14"/>
  <c r="O35" i="14" s="1"/>
  <c r="H26" i="10"/>
  <c r="F16" i="21" s="1"/>
  <c r="N23" i="10"/>
  <c r="O23" i="10" s="1"/>
  <c r="L26" i="10"/>
  <c r="G16" i="21" s="1"/>
  <c r="H16" i="21" l="1"/>
  <c r="I16" i="21" s="1"/>
  <c r="N36" i="14"/>
  <c r="O36" i="14" s="1"/>
  <c r="H24" i="21"/>
  <c r="I24" i="21" s="1"/>
  <c r="H33" i="10"/>
  <c r="N26" i="10"/>
  <c r="O26" i="10" s="1"/>
  <c r="L33" i="10"/>
  <c r="H34" i="10" l="1"/>
  <c r="N33" i="10"/>
  <c r="O33" i="10" s="1"/>
  <c r="L34" i="10"/>
  <c r="N34" i="10" l="1"/>
  <c r="O34" i="10" s="1"/>
  <c r="L35" i="10"/>
  <c r="G28" i="21" s="1"/>
  <c r="H35" i="10"/>
  <c r="F28" i="21" s="1"/>
  <c r="H28" i="21" l="1"/>
  <c r="I28" i="21" s="1"/>
  <c r="N35" i="10"/>
  <c r="O35" i="10" s="1"/>
  <c r="J33" i="4" l="1"/>
  <c r="L33" i="4" s="1"/>
  <c r="F33" i="4"/>
  <c r="H33" i="4" s="1"/>
  <c r="J32" i="4"/>
  <c r="J31" i="4"/>
  <c r="F32" i="4"/>
  <c r="F31" i="4"/>
  <c r="J29" i="4"/>
  <c r="J28" i="4"/>
  <c r="F28" i="4"/>
  <c r="F29" i="4"/>
  <c r="J26" i="4"/>
  <c r="L26" i="4" s="1"/>
  <c r="F26" i="4"/>
  <c r="H26" i="4" s="1"/>
  <c r="J20" i="4"/>
  <c r="F20" i="4"/>
  <c r="B20" i="4"/>
  <c r="F17" i="4"/>
  <c r="J16" i="4"/>
  <c r="L16" i="4" s="1"/>
  <c r="F16" i="4"/>
  <c r="H16" i="4" s="1"/>
  <c r="B16" i="4"/>
  <c r="L15" i="4"/>
  <c r="F15" i="4"/>
  <c r="H15" i="4" s="1"/>
  <c r="J44" i="4"/>
  <c r="K28" i="4" s="1"/>
  <c r="F44" i="4"/>
  <c r="G28" i="4" s="1"/>
  <c r="J37" i="4"/>
  <c r="G37" i="4"/>
  <c r="K37" i="4" s="1"/>
  <c r="F37" i="4"/>
  <c r="J36" i="4"/>
  <c r="G36" i="4"/>
  <c r="K36" i="4" s="1"/>
  <c r="F36" i="4"/>
  <c r="J35" i="4"/>
  <c r="G35" i="4"/>
  <c r="K35" i="4" s="1"/>
  <c r="F35" i="4"/>
  <c r="K24" i="4"/>
  <c r="L24" i="4" s="1"/>
  <c r="G24" i="4"/>
  <c r="H24" i="4" s="1"/>
  <c r="O24" i="4" s="1"/>
  <c r="K23" i="4"/>
  <c r="L23" i="4" s="1"/>
  <c r="G23" i="4"/>
  <c r="H23" i="4" s="1"/>
  <c r="O23" i="4" s="1"/>
  <c r="K21" i="4"/>
  <c r="L21" i="4" s="1"/>
  <c r="G21" i="4"/>
  <c r="H21" i="4" s="1"/>
  <c r="K20" i="4"/>
  <c r="G20" i="4"/>
  <c r="K19" i="4"/>
  <c r="L19" i="4" s="1"/>
  <c r="G19" i="4"/>
  <c r="H19" i="4" s="1"/>
  <c r="O19" i="4" s="1"/>
  <c r="K18" i="4"/>
  <c r="L18" i="4" s="1"/>
  <c r="G18" i="4"/>
  <c r="H18" i="4" s="1"/>
  <c r="O18" i="4" s="1"/>
  <c r="K17" i="4"/>
  <c r="G17" i="4"/>
  <c r="J33" i="2"/>
  <c r="F33" i="2"/>
  <c r="L35" i="4" l="1"/>
  <c r="H17" i="4"/>
  <c r="H20" i="4"/>
  <c r="K25" i="4"/>
  <c r="L37" i="4"/>
  <c r="F25" i="4"/>
  <c r="J25" i="4"/>
  <c r="L20" i="4"/>
  <c r="H28" i="4"/>
  <c r="N33" i="4"/>
  <c r="O33" i="4" s="1"/>
  <c r="N16" i="4"/>
  <c r="O16" i="4" s="1"/>
  <c r="N19" i="4"/>
  <c r="L36" i="4"/>
  <c r="G25" i="4"/>
  <c r="N18" i="4"/>
  <c r="L17" i="4"/>
  <c r="N26" i="4"/>
  <c r="N15" i="4"/>
  <c r="O15" i="4" s="1"/>
  <c r="N21" i="4"/>
  <c r="O21" i="4" s="1"/>
  <c r="N23" i="4"/>
  <c r="N24" i="4"/>
  <c r="L28" i="4"/>
  <c r="K29" i="4"/>
  <c r="H35" i="4"/>
  <c r="H36" i="4"/>
  <c r="H37" i="4"/>
  <c r="G29" i="4"/>
  <c r="F31" i="2"/>
  <c r="F32" i="2"/>
  <c r="J31" i="2"/>
  <c r="J32" i="2"/>
  <c r="J29" i="2"/>
  <c r="F29" i="2"/>
  <c r="J28" i="2"/>
  <c r="F28" i="2"/>
  <c r="J27" i="2"/>
  <c r="F27" i="2"/>
  <c r="J25" i="2"/>
  <c r="J24" i="2"/>
  <c r="F25" i="2"/>
  <c r="F24" i="2"/>
  <c r="J40" i="2"/>
  <c r="F40" i="2"/>
  <c r="F16" i="2"/>
  <c r="F15" i="2"/>
  <c r="J22" i="2"/>
  <c r="F22" i="2"/>
  <c r="N17" i="4" l="1"/>
  <c r="O17" i="4" s="1"/>
  <c r="N35" i="4"/>
  <c r="O35" i="4" s="1"/>
  <c r="N20" i="4"/>
  <c r="O20" i="4" s="1"/>
  <c r="H25" i="4"/>
  <c r="N28" i="4"/>
  <c r="O28" i="4" s="1"/>
  <c r="L25" i="4"/>
  <c r="H22" i="4"/>
  <c r="L22" i="4"/>
  <c r="L29" i="4"/>
  <c r="K32" i="4"/>
  <c r="L32" i="4" s="1"/>
  <c r="K31" i="4"/>
  <c r="L31" i="4" s="1"/>
  <c r="N37" i="4"/>
  <c r="O37" i="4" s="1"/>
  <c r="H29" i="4"/>
  <c r="G32" i="4"/>
  <c r="H32" i="4" s="1"/>
  <c r="G31" i="4"/>
  <c r="H31" i="4" s="1"/>
  <c r="N36" i="4"/>
  <c r="O36" i="4" s="1"/>
  <c r="G33" i="2"/>
  <c r="K33" i="2" s="1"/>
  <c r="L33" i="2" s="1"/>
  <c r="G32" i="2"/>
  <c r="K32" i="2" s="1"/>
  <c r="L32" i="2" s="1"/>
  <c r="G31" i="2"/>
  <c r="K31" i="2" s="1"/>
  <c r="L31" i="2" s="1"/>
  <c r="L29" i="2"/>
  <c r="H29" i="2"/>
  <c r="K24" i="2"/>
  <c r="K25" i="2" s="1"/>
  <c r="G24" i="2"/>
  <c r="G25" i="2" s="1"/>
  <c r="L22" i="2"/>
  <c r="H22" i="2"/>
  <c r="K21" i="2"/>
  <c r="J21" i="2"/>
  <c r="G21" i="2"/>
  <c r="F21" i="2"/>
  <c r="K20" i="2"/>
  <c r="L20" i="2" s="1"/>
  <c r="G20" i="2"/>
  <c r="H20" i="2" s="1"/>
  <c r="O20" i="2" s="1"/>
  <c r="K19" i="2"/>
  <c r="L19" i="2" s="1"/>
  <c r="G19" i="2"/>
  <c r="H19" i="2" s="1"/>
  <c r="O19" i="2" s="1"/>
  <c r="K17" i="2"/>
  <c r="L17" i="2" s="1"/>
  <c r="G17" i="2"/>
  <c r="H17" i="2" s="1"/>
  <c r="K16" i="2"/>
  <c r="L16" i="2" s="1"/>
  <c r="G16" i="2"/>
  <c r="H16" i="2" s="1"/>
  <c r="L15" i="2"/>
  <c r="H15" i="2"/>
  <c r="N25" i="4" l="1"/>
  <c r="O25" i="4" s="1"/>
  <c r="N17" i="2"/>
  <c r="O17" i="2" s="1"/>
  <c r="H27" i="4"/>
  <c r="N15" i="2"/>
  <c r="O15" i="2" s="1"/>
  <c r="L27" i="4"/>
  <c r="N29" i="2"/>
  <c r="O29" i="2" s="1"/>
  <c r="N29" i="4"/>
  <c r="O29" i="4" s="1"/>
  <c r="N22" i="4"/>
  <c r="O22" i="4" s="1"/>
  <c r="N31" i="4"/>
  <c r="O31" i="4" s="1"/>
  <c r="N32" i="4"/>
  <c r="O32" i="4" s="1"/>
  <c r="H33" i="2"/>
  <c r="N33" i="2" s="1"/>
  <c r="O33" i="2" s="1"/>
  <c r="L24" i="2"/>
  <c r="H31" i="2"/>
  <c r="N31" i="2" s="1"/>
  <c r="H32" i="2"/>
  <c r="N32" i="2" s="1"/>
  <c r="N19" i="2"/>
  <c r="H24" i="2"/>
  <c r="H21" i="2"/>
  <c r="N22" i="2"/>
  <c r="L21" i="2"/>
  <c r="G28" i="2"/>
  <c r="H28" i="2" s="1"/>
  <c r="G27" i="2"/>
  <c r="H27" i="2" s="1"/>
  <c r="H25" i="2"/>
  <c r="N16" i="2"/>
  <c r="O16" i="2" s="1"/>
  <c r="K27" i="2"/>
  <c r="L27" i="2" s="1"/>
  <c r="L25" i="2"/>
  <c r="K28" i="2"/>
  <c r="L28" i="2" s="1"/>
  <c r="L18" i="2"/>
  <c r="N20" i="2"/>
  <c r="H18" i="2"/>
  <c r="N28" i="2" l="1"/>
  <c r="O28" i="2" s="1"/>
  <c r="L30" i="4"/>
  <c r="N27" i="4"/>
  <c r="O27" i="4" s="1"/>
  <c r="H30" i="4"/>
  <c r="N24" i="2"/>
  <c r="O24" i="2" s="1"/>
  <c r="N21" i="2"/>
  <c r="O21" i="2" s="1"/>
  <c r="O32" i="2"/>
  <c r="O31" i="2"/>
  <c r="N27" i="2"/>
  <c r="O27" i="2" s="1"/>
  <c r="L23" i="2"/>
  <c r="N18" i="2"/>
  <c r="O18" i="2" s="1"/>
  <c r="H23" i="2"/>
  <c r="N25" i="2"/>
  <c r="O25" i="2" s="1"/>
  <c r="L39" i="4" l="1"/>
  <c r="L40" i="4" s="1"/>
  <c r="G13" i="21"/>
  <c r="H39" i="4"/>
  <c r="H40" i="4" s="1"/>
  <c r="F13" i="21"/>
  <c r="N30" i="4"/>
  <c r="O30" i="4" s="1"/>
  <c r="H26" i="2"/>
  <c r="N23" i="2"/>
  <c r="O23" i="2" s="1"/>
  <c r="L26" i="2"/>
  <c r="G9" i="21" s="1"/>
  <c r="L41" i="4" l="1"/>
  <c r="G25" i="21" s="1"/>
  <c r="H13" i="21"/>
  <c r="I13" i="21" s="1"/>
  <c r="N40" i="4"/>
  <c r="O40" i="4" s="1"/>
  <c r="H35" i="2"/>
  <c r="F9" i="21"/>
  <c r="H9" i="21" s="1"/>
  <c r="I9" i="21" s="1"/>
  <c r="N39" i="4"/>
  <c r="O39" i="4" s="1"/>
  <c r="H41" i="4"/>
  <c r="F25" i="21" s="1"/>
  <c r="N26" i="2"/>
  <c r="O26" i="2" s="1"/>
  <c r="L35" i="2"/>
  <c r="N41" i="4" l="1"/>
  <c r="O41" i="4" s="1"/>
  <c r="N35" i="2"/>
  <c r="O35" i="2" s="1"/>
  <c r="L36" i="2"/>
  <c r="H36" i="2"/>
  <c r="N36" i="2" l="1"/>
  <c r="O36" i="2" s="1"/>
  <c r="L37" i="2"/>
  <c r="G21" i="21" s="1"/>
  <c r="H37" i="2"/>
  <c r="F21" i="21" s="1"/>
  <c r="H25" i="21" l="1"/>
  <c r="I25" i="21" s="1"/>
  <c r="N37" i="2"/>
  <c r="O37" i="2" s="1"/>
  <c r="H21" i="21" l="1"/>
  <c r="I21" i="21" s="1"/>
</calcChain>
</file>

<file path=xl/comments1.xml><?xml version="1.0" encoding="utf-8"?>
<comments xmlns="http://schemas.openxmlformats.org/spreadsheetml/2006/main">
  <authors>
    <author>Marc Abramovitz</author>
  </authors>
  <commentList>
    <comment ref="B1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0.xml><?xml version="1.0" encoding="utf-8"?>
<comments xmlns="http://schemas.openxmlformats.org/spreadsheetml/2006/main">
  <authors>
    <author>Marc Abramovitz</author>
  </authors>
  <commentList>
    <comment ref="B1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1.xml><?xml version="1.0" encoding="utf-8"?>
<comments xmlns="http://schemas.openxmlformats.org/spreadsheetml/2006/main">
  <authors>
    <author>Marc Abramovitz</author>
  </authors>
  <commentList>
    <comment ref="B1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2.xml><?xml version="1.0" encoding="utf-8"?>
<comments xmlns="http://schemas.openxmlformats.org/spreadsheetml/2006/main">
  <authors>
    <author>Marc Abramovitz</author>
  </authors>
  <commentList>
    <comment ref="B1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3.xml><?xml version="1.0" encoding="utf-8"?>
<comments xmlns="http://schemas.openxmlformats.org/spreadsheetml/2006/main">
  <authors>
    <author>Marc Abramovitz</author>
  </authors>
  <commentList>
    <comment ref="B1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4.xml><?xml version="1.0" encoding="utf-8"?>
<comments xmlns="http://schemas.openxmlformats.org/spreadsheetml/2006/main">
  <authors>
    <author>Marc Abramovitz</author>
  </authors>
  <commentList>
    <comment ref="B1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5.xml><?xml version="1.0" encoding="utf-8"?>
<comments xmlns="http://schemas.openxmlformats.org/spreadsheetml/2006/main">
  <authors>
    <author>Marc Abramovitz</author>
  </authors>
  <commentList>
    <comment ref="B1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6.xml><?xml version="1.0" encoding="utf-8"?>
<comments xmlns="http://schemas.openxmlformats.org/spreadsheetml/2006/main">
  <authors>
    <author>Marc Abramovitz</author>
  </authors>
  <commentList>
    <comment ref="B16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7.xml><?xml version="1.0" encoding="utf-8"?>
<comments xmlns="http://schemas.openxmlformats.org/spreadsheetml/2006/main">
  <authors>
    <author>Marc Abramovitz</author>
  </authors>
  <commentList>
    <comment ref="B16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8.xml><?xml version="1.0" encoding="utf-8"?>
<comments xmlns="http://schemas.openxmlformats.org/spreadsheetml/2006/main">
  <authors>
    <author>Marc Abramovitz</author>
  </authors>
  <commentList>
    <comment ref="B16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9.xml><?xml version="1.0" encoding="utf-8"?>
<comments xmlns="http://schemas.openxmlformats.org/spreadsheetml/2006/main">
  <authors>
    <author>Marc Abramovitz</author>
  </authors>
  <commentList>
    <comment ref="B16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4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sharedStrings.xml><?xml version="1.0" encoding="utf-8"?>
<sst xmlns="http://schemas.openxmlformats.org/spreadsheetml/2006/main" count="847" uniqueCount="107">
  <si>
    <t>Appendix 2-W</t>
  </si>
  <si>
    <t>Bill Impacts</t>
  </si>
  <si>
    <t>Customer Class:</t>
  </si>
  <si>
    <t>TOU / non-TOU:</t>
  </si>
  <si>
    <t>TOU</t>
  </si>
  <si>
    <t>Consumption</t>
  </si>
  <si>
    <t xml:space="preserve"> kWh</t>
  </si>
  <si>
    <t>Current Board-Approved</t>
  </si>
  <si>
    <t>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</si>
  <si>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</si>
  <si>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</si>
  <si>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</si>
  <si>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</si>
  <si>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</si>
  <si>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</si>
  <si>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</si>
  <si>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</si>
  <si>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</si>
  <si>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Distribution Volumetric Rate</t>
  </si>
  <si>
    <t>Smart Meter Disposition Rider</t>
  </si>
  <si>
    <t>LRAM &amp; SSM Rate Rider</t>
  </si>
  <si>
    <t>Sub-Total A (excluding pass through)</t>
  </si>
  <si>
    <t>Low Voltage Service Charge</t>
  </si>
  <si>
    <t>Line Losses on Cost of Power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</si>
  <si>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</si>
  <si>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</si>
  <si>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</si>
  <si>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</si>
  <si>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</si>
  <si>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</si>
  <si>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</si>
  <si>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</si>
  <si>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TOU - Off Peak</t>
  </si>
  <si>
    <t>TOU - Mid Peak</t>
  </si>
  <si>
    <t>TOU - On Peak</t>
  </si>
  <si>
    <t>Total Bill on TOU (before Taxes)</t>
  </si>
  <si>
    <t>HST</t>
  </si>
  <si>
    <t>Loss Factor (%)</t>
  </si>
  <si>
    <t>Note that cells with the highlighted color shown to the left indicate quantities that are loss adjusted.</t>
  </si>
  <si>
    <t>Monthly Rates and Charges</t>
  </si>
  <si>
    <t xml:space="preserve">Current Approved Rates     </t>
  </si>
  <si>
    <t>Proposed Rates</t>
  </si>
  <si>
    <t>Residential - R1</t>
  </si>
  <si>
    <t>$</t>
  </si>
  <si>
    <t>$/kWh</t>
  </si>
  <si>
    <t>Retail Transmission Rate - Network Service Rate</t>
  </si>
  <si>
    <t>Retail Transmission Rate - Line and Transformation Connection Service Rate</t>
  </si>
  <si>
    <t>Wholesale Market Service Rate</t>
  </si>
  <si>
    <t>Rural Rate Protection Charge</t>
  </si>
  <si>
    <t>Smart Meter Entity Charge - effective May 1, 2013 until October 31, 2018</t>
  </si>
  <si>
    <t>Standard Supply Service - Administrative Charge (if applicable)</t>
  </si>
  <si>
    <t>Residential - R2</t>
  </si>
  <si>
    <t>$/kW</t>
  </si>
  <si>
    <t>Seasonal</t>
  </si>
  <si>
    <t>Street Lighting</t>
  </si>
  <si>
    <t>Other</t>
  </si>
  <si>
    <t>Energy - First Tier</t>
  </si>
  <si>
    <t>Energy - Second Tier</t>
  </si>
  <si>
    <t>Loss Factor</t>
  </si>
  <si>
    <t>Total Loss Factor</t>
  </si>
  <si>
    <t>%</t>
  </si>
  <si>
    <t>Monthly</t>
  </si>
  <si>
    <t>per kWh</t>
  </si>
  <si>
    <t>SME - Net Deferred Revenue Requirement, effective until December 31, 2016</t>
  </si>
  <si>
    <t>UOM</t>
  </si>
  <si>
    <t>Billing Demand</t>
  </si>
  <si>
    <t>kW</t>
  </si>
  <si>
    <t>per kW</t>
  </si>
  <si>
    <t>Energy Price Non - RPP</t>
  </si>
  <si>
    <t>Energy Price RPP</t>
  </si>
  <si>
    <t>Cost of Power (Non-RPP)</t>
  </si>
  <si>
    <t>Street Lighting (Non - RPP)</t>
  </si>
  <si>
    <t>Algoma Power Inc.</t>
  </si>
  <si>
    <t>Bill Impact Model</t>
  </si>
  <si>
    <t>Deferral/Variance Account Disposition - effective until June 30, 2019</t>
  </si>
  <si>
    <t>Rate Rider for the Disposition of Account 1575 &amp; 1576 - effective until December 31, 2019</t>
  </si>
  <si>
    <t>Total Bill  (before Taxes)</t>
  </si>
  <si>
    <t>Residential - R1 [RPP]</t>
  </si>
  <si>
    <t>Residential - R1 [Non-RPP]</t>
  </si>
  <si>
    <t>Cost of Power Non-RPP</t>
  </si>
  <si>
    <t>Seasonal [RPP]</t>
  </si>
  <si>
    <t>IRM</t>
  </si>
  <si>
    <t>Customer Classification and Billing Type</t>
  </si>
  <si>
    <t>Energy</t>
  </si>
  <si>
    <t>Demand</t>
  </si>
  <si>
    <t>Monthly Delivery Charge</t>
  </si>
  <si>
    <t>kWh</t>
  </si>
  <si>
    <t>Current</t>
  </si>
  <si>
    <t>Per Application</t>
  </si>
  <si>
    <t>Change</t>
  </si>
  <si>
    <t>Total Bill</t>
  </si>
  <si>
    <t>Distribution Volumetric Rate - General Service</t>
  </si>
  <si>
    <t>Monthly Service Charge - General Service</t>
  </si>
  <si>
    <t>Residential - R1 GS</t>
  </si>
  <si>
    <t>Ontario Electricity Support Program</t>
  </si>
  <si>
    <t>OESP Charge</t>
  </si>
  <si>
    <t>2017 Electricity Distribution Rate Application</t>
  </si>
  <si>
    <t>Total Bill (including HST)</t>
  </si>
  <si>
    <t>Selected Delivery Charge and Bill Impacts
Algoma Power Inc.  2017</t>
  </si>
  <si>
    <t>Rate Rider for the Disposition of Deferral/Variance Accounts (2017) - effective until December 31, 2017</t>
  </si>
  <si>
    <t>Rate Rider for the Disposition of Global Adjustment Sub-Account (2017) - effective until December 31, 2017</t>
  </si>
  <si>
    <t>Residential - R2 [NON-RPP]</t>
  </si>
  <si>
    <t>Seasonal [Non-RPP]</t>
  </si>
  <si>
    <t>non-TOU</t>
  </si>
  <si>
    <t>Application</t>
  </si>
  <si>
    <t>EB-2016-0055</t>
  </si>
  <si>
    <t>Rate Rider for Disposition of Capacity Based Recovery Account (2017) - effective until  December 31, 2017
  - Applicable only for Class B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</si>
</sst>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&quot;$&quot;* #,##0.0000_-;\-&quot;$&quot;* #,##0.0000_-;_-&quot;$&quot;* &quot;-&quot;??_-;_-@_-"/>
    <numFmt numFmtId="166" formatCode="_(* #,##0.0000_);_(* \(#,##0.0000\);_(* &quot;-&quot;??_);_(@_)"/>
    <numFmt numFmtId="167" formatCode="0.0%"/>
    <numFmt numFmtId="168" formatCode="_-&quot;$&quot;* #,##0.00000_-;\-&quot;$&quot;* #,##0.00000_-;_-&quot;$&quot;* &quot;-&quot;??_-;_-@_-"/>
    <numFmt numFmtId="169" formatCode="0.0000"/>
    <numFmt numFmtId="170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color indexed="81"/>
      <name val="Arial"/>
      <family val="2"/>
    </font>
    <font>
      <b/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210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6" fillId="3" borderId="0" xfId="0" applyFont="1" applyFill="1" applyAlignment="1" applyProtection="1">
      <alignment horizontal="center"/>
    </xf>
    <xf numFmtId="0" fontId="5" fillId="0" borderId="0" xfId="0" applyFont="1" applyProtection="1"/>
    <xf numFmtId="0" fontId="2" fillId="0" borderId="0" xfId="0" applyFont="1" applyProtection="1"/>
    <xf numFmtId="164" fontId="2" fillId="2" borderId="1" xfId="1" applyNumberFormat="1" applyFont="1" applyFill="1" applyBorder="1" applyProtection="1">
      <protection locked="0"/>
    </xf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0" borderId="9" xfId="0" quotePrefix="1" applyFont="1" applyBorder="1" applyAlignment="1" applyProtection="1">
      <alignment horizontal="center"/>
    </xf>
    <xf numFmtId="0" fontId="2" fillId="0" borderId="10" xfId="0" quotePrefix="1" applyFont="1" applyBorder="1" applyAlignment="1" applyProtection="1">
      <alignment horizontal="center"/>
    </xf>
    <xf numFmtId="0" fontId="0" fillId="0" borderId="0" xfId="0" applyAlignment="1" applyProtection="1">
      <alignment vertical="top"/>
    </xf>
    <xf numFmtId="0" fontId="0" fillId="3" borderId="0" xfId="0" applyFill="1" applyAlignment="1" applyProtection="1">
      <alignment vertical="top"/>
      <protection locked="0"/>
    </xf>
    <xf numFmtId="0" fontId="0" fillId="0" borderId="0" xfId="0" applyFill="1" applyAlignment="1" applyProtection="1">
      <alignment vertical="top"/>
    </xf>
    <xf numFmtId="165" fontId="0" fillId="2" borderId="8" xfId="2" applyNumberFormat="1" applyFont="1" applyFill="1" applyBorder="1" applyAlignment="1" applyProtection="1">
      <alignment vertical="top"/>
      <protection locked="0"/>
    </xf>
    <xf numFmtId="0" fontId="0" fillId="0" borderId="8" xfId="0" applyFill="1" applyBorder="1" applyAlignment="1" applyProtection="1">
      <alignment vertical="center"/>
    </xf>
    <xf numFmtId="44" fontId="0" fillId="0" borderId="6" xfId="2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165" fontId="0" fillId="2" borderId="8" xfId="2" applyNumberFormat="1" applyFont="1" applyFill="1" applyBorder="1" applyAlignment="1" applyProtection="1">
      <alignment vertical="center"/>
      <protection locked="0"/>
    </xf>
    <xf numFmtId="0" fontId="0" fillId="0" borderId="6" xfId="0" applyFill="1" applyBorder="1" applyAlignment="1" applyProtection="1">
      <alignment vertical="center"/>
    </xf>
    <xf numFmtId="44" fontId="0" fillId="0" borderId="8" xfId="0" applyNumberFormat="1" applyBorder="1" applyAlignment="1" applyProtection="1">
      <alignment vertical="center"/>
    </xf>
    <xf numFmtId="10" fontId="0" fillId="0" borderId="6" xfId="3" applyNumberFormat="1" applyFont="1" applyBorder="1" applyAlignment="1" applyProtection="1">
      <alignment vertical="center"/>
    </xf>
    <xf numFmtId="0" fontId="2" fillId="4" borderId="2" xfId="0" applyFont="1" applyFill="1" applyBorder="1" applyAlignment="1" applyProtection="1">
      <alignment vertical="top"/>
      <protection locked="0"/>
    </xf>
    <xf numFmtId="0" fontId="0" fillId="4" borderId="3" xfId="0" applyFill="1" applyBorder="1" applyAlignment="1" applyProtection="1">
      <alignment vertical="top"/>
    </xf>
    <xf numFmtId="0" fontId="0" fillId="4" borderId="3" xfId="0" applyFill="1" applyBorder="1" applyAlignment="1" applyProtection="1">
      <alignment vertical="top"/>
      <protection locked="0"/>
    </xf>
    <xf numFmtId="165" fontId="0" fillId="4" borderId="1" xfId="2" applyNumberFormat="1" applyFont="1" applyFill="1" applyBorder="1" applyAlignment="1" applyProtection="1">
      <alignment vertical="top"/>
      <protection locked="0"/>
    </xf>
    <xf numFmtId="0" fontId="0" fillId="4" borderId="1" xfId="0" applyFill="1" applyBorder="1" applyAlignment="1" applyProtection="1">
      <alignment vertical="center"/>
      <protection locked="0"/>
    </xf>
    <xf numFmtId="44" fontId="0" fillId="4" borderId="4" xfId="2" applyFont="1" applyFill="1" applyBorder="1" applyAlignment="1" applyProtection="1">
      <alignment vertical="center"/>
    </xf>
    <xf numFmtId="0" fontId="0" fillId="4" borderId="0" xfId="0" applyFill="1" applyAlignment="1" applyProtection="1">
      <alignment vertical="center"/>
    </xf>
    <xf numFmtId="165" fontId="0" fillId="4" borderId="1" xfId="2" applyNumberFormat="1" applyFont="1" applyFill="1" applyBorder="1" applyAlignment="1" applyProtection="1">
      <alignment vertical="center"/>
      <protection locked="0"/>
    </xf>
    <xf numFmtId="0" fontId="0" fillId="4" borderId="4" xfId="0" applyFill="1" applyBorder="1" applyAlignment="1" applyProtection="1">
      <alignment vertical="center"/>
      <protection locked="0"/>
    </xf>
    <xf numFmtId="44" fontId="2" fillId="4" borderId="1" xfId="0" applyNumberFormat="1" applyFont="1" applyFill="1" applyBorder="1" applyAlignment="1" applyProtection="1">
      <alignment vertical="center"/>
    </xf>
    <xf numFmtId="10" fontId="2" fillId="4" borderId="4" xfId="3" applyNumberFormat="1" applyFont="1" applyFill="1" applyBorder="1" applyAlignment="1" applyProtection="1">
      <alignment vertical="center"/>
    </xf>
    <xf numFmtId="0" fontId="0" fillId="0" borderId="0" xfId="0" applyFill="1" applyProtection="1"/>
    <xf numFmtId="0" fontId="5" fillId="2" borderId="0" xfId="0" applyFont="1" applyFill="1" applyAlignment="1" applyProtection="1">
      <alignment vertical="top" wrapText="1"/>
    </xf>
    <xf numFmtId="0" fontId="0" fillId="0" borderId="11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5" fillId="0" borderId="0" xfId="0" applyFont="1" applyAlignment="1" applyProtection="1">
      <alignment vertical="top"/>
    </xf>
    <xf numFmtId="165" fontId="0" fillId="5" borderId="8" xfId="2" applyNumberFormat="1" applyFont="1" applyFill="1" applyBorder="1" applyAlignment="1" applyProtection="1">
      <alignment vertical="top"/>
      <protection locked="0"/>
    </xf>
    <xf numFmtId="0" fontId="0" fillId="6" borderId="8" xfId="0" applyFill="1" applyBorder="1" applyAlignment="1" applyProtection="1">
      <alignment vertical="center"/>
    </xf>
    <xf numFmtId="165" fontId="0" fillId="5" borderId="8" xfId="2" applyNumberFormat="1" applyFont="1" applyFill="1" applyBorder="1" applyAlignment="1" applyProtection="1">
      <alignment vertical="center"/>
      <protection locked="0"/>
    </xf>
    <xf numFmtId="0" fontId="2" fillId="4" borderId="2" xfId="0" applyFont="1" applyFill="1" applyBorder="1" applyAlignment="1" applyProtection="1">
      <alignment vertical="top" wrapText="1"/>
    </xf>
    <xf numFmtId="0" fontId="0" fillId="4" borderId="3" xfId="0" applyFill="1" applyBorder="1" applyProtection="1"/>
    <xf numFmtId="0" fontId="0" fillId="4" borderId="1" xfId="0" applyFill="1" applyBorder="1" applyProtection="1"/>
    <xf numFmtId="0" fontId="0" fillId="4" borderId="1" xfId="0" applyFill="1" applyBorder="1" applyAlignment="1" applyProtection="1">
      <alignment vertical="center"/>
    </xf>
    <xf numFmtId="44" fontId="2" fillId="4" borderId="4" xfId="0" applyNumberFormat="1" applyFont="1" applyFill="1" applyBorder="1" applyAlignment="1" applyProtection="1">
      <alignment vertical="center"/>
    </xf>
    <xf numFmtId="0" fontId="0" fillId="4" borderId="4" xfId="0" applyFill="1" applyBorder="1" applyAlignment="1" applyProtection="1">
      <alignment vertical="center"/>
    </xf>
    <xf numFmtId="0" fontId="0" fillId="3" borderId="0" xfId="0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</xf>
    <xf numFmtId="1" fontId="0" fillId="6" borderId="8" xfId="0" applyNumberFormat="1" applyFill="1" applyBorder="1" applyAlignment="1" applyProtection="1">
      <alignment vertical="center"/>
    </xf>
    <xf numFmtId="1" fontId="0" fillId="6" borderId="6" xfId="0" applyNumberFormat="1" applyFill="1" applyBorder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4" borderId="1" xfId="0" applyFill="1" applyBorder="1" applyAlignment="1" applyProtection="1">
      <alignment vertical="top"/>
    </xf>
    <xf numFmtId="0" fontId="2" fillId="4" borderId="0" xfId="0" applyFont="1" applyFill="1" applyAlignment="1" applyProtection="1">
      <alignment vertical="center"/>
    </xf>
    <xf numFmtId="0" fontId="2" fillId="4" borderId="1" xfId="0" applyFont="1" applyFill="1" applyBorder="1" applyAlignment="1" applyProtection="1">
      <alignment vertical="center"/>
    </xf>
    <xf numFmtId="0" fontId="2" fillId="4" borderId="4" xfId="0" applyFont="1" applyFill="1" applyBorder="1" applyAlignment="1" applyProtection="1">
      <alignment vertical="center"/>
    </xf>
    <xf numFmtId="0" fontId="0" fillId="0" borderId="0" xfId="0" applyAlignment="1" applyProtection="1">
      <alignment vertical="top" wrapText="1"/>
    </xf>
    <xf numFmtId="165" fontId="1" fillId="2" borderId="8" xfId="2" applyNumberFormat="1" applyFill="1" applyBorder="1" applyAlignment="1" applyProtection="1">
      <alignment vertical="top"/>
      <protection locked="0"/>
    </xf>
    <xf numFmtId="44" fontId="1" fillId="0" borderId="6" xfId="2" applyBorder="1" applyAlignment="1" applyProtection="1">
      <alignment vertical="center"/>
    </xf>
    <xf numFmtId="165" fontId="1" fillId="2" borderId="8" xfId="2" applyNumberFormat="1" applyFill="1" applyBorder="1" applyAlignment="1" applyProtection="1">
      <alignment vertical="center"/>
      <protection locked="0"/>
    </xf>
    <xf numFmtId="10" fontId="1" fillId="0" borderId="6" xfId="3" applyNumberFormat="1" applyBorder="1" applyAlignment="1" applyProtection="1">
      <alignment vertical="center"/>
    </xf>
    <xf numFmtId="1" fontId="0" fillId="0" borderId="8" xfId="0" applyNumberFormat="1" applyFill="1" applyBorder="1" applyAlignment="1" applyProtection="1">
      <alignment vertical="center"/>
    </xf>
    <xf numFmtId="1" fontId="0" fillId="0" borderId="6" xfId="0" applyNumberFormat="1" applyFill="1" applyBorder="1" applyAlignment="1" applyProtection="1">
      <alignment vertical="center"/>
    </xf>
    <xf numFmtId="165" fontId="1" fillId="0" borderId="8" xfId="2" applyNumberFormat="1" applyFill="1" applyBorder="1" applyAlignment="1" applyProtection="1">
      <alignment vertical="top"/>
      <protection locked="0"/>
    </xf>
    <xf numFmtId="1" fontId="5" fillId="5" borderId="8" xfId="0" applyNumberFormat="1" applyFont="1" applyFill="1" applyBorder="1" applyAlignment="1" applyProtection="1">
      <alignment vertical="center"/>
    </xf>
    <xf numFmtId="44" fontId="0" fillId="0" borderId="0" xfId="0" applyNumberFormat="1" applyProtection="1"/>
    <xf numFmtId="0" fontId="5" fillId="0" borderId="0" xfId="4" applyProtection="1"/>
    <xf numFmtId="0" fontId="5" fillId="7" borderId="12" xfId="0" applyFont="1" applyFill="1" applyBorder="1" applyProtection="1"/>
    <xf numFmtId="0" fontId="0" fillId="7" borderId="13" xfId="0" applyFill="1" applyBorder="1" applyAlignment="1" applyProtection="1">
      <alignment vertical="top"/>
    </xf>
    <xf numFmtId="0" fontId="0" fillId="7" borderId="13" xfId="0" applyFill="1" applyBorder="1" applyAlignment="1" applyProtection="1">
      <alignment vertical="top"/>
      <protection locked="0"/>
    </xf>
    <xf numFmtId="165" fontId="1" fillId="7" borderId="14" xfId="2" applyNumberFormat="1" applyFill="1" applyBorder="1" applyAlignment="1" applyProtection="1">
      <alignment vertical="top"/>
      <protection locked="0"/>
    </xf>
    <xf numFmtId="0" fontId="0" fillId="7" borderId="15" xfId="0" applyFill="1" applyBorder="1" applyAlignment="1" applyProtection="1">
      <alignment vertical="center"/>
      <protection locked="0"/>
    </xf>
    <xf numFmtId="44" fontId="1" fillId="7" borderId="13" xfId="2" applyFill="1" applyBorder="1" applyAlignment="1" applyProtection="1">
      <alignment vertical="center"/>
    </xf>
    <xf numFmtId="0" fontId="0" fillId="7" borderId="13" xfId="0" applyFill="1" applyBorder="1" applyAlignment="1" applyProtection="1">
      <alignment vertical="center"/>
    </xf>
    <xf numFmtId="0" fontId="0" fillId="7" borderId="14" xfId="0" applyFill="1" applyBorder="1" applyAlignment="1" applyProtection="1">
      <alignment vertical="center"/>
      <protection locked="0"/>
    </xf>
    <xf numFmtId="44" fontId="0" fillId="7" borderId="14" xfId="0" applyNumberFormat="1" applyFill="1" applyBorder="1" applyAlignment="1" applyProtection="1">
      <alignment vertical="center"/>
    </xf>
    <xf numFmtId="10" fontId="1" fillId="7" borderId="16" xfId="3" applyNumberForma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top"/>
    </xf>
    <xf numFmtId="9" fontId="0" fillId="0" borderId="8" xfId="0" applyNumberFormat="1" applyFill="1" applyBorder="1" applyAlignment="1" applyProtection="1">
      <alignment vertical="top"/>
    </xf>
    <xf numFmtId="9" fontId="0" fillId="0" borderId="0" xfId="0" applyNumberFormat="1" applyFill="1" applyBorder="1" applyAlignment="1" applyProtection="1">
      <alignment vertical="center"/>
    </xf>
    <xf numFmtId="44" fontId="2" fillId="0" borderId="11" xfId="0" applyNumberFormat="1" applyFont="1" applyFill="1" applyBorder="1" applyAlignment="1" applyProtection="1">
      <alignment vertical="center"/>
    </xf>
    <xf numFmtId="0" fontId="2" fillId="0" borderId="8" xfId="0" applyFont="1" applyFill="1" applyBorder="1" applyAlignment="1" applyProtection="1">
      <alignment vertical="center"/>
    </xf>
    <xf numFmtId="9" fontId="2" fillId="0" borderId="8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44" fontId="2" fillId="0" borderId="8" xfId="0" applyNumberFormat="1" applyFont="1" applyFill="1" applyBorder="1" applyAlignment="1" applyProtection="1">
      <alignment vertical="center"/>
    </xf>
    <xf numFmtId="10" fontId="2" fillId="0" borderId="6" xfId="3" applyNumberFormat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left" vertical="top" indent="1"/>
    </xf>
    <xf numFmtId="9" fontId="0" fillId="0" borderId="8" xfId="0" applyNumberFormat="1" applyFill="1" applyBorder="1" applyAlignment="1" applyProtection="1">
      <alignment vertical="top"/>
      <protection locked="0"/>
    </xf>
    <xf numFmtId="0" fontId="0" fillId="0" borderId="0" xfId="0" applyFill="1" applyBorder="1" applyAlignment="1" applyProtection="1">
      <alignment vertical="center"/>
    </xf>
    <xf numFmtId="44" fontId="5" fillId="0" borderId="11" xfId="0" applyNumberFormat="1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vertical="center"/>
    </xf>
    <xf numFmtId="9" fontId="5" fillId="0" borderId="8" xfId="0" applyNumberFormat="1" applyFont="1" applyFill="1" applyBorder="1" applyAlignment="1" applyProtection="1">
      <alignment vertical="center"/>
      <protection locked="0"/>
    </xf>
    <xf numFmtId="44" fontId="5" fillId="0" borderId="6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44" fontId="5" fillId="0" borderId="8" xfId="0" applyNumberFormat="1" applyFont="1" applyFill="1" applyBorder="1" applyAlignment="1" applyProtection="1">
      <alignment vertical="center"/>
    </xf>
    <xf numFmtId="10" fontId="5" fillId="0" borderId="6" xfId="3" applyNumberFormat="1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left" vertical="top" wrapText="1" indent="1"/>
    </xf>
    <xf numFmtId="0" fontId="5" fillId="7" borderId="12" xfId="4" applyFont="1" applyFill="1" applyBorder="1" applyProtection="1"/>
    <xf numFmtId="0" fontId="5" fillId="7" borderId="13" xfId="4" applyFill="1" applyBorder="1" applyAlignment="1" applyProtection="1">
      <alignment vertical="top"/>
    </xf>
    <xf numFmtId="0" fontId="5" fillId="7" borderId="13" xfId="4" applyFill="1" applyBorder="1" applyAlignment="1" applyProtection="1">
      <alignment vertical="top"/>
      <protection locked="0"/>
    </xf>
    <xf numFmtId="0" fontId="5" fillId="7" borderId="15" xfId="4" applyFill="1" applyBorder="1" applyAlignment="1" applyProtection="1">
      <alignment vertical="center"/>
      <protection locked="0"/>
    </xf>
    <xf numFmtId="0" fontId="5" fillId="7" borderId="13" xfId="4" applyFill="1" applyBorder="1" applyAlignment="1" applyProtection="1">
      <alignment vertical="center"/>
    </xf>
    <xf numFmtId="0" fontId="5" fillId="7" borderId="14" xfId="4" applyFill="1" applyBorder="1" applyAlignment="1" applyProtection="1">
      <alignment vertical="center"/>
      <protection locked="0"/>
    </xf>
    <xf numFmtId="44" fontId="5" fillId="7" borderId="14" xfId="4" applyNumberFormat="1" applyFill="1" applyBorder="1" applyAlignment="1" applyProtection="1">
      <alignment vertical="center"/>
    </xf>
    <xf numFmtId="10" fontId="1" fillId="2" borderId="1" xfId="3" applyNumberFormat="1" applyFill="1" applyBorder="1" applyProtection="1">
      <protection locked="0"/>
    </xf>
    <xf numFmtId="0" fontId="0" fillId="6" borderId="0" xfId="0" applyFill="1" applyProtection="1"/>
    <xf numFmtId="44" fontId="2" fillId="0" borderId="19" xfId="0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top" wrapText="1"/>
      <protection locked="0"/>
    </xf>
    <xf numFmtId="0" fontId="9" fillId="0" borderId="0" xfId="0" applyFont="1" applyProtection="1"/>
    <xf numFmtId="164" fontId="0" fillId="0" borderId="8" xfId="0" applyNumberFormat="1" applyFill="1" applyBorder="1" applyAlignment="1" applyProtection="1">
      <alignment vertical="center"/>
    </xf>
    <xf numFmtId="168" fontId="0" fillId="5" borderId="8" xfId="2" applyNumberFormat="1" applyFont="1" applyFill="1" applyBorder="1" applyAlignment="1" applyProtection="1">
      <alignment vertical="top"/>
      <protection locked="0"/>
    </xf>
    <xf numFmtId="168" fontId="1" fillId="0" borderId="8" xfId="2" applyNumberFormat="1" applyFill="1" applyBorder="1" applyAlignment="1" applyProtection="1">
      <alignment vertical="top"/>
      <protection locked="0"/>
    </xf>
    <xf numFmtId="168" fontId="0" fillId="5" borderId="8" xfId="2" applyNumberFormat="1" applyFont="1" applyFill="1" applyBorder="1" applyAlignment="1" applyProtection="1">
      <alignment vertical="center"/>
      <protection locked="0"/>
    </xf>
    <xf numFmtId="168" fontId="1" fillId="2" borderId="8" xfId="2" applyNumberFormat="1" applyFill="1" applyBorder="1" applyAlignment="1" applyProtection="1">
      <alignment vertical="top"/>
      <protection locked="0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/>
    <xf numFmtId="0" fontId="5" fillId="0" borderId="0" xfId="0" applyFont="1" applyBorder="1"/>
    <xf numFmtId="0" fontId="10" fillId="0" borderId="0" xfId="0" applyFont="1"/>
    <xf numFmtId="0" fontId="11" fillId="0" borderId="0" xfId="0" applyFont="1" applyBorder="1"/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43" fontId="12" fillId="0" borderId="0" xfId="1" applyFont="1" applyBorder="1"/>
    <xf numFmtId="10" fontId="12" fillId="0" borderId="0" xfId="3" applyNumberFormat="1" applyFont="1" applyBorder="1"/>
    <xf numFmtId="166" fontId="12" fillId="0" borderId="0" xfId="1" applyNumberFormat="1" applyFont="1" applyBorder="1"/>
    <xf numFmtId="166" fontId="12" fillId="0" borderId="0" xfId="1" applyNumberFormat="1" applyFont="1" applyFill="1" applyBorder="1"/>
    <xf numFmtId="167" fontId="12" fillId="0" borderId="0" xfId="3" applyNumberFormat="1" applyFont="1" applyBorder="1"/>
    <xf numFmtId="167" fontId="12" fillId="0" borderId="0" xfId="0" applyNumberFormat="1" applyFont="1" applyBorder="1"/>
    <xf numFmtId="0" fontId="11" fillId="0" borderId="0" xfId="0" applyFont="1" applyBorder="1" applyAlignment="1">
      <alignment horizontal="center"/>
    </xf>
    <xf numFmtId="169" fontId="12" fillId="0" borderId="0" xfId="0" applyNumberFormat="1" applyFont="1" applyBorder="1"/>
    <xf numFmtId="0" fontId="14" fillId="0" borderId="19" xfId="4" applyFont="1" applyBorder="1" applyAlignment="1">
      <alignment horizontal="center"/>
    </xf>
    <xf numFmtId="0" fontId="14" fillId="4" borderId="22" xfId="4" applyFont="1" applyFill="1" applyBorder="1"/>
    <xf numFmtId="0" fontId="14" fillId="0" borderId="8" xfId="4" applyFont="1" applyBorder="1" applyAlignment="1">
      <alignment horizontal="center"/>
    </xf>
    <xf numFmtId="0" fontId="14" fillId="4" borderId="0" xfId="4" applyFont="1" applyFill="1" applyBorder="1"/>
    <xf numFmtId="0" fontId="14" fillId="0" borderId="27" xfId="4" applyFont="1" applyBorder="1"/>
    <xf numFmtId="0" fontId="14" fillId="0" borderId="9" xfId="4" applyFont="1" applyBorder="1"/>
    <xf numFmtId="0" fontId="14" fillId="4" borderId="17" xfId="4" applyFont="1" applyFill="1" applyBorder="1"/>
    <xf numFmtId="0" fontId="14" fillId="0" borderId="1" xfId="4" applyFont="1" applyBorder="1" applyAlignment="1">
      <alignment horizontal="center"/>
    </xf>
    <xf numFmtId="0" fontId="14" fillId="0" borderId="26" xfId="4" applyFont="1" applyBorder="1" applyAlignment="1">
      <alignment horizontal="center"/>
    </xf>
    <xf numFmtId="0" fontId="14" fillId="0" borderId="28" xfId="4" applyFont="1" applyBorder="1"/>
    <xf numFmtId="170" fontId="14" fillId="0" borderId="1" xfId="1" applyNumberFormat="1" applyFont="1" applyBorder="1"/>
    <xf numFmtId="44" fontId="14" fillId="0" borderId="1" xfId="4" applyNumberFormat="1" applyFont="1" applyBorder="1"/>
    <xf numFmtId="167" fontId="14" fillId="0" borderId="26" xfId="4" applyNumberFormat="1" applyFont="1" applyBorder="1" applyAlignment="1">
      <alignment horizontal="center"/>
    </xf>
    <xf numFmtId="0" fontId="14" fillId="4" borderId="29" xfId="4" applyFont="1" applyFill="1" applyBorder="1"/>
    <xf numFmtId="170" fontId="14" fillId="4" borderId="0" xfId="1" applyNumberFormat="1" applyFont="1" applyFill="1" applyBorder="1"/>
    <xf numFmtId="44" fontId="14" fillId="4" borderId="0" xfId="4" applyNumberFormat="1" applyFont="1" applyFill="1" applyBorder="1"/>
    <xf numFmtId="167" fontId="14" fillId="4" borderId="30" xfId="4" applyNumberFormat="1" applyFont="1" applyFill="1" applyBorder="1" applyAlignment="1">
      <alignment horizontal="center"/>
    </xf>
    <xf numFmtId="0" fontId="14" fillId="0" borderId="31" xfId="4" applyFont="1" applyBorder="1"/>
    <xf numFmtId="170" fontId="14" fillId="0" borderId="32" xfId="1" applyNumberFormat="1" applyFont="1" applyBorder="1"/>
    <xf numFmtId="0" fontId="14" fillId="4" borderId="20" xfId="4" applyFont="1" applyFill="1" applyBorder="1"/>
    <xf numFmtId="44" fontId="14" fillId="0" borderId="32" xfId="4" applyNumberFormat="1" applyFont="1" applyBorder="1"/>
    <xf numFmtId="167" fontId="14" fillId="0" borderId="33" xfId="4" applyNumberFormat="1" applyFont="1" applyBorder="1" applyAlignment="1">
      <alignment horizontal="center"/>
    </xf>
    <xf numFmtId="0" fontId="0" fillId="0" borderId="0" xfId="0" applyFill="1" applyBorder="1"/>
    <xf numFmtId="0" fontId="14" fillId="0" borderId="1" xfId="4" applyFont="1" applyFill="1" applyBorder="1"/>
    <xf numFmtId="170" fontId="14" fillId="0" borderId="1" xfId="1" applyNumberFormat="1" applyFont="1" applyFill="1" applyBorder="1"/>
    <xf numFmtId="170" fontId="14" fillId="0" borderId="32" xfId="1" applyNumberFormat="1" applyFont="1" applyFill="1" applyBorder="1"/>
    <xf numFmtId="170" fontId="14" fillId="0" borderId="5" xfId="1" applyNumberFormat="1" applyFont="1" applyBorder="1"/>
    <xf numFmtId="170" fontId="14" fillId="0" borderId="5" xfId="1" applyNumberFormat="1" applyFont="1" applyFill="1" applyBorder="1"/>
    <xf numFmtId="44" fontId="14" fillId="0" borderId="5" xfId="4" applyNumberFormat="1" applyFont="1" applyBorder="1"/>
    <xf numFmtId="169" fontId="0" fillId="0" borderId="0" xfId="0" applyNumberFormat="1" applyBorder="1"/>
    <xf numFmtId="0" fontId="9" fillId="0" borderId="0" xfId="0" applyFont="1" applyAlignment="1" applyProtection="1">
      <alignment vertical="top"/>
    </xf>
    <xf numFmtId="0" fontId="9" fillId="0" borderId="8" xfId="0" applyFont="1" applyFill="1" applyBorder="1" applyAlignment="1" applyProtection="1">
      <alignment vertical="top"/>
    </xf>
    <xf numFmtId="0" fontId="9" fillId="0" borderId="0" xfId="0" applyFont="1" applyFill="1" applyBorder="1" applyAlignment="1" applyProtection="1">
      <alignment vertical="center"/>
    </xf>
    <xf numFmtId="44" fontId="2" fillId="0" borderId="6" xfId="0" applyNumberFormat="1" applyFont="1" applyFill="1" applyBorder="1" applyAlignment="1" applyProtection="1">
      <alignment vertical="center"/>
    </xf>
    <xf numFmtId="44" fontId="9" fillId="0" borderId="0" xfId="0" applyNumberFormat="1" applyFont="1" applyProtection="1"/>
    <xf numFmtId="0" fontId="9" fillId="0" borderId="9" xfId="0" applyFont="1" applyFill="1" applyBorder="1" applyAlignment="1" applyProtection="1">
      <alignment vertical="top"/>
    </xf>
    <xf numFmtId="0" fontId="9" fillId="0" borderId="17" xfId="0" applyFont="1" applyFill="1" applyBorder="1" applyAlignment="1" applyProtection="1">
      <alignment vertical="center"/>
    </xf>
    <xf numFmtId="44" fontId="2" fillId="0" borderId="18" xfId="0" applyNumberFormat="1" applyFont="1" applyFill="1" applyBorder="1" applyAlignment="1" applyProtection="1">
      <alignment vertical="center"/>
    </xf>
    <xf numFmtId="0" fontId="2" fillId="0" borderId="9" xfId="0" applyFont="1" applyFill="1" applyBorder="1" applyAlignment="1" applyProtection="1">
      <alignment vertical="center"/>
    </xf>
    <xf numFmtId="44" fontId="2" fillId="0" borderId="10" xfId="0" applyNumberFormat="1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vertical="center"/>
    </xf>
    <xf numFmtId="44" fontId="2" fillId="0" borderId="9" xfId="0" applyNumberFormat="1" applyFont="1" applyFill="1" applyBorder="1" applyAlignment="1" applyProtection="1">
      <alignment vertical="center"/>
    </xf>
    <xf numFmtId="10" fontId="2" fillId="0" borderId="10" xfId="3" applyNumberFormat="1" applyFont="1" applyFill="1" applyBorder="1" applyAlignment="1" applyProtection="1">
      <alignment vertical="center"/>
    </xf>
    <xf numFmtId="0" fontId="5" fillId="0" borderId="0" xfId="0" applyFont="1" applyBorder="1" applyAlignment="1">
      <alignment wrapText="1"/>
    </xf>
    <xf numFmtId="0" fontId="0" fillId="0" borderId="0" xfId="0" applyBorder="1" applyAlignment="1" applyProtection="1">
      <alignment vertical="center"/>
    </xf>
    <xf numFmtId="0" fontId="0" fillId="3" borderId="0" xfId="0" applyFill="1" applyAlignment="1" applyProtection="1">
      <alignment horizontal="left" vertical="top"/>
      <protection locked="0"/>
    </xf>
    <xf numFmtId="15" fontId="10" fillId="0" borderId="0" xfId="0" quotePrefix="1" applyNumberFormat="1" applyFont="1" applyAlignment="1">
      <alignment horizontal="center"/>
    </xf>
    <xf numFmtId="15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0" fontId="2" fillId="0" borderId="0" xfId="0" applyFont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0" fillId="0" borderId="9" xfId="0" applyBorder="1" applyAlignment="1">
      <alignment wrapText="1"/>
    </xf>
    <xf numFmtId="0" fontId="2" fillId="0" borderId="6" xfId="0" applyFont="1" applyFill="1" applyBorder="1" applyAlignment="1" applyProtection="1">
      <alignment horizontal="center" wrapText="1"/>
    </xf>
    <xf numFmtId="0" fontId="0" fillId="0" borderId="10" xfId="0" applyBorder="1" applyAlignment="1">
      <alignment wrapText="1"/>
    </xf>
    <xf numFmtId="0" fontId="4" fillId="0" borderId="0" xfId="0" applyFont="1" applyAlignment="1" applyProtection="1">
      <alignment horizontal="center"/>
    </xf>
    <xf numFmtId="0" fontId="3" fillId="2" borderId="0" xfId="0" applyFont="1" applyFill="1" applyAlignment="1" applyProtection="1">
      <alignment horizontal="left" vertic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14" fillId="0" borderId="21" xfId="4" applyFont="1" applyBorder="1" applyAlignment="1">
      <alignment horizontal="center" wrapText="1"/>
    </xf>
    <xf numFmtId="0" fontId="14" fillId="0" borderId="25" xfId="4" applyFont="1" applyBorder="1" applyAlignment="1">
      <alignment horizontal="center" wrapText="1"/>
    </xf>
    <xf numFmtId="0" fontId="9" fillId="0" borderId="23" xfId="4" applyFont="1" applyBorder="1" applyAlignment="1">
      <alignment horizontal="center" vertical="center"/>
    </xf>
    <xf numFmtId="0" fontId="9" fillId="0" borderId="24" xfId="4" applyFont="1" applyBorder="1" applyAlignment="1">
      <alignment horizontal="center" vertical="center"/>
    </xf>
    <xf numFmtId="0" fontId="14" fillId="0" borderId="1" xfId="4" applyFont="1" applyBorder="1" applyAlignment="1">
      <alignment horizontal="center"/>
    </xf>
    <xf numFmtId="0" fontId="14" fillId="0" borderId="1" xfId="4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/>
    </xf>
    <xf numFmtId="0" fontId="14" fillId="0" borderId="26" xfId="4" applyFont="1" applyBorder="1" applyAlignment="1">
      <alignment horizontal="center" vertical="center"/>
    </xf>
    <xf numFmtId="0" fontId="13" fillId="0" borderId="0" xfId="4" applyFont="1" applyBorder="1" applyAlignment="1">
      <alignment horizontal="center" vertical="center" wrapText="1"/>
    </xf>
    <xf numFmtId="0" fontId="13" fillId="0" borderId="20" xfId="4" applyFont="1" applyBorder="1" applyAlignment="1">
      <alignment horizontal="center" vertical="center" wrapText="1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PI%202015%20REG%20COS/Chap_2_App/Filing_Requirements_Chapter2_Appendices_for%2020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2:H20"/>
  <sheetViews>
    <sheetView showGridLines="0" zoomScaleNormal="100" workbookViewId="0">
      <selection activeCell="E4" sqref="E4"/>
    </sheetView>
  </sheetViews>
  <sheetFormatPr defaultRowHeight="14.4" x14ac:dyDescent="0.3"/>
  <cols>
    <col min="2" max="2" width="15.33203125" bestFit="1" customWidth="1"/>
  </cols>
  <sheetData>
    <row r="12" spans="2:8" ht="23.25" x14ac:dyDescent="0.35">
      <c r="B12" s="186" t="s">
        <v>72</v>
      </c>
      <c r="C12" s="186"/>
      <c r="D12" s="186"/>
      <c r="E12" s="186"/>
      <c r="F12" s="186"/>
      <c r="G12" s="186"/>
      <c r="H12" s="186"/>
    </row>
    <row r="13" spans="2:8" ht="23.25" x14ac:dyDescent="0.35">
      <c r="B13" s="186" t="s">
        <v>96</v>
      </c>
      <c r="C13" s="186"/>
      <c r="D13" s="186"/>
      <c r="E13" s="186"/>
      <c r="F13" s="186"/>
      <c r="G13" s="186"/>
      <c r="H13" s="186"/>
    </row>
    <row r="14" spans="2:8" ht="23.25" x14ac:dyDescent="0.35">
      <c r="B14" s="186" t="s">
        <v>81</v>
      </c>
      <c r="C14" s="186"/>
      <c r="D14" s="186"/>
      <c r="E14" s="186"/>
      <c r="F14" s="186"/>
      <c r="G14" s="186"/>
      <c r="H14" s="186"/>
    </row>
    <row r="15" spans="2:8" ht="23.25" x14ac:dyDescent="0.35">
      <c r="B15" s="126"/>
    </row>
    <row r="16" spans="2:8" ht="23.25" x14ac:dyDescent="0.35">
      <c r="B16" s="186" t="s">
        <v>73</v>
      </c>
      <c r="C16" s="186"/>
      <c r="D16" s="186"/>
      <c r="E16" s="186"/>
      <c r="F16" s="186"/>
      <c r="G16" s="186"/>
      <c r="H16" s="186"/>
    </row>
    <row r="17" spans="2:8" ht="23.25" x14ac:dyDescent="0.35">
      <c r="B17" s="187" t="s">
        <v>104</v>
      </c>
      <c r="C17" s="187"/>
      <c r="D17" s="187"/>
      <c r="E17" s="187"/>
      <c r="F17" s="187"/>
      <c r="G17" s="187"/>
      <c r="H17" s="187"/>
    </row>
    <row r="18" spans="2:8" ht="23.25" x14ac:dyDescent="0.35">
      <c r="B18" s="186" t="s">
        <v>105</v>
      </c>
      <c r="C18" s="186"/>
      <c r="D18" s="186"/>
      <c r="E18" s="186"/>
      <c r="F18" s="186"/>
      <c r="G18" s="186"/>
      <c r="H18" s="186"/>
    </row>
    <row r="19" spans="2:8" ht="23.25" x14ac:dyDescent="0.35">
      <c r="B19" s="126"/>
    </row>
    <row r="20" spans="2:8" ht="23.25" x14ac:dyDescent="0.35">
      <c r="B20" s="184">
        <v>42594</v>
      </c>
      <c r="C20" s="185"/>
      <c r="D20" s="185"/>
      <c r="E20" s="185"/>
      <c r="F20" s="185"/>
      <c r="G20" s="185"/>
      <c r="H20" s="185"/>
    </row>
  </sheetData>
  <mergeCells count="7">
    <mergeCell ref="B20:H20"/>
    <mergeCell ref="B12:H12"/>
    <mergeCell ref="B13:H13"/>
    <mergeCell ref="B14:H14"/>
    <mergeCell ref="B16:H16"/>
    <mergeCell ref="B18:H18"/>
    <mergeCell ref="B17:H1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3300"/>
    <pageSetUpPr fitToPage="1"/>
  </sheetPr>
  <dimension ref="A1:S46"/>
  <sheetViews>
    <sheetView showGridLines="0" topLeftCell="A10" zoomScaleNormal="100" workbookViewId="0">
      <selection activeCell="J23" sqref="J23"/>
    </sheetView>
  </sheetViews>
  <sheetFormatPr defaultColWidth="9.109375" defaultRowHeight="14.4" x14ac:dyDescent="0.3"/>
  <cols>
    <col min="1" max="1" width="2.109375" style="1" customWidth="1"/>
    <col min="2" max="2" width="40.44140625" style="1" customWidth="1"/>
    <col min="3" max="3" width="1.33203125" style="1" customWidth="1"/>
    <col min="4" max="4" width="11.33203125" style="1" customWidth="1"/>
    <col min="5" max="5" width="1.33203125" style="1" customWidth="1"/>
    <col min="6" max="6" width="12.33203125" style="1" customWidth="1"/>
    <col min="7" max="7" width="8.5546875" style="1" customWidth="1"/>
    <col min="8" max="8" width="9.6640625" style="1" customWidth="1"/>
    <col min="9" max="9" width="2.88671875" style="1" customWidth="1"/>
    <col min="10" max="10" width="12.109375" style="1" customWidth="1"/>
    <col min="11" max="11" width="8.5546875" style="1" customWidth="1"/>
    <col min="12" max="12" width="9.88671875" style="1" customWidth="1"/>
    <col min="13" max="13" width="2.88671875" style="1" customWidth="1"/>
    <col min="14" max="14" width="12.6640625" style="1" bestFit="1" customWidth="1"/>
    <col min="15" max="15" width="10.88671875" style="1" bestFit="1" customWidth="1"/>
    <col min="16" max="16" width="3.88671875" style="1" customWidth="1"/>
    <col min="17" max="19" width="9.109375" style="1"/>
    <col min="20" max="20" width="9.109375" style="1" customWidth="1"/>
    <col min="21" max="16384" width="9.10937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194" t="s">
        <v>0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/>
    </row>
    <row r="3" spans="2:16" ht="18.75" customHeight="1" x14ac:dyDescent="0.25">
      <c r="B3" s="194" t="s">
        <v>1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195" t="s">
        <v>80</v>
      </c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2" t="s">
        <v>3</v>
      </c>
      <c r="D8" s="5" t="s">
        <v>4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75" x14ac:dyDescent="0.2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ht="15" x14ac:dyDescent="0.25">
      <c r="B10" s="6"/>
      <c r="D10" s="7" t="s">
        <v>5</v>
      </c>
      <c r="E10" s="7"/>
      <c r="F10" s="8">
        <v>50</v>
      </c>
      <c r="G10" s="7" t="s">
        <v>6</v>
      </c>
    </row>
    <row r="11" spans="2:16" ht="15" x14ac:dyDescent="0.25">
      <c r="B11" s="6"/>
    </row>
    <row r="12" spans="2:16" ht="15" x14ac:dyDescent="0.25">
      <c r="B12" s="6"/>
      <c r="D12" s="9"/>
      <c r="E12" s="9"/>
      <c r="F12" s="196" t="s">
        <v>7</v>
      </c>
      <c r="G12" s="197"/>
      <c r="H12" s="198"/>
      <c r="J12" s="196" t="s">
        <v>8</v>
      </c>
      <c r="K12" s="197"/>
      <c r="L12" s="198"/>
      <c r="N12" s="196" t="s">
        <v>9</v>
      </c>
      <c r="O12" s="198"/>
    </row>
    <row r="13" spans="2:16" x14ac:dyDescent="0.3">
      <c r="B13" s="6"/>
      <c r="D13" s="188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190" t="s">
        <v>14</v>
      </c>
      <c r="O13" s="192" t="s">
        <v>15</v>
      </c>
    </row>
    <row r="14" spans="2:16" x14ac:dyDescent="0.3">
      <c r="B14" s="6"/>
      <c r="D14" s="189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191"/>
      <c r="O14" s="193"/>
    </row>
    <row r="15" spans="2:16" ht="15" x14ac:dyDescent="0.25">
      <c r="B15" s="16" t="s">
        <v>17</v>
      </c>
      <c r="C15" s="16"/>
      <c r="D15" s="17" t="s">
        <v>61</v>
      </c>
      <c r="E15" s="18"/>
      <c r="F15" s="19">
        <f>Rates!D32</f>
        <v>34.270000000000003</v>
      </c>
      <c r="G15" s="20">
        <v>1</v>
      </c>
      <c r="H15" s="21">
        <f>G15*F15</f>
        <v>34.270000000000003</v>
      </c>
      <c r="I15" s="22"/>
      <c r="J15" s="23">
        <v>42.18</v>
      </c>
      <c r="K15" s="24">
        <v>1</v>
      </c>
      <c r="L15" s="21">
        <f>K15*J15</f>
        <v>42.18</v>
      </c>
      <c r="M15" s="22"/>
      <c r="N15" s="25">
        <f>L15-H15</f>
        <v>7.9099999999999966</v>
      </c>
      <c r="O15" s="26">
        <f>IF((H15)=0,"",(N15/H15))</f>
        <v>0.23081412313977229</v>
      </c>
    </row>
    <row r="16" spans="2:16" ht="30" x14ac:dyDescent="0.25">
      <c r="B16" s="112" t="str">
        <f>Rates!A38</f>
        <v>SME - Net Deferred Revenue Requirement, effective until December 31, 2016</v>
      </c>
      <c r="C16" s="16"/>
      <c r="D16" s="52" t="s">
        <v>61</v>
      </c>
      <c r="E16" s="18"/>
      <c r="F16" s="23">
        <f>Rates!D38</f>
        <v>3.57</v>
      </c>
      <c r="G16" s="20">
        <v>1</v>
      </c>
      <c r="H16" s="21">
        <f t="shared" ref="H16:H21" si="0">G16*F16</f>
        <v>3.57</v>
      </c>
      <c r="I16" s="22"/>
      <c r="J16" s="23">
        <f>Rates!F38</f>
        <v>0</v>
      </c>
      <c r="K16" s="24">
        <v>1</v>
      </c>
      <c r="L16" s="21">
        <f t="shared" ref="L16:L21" si="1">K16*J16</f>
        <v>0</v>
      </c>
      <c r="M16" s="22"/>
      <c r="N16" s="25">
        <f t="shared" ref="N16:N25" si="2">L16-H16</f>
        <v>-3.57</v>
      </c>
      <c r="O16" s="26">
        <f t="shared" ref="O16:O25" si="3">IF((H16)=0,"",(N16/H16))</f>
        <v>-1</v>
      </c>
    </row>
    <row r="17" spans="2:15" ht="15" x14ac:dyDescent="0.25">
      <c r="B17" s="16" t="s">
        <v>18</v>
      </c>
      <c r="C17" s="16"/>
      <c r="D17" s="17" t="s">
        <v>62</v>
      </c>
      <c r="E17" s="18"/>
      <c r="F17" s="19">
        <f>Rates!D33</f>
        <v>0.14349999999999999</v>
      </c>
      <c r="G17" s="20">
        <f>$F$10</f>
        <v>50</v>
      </c>
      <c r="H17" s="21">
        <f t="shared" si="0"/>
        <v>7.1749999999999998</v>
      </c>
      <c r="I17" s="22"/>
      <c r="J17" s="23">
        <v>0.14019999999999999</v>
      </c>
      <c r="K17" s="20">
        <f>$F$10</f>
        <v>50</v>
      </c>
      <c r="L17" s="21">
        <f t="shared" si="1"/>
        <v>7.01</v>
      </c>
      <c r="M17" s="22"/>
      <c r="N17" s="25">
        <f t="shared" si="2"/>
        <v>-0.16500000000000004</v>
      </c>
      <c r="O17" s="26">
        <f t="shared" si="3"/>
        <v>-2.2996515679442515E-2</v>
      </c>
    </row>
    <row r="18" spans="2:15" ht="15" x14ac:dyDescent="0.25">
      <c r="B18" s="16" t="s">
        <v>19</v>
      </c>
      <c r="C18" s="16"/>
      <c r="D18" s="17"/>
      <c r="E18" s="18"/>
      <c r="F18" s="19"/>
      <c r="G18" s="20">
        <f t="shared" ref="G18" si="4">$F$10</f>
        <v>50</v>
      </c>
      <c r="H18" s="21">
        <f t="shared" si="0"/>
        <v>0</v>
      </c>
      <c r="I18" s="22"/>
      <c r="J18" s="23"/>
      <c r="K18" s="20">
        <f t="shared" ref="K18:K21" si="5">$F$10</f>
        <v>50</v>
      </c>
      <c r="L18" s="21">
        <f t="shared" si="1"/>
        <v>0</v>
      </c>
      <c r="M18" s="22"/>
      <c r="N18" s="25">
        <f t="shared" si="2"/>
        <v>0</v>
      </c>
      <c r="O18" s="26" t="str">
        <f t="shared" si="3"/>
        <v/>
      </c>
    </row>
    <row r="19" spans="2:15" ht="15" x14ac:dyDescent="0.25">
      <c r="B19" s="16" t="s">
        <v>20</v>
      </c>
      <c r="C19" s="16"/>
      <c r="D19" s="17"/>
      <c r="E19" s="18"/>
      <c r="F19" s="19"/>
      <c r="G19" s="20">
        <f>$F$10</f>
        <v>50</v>
      </c>
      <c r="H19" s="21">
        <f t="shared" si="0"/>
        <v>0</v>
      </c>
      <c r="I19" s="22"/>
      <c r="J19" s="23"/>
      <c r="K19" s="20">
        <f t="shared" si="5"/>
        <v>50</v>
      </c>
      <c r="L19" s="21">
        <f t="shared" si="1"/>
        <v>0</v>
      </c>
      <c r="M19" s="22"/>
      <c r="N19" s="25">
        <f t="shared" si="2"/>
        <v>0</v>
      </c>
      <c r="O19" s="26" t="str">
        <f t="shared" si="3"/>
        <v/>
      </c>
    </row>
    <row r="20" spans="2:15" ht="30" x14ac:dyDescent="0.25">
      <c r="B20" s="112" t="str">
        <f>Rates!A36</f>
        <v>Deferral/Variance Account Disposition - effective until June 30, 2019</v>
      </c>
      <c r="C20" s="16"/>
      <c r="D20" s="52" t="s">
        <v>62</v>
      </c>
      <c r="E20" s="18"/>
      <c r="F20" s="23">
        <f>Rates!D36</f>
        <v>3.0700000000000002E-2</v>
      </c>
      <c r="G20" s="20">
        <f t="shared" ref="G20:G21" si="6">$F$10</f>
        <v>50</v>
      </c>
      <c r="H20" s="21">
        <f t="shared" si="0"/>
        <v>1.5350000000000001</v>
      </c>
      <c r="I20" s="22"/>
      <c r="J20" s="23">
        <f>Rates!F36</f>
        <v>3.0700000000000002E-2</v>
      </c>
      <c r="K20" s="20">
        <f t="shared" si="5"/>
        <v>50</v>
      </c>
      <c r="L20" s="21">
        <f t="shared" si="1"/>
        <v>1.5350000000000001</v>
      </c>
      <c r="M20" s="22"/>
      <c r="N20" s="25">
        <f t="shared" si="2"/>
        <v>0</v>
      </c>
      <c r="O20" s="26">
        <f t="shared" si="3"/>
        <v>0</v>
      </c>
    </row>
    <row r="21" spans="2:15" ht="45" x14ac:dyDescent="0.25">
      <c r="B21" s="112" t="str">
        <f>Rates!A53</f>
        <v>Rate Rider for the Disposition of Account 1575 &amp; 1576 - effective until December 31, 2019</v>
      </c>
      <c r="C21" s="16"/>
      <c r="D21" s="52" t="s">
        <v>62</v>
      </c>
      <c r="E21" s="18"/>
      <c r="F21" s="23">
        <f>Rates!D39</f>
        <v>-1.9E-3</v>
      </c>
      <c r="G21" s="20">
        <f t="shared" si="6"/>
        <v>50</v>
      </c>
      <c r="H21" s="21">
        <f t="shared" si="0"/>
        <v>-9.5000000000000001E-2</v>
      </c>
      <c r="I21" s="22"/>
      <c r="J21" s="23">
        <f>Rates!F39</f>
        <v>-1.9E-3</v>
      </c>
      <c r="K21" s="20">
        <f t="shared" si="5"/>
        <v>50</v>
      </c>
      <c r="L21" s="21">
        <f t="shared" si="1"/>
        <v>-9.5000000000000001E-2</v>
      </c>
      <c r="M21" s="22"/>
      <c r="N21" s="25">
        <f t="shared" si="2"/>
        <v>0</v>
      </c>
      <c r="O21" s="26">
        <f t="shared" si="3"/>
        <v>0</v>
      </c>
    </row>
    <row r="22" spans="2:15" s="38" customFormat="1" ht="15" x14ac:dyDescent="0.25">
      <c r="B22" s="27" t="s">
        <v>21</v>
      </c>
      <c r="C22" s="28"/>
      <c r="D22" s="29"/>
      <c r="E22" s="28"/>
      <c r="F22" s="30"/>
      <c r="G22" s="31"/>
      <c r="H22" s="32">
        <f>SUM(H15:H21)</f>
        <v>46.454999999999998</v>
      </c>
      <c r="I22" s="33"/>
      <c r="J22" s="34"/>
      <c r="K22" s="35"/>
      <c r="L22" s="32">
        <f>SUM(L15:L21)</f>
        <v>50.629999999999995</v>
      </c>
      <c r="M22" s="33"/>
      <c r="N22" s="36">
        <f t="shared" si="2"/>
        <v>4.1749999999999972</v>
      </c>
      <c r="O22" s="37">
        <f t="shared" si="3"/>
        <v>8.9871919061457264E-2</v>
      </c>
    </row>
    <row r="23" spans="2:15" ht="38.25" x14ac:dyDescent="0.25">
      <c r="B23" s="39" t="str">
        <f>Rates!A34</f>
        <v>Rate Rider for the Disposition of Deferral/Variance Accounts (2017) - effective until December 31, 2017</v>
      </c>
      <c r="C23" s="16"/>
      <c r="D23" s="17" t="s">
        <v>62</v>
      </c>
      <c r="E23" s="18"/>
      <c r="F23" s="23">
        <f>Rates!D34</f>
        <v>0</v>
      </c>
      <c r="G23" s="20">
        <f t="shared" ref="G23:G24" si="7">$F$10</f>
        <v>50</v>
      </c>
      <c r="H23" s="21">
        <f t="shared" ref="H23:H25" si="8">G23*F23</f>
        <v>0</v>
      </c>
      <c r="I23" s="40"/>
      <c r="J23" s="23">
        <f>Rates!F34+Rates!F37</f>
        <v>-3.5000000000000001E-3</v>
      </c>
      <c r="K23" s="20">
        <f t="shared" ref="K23:K24" si="9">$F$10</f>
        <v>50</v>
      </c>
      <c r="L23" s="21">
        <f t="shared" ref="L23:L25" si="10">K23*J23</f>
        <v>-0.17500000000000002</v>
      </c>
      <c r="M23" s="41"/>
      <c r="N23" s="25">
        <f t="shared" si="2"/>
        <v>-0.17500000000000002</v>
      </c>
      <c r="O23" s="26" t="str">
        <f t="shared" si="3"/>
        <v/>
      </c>
    </row>
    <row r="24" spans="2:15" ht="15" x14ac:dyDescent="0.25">
      <c r="B24" s="42" t="s">
        <v>22</v>
      </c>
      <c r="C24" s="16"/>
      <c r="D24" s="17"/>
      <c r="E24" s="18"/>
      <c r="F24" s="19"/>
      <c r="G24" s="20">
        <f t="shared" si="7"/>
        <v>50</v>
      </c>
      <c r="H24" s="21">
        <f>G24*F24</f>
        <v>0</v>
      </c>
      <c r="I24" s="22"/>
      <c r="J24" s="23"/>
      <c r="K24" s="20">
        <f t="shared" si="9"/>
        <v>50</v>
      </c>
      <c r="L24" s="21">
        <f>K24*J24</f>
        <v>0</v>
      </c>
      <c r="M24" s="22"/>
      <c r="N24" s="25">
        <f>L24-H24</f>
        <v>0</v>
      </c>
      <c r="O24" s="26" t="str">
        <f>IF((H24)=0,"",(N24/H24))</f>
        <v/>
      </c>
    </row>
    <row r="25" spans="2:15" ht="15" x14ac:dyDescent="0.25">
      <c r="B25" s="42" t="s">
        <v>23</v>
      </c>
      <c r="C25" s="16"/>
      <c r="D25" s="17" t="s">
        <v>62</v>
      </c>
      <c r="E25" s="18"/>
      <c r="F25" s="43">
        <f>IF(ISBLANK(D8)=TRUE, 0, IF(D8="TOU", 0.64*$F$35+0.18*$F$36+0.18*$F$37, IF(AND(D8="non-TOU",#REF!&gt; 0),#REF!,#REF!)))</f>
        <v>0.11183999999999999</v>
      </c>
      <c r="G25" s="44">
        <f>$F$10*(1+$F$44)-$F$10</f>
        <v>4.5849999999999937</v>
      </c>
      <c r="H25" s="21">
        <f t="shared" si="8"/>
        <v>0.51278639999999931</v>
      </c>
      <c r="I25" s="22"/>
      <c r="J25" s="45">
        <f>0.64*$F$35+0.18*$F$36+0.18*$F$37</f>
        <v>0.11183999999999999</v>
      </c>
      <c r="K25" s="44">
        <f>$F$10*(1+$J$44)-$F$10</f>
        <v>4.5849999999999937</v>
      </c>
      <c r="L25" s="21">
        <f t="shared" si="10"/>
        <v>0.51278639999999931</v>
      </c>
      <c r="M25" s="22"/>
      <c r="N25" s="25">
        <f t="shared" si="2"/>
        <v>0</v>
      </c>
      <c r="O25" s="26">
        <f t="shared" si="3"/>
        <v>0</v>
      </c>
    </row>
    <row r="26" spans="2:15" x14ac:dyDescent="0.3">
      <c r="B26" s="42" t="s">
        <v>24</v>
      </c>
      <c r="C26" s="16"/>
      <c r="D26" s="17" t="s">
        <v>61</v>
      </c>
      <c r="E26" s="18"/>
      <c r="F26" s="43">
        <f>Rates!D44</f>
        <v>0.79</v>
      </c>
      <c r="G26" s="20">
        <v>1</v>
      </c>
      <c r="H26" s="21">
        <f>G26*F26</f>
        <v>0.79</v>
      </c>
      <c r="I26" s="22"/>
      <c r="J26" s="43">
        <f>Rates!F44</f>
        <v>0.79</v>
      </c>
      <c r="K26" s="20">
        <v>1</v>
      </c>
      <c r="L26" s="21">
        <f>K26*J26</f>
        <v>0.79</v>
      </c>
      <c r="M26" s="22"/>
      <c r="N26" s="25">
        <f>L26-H26</f>
        <v>0</v>
      </c>
      <c r="O26" s="26"/>
    </row>
    <row r="27" spans="2:15" ht="26.4" x14ac:dyDescent="0.3">
      <c r="B27" s="46" t="s">
        <v>25</v>
      </c>
      <c r="C27" s="47"/>
      <c r="D27" s="47"/>
      <c r="E27" s="47"/>
      <c r="F27" s="48"/>
      <c r="G27" s="49"/>
      <c r="H27" s="50">
        <f>SUM(H23:H26)+H22</f>
        <v>47.757786400000001</v>
      </c>
      <c r="I27" s="33"/>
      <c r="J27" s="49"/>
      <c r="K27" s="51"/>
      <c r="L27" s="50">
        <f>SUM(L23:L26)+L22</f>
        <v>51.757786399999993</v>
      </c>
      <c r="M27" s="33"/>
      <c r="N27" s="36">
        <f t="shared" ref="N27:N41" si="11">L27-H27</f>
        <v>3.9999999999999929</v>
      </c>
      <c r="O27" s="37">
        <f t="shared" ref="O27:O41" si="12">IF((H27)=0,"",(N27/H27))</f>
        <v>8.3755975758541296E-2</v>
      </c>
    </row>
    <row r="28" spans="2:15" x14ac:dyDescent="0.3">
      <c r="B28" s="22" t="s">
        <v>26</v>
      </c>
      <c r="C28" s="22"/>
      <c r="D28" s="52" t="s">
        <v>62</v>
      </c>
      <c r="E28" s="53"/>
      <c r="F28" s="23">
        <f>Rates!D40</f>
        <v>7.0000000000000001E-3</v>
      </c>
      <c r="G28" s="54">
        <f>F10*(1+F44)</f>
        <v>54.584999999999994</v>
      </c>
      <c r="H28" s="21">
        <f>G28*F28</f>
        <v>0.38209499999999996</v>
      </c>
      <c r="I28" s="22"/>
      <c r="J28" s="23">
        <f>Rates!F40</f>
        <v>6.6E-3</v>
      </c>
      <c r="K28" s="55">
        <f>F10*(1+J44)</f>
        <v>54.584999999999994</v>
      </c>
      <c r="L28" s="21">
        <f>K28*J28</f>
        <v>0.36026099999999994</v>
      </c>
      <c r="M28" s="22"/>
      <c r="N28" s="25">
        <f t="shared" si="11"/>
        <v>-2.183400000000002E-2</v>
      </c>
      <c r="O28" s="26">
        <f t="shared" si="12"/>
        <v>-5.7142857142857204E-2</v>
      </c>
    </row>
    <row r="29" spans="2:15" x14ac:dyDescent="0.3">
      <c r="B29" s="56" t="s">
        <v>27</v>
      </c>
      <c r="C29" s="22"/>
      <c r="D29" s="52" t="s">
        <v>62</v>
      </c>
      <c r="E29" s="53"/>
      <c r="F29" s="23">
        <f>Rates!D41</f>
        <v>5.1000000000000004E-3</v>
      </c>
      <c r="G29" s="54">
        <f>G28</f>
        <v>54.584999999999994</v>
      </c>
      <c r="H29" s="21">
        <f>G29*F29</f>
        <v>0.27838350000000001</v>
      </c>
      <c r="I29" s="22"/>
      <c r="J29" s="23">
        <f>Rates!F41</f>
        <v>5.0000000000000001E-3</v>
      </c>
      <c r="K29" s="55">
        <f>K28</f>
        <v>54.584999999999994</v>
      </c>
      <c r="L29" s="21">
        <f>K29*J29</f>
        <v>0.27292499999999997</v>
      </c>
      <c r="M29" s="22"/>
      <c r="N29" s="25">
        <f t="shared" si="11"/>
        <v>-5.4585000000000328E-3</v>
      </c>
      <c r="O29" s="26">
        <f t="shared" si="12"/>
        <v>-1.960784313725502E-2</v>
      </c>
    </row>
    <row r="30" spans="2:15" ht="26.4" x14ac:dyDescent="0.3">
      <c r="B30" s="46" t="s">
        <v>28</v>
      </c>
      <c r="C30" s="28"/>
      <c r="D30" s="28"/>
      <c r="E30" s="28"/>
      <c r="F30" s="57"/>
      <c r="G30" s="49"/>
      <c r="H30" s="50">
        <f>SUM(H27:H29)</f>
        <v>48.418264899999997</v>
      </c>
      <c r="I30" s="58"/>
      <c r="J30" s="59"/>
      <c r="K30" s="60"/>
      <c r="L30" s="50">
        <f>SUM(L27:L29)</f>
        <v>52.390972399999995</v>
      </c>
      <c r="M30" s="58"/>
      <c r="N30" s="36">
        <f t="shared" si="11"/>
        <v>3.9727074999999985</v>
      </c>
      <c r="O30" s="37">
        <f t="shared" si="12"/>
        <v>8.2049770023873758E-2</v>
      </c>
    </row>
    <row r="31" spans="2:15" x14ac:dyDescent="0.3">
      <c r="B31" s="61" t="s">
        <v>29</v>
      </c>
      <c r="C31" s="16"/>
      <c r="D31" s="52" t="s">
        <v>62</v>
      </c>
      <c r="E31" s="18"/>
      <c r="F31" s="64">
        <f>Rates!D42</f>
        <v>3.5999999999999999E-3</v>
      </c>
      <c r="G31" s="54">
        <f>G29</f>
        <v>54.584999999999994</v>
      </c>
      <c r="H31" s="63">
        <f t="shared" ref="H31:H37" si="13">G31*F31</f>
        <v>0.19650599999999996</v>
      </c>
      <c r="I31" s="22"/>
      <c r="J31" s="64">
        <f>Rates!F42</f>
        <v>3.5999999999999999E-3</v>
      </c>
      <c r="K31" s="55">
        <f>K29</f>
        <v>54.584999999999994</v>
      </c>
      <c r="L31" s="63">
        <f t="shared" ref="L31:L37" si="14">K31*J31</f>
        <v>0.19650599999999996</v>
      </c>
      <c r="M31" s="22"/>
      <c r="N31" s="25">
        <f t="shared" si="11"/>
        <v>0</v>
      </c>
      <c r="O31" s="65">
        <f t="shared" si="12"/>
        <v>0</v>
      </c>
    </row>
    <row r="32" spans="2:15" x14ac:dyDescent="0.3">
      <c r="B32" s="61" t="s">
        <v>30</v>
      </c>
      <c r="C32" s="16"/>
      <c r="D32" s="52" t="s">
        <v>62</v>
      </c>
      <c r="E32" s="18"/>
      <c r="F32" s="64">
        <f>Rates!D43</f>
        <v>1.2999999999999999E-3</v>
      </c>
      <c r="G32" s="54">
        <f>G29</f>
        <v>54.584999999999994</v>
      </c>
      <c r="H32" s="63">
        <f t="shared" si="13"/>
        <v>7.0960499999999982E-2</v>
      </c>
      <c r="I32" s="22"/>
      <c r="J32" s="64">
        <f>Rates!F43</f>
        <v>1.2999999999999999E-3</v>
      </c>
      <c r="K32" s="55">
        <f>K29</f>
        <v>54.584999999999994</v>
      </c>
      <c r="L32" s="63">
        <f t="shared" si="14"/>
        <v>7.0960499999999982E-2</v>
      </c>
      <c r="M32" s="22"/>
      <c r="N32" s="25">
        <f t="shared" si="11"/>
        <v>0</v>
      </c>
      <c r="O32" s="65">
        <f t="shared" si="12"/>
        <v>0</v>
      </c>
    </row>
    <row r="33" spans="1:19" x14ac:dyDescent="0.3">
      <c r="B33" s="16" t="s">
        <v>31</v>
      </c>
      <c r="C33" s="16"/>
      <c r="D33" s="17" t="s">
        <v>61</v>
      </c>
      <c r="E33" s="18"/>
      <c r="F33" s="62">
        <f>Rates!D45</f>
        <v>0.25</v>
      </c>
      <c r="G33" s="20">
        <v>1</v>
      </c>
      <c r="H33" s="63">
        <f t="shared" si="13"/>
        <v>0.25</v>
      </c>
      <c r="I33" s="22"/>
      <c r="J33" s="64">
        <f>Rates!F45</f>
        <v>0.25</v>
      </c>
      <c r="K33" s="24">
        <v>1</v>
      </c>
      <c r="L33" s="63">
        <f t="shared" si="14"/>
        <v>0.25</v>
      </c>
      <c r="M33" s="22"/>
      <c r="N33" s="25">
        <f t="shared" si="11"/>
        <v>0</v>
      </c>
      <c r="O33" s="65">
        <f t="shared" si="12"/>
        <v>0</v>
      </c>
    </row>
    <row r="34" spans="1:19" x14ac:dyDescent="0.3">
      <c r="B34" s="16" t="s">
        <v>95</v>
      </c>
      <c r="C34" s="16"/>
      <c r="D34" s="17" t="s">
        <v>62</v>
      </c>
      <c r="E34" s="18"/>
      <c r="F34" s="62">
        <f>Rates!D61</f>
        <v>1.1000000000000001E-3</v>
      </c>
      <c r="G34" s="66">
        <f>F10</f>
        <v>50</v>
      </c>
      <c r="H34" s="63">
        <f t="shared" si="13"/>
        <v>5.5E-2</v>
      </c>
      <c r="I34" s="22"/>
      <c r="J34" s="64">
        <f>Rates!F61</f>
        <v>1.1000000000000001E-3</v>
      </c>
      <c r="K34" s="67">
        <f>F10</f>
        <v>50</v>
      </c>
      <c r="L34" s="63">
        <f t="shared" si="14"/>
        <v>5.5E-2</v>
      </c>
      <c r="M34" s="22"/>
      <c r="N34" s="25">
        <f t="shared" si="11"/>
        <v>0</v>
      </c>
      <c r="O34" s="65">
        <f t="shared" si="12"/>
        <v>0</v>
      </c>
    </row>
    <row r="35" spans="1:19" x14ac:dyDescent="0.3">
      <c r="B35" s="42" t="s">
        <v>32</v>
      </c>
      <c r="C35" s="16"/>
      <c r="D35" s="17" t="s">
        <v>62</v>
      </c>
      <c r="E35" s="18"/>
      <c r="F35" s="68">
        <f>Rates!D69</f>
        <v>8.6999999999999994E-2</v>
      </c>
      <c r="G35" s="69">
        <f>0.64*$F$10</f>
        <v>32</v>
      </c>
      <c r="H35" s="63">
        <f t="shared" si="13"/>
        <v>2.7839999999999998</v>
      </c>
      <c r="I35" s="22"/>
      <c r="J35" s="62">
        <f>Rates!F69</f>
        <v>8.6999999999999994E-2</v>
      </c>
      <c r="K35" s="69">
        <f>G35</f>
        <v>32</v>
      </c>
      <c r="L35" s="63">
        <f t="shared" si="14"/>
        <v>2.7839999999999998</v>
      </c>
      <c r="M35" s="22"/>
      <c r="N35" s="25">
        <f t="shared" si="11"/>
        <v>0</v>
      </c>
      <c r="O35" s="65">
        <f t="shared" si="12"/>
        <v>0</v>
      </c>
      <c r="S35" s="70"/>
    </row>
    <row r="36" spans="1:19" x14ac:dyDescent="0.3">
      <c r="B36" s="42" t="s">
        <v>33</v>
      </c>
      <c r="C36" s="16"/>
      <c r="D36" s="17" t="s">
        <v>62</v>
      </c>
      <c r="E36" s="18"/>
      <c r="F36" s="68">
        <f>Rates!D70</f>
        <v>0.13200000000000001</v>
      </c>
      <c r="G36" s="69">
        <f>0.18*$F$10</f>
        <v>9</v>
      </c>
      <c r="H36" s="63">
        <f t="shared" si="13"/>
        <v>1.1880000000000002</v>
      </c>
      <c r="I36" s="22"/>
      <c r="J36" s="62">
        <f>Rates!F70</f>
        <v>0.13200000000000001</v>
      </c>
      <c r="K36" s="69">
        <f>G36</f>
        <v>9</v>
      </c>
      <c r="L36" s="63">
        <f t="shared" si="14"/>
        <v>1.1880000000000002</v>
      </c>
      <c r="M36" s="22"/>
      <c r="N36" s="25">
        <f t="shared" si="11"/>
        <v>0</v>
      </c>
      <c r="O36" s="65">
        <f t="shared" si="12"/>
        <v>0</v>
      </c>
      <c r="S36" s="70"/>
    </row>
    <row r="37" spans="1:19" ht="15" thickBot="1" x14ac:dyDescent="0.35">
      <c r="B37" s="6" t="s">
        <v>34</v>
      </c>
      <c r="C37" s="16"/>
      <c r="D37" s="17" t="s">
        <v>62</v>
      </c>
      <c r="E37" s="18"/>
      <c r="F37" s="68">
        <f>Rates!D71</f>
        <v>0.18</v>
      </c>
      <c r="G37" s="69">
        <f>0.18*$F$10</f>
        <v>9</v>
      </c>
      <c r="H37" s="63">
        <f t="shared" si="13"/>
        <v>1.6199999999999999</v>
      </c>
      <c r="I37" s="22"/>
      <c r="J37" s="62">
        <f>Rates!F71</f>
        <v>0.18</v>
      </c>
      <c r="K37" s="69">
        <f>G37</f>
        <v>9</v>
      </c>
      <c r="L37" s="63">
        <f t="shared" si="14"/>
        <v>1.6199999999999999</v>
      </c>
      <c r="M37" s="22"/>
      <c r="N37" s="25">
        <f t="shared" si="11"/>
        <v>0</v>
      </c>
      <c r="O37" s="65">
        <f t="shared" si="12"/>
        <v>0</v>
      </c>
      <c r="S37" s="70"/>
    </row>
    <row r="38" spans="1:19" ht="15" thickBot="1" x14ac:dyDescent="0.35">
      <c r="B38" s="72"/>
      <c r="C38" s="73"/>
      <c r="D38" s="74"/>
      <c r="E38" s="73"/>
      <c r="F38" s="75"/>
      <c r="G38" s="76"/>
      <c r="H38" s="77"/>
      <c r="I38" s="78"/>
      <c r="J38" s="75"/>
      <c r="K38" s="79"/>
      <c r="L38" s="77"/>
      <c r="M38" s="78"/>
      <c r="N38" s="80"/>
      <c r="O38" s="81"/>
    </row>
    <row r="39" spans="1:19" x14ac:dyDescent="0.3">
      <c r="B39" s="82" t="s">
        <v>35</v>
      </c>
      <c r="C39" s="16"/>
      <c r="D39" s="16"/>
      <c r="E39" s="16"/>
      <c r="F39" s="83"/>
      <c r="G39" s="84"/>
      <c r="H39" s="85">
        <f>SUM(H31:H37,H30)</f>
        <v>54.5827314</v>
      </c>
      <c r="I39" s="86"/>
      <c r="J39" s="87"/>
      <c r="K39" s="87"/>
      <c r="L39" s="111">
        <f>SUM(L31:L37,L30)</f>
        <v>58.555438899999999</v>
      </c>
      <c r="M39" s="88"/>
      <c r="N39" s="89">
        <f t="shared" ref="N39" si="15">L39-H39</f>
        <v>3.9727074999999985</v>
      </c>
      <c r="O39" s="90">
        <f t="shared" ref="O39" si="16">IF((H39)=0,"",(N39/H39))</f>
        <v>7.2783230118821027E-2</v>
      </c>
      <c r="S39" s="70"/>
    </row>
    <row r="40" spans="1:19" x14ac:dyDescent="0.3">
      <c r="B40" s="91" t="s">
        <v>36</v>
      </c>
      <c r="C40" s="16"/>
      <c r="D40" s="16"/>
      <c r="E40" s="16"/>
      <c r="F40" s="92">
        <v>0.13</v>
      </c>
      <c r="G40" s="93"/>
      <c r="H40" s="94">
        <f>H39*F40</f>
        <v>7.0957550820000002</v>
      </c>
      <c r="I40" s="95"/>
      <c r="J40" s="96">
        <v>0.13</v>
      </c>
      <c r="K40" s="95"/>
      <c r="L40" s="97">
        <f>L39*J40</f>
        <v>7.612207057</v>
      </c>
      <c r="M40" s="98"/>
      <c r="N40" s="99">
        <f t="shared" si="11"/>
        <v>0.51645197499999984</v>
      </c>
      <c r="O40" s="100">
        <f t="shared" si="12"/>
        <v>7.2783230118821041E-2</v>
      </c>
      <c r="S40" s="70"/>
    </row>
    <row r="41" spans="1:19" s="113" customFormat="1" ht="15" thickBot="1" x14ac:dyDescent="0.35">
      <c r="B41" s="101" t="s">
        <v>97</v>
      </c>
      <c r="C41" s="168"/>
      <c r="D41" s="168"/>
      <c r="E41" s="168"/>
      <c r="F41" s="169"/>
      <c r="G41" s="170"/>
      <c r="H41" s="85">
        <f>H39+H40</f>
        <v>61.678486481999997</v>
      </c>
      <c r="I41" s="86"/>
      <c r="J41" s="86"/>
      <c r="K41" s="86"/>
      <c r="L41" s="171">
        <f>L39+L40</f>
        <v>66.167645957000005</v>
      </c>
      <c r="M41" s="88"/>
      <c r="N41" s="89">
        <f t="shared" si="11"/>
        <v>4.4891594750000081</v>
      </c>
      <c r="O41" s="90">
        <f t="shared" si="12"/>
        <v>7.2783230118821193E-2</v>
      </c>
      <c r="S41" s="172"/>
    </row>
    <row r="42" spans="1:19" ht="15" thickBot="1" x14ac:dyDescent="0.35">
      <c r="B42" s="72"/>
      <c r="C42" s="73"/>
      <c r="D42" s="74"/>
      <c r="E42" s="73"/>
      <c r="F42" s="75"/>
      <c r="G42" s="76"/>
      <c r="H42" s="77"/>
      <c r="I42" s="78"/>
      <c r="J42" s="75"/>
      <c r="K42" s="79"/>
      <c r="L42" s="77"/>
      <c r="M42" s="78"/>
      <c r="N42" s="80"/>
      <c r="O42" s="81"/>
      <c r="S42" s="70"/>
    </row>
    <row r="43" spans="1:19" x14ac:dyDescent="0.3">
      <c r="L43" s="70"/>
    </row>
    <row r="44" spans="1:19" x14ac:dyDescent="0.3">
      <c r="B44" s="7" t="s">
        <v>37</v>
      </c>
      <c r="F44" s="109">
        <f>Rates!D66</f>
        <v>9.1700000000000004E-2</v>
      </c>
      <c r="J44" s="109">
        <f>Rates!F66</f>
        <v>9.1700000000000004E-2</v>
      </c>
    </row>
    <row r="46" spans="1:19" x14ac:dyDescent="0.3">
      <c r="A46" s="110"/>
      <c r="B46" s="1" t="s">
        <v>38</v>
      </c>
    </row>
  </sheetData>
  <mergeCells count="9">
    <mergeCell ref="D13:D14"/>
    <mergeCell ref="N13:N14"/>
    <mergeCell ref="O13:O14"/>
    <mergeCell ref="B2:O2"/>
    <mergeCell ref="B3:O3"/>
    <mergeCell ref="D6:O6"/>
    <mergeCell ref="F12:H12"/>
    <mergeCell ref="J12:L12"/>
    <mergeCell ref="N12:O12"/>
  </mergeCells>
  <dataValidations count="3">
    <dataValidation type="list" allowBlank="1" showInputMessage="1" showErrorMessage="1" sqref="D8">
      <formula1>"TOU, non-TOU"</formula1>
    </dataValidation>
    <dataValidation type="list" allowBlank="1" showInputMessage="1" showErrorMessage="1" prompt="Select Charge Unit - monthly, per kWh, per kW" sqref="D28:D29 D42 D15:D21 D23:D26 D31:D38">
      <formula1>"Monthly, per kWh, per kW"</formula1>
    </dataValidation>
    <dataValidation type="list" allowBlank="1" showInputMessage="1" showErrorMessage="1" sqref="E28:E29 E42 E15:E21 E23:E26 E31:E38">
      <formula1>#REF!</formula1>
    </dataValidation>
  </dataValidations>
  <pageMargins left="0.7" right="0.7" top="0.75" bottom="0.75" header="0.3" footer="0.3"/>
  <pageSetup scale="61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3300"/>
    <pageSetUpPr fitToPage="1"/>
  </sheetPr>
  <dimension ref="A1:S45"/>
  <sheetViews>
    <sheetView showGridLines="0" topLeftCell="A4" zoomScaleNormal="100" workbookViewId="0">
      <selection activeCell="J23" sqref="J23"/>
    </sheetView>
  </sheetViews>
  <sheetFormatPr defaultColWidth="9.109375" defaultRowHeight="14.4" x14ac:dyDescent="0.3"/>
  <cols>
    <col min="1" max="1" width="2.109375" style="1" customWidth="1"/>
    <col min="2" max="2" width="40.109375" style="1" customWidth="1"/>
    <col min="3" max="3" width="1.33203125" style="1" customWidth="1"/>
    <col min="4" max="4" width="11.33203125" style="1" customWidth="1"/>
    <col min="5" max="5" width="1.33203125" style="1" customWidth="1"/>
    <col min="6" max="6" width="12.33203125" style="1" customWidth="1"/>
    <col min="7" max="7" width="8.5546875" style="1" customWidth="1"/>
    <col min="8" max="8" width="9.6640625" style="1" customWidth="1"/>
    <col min="9" max="9" width="2.88671875" style="1" customWidth="1"/>
    <col min="10" max="10" width="12.109375" style="1" customWidth="1"/>
    <col min="11" max="11" width="8.5546875" style="1" customWidth="1"/>
    <col min="12" max="12" width="9.88671875" style="1" customWidth="1"/>
    <col min="13" max="13" width="2.88671875" style="1" customWidth="1"/>
    <col min="14" max="14" width="12.6640625" style="1" bestFit="1" customWidth="1"/>
    <col min="15" max="15" width="10.88671875" style="1" bestFit="1" customWidth="1"/>
    <col min="16" max="16" width="3.88671875" style="1" customWidth="1"/>
    <col min="17" max="19" width="9.109375" style="1"/>
    <col min="20" max="20" width="9.109375" style="1" customWidth="1"/>
    <col min="21" max="16384" width="9.10937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194" t="s">
        <v>0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/>
    </row>
    <row r="3" spans="2:16" ht="18.75" customHeight="1" x14ac:dyDescent="0.25">
      <c r="B3" s="194" t="s">
        <v>1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195" t="s">
        <v>102</v>
      </c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2" t="s">
        <v>3</v>
      </c>
      <c r="D8" s="5" t="s">
        <v>103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75" x14ac:dyDescent="0.2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ht="15" x14ac:dyDescent="0.25">
      <c r="B10" s="6"/>
      <c r="D10" s="7" t="s">
        <v>5</v>
      </c>
      <c r="E10" s="7"/>
      <c r="F10" s="8">
        <v>750</v>
      </c>
      <c r="G10" s="7" t="s">
        <v>6</v>
      </c>
    </row>
    <row r="11" spans="2:16" ht="15" x14ac:dyDescent="0.25">
      <c r="B11" s="6"/>
    </row>
    <row r="12" spans="2:16" ht="15" x14ac:dyDescent="0.25">
      <c r="B12" s="6"/>
      <c r="D12" s="9"/>
      <c r="E12" s="9"/>
      <c r="F12" s="196" t="s">
        <v>7</v>
      </c>
      <c r="G12" s="197"/>
      <c r="H12" s="198"/>
      <c r="J12" s="196" t="s">
        <v>8</v>
      </c>
      <c r="K12" s="197"/>
      <c r="L12" s="198"/>
      <c r="N12" s="196" t="s">
        <v>9</v>
      </c>
      <c r="O12" s="198"/>
    </row>
    <row r="13" spans="2:16" x14ac:dyDescent="0.3">
      <c r="B13" s="6"/>
      <c r="D13" s="188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190" t="s">
        <v>14</v>
      </c>
      <c r="O13" s="192" t="s">
        <v>15</v>
      </c>
    </row>
    <row r="14" spans="2:16" x14ac:dyDescent="0.3">
      <c r="B14" s="6"/>
      <c r="D14" s="189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191"/>
      <c r="O14" s="193"/>
    </row>
    <row r="15" spans="2:16" ht="15" x14ac:dyDescent="0.25">
      <c r="B15" s="16" t="s">
        <v>17</v>
      </c>
      <c r="C15" s="16"/>
      <c r="D15" s="17" t="s">
        <v>61</v>
      </c>
      <c r="E15" s="18"/>
      <c r="F15" s="19">
        <f>Rates!D32</f>
        <v>34.270000000000003</v>
      </c>
      <c r="G15" s="20">
        <v>1</v>
      </c>
      <c r="H15" s="21">
        <f>G15*F15</f>
        <v>34.270000000000003</v>
      </c>
      <c r="I15" s="22"/>
      <c r="J15" s="23">
        <v>42.18</v>
      </c>
      <c r="K15" s="24">
        <v>1</v>
      </c>
      <c r="L15" s="21">
        <f>K15*J15</f>
        <v>42.18</v>
      </c>
      <c r="M15" s="22"/>
      <c r="N15" s="25">
        <f>L15-H15</f>
        <v>7.9099999999999966</v>
      </c>
      <c r="O15" s="26">
        <f>IF((H15)=0,"",(N15/H15))</f>
        <v>0.23081412313977229</v>
      </c>
    </row>
    <row r="16" spans="2:16" ht="30" x14ac:dyDescent="0.25">
      <c r="B16" s="112" t="str">
        <f>Rates!A38</f>
        <v>SME - Net Deferred Revenue Requirement, effective until December 31, 2016</v>
      </c>
      <c r="C16" s="16"/>
      <c r="D16" s="52" t="s">
        <v>61</v>
      </c>
      <c r="E16" s="18"/>
      <c r="F16" s="23">
        <f>Rates!D38</f>
        <v>3.57</v>
      </c>
      <c r="G16" s="20">
        <v>1</v>
      </c>
      <c r="H16" s="21">
        <f t="shared" ref="H16:H21" si="0">G16*F16</f>
        <v>3.57</v>
      </c>
      <c r="I16" s="22"/>
      <c r="J16" s="23">
        <f>Rates!F38</f>
        <v>0</v>
      </c>
      <c r="K16" s="24">
        <v>1</v>
      </c>
      <c r="L16" s="21">
        <f t="shared" ref="L16:L21" si="1">K16*J16</f>
        <v>0</v>
      </c>
      <c r="M16" s="22"/>
      <c r="N16" s="25">
        <f t="shared" ref="N16:N22" si="2">L16-H16</f>
        <v>-3.57</v>
      </c>
      <c r="O16" s="26">
        <f t="shared" ref="O16:O22" si="3">IF((H16)=0,"",(N16/H16))</f>
        <v>-1</v>
      </c>
    </row>
    <row r="17" spans="2:15" ht="15" x14ac:dyDescent="0.25">
      <c r="B17" s="16" t="s">
        <v>18</v>
      </c>
      <c r="C17" s="16"/>
      <c r="D17" s="17" t="s">
        <v>62</v>
      </c>
      <c r="E17" s="18"/>
      <c r="F17" s="19">
        <f>Rates!D33</f>
        <v>0.14349999999999999</v>
      </c>
      <c r="G17" s="20">
        <f>$F$10</f>
        <v>750</v>
      </c>
      <c r="H17" s="21">
        <f t="shared" si="0"/>
        <v>107.62499999999999</v>
      </c>
      <c r="I17" s="22"/>
      <c r="J17" s="23">
        <v>0.14019999999999999</v>
      </c>
      <c r="K17" s="20">
        <f>$F$10</f>
        <v>750</v>
      </c>
      <c r="L17" s="21">
        <f t="shared" si="1"/>
        <v>105.14999999999999</v>
      </c>
      <c r="M17" s="22"/>
      <c r="N17" s="25">
        <f t="shared" si="2"/>
        <v>-2.4749999999999943</v>
      </c>
      <c r="O17" s="26">
        <f t="shared" si="3"/>
        <v>-2.2996515679442459E-2</v>
      </c>
    </row>
    <row r="18" spans="2:15" ht="15" x14ac:dyDescent="0.25">
      <c r="B18" s="16" t="s">
        <v>19</v>
      </c>
      <c r="C18" s="16"/>
      <c r="D18" s="17"/>
      <c r="E18" s="18"/>
      <c r="F18" s="19"/>
      <c r="G18" s="20">
        <f t="shared" ref="G18" si="4">$F$10</f>
        <v>750</v>
      </c>
      <c r="H18" s="21">
        <f t="shared" si="0"/>
        <v>0</v>
      </c>
      <c r="I18" s="22"/>
      <c r="J18" s="23"/>
      <c r="K18" s="20">
        <f t="shared" ref="K18:K21" si="5">$F$10</f>
        <v>750</v>
      </c>
      <c r="L18" s="21">
        <f t="shared" si="1"/>
        <v>0</v>
      </c>
      <c r="M18" s="22"/>
      <c r="N18" s="25">
        <f t="shared" si="2"/>
        <v>0</v>
      </c>
      <c r="O18" s="26" t="str">
        <f t="shared" si="3"/>
        <v/>
      </c>
    </row>
    <row r="19" spans="2:15" ht="15" x14ac:dyDescent="0.25">
      <c r="B19" s="16" t="s">
        <v>20</v>
      </c>
      <c r="C19" s="16"/>
      <c r="D19" s="17"/>
      <c r="E19" s="18"/>
      <c r="F19" s="19"/>
      <c r="G19" s="20">
        <f>$F$10</f>
        <v>750</v>
      </c>
      <c r="H19" s="21">
        <f t="shared" si="0"/>
        <v>0</v>
      </c>
      <c r="I19" s="22"/>
      <c r="J19" s="23"/>
      <c r="K19" s="20">
        <f t="shared" si="5"/>
        <v>750</v>
      </c>
      <c r="L19" s="21">
        <f t="shared" si="1"/>
        <v>0</v>
      </c>
      <c r="M19" s="22"/>
      <c r="N19" s="25">
        <f t="shared" si="2"/>
        <v>0</v>
      </c>
      <c r="O19" s="26" t="str">
        <f t="shared" si="3"/>
        <v/>
      </c>
    </row>
    <row r="20" spans="2:15" ht="30" x14ac:dyDescent="0.25">
      <c r="B20" s="112" t="str">
        <f>Rates!A36</f>
        <v>Deferral/Variance Account Disposition - effective until June 30, 2019</v>
      </c>
      <c r="C20" s="16"/>
      <c r="D20" s="52" t="s">
        <v>62</v>
      </c>
      <c r="E20" s="18"/>
      <c r="F20" s="23">
        <f>Rates!D36</f>
        <v>3.0700000000000002E-2</v>
      </c>
      <c r="G20" s="20">
        <f t="shared" ref="G20:G21" si="6">$F$10</f>
        <v>750</v>
      </c>
      <c r="H20" s="21">
        <f t="shared" si="0"/>
        <v>23.025000000000002</v>
      </c>
      <c r="I20" s="22"/>
      <c r="J20" s="23">
        <f>Rates!F36</f>
        <v>3.0700000000000002E-2</v>
      </c>
      <c r="K20" s="20">
        <f t="shared" si="5"/>
        <v>750</v>
      </c>
      <c r="L20" s="21">
        <f t="shared" si="1"/>
        <v>23.025000000000002</v>
      </c>
      <c r="M20" s="22"/>
      <c r="N20" s="25">
        <f t="shared" si="2"/>
        <v>0</v>
      </c>
      <c r="O20" s="26">
        <f t="shared" si="3"/>
        <v>0</v>
      </c>
    </row>
    <row r="21" spans="2:15" ht="45" x14ac:dyDescent="0.25">
      <c r="B21" s="112" t="str">
        <f>Rates!A53</f>
        <v>Rate Rider for the Disposition of Account 1575 &amp; 1576 - effective until December 31, 2019</v>
      </c>
      <c r="C21" s="16"/>
      <c r="D21" s="52" t="s">
        <v>62</v>
      </c>
      <c r="E21" s="18"/>
      <c r="F21" s="23">
        <f>Rates!D39</f>
        <v>-1.9E-3</v>
      </c>
      <c r="G21" s="20">
        <f t="shared" si="6"/>
        <v>750</v>
      </c>
      <c r="H21" s="21">
        <f t="shared" si="0"/>
        <v>-1.425</v>
      </c>
      <c r="I21" s="22"/>
      <c r="J21" s="23">
        <f>Rates!F39</f>
        <v>-1.9E-3</v>
      </c>
      <c r="K21" s="20">
        <f t="shared" si="5"/>
        <v>750</v>
      </c>
      <c r="L21" s="21">
        <f t="shared" si="1"/>
        <v>-1.425</v>
      </c>
      <c r="M21" s="22"/>
      <c r="N21" s="25">
        <f t="shared" si="2"/>
        <v>0</v>
      </c>
      <c r="O21" s="26">
        <f t="shared" si="3"/>
        <v>0</v>
      </c>
    </row>
    <row r="22" spans="2:15" s="38" customFormat="1" ht="15" x14ac:dyDescent="0.25">
      <c r="B22" s="27" t="s">
        <v>21</v>
      </c>
      <c r="C22" s="28"/>
      <c r="D22" s="29"/>
      <c r="E22" s="28"/>
      <c r="F22" s="30"/>
      <c r="G22" s="31"/>
      <c r="H22" s="32">
        <f>SUM(H15:H21)</f>
        <v>167.06499999999997</v>
      </c>
      <c r="I22" s="33"/>
      <c r="J22" s="34"/>
      <c r="K22" s="35"/>
      <c r="L22" s="32">
        <f>SUM(L15:L21)</f>
        <v>168.92999999999998</v>
      </c>
      <c r="M22" s="33"/>
      <c r="N22" s="36">
        <f t="shared" si="2"/>
        <v>1.8650000000000091</v>
      </c>
      <c r="O22" s="37">
        <f t="shared" si="3"/>
        <v>1.116331966599832E-2</v>
      </c>
    </row>
    <row r="23" spans="2:15" ht="38.25" x14ac:dyDescent="0.25">
      <c r="B23" s="39" t="str">
        <f>Rates!A34</f>
        <v>Rate Rider for the Disposition of Deferral/Variance Accounts (2017) - effective until December 31, 2017</v>
      </c>
      <c r="C23" s="16"/>
      <c r="D23" s="17" t="s">
        <v>62</v>
      </c>
      <c r="E23" s="18"/>
      <c r="F23" s="19">
        <f>Rates!D34</f>
        <v>0</v>
      </c>
      <c r="G23" s="20">
        <f t="shared" ref="G23:G25" si="7">$F$10</f>
        <v>750</v>
      </c>
      <c r="H23" s="21">
        <f t="shared" ref="H23:H26" si="8">G23*F23</f>
        <v>0</v>
      </c>
      <c r="I23" s="40"/>
      <c r="J23" s="23">
        <f>Rates!F34+Rates!F37</f>
        <v>-3.5000000000000001E-3</v>
      </c>
      <c r="K23" s="20">
        <f t="shared" ref="K23:K25" si="9">$F$10</f>
        <v>750</v>
      </c>
      <c r="L23" s="21">
        <f t="shared" ref="L23:L26" si="10">K23*J23</f>
        <v>-2.625</v>
      </c>
      <c r="M23" s="41"/>
      <c r="N23" s="25">
        <f t="shared" ref="N23:N26" si="11">L23-H23</f>
        <v>-2.625</v>
      </c>
      <c r="O23" s="26" t="str">
        <f t="shared" ref="O23:O26" si="12">IF((H23)=0,"",(N23/H23))</f>
        <v/>
      </c>
    </row>
    <row r="24" spans="2:15" ht="38.25" x14ac:dyDescent="0.25">
      <c r="B24" s="39" t="str">
        <f>Rates!A35</f>
        <v>Rate Rider for the Disposition of Global Adjustment Sub-Account (2017) - effective until December 31, 2017</v>
      </c>
      <c r="C24" s="16"/>
      <c r="D24" s="17" t="s">
        <v>62</v>
      </c>
      <c r="E24" s="18"/>
      <c r="F24" s="19">
        <f>Rates!D35</f>
        <v>0</v>
      </c>
      <c r="G24" s="20">
        <f t="shared" si="7"/>
        <v>750</v>
      </c>
      <c r="H24" s="21">
        <f t="shared" si="8"/>
        <v>0</v>
      </c>
      <c r="I24" s="40"/>
      <c r="J24" s="23">
        <f>Rates!F35</f>
        <v>6.7999999999999996E-3</v>
      </c>
      <c r="K24" s="20">
        <f t="shared" si="9"/>
        <v>750</v>
      </c>
      <c r="L24" s="21">
        <f t="shared" si="10"/>
        <v>5.0999999999999996</v>
      </c>
      <c r="M24" s="41"/>
      <c r="N24" s="25">
        <f t="shared" si="11"/>
        <v>5.0999999999999996</v>
      </c>
      <c r="O24" s="26" t="str">
        <f t="shared" si="12"/>
        <v/>
      </c>
    </row>
    <row r="25" spans="2:15" ht="15" x14ac:dyDescent="0.25">
      <c r="B25" s="42" t="s">
        <v>22</v>
      </c>
      <c r="C25" s="16"/>
      <c r="D25" s="17"/>
      <c r="E25" s="18"/>
      <c r="F25" s="19"/>
      <c r="G25" s="20">
        <f t="shared" si="7"/>
        <v>750</v>
      </c>
      <c r="H25" s="21">
        <f>G25*F25</f>
        <v>0</v>
      </c>
      <c r="I25" s="22"/>
      <c r="J25" s="23"/>
      <c r="K25" s="20">
        <f t="shared" si="9"/>
        <v>750</v>
      </c>
      <c r="L25" s="21">
        <f>K25*J25</f>
        <v>0</v>
      </c>
      <c r="M25" s="22"/>
      <c r="N25" s="25">
        <f>L25-H25</f>
        <v>0</v>
      </c>
      <c r="O25" s="26" t="str">
        <f>IF((H25)=0,"",(N25/H25))</f>
        <v/>
      </c>
    </row>
    <row r="26" spans="2:15" ht="15" x14ac:dyDescent="0.25">
      <c r="B26" s="42" t="s">
        <v>23</v>
      </c>
      <c r="C26" s="16"/>
      <c r="D26" s="17" t="s">
        <v>62</v>
      </c>
      <c r="E26" s="18"/>
      <c r="F26" s="43">
        <f>Rates!D73</f>
        <v>0.113</v>
      </c>
      <c r="G26" s="44">
        <f>$F$10*(1+$F$43)-$F$10</f>
        <v>68.774999999999864</v>
      </c>
      <c r="H26" s="21">
        <f t="shared" si="8"/>
        <v>7.7715749999999852</v>
      </c>
      <c r="I26" s="22"/>
      <c r="J26" s="45">
        <f>Rates!F73</f>
        <v>0.113</v>
      </c>
      <c r="K26" s="44">
        <f>$F$10*(1+$J$43)-$F$10</f>
        <v>68.774999999999864</v>
      </c>
      <c r="L26" s="21">
        <f t="shared" si="10"/>
        <v>7.7715749999999852</v>
      </c>
      <c r="M26" s="22"/>
      <c r="N26" s="25">
        <f t="shared" si="11"/>
        <v>0</v>
      </c>
      <c r="O26" s="26">
        <f t="shared" si="12"/>
        <v>0</v>
      </c>
    </row>
    <row r="27" spans="2:15" x14ac:dyDescent="0.3">
      <c r="B27" s="42" t="s">
        <v>24</v>
      </c>
      <c r="C27" s="16"/>
      <c r="D27" s="17" t="s">
        <v>61</v>
      </c>
      <c r="E27" s="18"/>
      <c r="F27" s="43">
        <f>Rates!D44</f>
        <v>0.79</v>
      </c>
      <c r="G27" s="20">
        <v>1</v>
      </c>
      <c r="H27" s="21">
        <f>G27*F27</f>
        <v>0.79</v>
      </c>
      <c r="I27" s="22"/>
      <c r="J27" s="43">
        <f>Rates!F44</f>
        <v>0.79</v>
      </c>
      <c r="K27" s="20">
        <v>1</v>
      </c>
      <c r="L27" s="21">
        <f>K27*J27</f>
        <v>0.79</v>
      </c>
      <c r="M27" s="22"/>
      <c r="N27" s="25">
        <f>L27-H27</f>
        <v>0</v>
      </c>
      <c r="O27" s="26"/>
    </row>
    <row r="28" spans="2:15" ht="26.4" x14ac:dyDescent="0.3">
      <c r="B28" s="46" t="s">
        <v>25</v>
      </c>
      <c r="C28" s="47"/>
      <c r="D28" s="47"/>
      <c r="E28" s="47"/>
      <c r="F28" s="48"/>
      <c r="G28" s="49"/>
      <c r="H28" s="50">
        <f>SUM(H23:H27)+H22</f>
        <v>175.62657499999995</v>
      </c>
      <c r="I28" s="33"/>
      <c r="J28" s="49"/>
      <c r="K28" s="51"/>
      <c r="L28" s="50">
        <f>SUM(L23:L27)+L22</f>
        <v>179.96657499999998</v>
      </c>
      <c r="M28" s="33"/>
      <c r="N28" s="36">
        <f t="shared" ref="N28:N40" si="13">L28-H28</f>
        <v>4.3400000000000318</v>
      </c>
      <c r="O28" s="37">
        <f t="shared" ref="O28:O40" si="14">IF((H28)=0,"",(N28/H28))</f>
        <v>2.471152216001498E-2</v>
      </c>
    </row>
    <row r="29" spans="2:15" x14ac:dyDescent="0.3">
      <c r="B29" s="22" t="s">
        <v>26</v>
      </c>
      <c r="C29" s="22"/>
      <c r="D29" s="52" t="s">
        <v>62</v>
      </c>
      <c r="E29" s="53"/>
      <c r="F29" s="23">
        <f>Rates!D40</f>
        <v>7.0000000000000001E-3</v>
      </c>
      <c r="G29" s="54">
        <f>F10*(1+F43)</f>
        <v>818.77499999999986</v>
      </c>
      <c r="H29" s="21">
        <f>G29*F29</f>
        <v>5.7314249999999989</v>
      </c>
      <c r="I29" s="22"/>
      <c r="J29" s="23">
        <f>Rates!F40</f>
        <v>6.6E-3</v>
      </c>
      <c r="K29" s="55">
        <f>F10*(1+J43)</f>
        <v>818.77499999999986</v>
      </c>
      <c r="L29" s="21">
        <f>K29*J29</f>
        <v>5.4039149999999987</v>
      </c>
      <c r="M29" s="22"/>
      <c r="N29" s="25">
        <f t="shared" si="13"/>
        <v>-0.32751000000000019</v>
      </c>
      <c r="O29" s="26">
        <f t="shared" si="14"/>
        <v>-5.714285714285719E-2</v>
      </c>
    </row>
    <row r="30" spans="2:15" x14ac:dyDescent="0.3">
      <c r="B30" s="56" t="s">
        <v>27</v>
      </c>
      <c r="C30" s="22"/>
      <c r="D30" s="52" t="s">
        <v>62</v>
      </c>
      <c r="E30" s="53"/>
      <c r="F30" s="23">
        <f>Rates!D41</f>
        <v>5.1000000000000004E-3</v>
      </c>
      <c r="G30" s="54">
        <f>G29</f>
        <v>818.77499999999986</v>
      </c>
      <c r="H30" s="21">
        <f>G30*F30</f>
        <v>4.1757524999999998</v>
      </c>
      <c r="I30" s="22"/>
      <c r="J30" s="23">
        <f>Rates!F41</f>
        <v>5.0000000000000001E-3</v>
      </c>
      <c r="K30" s="55">
        <f>K29</f>
        <v>818.77499999999986</v>
      </c>
      <c r="L30" s="21">
        <f>K30*J30</f>
        <v>4.0938749999999997</v>
      </c>
      <c r="M30" s="22"/>
      <c r="N30" s="25">
        <f t="shared" si="13"/>
        <v>-8.1877500000000047E-2</v>
      </c>
      <c r="O30" s="26">
        <f t="shared" si="14"/>
        <v>-1.9607843137254916E-2</v>
      </c>
    </row>
    <row r="31" spans="2:15" ht="26.4" x14ac:dyDescent="0.3">
      <c r="B31" s="46" t="s">
        <v>28</v>
      </c>
      <c r="C31" s="28"/>
      <c r="D31" s="28"/>
      <c r="E31" s="28"/>
      <c r="F31" s="57"/>
      <c r="G31" s="49"/>
      <c r="H31" s="50">
        <f>SUM(H28:H30)</f>
        <v>185.53375249999993</v>
      </c>
      <c r="I31" s="58"/>
      <c r="J31" s="59"/>
      <c r="K31" s="60"/>
      <c r="L31" s="50">
        <f>SUM(L28:L30)</f>
        <v>189.46436499999999</v>
      </c>
      <c r="M31" s="58"/>
      <c r="N31" s="36">
        <f t="shared" si="13"/>
        <v>3.930612500000052</v>
      </c>
      <c r="O31" s="37">
        <f t="shared" si="14"/>
        <v>2.1185430936616526E-2</v>
      </c>
    </row>
    <row r="32" spans="2:15" x14ac:dyDescent="0.3">
      <c r="B32" s="61" t="s">
        <v>29</v>
      </c>
      <c r="C32" s="16"/>
      <c r="D32" s="52" t="s">
        <v>62</v>
      </c>
      <c r="E32" s="18"/>
      <c r="F32" s="64">
        <f>Rates!D42</f>
        <v>3.5999999999999999E-3</v>
      </c>
      <c r="G32" s="54">
        <f>G30</f>
        <v>818.77499999999986</v>
      </c>
      <c r="H32" s="63">
        <f t="shared" ref="H32:H36" si="15">G32*F32</f>
        <v>2.9475899999999995</v>
      </c>
      <c r="I32" s="22"/>
      <c r="J32" s="64">
        <f>Rates!F42</f>
        <v>3.5999999999999999E-3</v>
      </c>
      <c r="K32" s="55">
        <f>K30</f>
        <v>818.77499999999986</v>
      </c>
      <c r="L32" s="63">
        <f t="shared" ref="L32:L36" si="16">K32*J32</f>
        <v>2.9475899999999995</v>
      </c>
      <c r="M32" s="22"/>
      <c r="N32" s="25">
        <f t="shared" si="13"/>
        <v>0</v>
      </c>
      <c r="O32" s="65">
        <f t="shared" si="14"/>
        <v>0</v>
      </c>
    </row>
    <row r="33" spans="1:19" x14ac:dyDescent="0.3">
      <c r="B33" s="61" t="s">
        <v>30</v>
      </c>
      <c r="C33" s="16"/>
      <c r="D33" s="52" t="s">
        <v>62</v>
      </c>
      <c r="E33" s="18"/>
      <c r="F33" s="64">
        <f>Rates!D43</f>
        <v>1.2999999999999999E-3</v>
      </c>
      <c r="G33" s="54">
        <f>G30</f>
        <v>818.77499999999986</v>
      </c>
      <c r="H33" s="63">
        <f t="shared" si="15"/>
        <v>1.0644074999999997</v>
      </c>
      <c r="I33" s="22"/>
      <c r="J33" s="64">
        <f>Rates!F43</f>
        <v>1.2999999999999999E-3</v>
      </c>
      <c r="K33" s="55">
        <f>K30</f>
        <v>818.77499999999986</v>
      </c>
      <c r="L33" s="63">
        <f t="shared" si="16"/>
        <v>1.0644074999999997</v>
      </c>
      <c r="M33" s="22"/>
      <c r="N33" s="25">
        <f t="shared" si="13"/>
        <v>0</v>
      </c>
      <c r="O33" s="65">
        <f t="shared" si="14"/>
        <v>0</v>
      </c>
    </row>
    <row r="34" spans="1:19" x14ac:dyDescent="0.3">
      <c r="B34" s="16" t="s">
        <v>31</v>
      </c>
      <c r="C34" s="16"/>
      <c r="D34" s="17" t="s">
        <v>61</v>
      </c>
      <c r="E34" s="18"/>
      <c r="F34" s="62">
        <f>Rates!D45</f>
        <v>0.25</v>
      </c>
      <c r="G34" s="20">
        <v>1</v>
      </c>
      <c r="H34" s="63">
        <f t="shared" si="15"/>
        <v>0.25</v>
      </c>
      <c r="I34" s="22"/>
      <c r="J34" s="64">
        <f>Rates!F45</f>
        <v>0.25</v>
      </c>
      <c r="K34" s="24">
        <v>1</v>
      </c>
      <c r="L34" s="63">
        <f t="shared" si="16"/>
        <v>0.25</v>
      </c>
      <c r="M34" s="22"/>
      <c r="N34" s="25">
        <f t="shared" si="13"/>
        <v>0</v>
      </c>
      <c r="O34" s="65">
        <f t="shared" si="14"/>
        <v>0</v>
      </c>
    </row>
    <row r="35" spans="1:19" x14ac:dyDescent="0.3">
      <c r="B35" s="16" t="s">
        <v>95</v>
      </c>
      <c r="C35" s="16"/>
      <c r="D35" s="17" t="s">
        <v>62</v>
      </c>
      <c r="E35" s="18"/>
      <c r="F35" s="62">
        <f>Rates!D61</f>
        <v>1.1000000000000001E-3</v>
      </c>
      <c r="G35" s="66">
        <f>F10</f>
        <v>750</v>
      </c>
      <c r="H35" s="63">
        <f t="shared" si="15"/>
        <v>0.82500000000000007</v>
      </c>
      <c r="I35" s="22"/>
      <c r="J35" s="64">
        <f>Rates!F61</f>
        <v>1.1000000000000001E-3</v>
      </c>
      <c r="K35" s="67">
        <f>F10</f>
        <v>750</v>
      </c>
      <c r="L35" s="63">
        <f t="shared" ref="L35" si="17">K35*J35</f>
        <v>0.82500000000000007</v>
      </c>
      <c r="M35" s="22"/>
      <c r="N35" s="25">
        <f t="shared" ref="N35" si="18">L35-H35</f>
        <v>0</v>
      </c>
      <c r="O35" s="65">
        <f t="shared" ref="O35" si="19">IF((H35)=0,"",(N35/H35))</f>
        <v>0</v>
      </c>
    </row>
    <row r="36" spans="1:19" ht="15" thickBot="1" x14ac:dyDescent="0.35">
      <c r="B36" s="42" t="s">
        <v>70</v>
      </c>
      <c r="C36" s="16"/>
      <c r="D36" s="17" t="s">
        <v>62</v>
      </c>
      <c r="E36" s="18"/>
      <c r="F36" s="68">
        <f>Rates!D73</f>
        <v>0.113</v>
      </c>
      <c r="G36" s="69">
        <f>F10</f>
        <v>750</v>
      </c>
      <c r="H36" s="63">
        <f t="shared" si="15"/>
        <v>84.75</v>
      </c>
      <c r="I36" s="22"/>
      <c r="J36" s="62">
        <f>Rates!F73</f>
        <v>0.113</v>
      </c>
      <c r="K36" s="69">
        <f>G36</f>
        <v>750</v>
      </c>
      <c r="L36" s="63">
        <f t="shared" si="16"/>
        <v>84.75</v>
      </c>
      <c r="M36" s="22"/>
      <c r="N36" s="25">
        <f t="shared" si="13"/>
        <v>0</v>
      </c>
      <c r="O36" s="65">
        <f t="shared" si="14"/>
        <v>0</v>
      </c>
      <c r="S36" s="70"/>
    </row>
    <row r="37" spans="1:19" ht="15" thickBot="1" x14ac:dyDescent="0.35">
      <c r="B37" s="72"/>
      <c r="C37" s="73"/>
      <c r="D37" s="74"/>
      <c r="E37" s="73"/>
      <c r="F37" s="75"/>
      <c r="G37" s="76"/>
      <c r="H37" s="77"/>
      <c r="I37" s="78"/>
      <c r="J37" s="75"/>
      <c r="K37" s="79"/>
      <c r="L37" s="77"/>
      <c r="M37" s="78"/>
      <c r="N37" s="80"/>
      <c r="O37" s="81"/>
    </row>
    <row r="38" spans="1:19" x14ac:dyDescent="0.3">
      <c r="B38" s="82" t="s">
        <v>35</v>
      </c>
      <c r="C38" s="16"/>
      <c r="D38" s="16"/>
      <c r="E38" s="16"/>
      <c r="F38" s="83"/>
      <c r="G38" s="84"/>
      <c r="H38" s="85">
        <f>SUM(H32:H36,H31)</f>
        <v>275.37074999999993</v>
      </c>
      <c r="I38" s="86"/>
      <c r="J38" s="87"/>
      <c r="K38" s="87"/>
      <c r="L38" s="111">
        <f>SUM(L32:L36,L31)</f>
        <v>279.30136249999998</v>
      </c>
      <c r="M38" s="88"/>
      <c r="N38" s="89">
        <f t="shared" ref="N38" si="20">L38-H38</f>
        <v>3.930612500000052</v>
      </c>
      <c r="O38" s="90">
        <f t="shared" ref="O38" si="21">IF((H38)=0,"",(N38/H38))</f>
        <v>1.4273892561210852E-2</v>
      </c>
      <c r="S38" s="70"/>
    </row>
    <row r="39" spans="1:19" x14ac:dyDescent="0.3">
      <c r="B39" s="91" t="s">
        <v>36</v>
      </c>
      <c r="C39" s="16"/>
      <c r="D39" s="16"/>
      <c r="E39" s="16"/>
      <c r="F39" s="92">
        <v>0.13</v>
      </c>
      <c r="G39" s="93"/>
      <c r="H39" s="94">
        <f>H38*F39</f>
        <v>35.798197499999993</v>
      </c>
      <c r="I39" s="95"/>
      <c r="J39" s="96">
        <v>0.13</v>
      </c>
      <c r="K39" s="95"/>
      <c r="L39" s="97">
        <f>L38*J39</f>
        <v>36.309177124999998</v>
      </c>
      <c r="M39" s="98"/>
      <c r="N39" s="99">
        <f t="shared" si="13"/>
        <v>0.51097962500000449</v>
      </c>
      <c r="O39" s="100">
        <f t="shared" si="14"/>
        <v>1.4273892561210786E-2</v>
      </c>
      <c r="S39" s="70"/>
    </row>
    <row r="40" spans="1:19" s="113" customFormat="1" ht="15" thickBot="1" x14ac:dyDescent="0.35">
      <c r="B40" s="101" t="s">
        <v>97</v>
      </c>
      <c r="C40" s="168"/>
      <c r="D40" s="168"/>
      <c r="E40" s="168"/>
      <c r="F40" s="169"/>
      <c r="G40" s="170"/>
      <c r="H40" s="85">
        <f>H38+H39</f>
        <v>311.16894749999994</v>
      </c>
      <c r="I40" s="86"/>
      <c r="J40" s="86"/>
      <c r="K40" s="86"/>
      <c r="L40" s="171">
        <f>L38+L39</f>
        <v>315.610539625</v>
      </c>
      <c r="M40" s="88"/>
      <c r="N40" s="89">
        <f t="shared" si="13"/>
        <v>4.4415921250000565</v>
      </c>
      <c r="O40" s="90">
        <f t="shared" si="14"/>
        <v>1.4273892561210843E-2</v>
      </c>
      <c r="S40" s="172"/>
    </row>
    <row r="41" spans="1:19" ht="15" thickBot="1" x14ac:dyDescent="0.35">
      <c r="B41" s="72"/>
      <c r="C41" s="73"/>
      <c r="D41" s="74"/>
      <c r="E41" s="73"/>
      <c r="F41" s="75"/>
      <c r="G41" s="76"/>
      <c r="H41" s="77"/>
      <c r="I41" s="78"/>
      <c r="J41" s="75"/>
      <c r="K41" s="79"/>
      <c r="L41" s="77"/>
      <c r="M41" s="78"/>
      <c r="N41" s="80"/>
      <c r="O41" s="81"/>
      <c r="S41" s="70"/>
    </row>
    <row r="42" spans="1:19" x14ac:dyDescent="0.3">
      <c r="L42" s="70"/>
    </row>
    <row r="43" spans="1:19" x14ac:dyDescent="0.3">
      <c r="B43" s="7" t="s">
        <v>37</v>
      </c>
      <c r="F43" s="109">
        <f>Rates!D66</f>
        <v>9.1700000000000004E-2</v>
      </c>
      <c r="J43" s="109">
        <f>Rates!F66</f>
        <v>9.1700000000000004E-2</v>
      </c>
    </row>
    <row r="45" spans="1:19" x14ac:dyDescent="0.3">
      <c r="A45" s="110"/>
      <c r="B45" s="1" t="s">
        <v>38</v>
      </c>
    </row>
  </sheetData>
  <mergeCells count="9">
    <mergeCell ref="D13:D14"/>
    <mergeCell ref="N13:N14"/>
    <mergeCell ref="O13:O14"/>
    <mergeCell ref="B2:O2"/>
    <mergeCell ref="B3:O3"/>
    <mergeCell ref="D6:O6"/>
    <mergeCell ref="F12:H12"/>
    <mergeCell ref="J12:L12"/>
    <mergeCell ref="N12:O12"/>
  </mergeCells>
  <dataValidations count="4">
    <dataValidation type="list" allowBlank="1" showInputMessage="1" showErrorMessage="1" sqref="D8">
      <formula1>"TOU, non-TOU"</formula1>
    </dataValidation>
    <dataValidation type="list" allowBlank="1" showInputMessage="1" showErrorMessage="1" prompt="Select Charge Unit - monthly, per kWh, per kW" sqref="D29:D30 D41 D15:D21 D23:D27 D32:D37">
      <formula1>"Monthly, per kWh, per kW"</formula1>
    </dataValidation>
    <dataValidation type="list" allowBlank="1" showInputMessage="1" showErrorMessage="1" sqref="E29:E30 E41 E15:E21 E23:E27 E32:E35 E37">
      <formula1>#REF!</formula1>
    </dataValidation>
    <dataValidation type="list" allowBlank="1" showInputMessage="1" showErrorMessage="1" sqref="E36">
      <formula1>#REF!</formula1>
    </dataValidation>
  </dataValidations>
  <pageMargins left="0.7" right="0.7" top="0.75" bottom="0.75" header="0.3" footer="0.3"/>
  <pageSetup scale="61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S40"/>
  <sheetViews>
    <sheetView showGridLines="0" tabSelected="1" zoomScaleNormal="100" workbookViewId="0">
      <selection activeCell="J18" sqref="J18"/>
    </sheetView>
  </sheetViews>
  <sheetFormatPr defaultColWidth="9.109375" defaultRowHeight="14.4" x14ac:dyDescent="0.3"/>
  <cols>
    <col min="1" max="1" width="2.109375" style="1" customWidth="1"/>
    <col min="2" max="2" width="40.6640625" style="1" customWidth="1"/>
    <col min="3" max="3" width="1.33203125" style="1" customWidth="1"/>
    <col min="4" max="4" width="11.33203125" style="1" customWidth="1"/>
    <col min="5" max="5" width="1.33203125" style="1" customWidth="1"/>
    <col min="6" max="6" width="12.33203125" style="1" customWidth="1"/>
    <col min="7" max="7" width="8.5546875" style="1" customWidth="1"/>
    <col min="8" max="8" width="11.33203125" style="1" bestFit="1" customWidth="1"/>
    <col min="9" max="9" width="2.88671875" style="1" customWidth="1"/>
    <col min="10" max="10" width="12.109375" style="1" customWidth="1"/>
    <col min="11" max="11" width="8.5546875" style="1" customWidth="1"/>
    <col min="12" max="12" width="11.33203125" style="1" bestFit="1" customWidth="1"/>
    <col min="13" max="13" width="2.88671875" style="1" customWidth="1"/>
    <col min="14" max="14" width="12.6640625" style="1" bestFit="1" customWidth="1"/>
    <col min="15" max="15" width="10.88671875" style="1" bestFit="1" customWidth="1"/>
    <col min="16" max="16" width="3.88671875" style="1" customWidth="1"/>
    <col min="17" max="19" width="9.109375" style="1"/>
    <col min="20" max="20" width="9.109375" style="1" customWidth="1"/>
    <col min="21" max="16384" width="9.10937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194" t="s">
        <v>0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/>
    </row>
    <row r="3" spans="2:16" ht="18.75" customHeight="1" x14ac:dyDescent="0.25">
      <c r="B3" s="194" t="s">
        <v>1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195" t="s">
        <v>71</v>
      </c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3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" x14ac:dyDescent="0.25">
      <c r="B9" s="6"/>
      <c r="D9" s="7" t="s">
        <v>5</v>
      </c>
      <c r="E9" s="7"/>
      <c r="F9" s="8">
        <v>19056</v>
      </c>
      <c r="G9" s="7" t="s">
        <v>6</v>
      </c>
      <c r="I9" s="199" t="s">
        <v>65</v>
      </c>
      <c r="J9" s="199"/>
      <c r="K9" s="8">
        <v>62</v>
      </c>
      <c r="L9" s="113" t="s">
        <v>66</v>
      </c>
    </row>
    <row r="10" spans="2:16" ht="15" x14ac:dyDescent="0.25">
      <c r="B10" s="6"/>
    </row>
    <row r="11" spans="2:16" ht="15" x14ac:dyDescent="0.25">
      <c r="B11" s="6"/>
      <c r="D11" s="9"/>
      <c r="E11" s="9"/>
      <c r="F11" s="196" t="s">
        <v>7</v>
      </c>
      <c r="G11" s="197"/>
      <c r="H11" s="198"/>
      <c r="J11" s="196" t="s">
        <v>8</v>
      </c>
      <c r="K11" s="197"/>
      <c r="L11" s="198"/>
      <c r="N11" s="196" t="s">
        <v>9</v>
      </c>
      <c r="O11" s="198"/>
    </row>
    <row r="12" spans="2:16" x14ac:dyDescent="0.3">
      <c r="B12" s="6"/>
      <c r="D12" s="188" t="s">
        <v>10</v>
      </c>
      <c r="E12" s="10"/>
      <c r="F12" s="11" t="s">
        <v>11</v>
      </c>
      <c r="G12" s="11" t="s">
        <v>12</v>
      </c>
      <c r="H12" s="12" t="s">
        <v>13</v>
      </c>
      <c r="J12" s="11" t="s">
        <v>11</v>
      </c>
      <c r="K12" s="13" t="s">
        <v>12</v>
      </c>
      <c r="L12" s="12" t="s">
        <v>13</v>
      </c>
      <c r="N12" s="190" t="s">
        <v>14</v>
      </c>
      <c r="O12" s="192" t="s">
        <v>15</v>
      </c>
    </row>
    <row r="13" spans="2:16" x14ac:dyDescent="0.3">
      <c r="B13" s="6"/>
      <c r="D13" s="189"/>
      <c r="E13" s="10"/>
      <c r="F13" s="14" t="s">
        <v>16</v>
      </c>
      <c r="G13" s="14"/>
      <c r="H13" s="15" t="s">
        <v>16</v>
      </c>
      <c r="J13" s="14" t="s">
        <v>16</v>
      </c>
      <c r="K13" s="15"/>
      <c r="L13" s="15" t="s">
        <v>16</v>
      </c>
      <c r="N13" s="191"/>
      <c r="O13" s="193"/>
    </row>
    <row r="14" spans="2:16" ht="15" x14ac:dyDescent="0.25">
      <c r="B14" s="16" t="s">
        <v>17</v>
      </c>
      <c r="C14" s="16"/>
      <c r="D14" s="17" t="s">
        <v>61</v>
      </c>
      <c r="E14" s="18"/>
      <c r="F14" s="19">
        <f>Rates!D48</f>
        <v>1.34</v>
      </c>
      <c r="G14" s="20">
        <v>391</v>
      </c>
      <c r="H14" s="21">
        <f>G14*F14</f>
        <v>523.94000000000005</v>
      </c>
      <c r="I14" s="22"/>
      <c r="J14" s="23">
        <f>Rates!F48</f>
        <v>1.48</v>
      </c>
      <c r="K14" s="24">
        <v>391</v>
      </c>
      <c r="L14" s="21">
        <f>K14*J14</f>
        <v>578.67999999999995</v>
      </c>
      <c r="M14" s="22"/>
      <c r="N14" s="25">
        <f>L14-H14</f>
        <v>54.739999999999895</v>
      </c>
      <c r="O14" s="26">
        <f>IF((H14)=0,"",(N14/H14))</f>
        <v>0.1044776119402983</v>
      </c>
    </row>
    <row r="15" spans="2:16" ht="15" x14ac:dyDescent="0.25">
      <c r="B15" s="16" t="s">
        <v>18</v>
      </c>
      <c r="C15" s="16"/>
      <c r="D15" s="17" t="s">
        <v>62</v>
      </c>
      <c r="E15" s="18"/>
      <c r="F15" s="19">
        <f>Rates!D49</f>
        <v>0.21640000000000001</v>
      </c>
      <c r="G15" s="114">
        <f>$F$9</f>
        <v>19056</v>
      </c>
      <c r="H15" s="21">
        <f t="shared" ref="H15:H16" si="0">G15*F15</f>
        <v>4123.7183999999997</v>
      </c>
      <c r="I15" s="22"/>
      <c r="J15" s="23">
        <f>Rates!F49</f>
        <v>0.23899999999999999</v>
      </c>
      <c r="K15" s="114">
        <f>$F$9</f>
        <v>19056</v>
      </c>
      <c r="L15" s="21">
        <f t="shared" ref="L15:L16" si="1">K15*J15</f>
        <v>4554.384</v>
      </c>
      <c r="M15" s="22"/>
      <c r="N15" s="25">
        <f t="shared" ref="N15:N17" si="2">L15-H15</f>
        <v>430.66560000000027</v>
      </c>
      <c r="O15" s="26">
        <f t="shared" ref="O15:O17" si="3">IF((H15)=0,"",(N15/H15))</f>
        <v>0.10443622920517567</v>
      </c>
    </row>
    <row r="16" spans="2:16" ht="45" x14ac:dyDescent="0.25">
      <c r="B16" s="112" t="str">
        <f>Rates!A53</f>
        <v>Rate Rider for the Disposition of Account 1575 &amp; 1576 - effective until December 31, 2019</v>
      </c>
      <c r="C16" s="16"/>
      <c r="D16" s="52" t="s">
        <v>62</v>
      </c>
      <c r="E16" s="18"/>
      <c r="F16" s="23">
        <f>Rates!D53</f>
        <v>-1.9E-3</v>
      </c>
      <c r="G16" s="114">
        <f>$F$9</f>
        <v>19056</v>
      </c>
      <c r="H16" s="21">
        <f t="shared" si="0"/>
        <v>-36.206400000000002</v>
      </c>
      <c r="I16" s="22"/>
      <c r="J16" s="23">
        <f>Rates!F53</f>
        <v>-1.9E-3</v>
      </c>
      <c r="K16" s="114">
        <f>$F$9</f>
        <v>19056</v>
      </c>
      <c r="L16" s="21">
        <f t="shared" si="1"/>
        <v>-36.206400000000002</v>
      </c>
      <c r="M16" s="22"/>
      <c r="N16" s="25">
        <f t="shared" si="2"/>
        <v>0</v>
      </c>
      <c r="O16" s="26">
        <f t="shared" si="3"/>
        <v>0</v>
      </c>
    </row>
    <row r="17" spans="2:19" s="38" customFormat="1" ht="15" x14ac:dyDescent="0.25">
      <c r="B17" s="27" t="s">
        <v>21</v>
      </c>
      <c r="C17" s="28"/>
      <c r="D17" s="29"/>
      <c r="E17" s="28"/>
      <c r="F17" s="30"/>
      <c r="G17" s="31"/>
      <c r="H17" s="32">
        <f>SUM(H14:H16)</f>
        <v>4611.4520000000002</v>
      </c>
      <c r="I17" s="33"/>
      <c r="J17" s="34"/>
      <c r="K17" s="35"/>
      <c r="L17" s="32">
        <f>SUM(L14:L16)</f>
        <v>5096.8576000000003</v>
      </c>
      <c r="M17" s="33"/>
      <c r="N17" s="36">
        <f t="shared" si="2"/>
        <v>485.40560000000005</v>
      </c>
      <c r="O17" s="37">
        <f t="shared" si="3"/>
        <v>0.10526090263977594</v>
      </c>
    </row>
    <row r="18" spans="2:19" ht="38.25" x14ac:dyDescent="0.25">
      <c r="B18" s="39" t="str">
        <f>Rates!A50</f>
        <v>Rate Rider for the Disposition of Deferral/Variance Accounts (2017) - effective until December 31, 2017</v>
      </c>
      <c r="C18" s="16"/>
      <c r="D18" s="17" t="s">
        <v>62</v>
      </c>
      <c r="E18" s="18"/>
      <c r="F18" s="19">
        <f>Rates!D50</f>
        <v>0</v>
      </c>
      <c r="G18" s="114">
        <f>F9</f>
        <v>19056</v>
      </c>
      <c r="H18" s="21">
        <f t="shared" ref="H18:H21" si="4">G18*F18</f>
        <v>0</v>
      </c>
      <c r="I18" s="40"/>
      <c r="J18" s="23">
        <f>Rates!F50+Rates!F52</f>
        <v>5.5999999999999999E-3</v>
      </c>
      <c r="K18" s="114">
        <f>F9</f>
        <v>19056</v>
      </c>
      <c r="L18" s="21">
        <f t="shared" ref="L18:L21" si="5">K18*J18</f>
        <v>106.7136</v>
      </c>
      <c r="M18" s="41"/>
      <c r="N18" s="25">
        <f t="shared" ref="N18:N21" si="6">L18-H18</f>
        <v>106.7136</v>
      </c>
      <c r="O18" s="26" t="str">
        <f t="shared" ref="O18:O21" si="7">IF((H18)=0,"",(N18/H18))</f>
        <v/>
      </c>
    </row>
    <row r="19" spans="2:19" ht="38.25" x14ac:dyDescent="0.25">
      <c r="B19" s="39" t="str">
        <f>Rates!A51</f>
        <v>Rate Rider for the Disposition of Global Adjustment Sub-Account (2017) - effective until December 31, 2017</v>
      </c>
      <c r="C19" s="16"/>
      <c r="D19" s="17" t="s">
        <v>62</v>
      </c>
      <c r="E19" s="18"/>
      <c r="F19" s="19">
        <f>Rates!D51</f>
        <v>0</v>
      </c>
      <c r="G19" s="114">
        <f>F9</f>
        <v>19056</v>
      </c>
      <c r="H19" s="21">
        <f t="shared" si="4"/>
        <v>0</v>
      </c>
      <c r="I19" s="40"/>
      <c r="J19" s="23">
        <f>Rates!F51</f>
        <v>6.7999999999999996E-3</v>
      </c>
      <c r="K19" s="114">
        <f>F9</f>
        <v>19056</v>
      </c>
      <c r="L19" s="21">
        <f t="shared" si="5"/>
        <v>129.58079999999998</v>
      </c>
      <c r="M19" s="41"/>
      <c r="N19" s="25">
        <f t="shared" si="6"/>
        <v>129.58079999999998</v>
      </c>
      <c r="O19" s="26" t="str">
        <f t="shared" si="7"/>
        <v/>
      </c>
    </row>
    <row r="20" spans="2:19" ht="15" x14ac:dyDescent="0.25">
      <c r="B20" s="42" t="s">
        <v>22</v>
      </c>
      <c r="C20" s="16"/>
      <c r="D20" s="17"/>
      <c r="E20" s="18"/>
      <c r="F20" s="19"/>
      <c r="G20" s="20"/>
      <c r="H20" s="21">
        <f>G20*F20</f>
        <v>0</v>
      </c>
      <c r="I20" s="22"/>
      <c r="J20" s="23"/>
      <c r="K20" s="20"/>
      <c r="L20" s="21">
        <f>K20*J20</f>
        <v>0</v>
      </c>
      <c r="M20" s="22"/>
      <c r="N20" s="25">
        <f>L20-H20</f>
        <v>0</v>
      </c>
      <c r="O20" s="26" t="str">
        <f>IF((H20)=0,"",(N20/H20))</f>
        <v/>
      </c>
    </row>
    <row r="21" spans="2:19" ht="15" x14ac:dyDescent="0.25">
      <c r="B21" s="42" t="s">
        <v>23</v>
      </c>
      <c r="C21" s="16"/>
      <c r="D21" s="17" t="s">
        <v>62</v>
      </c>
      <c r="E21" s="18"/>
      <c r="F21" s="115">
        <f>Rates!D73</f>
        <v>0.113</v>
      </c>
      <c r="G21" s="44">
        <f>$F$9*(1+$F$38)-$F$9</f>
        <v>1747.4351999999963</v>
      </c>
      <c r="H21" s="21">
        <f t="shared" si="4"/>
        <v>197.46017759999958</v>
      </c>
      <c r="I21" s="22"/>
      <c r="J21" s="117">
        <f>Rates!F73</f>
        <v>0.113</v>
      </c>
      <c r="K21" s="44">
        <f>$F$9*(1+$J$38)-$F$9</f>
        <v>1747.4351999999963</v>
      </c>
      <c r="L21" s="21">
        <f t="shared" si="5"/>
        <v>197.46017759999958</v>
      </c>
      <c r="M21" s="22"/>
      <c r="N21" s="25">
        <f t="shared" si="6"/>
        <v>0</v>
      </c>
      <c r="O21" s="26">
        <f t="shared" si="7"/>
        <v>0</v>
      </c>
    </row>
    <row r="22" spans="2:19" ht="15" x14ac:dyDescent="0.25">
      <c r="B22" s="42" t="s">
        <v>24</v>
      </c>
      <c r="C22" s="16"/>
      <c r="D22" s="17" t="s">
        <v>61</v>
      </c>
      <c r="E22" s="18"/>
      <c r="F22" s="43"/>
      <c r="G22" s="20">
        <v>1</v>
      </c>
      <c r="H22" s="21">
        <f>G22*F22</f>
        <v>0</v>
      </c>
      <c r="I22" s="22"/>
      <c r="J22" s="43"/>
      <c r="K22" s="20">
        <v>1</v>
      </c>
      <c r="L22" s="21">
        <f>K22*J22</f>
        <v>0</v>
      </c>
      <c r="M22" s="22"/>
      <c r="N22" s="25">
        <f>L22-H22</f>
        <v>0</v>
      </c>
      <c r="O22" s="26"/>
    </row>
    <row r="23" spans="2:19" ht="25.5" x14ac:dyDescent="0.25">
      <c r="B23" s="46" t="s">
        <v>25</v>
      </c>
      <c r="C23" s="47"/>
      <c r="D23" s="47"/>
      <c r="E23" s="47"/>
      <c r="F23" s="48"/>
      <c r="G23" s="49"/>
      <c r="H23" s="50">
        <f>SUM(H18:H22)+H17</f>
        <v>4808.9121776000002</v>
      </c>
      <c r="I23" s="33"/>
      <c r="J23" s="49"/>
      <c r="K23" s="51"/>
      <c r="L23" s="50">
        <f>SUM(L18:L22)+L17</f>
        <v>5530.6121776</v>
      </c>
      <c r="M23" s="33"/>
      <c r="N23" s="36">
        <f t="shared" ref="N23:N35" si="8">L23-H23</f>
        <v>721.69999999999982</v>
      </c>
      <c r="O23" s="37">
        <f t="shared" ref="O23:O35" si="9">IF((H23)=0,"",(N23/H23))</f>
        <v>0.15007552089674073</v>
      </c>
    </row>
    <row r="24" spans="2:19" ht="15" x14ac:dyDescent="0.25">
      <c r="B24" s="22" t="s">
        <v>26</v>
      </c>
      <c r="C24" s="22"/>
      <c r="D24" s="52" t="s">
        <v>67</v>
      </c>
      <c r="E24" s="53"/>
      <c r="F24" s="23">
        <f>Rates!D54</f>
        <v>1.9496</v>
      </c>
      <c r="G24" s="54">
        <f>K9*(1+F38)</f>
        <v>67.685399999999987</v>
      </c>
      <c r="H24" s="21">
        <f>G24*F24</f>
        <v>131.95945583999998</v>
      </c>
      <c r="I24" s="22"/>
      <c r="J24" s="23">
        <f>Rates!F54</f>
        <v>1.8284</v>
      </c>
      <c r="K24" s="55">
        <f>K9*(1+J38)</f>
        <v>67.685399999999987</v>
      </c>
      <c r="L24" s="21">
        <f>K24*J24</f>
        <v>123.75598535999998</v>
      </c>
      <c r="M24" s="22"/>
      <c r="N24" s="25">
        <f t="shared" si="8"/>
        <v>-8.2034704799999929</v>
      </c>
      <c r="O24" s="26">
        <f t="shared" si="9"/>
        <v>-6.2166598276569514E-2</v>
      </c>
    </row>
    <row r="25" spans="2:19" ht="15" x14ac:dyDescent="0.25">
      <c r="B25" s="56" t="s">
        <v>27</v>
      </c>
      <c r="C25" s="22"/>
      <c r="D25" s="52" t="s">
        <v>67</v>
      </c>
      <c r="E25" s="53"/>
      <c r="F25" s="23">
        <f>Rates!D55</f>
        <v>1.3767</v>
      </c>
      <c r="G25" s="54">
        <f>G24</f>
        <v>67.685399999999987</v>
      </c>
      <c r="H25" s="21">
        <f>G25*F25</f>
        <v>93.182490179999988</v>
      </c>
      <c r="I25" s="22"/>
      <c r="J25" s="23">
        <f>Rates!F55</f>
        <v>1.3613</v>
      </c>
      <c r="K25" s="55">
        <f>K24</f>
        <v>67.685399999999987</v>
      </c>
      <c r="L25" s="21">
        <f>K25*J25</f>
        <v>92.140135019999974</v>
      </c>
      <c r="M25" s="22"/>
      <c r="N25" s="25">
        <f t="shared" si="8"/>
        <v>-1.0423551600000138</v>
      </c>
      <c r="O25" s="26">
        <f t="shared" si="9"/>
        <v>-1.1186169826396605E-2</v>
      </c>
    </row>
    <row r="26" spans="2:19" ht="26.4" x14ac:dyDescent="0.3">
      <c r="B26" s="46" t="s">
        <v>28</v>
      </c>
      <c r="C26" s="28"/>
      <c r="D26" s="28"/>
      <c r="E26" s="28"/>
      <c r="F26" s="57"/>
      <c r="G26" s="49"/>
      <c r="H26" s="50">
        <f>SUM(H23:H25)</f>
        <v>5034.0541236200006</v>
      </c>
      <c r="I26" s="58"/>
      <c r="J26" s="59"/>
      <c r="K26" s="60"/>
      <c r="L26" s="50">
        <f>SUM(L23:L25)</f>
        <v>5746.50829798</v>
      </c>
      <c r="M26" s="58"/>
      <c r="N26" s="36">
        <f t="shared" si="8"/>
        <v>712.45417435999934</v>
      </c>
      <c r="O26" s="37">
        <f t="shared" si="9"/>
        <v>0.14152691982732832</v>
      </c>
    </row>
    <row r="27" spans="2:19" x14ac:dyDescent="0.3">
      <c r="B27" s="61" t="s">
        <v>29</v>
      </c>
      <c r="C27" s="16"/>
      <c r="D27" s="52" t="s">
        <v>62</v>
      </c>
      <c r="E27" s="18"/>
      <c r="F27" s="64">
        <f>Rates!D56</f>
        <v>3.5999999999999999E-3</v>
      </c>
      <c r="G27" s="54">
        <f>F9*(1+F38)</f>
        <v>20803.435199999996</v>
      </c>
      <c r="H27" s="63">
        <f t="shared" ref="H27:H31" si="10">G27*F27</f>
        <v>74.892366719999984</v>
      </c>
      <c r="I27" s="22"/>
      <c r="J27" s="64">
        <f>Rates!F56</f>
        <v>3.5999999999999999E-3</v>
      </c>
      <c r="K27" s="55">
        <f>F9*(1+J38)</f>
        <v>20803.435199999996</v>
      </c>
      <c r="L27" s="63">
        <f t="shared" ref="L27:L31" si="11">K27*J27</f>
        <v>74.892366719999984</v>
      </c>
      <c r="M27" s="22"/>
      <c r="N27" s="25">
        <f t="shared" si="8"/>
        <v>0</v>
      </c>
      <c r="O27" s="65">
        <f t="shared" si="9"/>
        <v>0</v>
      </c>
    </row>
    <row r="28" spans="2:19" x14ac:dyDescent="0.3">
      <c r="B28" s="61" t="s">
        <v>30</v>
      </c>
      <c r="C28" s="16"/>
      <c r="D28" s="52" t="s">
        <v>62</v>
      </c>
      <c r="E28" s="18"/>
      <c r="F28" s="64">
        <f>Rates!D57</f>
        <v>1.2999999999999999E-3</v>
      </c>
      <c r="G28" s="54">
        <f>G27</f>
        <v>20803.435199999996</v>
      </c>
      <c r="H28" s="63">
        <f t="shared" si="10"/>
        <v>27.044465759999994</v>
      </c>
      <c r="I28" s="22"/>
      <c r="J28" s="64">
        <f>Rates!F57</f>
        <v>1.2999999999999999E-3</v>
      </c>
      <c r="K28" s="55">
        <f>K27</f>
        <v>20803.435199999996</v>
      </c>
      <c r="L28" s="63">
        <f t="shared" si="11"/>
        <v>27.044465759999994</v>
      </c>
      <c r="M28" s="22"/>
      <c r="N28" s="25">
        <f t="shared" si="8"/>
        <v>0</v>
      </c>
      <c r="O28" s="65">
        <f t="shared" si="9"/>
        <v>0</v>
      </c>
    </row>
    <row r="29" spans="2:19" x14ac:dyDescent="0.3">
      <c r="B29" s="16" t="s">
        <v>31</v>
      </c>
      <c r="C29" s="16"/>
      <c r="D29" s="17" t="s">
        <v>61</v>
      </c>
      <c r="E29" s="18"/>
      <c r="F29" s="62">
        <f>Rates!D58</f>
        <v>0.25</v>
      </c>
      <c r="G29" s="20">
        <v>1</v>
      </c>
      <c r="H29" s="63">
        <f t="shared" si="10"/>
        <v>0.25</v>
      </c>
      <c r="I29" s="22"/>
      <c r="J29" s="64">
        <f>Rates!F58</f>
        <v>0.25</v>
      </c>
      <c r="K29" s="24">
        <v>1</v>
      </c>
      <c r="L29" s="63">
        <f t="shared" si="11"/>
        <v>0.25</v>
      </c>
      <c r="M29" s="22"/>
      <c r="N29" s="25">
        <f t="shared" si="8"/>
        <v>0</v>
      </c>
      <c r="O29" s="65">
        <f t="shared" si="9"/>
        <v>0</v>
      </c>
    </row>
    <row r="30" spans="2:19" x14ac:dyDescent="0.3">
      <c r="B30" s="16" t="s">
        <v>95</v>
      </c>
      <c r="C30" s="16"/>
      <c r="D30" s="17" t="s">
        <v>62</v>
      </c>
      <c r="E30" s="18"/>
      <c r="F30" s="62">
        <f>Rates!D61</f>
        <v>1.1000000000000001E-3</v>
      </c>
      <c r="G30" s="66">
        <f>F9</f>
        <v>19056</v>
      </c>
      <c r="H30" s="63">
        <f t="shared" si="10"/>
        <v>20.961600000000001</v>
      </c>
      <c r="I30" s="22"/>
      <c r="J30" s="64">
        <f>Rates!F61</f>
        <v>1.1000000000000001E-3</v>
      </c>
      <c r="K30" s="67">
        <f>F9</f>
        <v>19056</v>
      </c>
      <c r="L30" s="63">
        <f t="shared" ref="L30" si="12">K30*J30</f>
        <v>20.961600000000001</v>
      </c>
      <c r="M30" s="22"/>
      <c r="N30" s="25">
        <f t="shared" ref="N30" si="13">L30-H30</f>
        <v>0</v>
      </c>
      <c r="O30" s="65">
        <f t="shared" ref="O30" si="14">IF((H30)=0,"",(N30/H30))</f>
        <v>0</v>
      </c>
    </row>
    <row r="31" spans="2:19" ht="15" thickBot="1" x14ac:dyDescent="0.35">
      <c r="B31" s="42" t="s">
        <v>70</v>
      </c>
      <c r="C31" s="16"/>
      <c r="D31" s="17" t="s">
        <v>62</v>
      </c>
      <c r="E31" s="18"/>
      <c r="F31" s="68">
        <f>Rates!D73</f>
        <v>0.113</v>
      </c>
      <c r="G31" s="69">
        <f>$F$9</f>
        <v>19056</v>
      </c>
      <c r="H31" s="63">
        <f t="shared" si="10"/>
        <v>2153.328</v>
      </c>
      <c r="I31" s="22"/>
      <c r="J31" s="62">
        <f>Rates!F73</f>
        <v>0.113</v>
      </c>
      <c r="K31" s="69">
        <f>F9</f>
        <v>19056</v>
      </c>
      <c r="L31" s="63">
        <f t="shared" si="11"/>
        <v>2153.328</v>
      </c>
      <c r="M31" s="22"/>
      <c r="N31" s="25">
        <f t="shared" si="8"/>
        <v>0</v>
      </c>
      <c r="O31" s="65">
        <f t="shared" si="9"/>
        <v>0</v>
      </c>
      <c r="S31" s="70"/>
    </row>
    <row r="32" spans="2:19" ht="15" thickBot="1" x14ac:dyDescent="0.35">
      <c r="B32" s="72"/>
      <c r="C32" s="73"/>
      <c r="D32" s="74"/>
      <c r="E32" s="73"/>
      <c r="F32" s="75"/>
      <c r="G32" s="76"/>
      <c r="H32" s="77"/>
      <c r="I32" s="78"/>
      <c r="J32" s="75"/>
      <c r="K32" s="79"/>
      <c r="L32" s="77"/>
      <c r="M32" s="78"/>
      <c r="N32" s="80"/>
      <c r="O32" s="81"/>
    </row>
    <row r="33" spans="1:19" x14ac:dyDescent="0.3">
      <c r="B33" s="82" t="s">
        <v>76</v>
      </c>
      <c r="C33" s="16"/>
      <c r="D33" s="16"/>
      <c r="E33" s="16"/>
      <c r="F33" s="83"/>
      <c r="G33" s="84"/>
      <c r="H33" s="85">
        <f>SUM(H27:H31,H26)</f>
        <v>7310.5305561000005</v>
      </c>
      <c r="I33" s="86"/>
      <c r="J33" s="87"/>
      <c r="K33" s="87"/>
      <c r="L33" s="111">
        <f>SUM(L27:L31,L26)</f>
        <v>8022.9847304599998</v>
      </c>
      <c r="M33" s="88"/>
      <c r="N33" s="89">
        <f t="shared" ref="N33" si="15">L33-H33</f>
        <v>712.45417435999934</v>
      </c>
      <c r="O33" s="90">
        <f t="shared" ref="O33" si="16">IF((H33)=0,"",(N33/H33))</f>
        <v>9.7455878050536071E-2</v>
      </c>
      <c r="S33" s="70"/>
    </row>
    <row r="34" spans="1:19" x14ac:dyDescent="0.3">
      <c r="B34" s="91" t="s">
        <v>36</v>
      </c>
      <c r="C34" s="16"/>
      <c r="D34" s="16"/>
      <c r="E34" s="16"/>
      <c r="F34" s="92">
        <v>0.13</v>
      </c>
      <c r="G34" s="93"/>
      <c r="H34" s="94">
        <f>H33*F34</f>
        <v>950.36897229300007</v>
      </c>
      <c r="I34" s="95"/>
      <c r="J34" s="96">
        <v>0.13</v>
      </c>
      <c r="K34" s="95"/>
      <c r="L34" s="97">
        <f>L33*J34</f>
        <v>1042.9880149598</v>
      </c>
      <c r="M34" s="98"/>
      <c r="N34" s="99">
        <f t="shared" si="8"/>
        <v>92.619042666799942</v>
      </c>
      <c r="O34" s="100">
        <f t="shared" si="9"/>
        <v>9.7455878050536099E-2</v>
      </c>
      <c r="S34" s="70"/>
    </row>
    <row r="35" spans="1:19" s="113" customFormat="1" ht="15" thickBot="1" x14ac:dyDescent="0.35">
      <c r="B35" s="101" t="s">
        <v>97</v>
      </c>
      <c r="C35" s="168"/>
      <c r="D35" s="168"/>
      <c r="E35" s="168"/>
      <c r="F35" s="169"/>
      <c r="G35" s="170"/>
      <c r="H35" s="85">
        <f>H33+H34</f>
        <v>8260.8995283929999</v>
      </c>
      <c r="I35" s="86"/>
      <c r="J35" s="86"/>
      <c r="K35" s="86"/>
      <c r="L35" s="171">
        <f>L33+L34</f>
        <v>9065.9727454198</v>
      </c>
      <c r="M35" s="88"/>
      <c r="N35" s="89">
        <f t="shared" si="8"/>
        <v>805.07321702680019</v>
      </c>
      <c r="O35" s="90">
        <f t="shared" si="9"/>
        <v>9.7455878050536196E-2</v>
      </c>
      <c r="S35" s="172"/>
    </row>
    <row r="36" spans="1:19" s="71" customFormat="1" ht="15" thickBot="1" x14ac:dyDescent="0.3">
      <c r="B36" s="102"/>
      <c r="C36" s="103"/>
      <c r="D36" s="104"/>
      <c r="E36" s="103"/>
      <c r="F36" s="75"/>
      <c r="G36" s="105"/>
      <c r="H36" s="77"/>
      <c r="I36" s="106"/>
      <c r="J36" s="75"/>
      <c r="K36" s="107"/>
      <c r="L36" s="77"/>
      <c r="M36" s="106"/>
      <c r="N36" s="108"/>
      <c r="O36" s="81"/>
    </row>
    <row r="37" spans="1:19" x14ac:dyDescent="0.3">
      <c r="L37" s="70"/>
    </row>
    <row r="38" spans="1:19" x14ac:dyDescent="0.3">
      <c r="B38" s="7" t="s">
        <v>37</v>
      </c>
      <c r="F38" s="109">
        <f>Rates!D66</f>
        <v>9.1700000000000004E-2</v>
      </c>
      <c r="J38" s="109">
        <f>Rates!F66</f>
        <v>9.1700000000000004E-2</v>
      </c>
    </row>
    <row r="40" spans="1:19" x14ac:dyDescent="0.3">
      <c r="A40" s="110"/>
      <c r="B40" s="1" t="s">
        <v>38</v>
      </c>
    </row>
  </sheetData>
  <mergeCells count="10">
    <mergeCell ref="D12:D13"/>
    <mergeCell ref="N12:N13"/>
    <mergeCell ref="O12:O13"/>
    <mergeCell ref="B2:O2"/>
    <mergeCell ref="B3:O3"/>
    <mergeCell ref="D6:O6"/>
    <mergeCell ref="I9:J9"/>
    <mergeCell ref="F11:H11"/>
    <mergeCell ref="J11:L11"/>
    <mergeCell ref="N11:O11"/>
  </mergeCells>
  <dataValidations count="2">
    <dataValidation type="list" allowBlank="1" showInputMessage="1" showErrorMessage="1" prompt="Select Charge Unit - monthly, per kWh, per kW" sqref="D24:D25 D36 D27:D32 D14:D16 D18:D22">
      <formula1>"Monthly, per kWh, per kW"</formula1>
    </dataValidation>
    <dataValidation type="list" allowBlank="1" showInputMessage="1" showErrorMessage="1" sqref="E24:E25 E36 E27:E32 E14:E16 E18:E22">
      <formula1>#REF!</formula1>
    </dataValidation>
  </dataValidations>
  <pageMargins left="0.7" right="0.7" top="0.75" bottom="0.75" header="0.3" footer="0.3"/>
  <pageSetup scale="60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S40"/>
  <sheetViews>
    <sheetView showGridLines="0" zoomScaleNormal="100" workbookViewId="0">
      <selection activeCell="J18" sqref="J18"/>
    </sheetView>
  </sheetViews>
  <sheetFormatPr defaultColWidth="9.109375" defaultRowHeight="14.4" x14ac:dyDescent="0.3"/>
  <cols>
    <col min="1" max="1" width="2.109375" style="1" customWidth="1"/>
    <col min="2" max="2" width="40.6640625" style="1" customWidth="1"/>
    <col min="3" max="3" width="1.33203125" style="1" customWidth="1"/>
    <col min="4" max="4" width="11.33203125" style="1" customWidth="1"/>
    <col min="5" max="5" width="1.33203125" style="1" customWidth="1"/>
    <col min="6" max="6" width="12.33203125" style="1" customWidth="1"/>
    <col min="7" max="7" width="8.5546875" style="1" customWidth="1"/>
    <col min="8" max="8" width="11.33203125" style="1" bestFit="1" customWidth="1"/>
    <col min="9" max="9" width="2.88671875" style="1" customWidth="1"/>
    <col min="10" max="10" width="12.109375" style="1" customWidth="1"/>
    <col min="11" max="11" width="8.5546875" style="1" customWidth="1"/>
    <col min="12" max="12" width="11.33203125" style="1" bestFit="1" customWidth="1"/>
    <col min="13" max="13" width="2.88671875" style="1" customWidth="1"/>
    <col min="14" max="14" width="12.6640625" style="1" bestFit="1" customWidth="1"/>
    <col min="15" max="15" width="10.88671875" style="1" bestFit="1" customWidth="1"/>
    <col min="16" max="16" width="3.88671875" style="1" customWidth="1"/>
    <col min="17" max="19" width="9.109375" style="1"/>
    <col min="20" max="20" width="9.109375" style="1" customWidth="1"/>
    <col min="21" max="16384" width="9.10937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194" t="s">
        <v>0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/>
    </row>
    <row r="3" spans="2:16" ht="18.75" customHeight="1" x14ac:dyDescent="0.25">
      <c r="B3" s="194" t="s">
        <v>1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195" t="s">
        <v>71</v>
      </c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3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" x14ac:dyDescent="0.25">
      <c r="B9" s="6"/>
      <c r="D9" s="7" t="s">
        <v>5</v>
      </c>
      <c r="E9" s="7"/>
      <c r="F9" s="8">
        <v>150</v>
      </c>
      <c r="G9" s="7" t="s">
        <v>6</v>
      </c>
      <c r="I9" s="199" t="s">
        <v>65</v>
      </c>
      <c r="J9" s="199"/>
      <c r="K9" s="8">
        <v>1</v>
      </c>
      <c r="L9" s="113" t="s">
        <v>66</v>
      </c>
    </row>
    <row r="10" spans="2:16" ht="15" x14ac:dyDescent="0.25">
      <c r="B10" s="6"/>
    </row>
    <row r="11" spans="2:16" ht="15" x14ac:dyDescent="0.25">
      <c r="B11" s="6"/>
      <c r="D11" s="9"/>
      <c r="E11" s="9"/>
      <c r="F11" s="196" t="s">
        <v>7</v>
      </c>
      <c r="G11" s="197"/>
      <c r="H11" s="198"/>
      <c r="J11" s="196" t="s">
        <v>8</v>
      </c>
      <c r="K11" s="197"/>
      <c r="L11" s="198"/>
      <c r="N11" s="196" t="s">
        <v>9</v>
      </c>
      <c r="O11" s="198"/>
    </row>
    <row r="12" spans="2:16" x14ac:dyDescent="0.3">
      <c r="B12" s="6"/>
      <c r="D12" s="188" t="s">
        <v>10</v>
      </c>
      <c r="E12" s="10"/>
      <c r="F12" s="11" t="s">
        <v>11</v>
      </c>
      <c r="G12" s="11" t="s">
        <v>12</v>
      </c>
      <c r="H12" s="12" t="s">
        <v>13</v>
      </c>
      <c r="J12" s="11" t="s">
        <v>11</v>
      </c>
      <c r="K12" s="13" t="s">
        <v>12</v>
      </c>
      <c r="L12" s="12" t="s">
        <v>13</v>
      </c>
      <c r="N12" s="190" t="s">
        <v>14</v>
      </c>
      <c r="O12" s="192" t="s">
        <v>15</v>
      </c>
    </row>
    <row r="13" spans="2:16" x14ac:dyDescent="0.3">
      <c r="B13" s="6"/>
      <c r="D13" s="189"/>
      <c r="E13" s="10"/>
      <c r="F13" s="14" t="s">
        <v>16</v>
      </c>
      <c r="G13" s="14"/>
      <c r="H13" s="15" t="s">
        <v>16</v>
      </c>
      <c r="J13" s="14" t="s">
        <v>16</v>
      </c>
      <c r="K13" s="15"/>
      <c r="L13" s="15" t="s">
        <v>16</v>
      </c>
      <c r="N13" s="191"/>
      <c r="O13" s="193"/>
    </row>
    <row r="14" spans="2:16" ht="15" x14ac:dyDescent="0.25">
      <c r="B14" s="16" t="s">
        <v>17</v>
      </c>
      <c r="C14" s="16"/>
      <c r="D14" s="17" t="s">
        <v>61</v>
      </c>
      <c r="E14" s="18"/>
      <c r="F14" s="19">
        <f>Rates!D48</f>
        <v>1.34</v>
      </c>
      <c r="G14" s="20">
        <v>1</v>
      </c>
      <c r="H14" s="21">
        <f>G14*F14</f>
        <v>1.34</v>
      </c>
      <c r="I14" s="22"/>
      <c r="J14" s="23">
        <f>Rates!F48</f>
        <v>1.48</v>
      </c>
      <c r="K14" s="24">
        <v>1</v>
      </c>
      <c r="L14" s="21">
        <f>K14*J14</f>
        <v>1.48</v>
      </c>
      <c r="M14" s="22"/>
      <c r="N14" s="25">
        <f>L14-H14</f>
        <v>0.1399999999999999</v>
      </c>
      <c r="O14" s="26">
        <f>IF((H14)=0,"",(N14/H14))</f>
        <v>0.10447761194029843</v>
      </c>
    </row>
    <row r="15" spans="2:16" ht="15" x14ac:dyDescent="0.25">
      <c r="B15" s="16" t="s">
        <v>18</v>
      </c>
      <c r="C15" s="16"/>
      <c r="D15" s="17" t="s">
        <v>62</v>
      </c>
      <c r="E15" s="18"/>
      <c r="F15" s="19">
        <f>Rates!D49</f>
        <v>0.21640000000000001</v>
      </c>
      <c r="G15" s="114">
        <f>$F$9</f>
        <v>150</v>
      </c>
      <c r="H15" s="21">
        <f t="shared" ref="H15:H16" si="0">G15*F15</f>
        <v>32.46</v>
      </c>
      <c r="I15" s="22"/>
      <c r="J15" s="23">
        <f>Rates!F49</f>
        <v>0.23899999999999999</v>
      </c>
      <c r="K15" s="114">
        <f>$F$9</f>
        <v>150</v>
      </c>
      <c r="L15" s="21">
        <f t="shared" ref="L15:L16" si="1">K15*J15</f>
        <v>35.85</v>
      </c>
      <c r="M15" s="22"/>
      <c r="N15" s="25">
        <f t="shared" ref="N15:N21" si="2">L15-H15</f>
        <v>3.3900000000000006</v>
      </c>
      <c r="O15" s="26">
        <f t="shared" ref="O15:O21" si="3">IF((H15)=0,"",(N15/H15))</f>
        <v>0.10443622920517562</v>
      </c>
    </row>
    <row r="16" spans="2:16" ht="45" x14ac:dyDescent="0.25">
      <c r="B16" s="112" t="str">
        <f>Rates!A53</f>
        <v>Rate Rider for the Disposition of Account 1575 &amp; 1576 - effective until December 31, 2019</v>
      </c>
      <c r="C16" s="16"/>
      <c r="D16" s="52" t="s">
        <v>62</v>
      </c>
      <c r="E16" s="18"/>
      <c r="F16" s="23">
        <f>Rates!D53</f>
        <v>-1.9E-3</v>
      </c>
      <c r="G16" s="114">
        <f>$F$9</f>
        <v>150</v>
      </c>
      <c r="H16" s="21">
        <f t="shared" si="0"/>
        <v>-0.28499999999999998</v>
      </c>
      <c r="I16" s="22"/>
      <c r="J16" s="23">
        <f>Rates!F53</f>
        <v>-1.9E-3</v>
      </c>
      <c r="K16" s="114">
        <f>$F$9</f>
        <v>150</v>
      </c>
      <c r="L16" s="21">
        <f t="shared" si="1"/>
        <v>-0.28499999999999998</v>
      </c>
      <c r="M16" s="22"/>
      <c r="N16" s="25">
        <f t="shared" si="2"/>
        <v>0</v>
      </c>
      <c r="O16" s="26">
        <f t="shared" si="3"/>
        <v>0</v>
      </c>
    </row>
    <row r="17" spans="2:19" s="38" customFormat="1" ht="15" x14ac:dyDescent="0.25">
      <c r="B17" s="27" t="s">
        <v>21</v>
      </c>
      <c r="C17" s="28"/>
      <c r="D17" s="29"/>
      <c r="E17" s="28"/>
      <c r="F17" s="30"/>
      <c r="G17" s="31"/>
      <c r="H17" s="32">
        <f>SUM(H14:H16)</f>
        <v>33.515000000000008</v>
      </c>
      <c r="I17" s="33"/>
      <c r="J17" s="34"/>
      <c r="K17" s="35"/>
      <c r="L17" s="32">
        <f>SUM(L14:L16)</f>
        <v>37.045000000000002</v>
      </c>
      <c r="M17" s="33"/>
      <c r="N17" s="36">
        <f t="shared" si="2"/>
        <v>3.529999999999994</v>
      </c>
      <c r="O17" s="37">
        <f t="shared" si="3"/>
        <v>0.10532597344472604</v>
      </c>
    </row>
    <row r="18" spans="2:19" ht="38.25" x14ac:dyDescent="0.25">
      <c r="B18" s="39" t="str">
        <f>Rates!A50</f>
        <v>Rate Rider for the Disposition of Deferral/Variance Accounts (2017) - effective until December 31, 2017</v>
      </c>
      <c r="C18" s="16"/>
      <c r="D18" s="17" t="s">
        <v>62</v>
      </c>
      <c r="E18" s="18"/>
      <c r="F18" s="19">
        <f>Rates!D50</f>
        <v>0</v>
      </c>
      <c r="G18" s="114">
        <f>F9</f>
        <v>150</v>
      </c>
      <c r="H18" s="21">
        <f t="shared" ref="H18:H21" si="4">G18*F18</f>
        <v>0</v>
      </c>
      <c r="I18" s="40"/>
      <c r="J18" s="23">
        <f>Rates!F50+Rates!F52</f>
        <v>5.5999999999999999E-3</v>
      </c>
      <c r="K18" s="114">
        <f>F9</f>
        <v>150</v>
      </c>
      <c r="L18" s="21">
        <f t="shared" ref="L18:L21" si="5">K18*J18</f>
        <v>0.84</v>
      </c>
      <c r="M18" s="41"/>
      <c r="N18" s="25">
        <f t="shared" si="2"/>
        <v>0.84</v>
      </c>
      <c r="O18" s="26" t="str">
        <f t="shared" si="3"/>
        <v/>
      </c>
    </row>
    <row r="19" spans="2:19" ht="38.25" x14ac:dyDescent="0.25">
      <c r="B19" s="39" t="str">
        <f>Rates!A51</f>
        <v>Rate Rider for the Disposition of Global Adjustment Sub-Account (2017) - effective until December 31, 2017</v>
      </c>
      <c r="C19" s="16"/>
      <c r="D19" s="17" t="s">
        <v>62</v>
      </c>
      <c r="E19" s="18"/>
      <c r="F19" s="19">
        <f>Rates!D51</f>
        <v>0</v>
      </c>
      <c r="G19" s="114">
        <f>F9</f>
        <v>150</v>
      </c>
      <c r="H19" s="21">
        <f t="shared" si="4"/>
        <v>0</v>
      </c>
      <c r="I19" s="40"/>
      <c r="J19" s="23">
        <f>Rates!F51</f>
        <v>6.7999999999999996E-3</v>
      </c>
      <c r="K19" s="114">
        <f>F9</f>
        <v>150</v>
      </c>
      <c r="L19" s="21">
        <f t="shared" si="5"/>
        <v>1.02</v>
      </c>
      <c r="M19" s="41"/>
      <c r="N19" s="25">
        <f t="shared" si="2"/>
        <v>1.02</v>
      </c>
      <c r="O19" s="26" t="str">
        <f t="shared" si="3"/>
        <v/>
      </c>
    </row>
    <row r="20" spans="2:19" ht="15" x14ac:dyDescent="0.25">
      <c r="B20" s="42" t="s">
        <v>22</v>
      </c>
      <c r="C20" s="16"/>
      <c r="D20" s="17"/>
      <c r="E20" s="18"/>
      <c r="F20" s="19"/>
      <c r="G20" s="20"/>
      <c r="H20" s="21">
        <f>G20*F20</f>
        <v>0</v>
      </c>
      <c r="I20" s="22"/>
      <c r="J20" s="23"/>
      <c r="K20" s="20"/>
      <c r="L20" s="21">
        <f>K20*J20</f>
        <v>0</v>
      </c>
      <c r="M20" s="22"/>
      <c r="N20" s="25">
        <f>L20-H20</f>
        <v>0</v>
      </c>
      <c r="O20" s="26" t="str">
        <f>IF((H20)=0,"",(N20/H20))</f>
        <v/>
      </c>
    </row>
    <row r="21" spans="2:19" ht="15" x14ac:dyDescent="0.25">
      <c r="B21" s="42" t="s">
        <v>23</v>
      </c>
      <c r="C21" s="16"/>
      <c r="D21" s="17" t="s">
        <v>62</v>
      </c>
      <c r="E21" s="18"/>
      <c r="F21" s="115">
        <f>Rates!D73</f>
        <v>0.113</v>
      </c>
      <c r="G21" s="44">
        <f>$F$9*(1+$F$38)-$F$9</f>
        <v>13.754999999999995</v>
      </c>
      <c r="H21" s="21">
        <f t="shared" si="4"/>
        <v>1.5543149999999994</v>
      </c>
      <c r="I21" s="22"/>
      <c r="J21" s="117">
        <f>Rates!F73</f>
        <v>0.113</v>
      </c>
      <c r="K21" s="44">
        <f>$F$9*(1+$J$38)-$F$9</f>
        <v>13.754999999999995</v>
      </c>
      <c r="L21" s="21">
        <f t="shared" si="5"/>
        <v>1.5543149999999994</v>
      </c>
      <c r="M21" s="22"/>
      <c r="N21" s="25">
        <f t="shared" si="2"/>
        <v>0</v>
      </c>
      <c r="O21" s="26">
        <f t="shared" si="3"/>
        <v>0</v>
      </c>
    </row>
    <row r="22" spans="2:19" ht="15" x14ac:dyDescent="0.25">
      <c r="B22" s="42" t="s">
        <v>24</v>
      </c>
      <c r="C22" s="16"/>
      <c r="D22" s="17" t="s">
        <v>61</v>
      </c>
      <c r="E22" s="18"/>
      <c r="F22" s="43"/>
      <c r="G22" s="20">
        <v>1</v>
      </c>
      <c r="H22" s="21">
        <f>G22*F22</f>
        <v>0</v>
      </c>
      <c r="I22" s="22"/>
      <c r="J22" s="43"/>
      <c r="K22" s="20">
        <v>1</v>
      </c>
      <c r="L22" s="21">
        <f>K22*J22</f>
        <v>0</v>
      </c>
      <c r="M22" s="22"/>
      <c r="N22" s="25">
        <f>L22-H22</f>
        <v>0</v>
      </c>
      <c r="O22" s="26"/>
    </row>
    <row r="23" spans="2:19" ht="25.5" x14ac:dyDescent="0.25">
      <c r="B23" s="46" t="s">
        <v>25</v>
      </c>
      <c r="C23" s="47"/>
      <c r="D23" s="47"/>
      <c r="E23" s="47"/>
      <c r="F23" s="48"/>
      <c r="G23" s="49"/>
      <c r="H23" s="50">
        <f>SUM(H18:H22)+H17</f>
        <v>35.06931500000001</v>
      </c>
      <c r="I23" s="33"/>
      <c r="J23" s="49"/>
      <c r="K23" s="51"/>
      <c r="L23" s="50">
        <f>SUM(L18:L22)+L17</f>
        <v>40.459315000000004</v>
      </c>
      <c r="M23" s="33"/>
      <c r="N23" s="36">
        <f t="shared" ref="N23:N35" si="6">L23-H23</f>
        <v>5.3899999999999935</v>
      </c>
      <c r="O23" s="37">
        <f t="shared" ref="O23:O35" si="7">IF((H23)=0,"",(N23/H23))</f>
        <v>0.15369561680916755</v>
      </c>
    </row>
    <row r="24" spans="2:19" ht="15" x14ac:dyDescent="0.25">
      <c r="B24" s="22" t="s">
        <v>26</v>
      </c>
      <c r="C24" s="22"/>
      <c r="D24" s="52" t="s">
        <v>67</v>
      </c>
      <c r="E24" s="53"/>
      <c r="F24" s="23">
        <f>Rates!D54</f>
        <v>1.9496</v>
      </c>
      <c r="G24" s="54">
        <f>K9*(1+F38)</f>
        <v>1.0916999999999999</v>
      </c>
      <c r="H24" s="21">
        <f>G24*F24</f>
        <v>2.1283783199999999</v>
      </c>
      <c r="I24" s="22"/>
      <c r="J24" s="23">
        <f>Rates!F54</f>
        <v>1.8284</v>
      </c>
      <c r="K24" s="55">
        <f>K9*(1+J38)</f>
        <v>1.0916999999999999</v>
      </c>
      <c r="L24" s="21">
        <f>K24*J24</f>
        <v>1.9960642799999999</v>
      </c>
      <c r="M24" s="22"/>
      <c r="N24" s="25">
        <f t="shared" si="6"/>
        <v>-0.13231404000000002</v>
      </c>
      <c r="O24" s="26">
        <f t="shared" si="7"/>
        <v>-6.2166598276569562E-2</v>
      </c>
    </row>
    <row r="25" spans="2:19" ht="15" x14ac:dyDescent="0.25">
      <c r="B25" s="56" t="s">
        <v>27</v>
      </c>
      <c r="C25" s="22"/>
      <c r="D25" s="52" t="s">
        <v>67</v>
      </c>
      <c r="E25" s="53"/>
      <c r="F25" s="23">
        <f>Rates!D55</f>
        <v>1.3767</v>
      </c>
      <c r="G25" s="54">
        <f>G24</f>
        <v>1.0916999999999999</v>
      </c>
      <c r="H25" s="21">
        <f>G25*F25</f>
        <v>1.50294339</v>
      </c>
      <c r="I25" s="22"/>
      <c r="J25" s="23">
        <f>Rates!F55</f>
        <v>1.3613</v>
      </c>
      <c r="K25" s="55">
        <f>K24</f>
        <v>1.0916999999999999</v>
      </c>
      <c r="L25" s="21">
        <f>K25*J25</f>
        <v>1.4861312099999997</v>
      </c>
      <c r="M25" s="22"/>
      <c r="N25" s="25">
        <f t="shared" si="6"/>
        <v>-1.6812180000000287E-2</v>
      </c>
      <c r="O25" s="26">
        <f t="shared" si="7"/>
        <v>-1.1186169826396647E-2</v>
      </c>
    </row>
    <row r="26" spans="2:19" ht="26.4" x14ac:dyDescent="0.3">
      <c r="B26" s="46" t="s">
        <v>28</v>
      </c>
      <c r="C26" s="28"/>
      <c r="D26" s="28"/>
      <c r="E26" s="28"/>
      <c r="F26" s="57"/>
      <c r="G26" s="49"/>
      <c r="H26" s="50">
        <f>SUM(H23:H25)</f>
        <v>38.700636710000012</v>
      </c>
      <c r="I26" s="58"/>
      <c r="J26" s="59"/>
      <c r="K26" s="60"/>
      <c r="L26" s="50">
        <f>SUM(L23:L25)</f>
        <v>43.941510489999999</v>
      </c>
      <c r="M26" s="58"/>
      <c r="N26" s="36">
        <f t="shared" si="6"/>
        <v>5.2408737799999869</v>
      </c>
      <c r="O26" s="37">
        <f t="shared" si="7"/>
        <v>0.13542086708474688</v>
      </c>
    </row>
    <row r="27" spans="2:19" x14ac:dyDescent="0.3">
      <c r="B27" s="61" t="s">
        <v>29</v>
      </c>
      <c r="C27" s="16"/>
      <c r="D27" s="52" t="s">
        <v>62</v>
      </c>
      <c r="E27" s="18"/>
      <c r="F27" s="64">
        <f>Rates!D56</f>
        <v>3.5999999999999999E-3</v>
      </c>
      <c r="G27" s="54">
        <f>F9*(1+F38)</f>
        <v>163.755</v>
      </c>
      <c r="H27" s="63">
        <f t="shared" ref="H27:H31" si="8">G27*F27</f>
        <v>0.58951799999999999</v>
      </c>
      <c r="I27" s="22"/>
      <c r="J27" s="64">
        <f>Rates!F56</f>
        <v>3.5999999999999999E-3</v>
      </c>
      <c r="K27" s="55">
        <f>F9*(1+J38)</f>
        <v>163.755</v>
      </c>
      <c r="L27" s="63">
        <f t="shared" ref="L27:L31" si="9">K27*J27</f>
        <v>0.58951799999999999</v>
      </c>
      <c r="M27" s="22"/>
      <c r="N27" s="25">
        <f t="shared" si="6"/>
        <v>0</v>
      </c>
      <c r="O27" s="65">
        <f t="shared" si="7"/>
        <v>0</v>
      </c>
    </row>
    <row r="28" spans="2:19" x14ac:dyDescent="0.3">
      <c r="B28" s="61" t="s">
        <v>30</v>
      </c>
      <c r="C28" s="16"/>
      <c r="D28" s="52" t="s">
        <v>62</v>
      </c>
      <c r="E28" s="18"/>
      <c r="F28" s="64">
        <f>Rates!D57</f>
        <v>1.2999999999999999E-3</v>
      </c>
      <c r="G28" s="54">
        <f>G27</f>
        <v>163.755</v>
      </c>
      <c r="H28" s="63">
        <f t="shared" si="8"/>
        <v>0.21288149999999997</v>
      </c>
      <c r="I28" s="22"/>
      <c r="J28" s="64">
        <f>Rates!F57</f>
        <v>1.2999999999999999E-3</v>
      </c>
      <c r="K28" s="55">
        <f>K27</f>
        <v>163.755</v>
      </c>
      <c r="L28" s="63">
        <f t="shared" si="9"/>
        <v>0.21288149999999997</v>
      </c>
      <c r="M28" s="22"/>
      <c r="N28" s="25">
        <f t="shared" si="6"/>
        <v>0</v>
      </c>
      <c r="O28" s="65">
        <f t="shared" si="7"/>
        <v>0</v>
      </c>
    </row>
    <row r="29" spans="2:19" x14ac:dyDescent="0.3">
      <c r="B29" s="16" t="s">
        <v>31</v>
      </c>
      <c r="C29" s="16"/>
      <c r="D29" s="17" t="s">
        <v>61</v>
      </c>
      <c r="E29" s="18"/>
      <c r="F29" s="62">
        <f>Rates!D58</f>
        <v>0.25</v>
      </c>
      <c r="G29" s="20">
        <v>1</v>
      </c>
      <c r="H29" s="63">
        <f t="shared" si="8"/>
        <v>0.25</v>
      </c>
      <c r="I29" s="22"/>
      <c r="J29" s="64">
        <f>Rates!F58</f>
        <v>0.25</v>
      </c>
      <c r="K29" s="24">
        <v>1</v>
      </c>
      <c r="L29" s="63">
        <f t="shared" si="9"/>
        <v>0.25</v>
      </c>
      <c r="M29" s="22"/>
      <c r="N29" s="25">
        <f t="shared" si="6"/>
        <v>0</v>
      </c>
      <c r="O29" s="65">
        <f t="shared" si="7"/>
        <v>0</v>
      </c>
    </row>
    <row r="30" spans="2:19" x14ac:dyDescent="0.3">
      <c r="B30" s="16" t="s">
        <v>95</v>
      </c>
      <c r="C30" s="16"/>
      <c r="D30" s="17" t="s">
        <v>62</v>
      </c>
      <c r="E30" s="18"/>
      <c r="F30" s="62">
        <f>Rates!D61</f>
        <v>1.1000000000000001E-3</v>
      </c>
      <c r="G30" s="66">
        <f>F9</f>
        <v>150</v>
      </c>
      <c r="H30" s="63">
        <f t="shared" si="8"/>
        <v>0.16500000000000001</v>
      </c>
      <c r="I30" s="22"/>
      <c r="J30" s="64">
        <f>Rates!F61</f>
        <v>1.1000000000000001E-3</v>
      </c>
      <c r="K30" s="67">
        <f>F9</f>
        <v>150</v>
      </c>
      <c r="L30" s="63">
        <f t="shared" si="9"/>
        <v>0.16500000000000001</v>
      </c>
      <c r="M30" s="22"/>
      <c r="N30" s="25">
        <f t="shared" si="6"/>
        <v>0</v>
      </c>
      <c r="O30" s="65">
        <f t="shared" si="7"/>
        <v>0</v>
      </c>
    </row>
    <row r="31" spans="2:19" ht="15" thickBot="1" x14ac:dyDescent="0.35">
      <c r="B31" s="42" t="s">
        <v>70</v>
      </c>
      <c r="C31" s="16"/>
      <c r="D31" s="17" t="s">
        <v>62</v>
      </c>
      <c r="E31" s="18"/>
      <c r="F31" s="68">
        <f>Rates!D73</f>
        <v>0.113</v>
      </c>
      <c r="G31" s="69">
        <f>$F$9</f>
        <v>150</v>
      </c>
      <c r="H31" s="63">
        <f t="shared" si="8"/>
        <v>16.95</v>
      </c>
      <c r="I31" s="22"/>
      <c r="J31" s="62">
        <f>Rates!F73</f>
        <v>0.113</v>
      </c>
      <c r="K31" s="69">
        <f>F9</f>
        <v>150</v>
      </c>
      <c r="L31" s="63">
        <f t="shared" si="9"/>
        <v>16.95</v>
      </c>
      <c r="M31" s="22"/>
      <c r="N31" s="25">
        <f t="shared" si="6"/>
        <v>0</v>
      </c>
      <c r="O31" s="65">
        <f t="shared" si="7"/>
        <v>0</v>
      </c>
      <c r="S31" s="70"/>
    </row>
    <row r="32" spans="2:19" ht="15" thickBot="1" x14ac:dyDescent="0.35">
      <c r="B32" s="72"/>
      <c r="C32" s="73"/>
      <c r="D32" s="74"/>
      <c r="E32" s="73"/>
      <c r="F32" s="75"/>
      <c r="G32" s="76"/>
      <c r="H32" s="77"/>
      <c r="I32" s="78"/>
      <c r="J32" s="75"/>
      <c r="K32" s="79"/>
      <c r="L32" s="77"/>
      <c r="M32" s="78"/>
      <c r="N32" s="80"/>
      <c r="O32" s="81"/>
    </row>
    <row r="33" spans="1:19" x14ac:dyDescent="0.3">
      <c r="B33" s="82" t="s">
        <v>76</v>
      </c>
      <c r="C33" s="16"/>
      <c r="D33" s="16"/>
      <c r="E33" s="16"/>
      <c r="F33" s="83"/>
      <c r="G33" s="84"/>
      <c r="H33" s="85">
        <f>SUM(H27:H31,H26)</f>
        <v>56.868036210000014</v>
      </c>
      <c r="I33" s="86"/>
      <c r="J33" s="87"/>
      <c r="K33" s="87"/>
      <c r="L33" s="111">
        <f>SUM(L27:L31,L26)</f>
        <v>62.108909990000001</v>
      </c>
      <c r="M33" s="88"/>
      <c r="N33" s="89">
        <f t="shared" ref="N33" si="10">L33-H33</f>
        <v>5.2408737799999869</v>
      </c>
      <c r="O33" s="90">
        <f t="shared" ref="O33" si="11">IF((H33)=0,"",(N33/H33))</f>
        <v>9.2158515209610853E-2</v>
      </c>
      <c r="S33" s="70"/>
    </row>
    <row r="34" spans="1:19" x14ac:dyDescent="0.3">
      <c r="B34" s="91" t="s">
        <v>36</v>
      </c>
      <c r="C34" s="16"/>
      <c r="D34" s="16"/>
      <c r="E34" s="16"/>
      <c r="F34" s="92">
        <v>0.13</v>
      </c>
      <c r="G34" s="93"/>
      <c r="H34" s="94">
        <f>H33*F34</f>
        <v>7.3928447073000019</v>
      </c>
      <c r="I34" s="95"/>
      <c r="J34" s="96">
        <v>0.13</v>
      </c>
      <c r="K34" s="95"/>
      <c r="L34" s="97">
        <f>L33*J34</f>
        <v>8.0741582987000005</v>
      </c>
      <c r="M34" s="98"/>
      <c r="N34" s="99">
        <f t="shared" si="6"/>
        <v>0.68131359139999859</v>
      </c>
      <c r="O34" s="100">
        <f t="shared" si="7"/>
        <v>9.2158515209610894E-2</v>
      </c>
      <c r="S34" s="70"/>
    </row>
    <row r="35" spans="1:19" s="113" customFormat="1" ht="15" thickBot="1" x14ac:dyDescent="0.35">
      <c r="B35" s="101" t="s">
        <v>97</v>
      </c>
      <c r="C35" s="168"/>
      <c r="D35" s="168"/>
      <c r="E35" s="168"/>
      <c r="F35" s="169"/>
      <c r="G35" s="170"/>
      <c r="H35" s="85">
        <f>H33+H34</f>
        <v>64.260880917300014</v>
      </c>
      <c r="I35" s="86"/>
      <c r="J35" s="86"/>
      <c r="K35" s="86"/>
      <c r="L35" s="171">
        <f>L33+L34</f>
        <v>70.183068288699999</v>
      </c>
      <c r="M35" s="88"/>
      <c r="N35" s="89">
        <f t="shared" si="6"/>
        <v>5.9221873713999855</v>
      </c>
      <c r="O35" s="90">
        <f t="shared" si="7"/>
        <v>9.2158515209610853E-2</v>
      </c>
      <c r="S35" s="172"/>
    </row>
    <row r="36" spans="1:19" s="71" customFormat="1" ht="15" thickBot="1" x14ac:dyDescent="0.3">
      <c r="B36" s="102"/>
      <c r="C36" s="103"/>
      <c r="D36" s="104"/>
      <c r="E36" s="103"/>
      <c r="F36" s="75"/>
      <c r="G36" s="105"/>
      <c r="H36" s="77"/>
      <c r="I36" s="106"/>
      <c r="J36" s="75"/>
      <c r="K36" s="107"/>
      <c r="L36" s="77"/>
      <c r="M36" s="106"/>
      <c r="N36" s="108"/>
      <c r="O36" s="81"/>
    </row>
    <row r="37" spans="1:19" x14ac:dyDescent="0.3">
      <c r="L37" s="70"/>
    </row>
    <row r="38" spans="1:19" x14ac:dyDescent="0.3">
      <c r="B38" s="7" t="s">
        <v>37</v>
      </c>
      <c r="F38" s="109">
        <f>Rates!D66</f>
        <v>9.1700000000000004E-2</v>
      </c>
      <c r="J38" s="109">
        <f>Rates!F66</f>
        <v>9.1700000000000004E-2</v>
      </c>
    </row>
    <row r="40" spans="1:19" x14ac:dyDescent="0.3">
      <c r="A40" s="110"/>
      <c r="B40" s="1" t="s">
        <v>38</v>
      </c>
    </row>
  </sheetData>
  <mergeCells count="10">
    <mergeCell ref="D12:D13"/>
    <mergeCell ref="N12:N13"/>
    <mergeCell ref="O12:O13"/>
    <mergeCell ref="B2:O2"/>
    <mergeCell ref="B3:O3"/>
    <mergeCell ref="D6:O6"/>
    <mergeCell ref="I9:J9"/>
    <mergeCell ref="F11:H11"/>
    <mergeCell ref="J11:L11"/>
    <mergeCell ref="N11:O11"/>
  </mergeCells>
  <dataValidations count="2">
    <dataValidation type="list" allowBlank="1" showInputMessage="1" showErrorMessage="1" sqref="E24:E25 E36 E27:E32 E14:E16 E18:E22">
      <formula1>#REF!</formula1>
    </dataValidation>
    <dataValidation type="list" allowBlank="1" showInputMessage="1" showErrorMessage="1" prompt="Select Charge Unit - monthly, per kWh, per kW" sqref="D24:D25 D36 D27:D32 D14:D16 D18:D22">
      <formula1>"Monthly, per kWh, per kW"</formula1>
    </dataValidation>
  </dataValidations>
  <pageMargins left="0.7" right="0.7" top="0.75" bottom="0.75" header="0.3" footer="0.3"/>
  <pageSetup scale="60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28"/>
  <sheetViews>
    <sheetView showGridLines="0" zoomScaleNormal="100" workbookViewId="0">
      <selection activeCell="H21" sqref="H21"/>
    </sheetView>
  </sheetViews>
  <sheetFormatPr defaultRowHeight="14.4" x14ac:dyDescent="0.3"/>
  <cols>
    <col min="1" max="1" width="4.109375" customWidth="1"/>
    <col min="2" max="2" width="25.109375" customWidth="1"/>
    <col min="3" max="3" width="11.88671875" customWidth="1"/>
    <col min="4" max="4" width="11.109375" customWidth="1"/>
    <col min="5" max="5" width="2.109375" customWidth="1"/>
    <col min="6" max="6" width="13.6640625" bestFit="1" customWidth="1"/>
    <col min="7" max="7" width="15.109375" bestFit="1" customWidth="1"/>
    <col min="8" max="8" width="12.5546875" bestFit="1" customWidth="1"/>
    <col min="9" max="9" width="9.33203125" bestFit="1" customWidth="1"/>
  </cols>
  <sheetData>
    <row r="3" spans="2:9" x14ac:dyDescent="0.3">
      <c r="B3" s="208" t="s">
        <v>98</v>
      </c>
      <c r="C3" s="208"/>
      <c r="D3" s="208"/>
      <c r="E3" s="208"/>
      <c r="F3" s="208"/>
      <c r="G3" s="208"/>
      <c r="H3" s="208"/>
      <c r="I3" s="208"/>
    </row>
    <row r="4" spans="2:9" x14ac:dyDescent="0.3">
      <c r="B4" s="208"/>
      <c r="C4" s="208"/>
      <c r="D4" s="208"/>
      <c r="E4" s="208"/>
      <c r="F4" s="208"/>
      <c r="G4" s="208"/>
      <c r="H4" s="208"/>
      <c r="I4" s="208"/>
    </row>
    <row r="5" spans="2:9" ht="15" thickBot="1" x14ac:dyDescent="0.35">
      <c r="B5" s="209"/>
      <c r="C5" s="209"/>
      <c r="D5" s="209"/>
      <c r="E5" s="209"/>
      <c r="F5" s="209"/>
      <c r="G5" s="209"/>
      <c r="H5" s="209"/>
      <c r="I5" s="209"/>
    </row>
    <row r="6" spans="2:9" x14ac:dyDescent="0.3">
      <c r="B6" s="200" t="s">
        <v>82</v>
      </c>
      <c r="C6" s="138" t="s">
        <v>83</v>
      </c>
      <c r="D6" s="138" t="s">
        <v>84</v>
      </c>
      <c r="E6" s="139"/>
      <c r="F6" s="202" t="s">
        <v>85</v>
      </c>
      <c r="G6" s="202"/>
      <c r="H6" s="202"/>
      <c r="I6" s="203"/>
    </row>
    <row r="7" spans="2:9" x14ac:dyDescent="0.3">
      <c r="B7" s="201"/>
      <c r="C7" s="140" t="s">
        <v>86</v>
      </c>
      <c r="D7" s="140" t="s">
        <v>66</v>
      </c>
      <c r="E7" s="141"/>
      <c r="F7" s="204" t="s">
        <v>87</v>
      </c>
      <c r="G7" s="205" t="s">
        <v>88</v>
      </c>
      <c r="H7" s="206" t="s">
        <v>89</v>
      </c>
      <c r="I7" s="207"/>
    </row>
    <row r="8" spans="2:9" x14ac:dyDescent="0.3">
      <c r="B8" s="142"/>
      <c r="C8" s="143"/>
      <c r="D8" s="143"/>
      <c r="E8" s="144"/>
      <c r="F8" s="204"/>
      <c r="G8" s="205"/>
      <c r="H8" s="145" t="s">
        <v>43</v>
      </c>
      <c r="I8" s="146" t="s">
        <v>60</v>
      </c>
    </row>
    <row r="9" spans="2:9" ht="15" x14ac:dyDescent="0.25">
      <c r="B9" s="147" t="s">
        <v>42</v>
      </c>
      <c r="C9" s="148">
        <f>Residential_R1RPP_750!F10</f>
        <v>750</v>
      </c>
      <c r="D9" s="161"/>
      <c r="E9" s="141"/>
      <c r="F9" s="149">
        <f>Residential_R1RPP_750!H26</f>
        <v>66.323973499999994</v>
      </c>
      <c r="G9" s="149">
        <f>Residential_R1RPP_750!L26</f>
        <v>65.484585999999993</v>
      </c>
      <c r="H9" s="149">
        <f>G9-F9</f>
        <v>-0.83938750000000084</v>
      </c>
      <c r="I9" s="150">
        <f>IF(ISBLANK(F9),"",H9/F9)</f>
        <v>-1.2655868695804253E-2</v>
      </c>
    </row>
    <row r="10" spans="2:9" ht="15" x14ac:dyDescent="0.25">
      <c r="B10" s="147" t="s">
        <v>42</v>
      </c>
      <c r="C10" s="148">
        <f>Residential_R1RPP_10th_PCTL!F10</f>
        <v>294</v>
      </c>
      <c r="D10" s="161"/>
      <c r="E10" s="141"/>
      <c r="F10" s="149">
        <f>Residential_R1RPP_10th_PCTL!H26</f>
        <v>43.357397612000007</v>
      </c>
      <c r="G10" s="149">
        <f>Residential_R1RPP_10th_PCTL!L26</f>
        <v>45.958917711999995</v>
      </c>
      <c r="H10" s="149">
        <f>G10-F10</f>
        <v>2.6015200999999877</v>
      </c>
      <c r="I10" s="150">
        <f>IF(ISBLANK(F10),"",H10/F10)</f>
        <v>6.0001758483769471E-2</v>
      </c>
    </row>
    <row r="11" spans="2:9" ht="15" x14ac:dyDescent="0.25">
      <c r="B11" s="147" t="s">
        <v>93</v>
      </c>
      <c r="C11" s="148">
        <f>Residential_R1GSRPP_2000!F10</f>
        <v>2000</v>
      </c>
      <c r="D11" s="161"/>
      <c r="E11" s="141"/>
      <c r="F11" s="149">
        <f>Residential_R1GSRPP_2000!H26</f>
        <v>134.48059599999996</v>
      </c>
      <c r="G11" s="149">
        <f>Residential_R1GSRPP_2000!L26</f>
        <v>129.48889599999995</v>
      </c>
      <c r="H11" s="149">
        <f>G11-F11</f>
        <v>-4.9917000000000087</v>
      </c>
      <c r="I11" s="150">
        <f>IF(ISBLANK(F11),"",H11/F11)</f>
        <v>-3.7118366132166833E-2</v>
      </c>
    </row>
    <row r="12" spans="2:9" ht="15" x14ac:dyDescent="0.25">
      <c r="B12" s="147" t="s">
        <v>51</v>
      </c>
      <c r="C12" s="148">
        <f>'Residential - R2'!F9</f>
        <v>90000</v>
      </c>
      <c r="D12" s="161">
        <f>'Residential - R2'!K9</f>
        <v>225</v>
      </c>
      <c r="E12" s="141"/>
      <c r="F12" s="149">
        <f>'Residential - R2'!H27</f>
        <v>3197.5840259999986</v>
      </c>
      <c r="G12" s="149">
        <f>'Residential - R2'!L27</f>
        <v>4176.9752364999986</v>
      </c>
      <c r="H12" s="149">
        <f t="shared" ref="H12:H16" si="0">G12-F12</f>
        <v>979.39121049999994</v>
      </c>
      <c r="I12" s="150">
        <f t="shared" ref="I12:I16" si="1">IF(ISBLANK(F12),"",H12/F12)</f>
        <v>0.30629100049801172</v>
      </c>
    </row>
    <row r="13" spans="2:9" ht="15" x14ac:dyDescent="0.25">
      <c r="B13" s="147" t="s">
        <v>53</v>
      </c>
      <c r="C13" s="148">
        <f>Seasonal_RPP_750!F10</f>
        <v>750</v>
      </c>
      <c r="D13" s="162"/>
      <c r="E13" s="141"/>
      <c r="F13" s="149">
        <f>Seasonal_RPP_750!H30</f>
        <v>185.45397349999993</v>
      </c>
      <c r="G13" s="149">
        <f>Seasonal_RPP_750!L30</f>
        <v>184.28458599999996</v>
      </c>
      <c r="H13" s="149">
        <f t="shared" si="0"/>
        <v>-1.1693874999999707</v>
      </c>
      <c r="I13" s="150">
        <f t="shared" si="1"/>
        <v>-6.3055402800521344E-3</v>
      </c>
    </row>
    <row r="14" spans="2:9" ht="15" x14ac:dyDescent="0.25">
      <c r="B14" s="147" t="s">
        <v>53</v>
      </c>
      <c r="C14" s="148">
        <f>Seasonal_RPP_AVG!F10</f>
        <v>205</v>
      </c>
      <c r="D14" s="162"/>
      <c r="E14" s="141"/>
      <c r="F14" s="149">
        <f>Seasonal_RPP_AVG!H30</f>
        <v>78.76188608999999</v>
      </c>
      <c r="G14" s="149">
        <f>Seasonal_RPP_AVG!L30</f>
        <v>81.595986839999995</v>
      </c>
      <c r="H14" s="149">
        <f t="shared" ref="H14:H15" si="2">G14-F14</f>
        <v>2.8341007500000046</v>
      </c>
      <c r="I14" s="150">
        <f t="shared" ref="I14:I15" si="3">IF(ISBLANK(F14),"",H14/F14)</f>
        <v>3.5983149854506041E-2</v>
      </c>
    </row>
    <row r="15" spans="2:9" ht="15" x14ac:dyDescent="0.25">
      <c r="B15" s="147" t="s">
        <v>53</v>
      </c>
      <c r="C15" s="148">
        <f>Seasonal_RPP_10th_PCTL!F10</f>
        <v>50</v>
      </c>
      <c r="D15" s="162"/>
      <c r="E15" s="141"/>
      <c r="F15" s="149">
        <f>Seasonal_RPP_10th_PCTL!H30</f>
        <v>48.418264899999997</v>
      </c>
      <c r="G15" s="149">
        <f>Seasonal_RPP_10th_PCTL!L30</f>
        <v>52.390972399999995</v>
      </c>
      <c r="H15" s="149">
        <f t="shared" si="2"/>
        <v>3.9727074999999985</v>
      </c>
      <c r="I15" s="150">
        <f t="shared" si="3"/>
        <v>8.2049770023873758E-2</v>
      </c>
    </row>
    <row r="16" spans="2:9" ht="15" x14ac:dyDescent="0.25">
      <c r="B16" s="147" t="s">
        <v>54</v>
      </c>
      <c r="C16" s="148">
        <f>'Street Lighting Non-RPP'!F9</f>
        <v>19056</v>
      </c>
      <c r="D16" s="162">
        <f>'Street Lighting Non-RPP'!K9</f>
        <v>62</v>
      </c>
      <c r="E16" s="141"/>
      <c r="F16" s="149">
        <f>'Street Lighting Non-RPP'!H26</f>
        <v>5034.0541236200006</v>
      </c>
      <c r="G16" s="149">
        <f>'Street Lighting Non-RPP'!L26</f>
        <v>5746.50829798</v>
      </c>
      <c r="H16" s="149">
        <f t="shared" si="0"/>
        <v>712.45417435999934</v>
      </c>
      <c r="I16" s="150">
        <f t="shared" si="1"/>
        <v>0.14152691982732832</v>
      </c>
    </row>
    <row r="17" spans="2:9" ht="15.75" thickBot="1" x14ac:dyDescent="0.3">
      <c r="B17" s="151"/>
      <c r="C17" s="152"/>
      <c r="D17" s="152"/>
      <c r="E17" s="141"/>
      <c r="F17" s="153"/>
      <c r="G17" s="153"/>
      <c r="H17" s="153"/>
      <c r="I17" s="154"/>
    </row>
    <row r="18" spans="2:9" x14ac:dyDescent="0.3">
      <c r="B18" s="200" t="s">
        <v>82</v>
      </c>
      <c r="C18" s="138" t="s">
        <v>83</v>
      </c>
      <c r="D18" s="138" t="s">
        <v>84</v>
      </c>
      <c r="E18" s="139"/>
      <c r="F18" s="202" t="s">
        <v>90</v>
      </c>
      <c r="G18" s="202"/>
      <c r="H18" s="202"/>
      <c r="I18" s="203"/>
    </row>
    <row r="19" spans="2:9" x14ac:dyDescent="0.3">
      <c r="B19" s="201"/>
      <c r="C19" s="140" t="s">
        <v>86</v>
      </c>
      <c r="D19" s="140" t="s">
        <v>66</v>
      </c>
      <c r="E19" s="141"/>
      <c r="F19" s="204" t="s">
        <v>87</v>
      </c>
      <c r="G19" s="205" t="s">
        <v>88</v>
      </c>
      <c r="H19" s="206" t="s">
        <v>89</v>
      </c>
      <c r="I19" s="207"/>
    </row>
    <row r="20" spans="2:9" x14ac:dyDescent="0.3">
      <c r="B20" s="142"/>
      <c r="C20" s="143"/>
      <c r="D20" s="143"/>
      <c r="E20" s="144"/>
      <c r="F20" s="204"/>
      <c r="G20" s="205"/>
      <c r="H20" s="145" t="s">
        <v>43</v>
      </c>
      <c r="I20" s="146" t="s">
        <v>60</v>
      </c>
    </row>
    <row r="21" spans="2:9" ht="15" x14ac:dyDescent="0.25">
      <c r="B21" s="147" t="s">
        <v>42</v>
      </c>
      <c r="C21" s="148">
        <f>Residential_R1RPP_750!F10</f>
        <v>750</v>
      </c>
      <c r="D21" s="161"/>
      <c r="E21" s="141"/>
      <c r="F21" s="149">
        <f>Residential_R1RPP_750!H37</f>
        <v>175.47879723000003</v>
      </c>
      <c r="G21" s="149">
        <f>Residential_R1RPP_750!L37</f>
        <v>174.53028935500001</v>
      </c>
      <c r="H21" s="149">
        <f>G21-F21</f>
        <v>-0.94850787500001843</v>
      </c>
      <c r="I21" s="150">
        <f>IF(ISBLANK(F21),"",H21/F21)</f>
        <v>-5.4052563043090005E-3</v>
      </c>
    </row>
    <row r="22" spans="2:9" ht="15" x14ac:dyDescent="0.25">
      <c r="B22" s="147" t="s">
        <v>42</v>
      </c>
      <c r="C22" s="148">
        <f>Residential_R1RPP_10th_PCTL!F10</f>
        <v>294</v>
      </c>
      <c r="D22" s="161"/>
      <c r="E22" s="141"/>
      <c r="F22" s="149">
        <f>Residential_R1RPP_10th_PCTL!H37</f>
        <v>88.574440514160017</v>
      </c>
      <c r="G22" s="149">
        <f>Residential_R1RPP_10th_PCTL!L37</f>
        <v>91.51415822716001</v>
      </c>
      <c r="H22" s="149">
        <f>G22-F22</f>
        <v>2.9397177129999932</v>
      </c>
      <c r="I22" s="150">
        <f>IF(ISBLANK(F22),"",H22/F22)</f>
        <v>3.318923264923173E-2</v>
      </c>
    </row>
    <row r="23" spans="2:9" ht="15" x14ac:dyDescent="0.25">
      <c r="B23" s="147" t="s">
        <v>93</v>
      </c>
      <c r="C23" s="148">
        <f>Residential_R1GSRPP_2000!F10</f>
        <v>2000</v>
      </c>
      <c r="D23" s="161"/>
      <c r="E23" s="141"/>
      <c r="F23" s="149">
        <f>Residential_R1GSRPP_2000!H37</f>
        <v>419.57945927999987</v>
      </c>
      <c r="G23" s="149">
        <f>Residential_R1GSRPP_2000!L37</f>
        <v>413.93883827999991</v>
      </c>
      <c r="H23" s="149">
        <f>G23-F23</f>
        <v>-5.6406209999999533</v>
      </c>
      <c r="I23" s="150">
        <f>IF(ISBLANK(F23),"",H23/F23)</f>
        <v>-1.3443510818378199E-2</v>
      </c>
    </row>
    <row r="24" spans="2:9" ht="15" x14ac:dyDescent="0.25">
      <c r="B24" s="147" t="s">
        <v>51</v>
      </c>
      <c r="C24" s="148">
        <f>'Residential - R2'!F9</f>
        <v>90000</v>
      </c>
      <c r="D24" s="161">
        <f>'Residential - R2'!K9</f>
        <v>225</v>
      </c>
      <c r="E24" s="141"/>
      <c r="F24" s="149">
        <f>'Residential - R2'!H36</f>
        <v>15761.549310379998</v>
      </c>
      <c r="G24" s="149">
        <f>'Residential - R2'!L36</f>
        <v>16868.261378244999</v>
      </c>
      <c r="H24" s="149">
        <f t="shared" ref="H24:H28" si="4">G24-F24</f>
        <v>1106.7120678650008</v>
      </c>
      <c r="I24" s="150">
        <f t="shared" ref="I24:I28" si="5">IF(ISBLANK(F24),"",H24/F24)</f>
        <v>7.0215944262291483E-2</v>
      </c>
    </row>
    <row r="25" spans="2:9" ht="15" x14ac:dyDescent="0.25">
      <c r="B25" s="147" t="s">
        <v>53</v>
      </c>
      <c r="C25" s="148">
        <f>Seasonal_RPP_750!F10</f>
        <v>750</v>
      </c>
      <c r="D25" s="162"/>
      <c r="E25" s="141"/>
      <c r="F25" s="149">
        <f>Seasonal_RPP_750!H41</f>
        <v>310.09569722999993</v>
      </c>
      <c r="G25" s="149">
        <f>Seasonal_RPP_750!L41</f>
        <v>308.77428935499995</v>
      </c>
      <c r="H25" s="149">
        <f t="shared" si="4"/>
        <v>-1.3214078749999771</v>
      </c>
      <c r="I25" s="150">
        <f t="shared" si="5"/>
        <v>-4.2612905848218871E-3</v>
      </c>
    </row>
    <row r="26" spans="2:9" ht="15" x14ac:dyDescent="0.25">
      <c r="B26" s="147" t="s">
        <v>53</v>
      </c>
      <c r="C26" s="164">
        <f>Seasonal_RPP_AVG!F10</f>
        <v>205</v>
      </c>
      <c r="D26" s="165"/>
      <c r="E26" s="141"/>
      <c r="F26" s="166">
        <f>Seasonal_RPP_AVG!H41</f>
        <v>116.68515457619998</v>
      </c>
      <c r="G26" s="166">
        <f>Seasonal_RPP_AVG!L41</f>
        <v>119.88768842369998</v>
      </c>
      <c r="H26" s="149">
        <f t="shared" ref="H26:H27" si="6">G26-F26</f>
        <v>3.2025338475000069</v>
      </c>
      <c r="I26" s="150">
        <f t="shared" ref="I26:I27" si="7">IF(ISBLANK(F26),"",H26/F26)</f>
        <v>2.7445940823677163E-2</v>
      </c>
    </row>
    <row r="27" spans="2:9" ht="15" x14ac:dyDescent="0.25">
      <c r="B27" s="147" t="s">
        <v>53</v>
      </c>
      <c r="C27" s="164">
        <f>Seasonal_RPP_10th_PCTL!F10</f>
        <v>50</v>
      </c>
      <c r="D27" s="165"/>
      <c r="E27" s="141"/>
      <c r="F27" s="166">
        <f>Seasonal_RPP_10th_PCTL!H41</f>
        <v>61.678486481999997</v>
      </c>
      <c r="G27" s="166">
        <f>Seasonal_RPP_10th_PCTL!L41</f>
        <v>66.167645957000005</v>
      </c>
      <c r="H27" s="149">
        <f t="shared" si="6"/>
        <v>4.4891594750000081</v>
      </c>
      <c r="I27" s="150">
        <f t="shared" si="7"/>
        <v>7.2783230118821193E-2</v>
      </c>
    </row>
    <row r="28" spans="2:9" ht="15.75" thickBot="1" x14ac:dyDescent="0.3">
      <c r="B28" s="155" t="s">
        <v>54</v>
      </c>
      <c r="C28" s="156">
        <f>'Street Lighting Non-RPP'!F9</f>
        <v>19056</v>
      </c>
      <c r="D28" s="163">
        <f>'Street Lighting Non-RPP'!K9</f>
        <v>62</v>
      </c>
      <c r="E28" s="157"/>
      <c r="F28" s="158">
        <f>'Street Lighting Non-RPP'!H35</f>
        <v>8260.8995283929999</v>
      </c>
      <c r="G28" s="158">
        <f>'Street Lighting Non-RPP'!L35</f>
        <v>9065.9727454198</v>
      </c>
      <c r="H28" s="158">
        <f t="shared" si="4"/>
        <v>805.07321702680019</v>
      </c>
      <c r="I28" s="159">
        <f t="shared" si="5"/>
        <v>9.7455878050536196E-2</v>
      </c>
    </row>
  </sheetData>
  <mergeCells count="11">
    <mergeCell ref="B3:I5"/>
    <mergeCell ref="B6:B7"/>
    <mergeCell ref="F6:I6"/>
    <mergeCell ref="F7:F8"/>
    <mergeCell ref="G7:G8"/>
    <mergeCell ref="H7:I7"/>
    <mergeCell ref="B18:B19"/>
    <mergeCell ref="F18:I18"/>
    <mergeCell ref="F19:F20"/>
    <mergeCell ref="G19:G20"/>
    <mergeCell ref="H19:I19"/>
  </mergeCells>
  <pageMargins left="0.7" right="0.7" top="0.75" bottom="0.75" header="0.3" footer="0.3"/>
  <pageSetup scale="86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8"/>
  <sheetViews>
    <sheetView zoomScaleNormal="100" workbookViewId="0">
      <selection activeCell="A25" sqref="A25"/>
    </sheetView>
  </sheetViews>
  <sheetFormatPr defaultColWidth="9.109375" defaultRowHeight="14.4" x14ac:dyDescent="0.3"/>
  <cols>
    <col min="1" max="1" width="91.88671875" style="123" bestFit="1" customWidth="1"/>
    <col min="2" max="2" width="6.6640625" style="122" customWidth="1"/>
    <col min="3" max="3" width="2.5546875" style="122" customWidth="1"/>
    <col min="4" max="4" width="11.33203125" style="123" bestFit="1" customWidth="1"/>
    <col min="5" max="5" width="2.5546875" style="123" customWidth="1"/>
    <col min="6" max="6" width="10.88671875" style="123" customWidth="1"/>
    <col min="7" max="7" width="6" style="122" customWidth="1"/>
    <col min="8" max="16384" width="9.109375" style="123"/>
  </cols>
  <sheetData>
    <row r="1" spans="1:6" ht="38.25" x14ac:dyDescent="0.25">
      <c r="A1" s="119" t="s">
        <v>39</v>
      </c>
      <c r="B1" s="120" t="s">
        <v>64</v>
      </c>
      <c r="C1" s="120"/>
      <c r="D1" s="121" t="s">
        <v>40</v>
      </c>
      <c r="E1" s="120"/>
      <c r="F1" s="121" t="s">
        <v>41</v>
      </c>
    </row>
    <row r="2" spans="1:6" ht="15" x14ac:dyDescent="0.25">
      <c r="A2" s="119" t="s">
        <v>42</v>
      </c>
      <c r="C2" s="124"/>
      <c r="D2" s="122"/>
      <c r="E2" s="124"/>
      <c r="F2" s="122"/>
    </row>
    <row r="3" spans="1:6" ht="15" x14ac:dyDescent="0.25">
      <c r="A3" s="128" t="s">
        <v>17</v>
      </c>
      <c r="B3" s="129" t="s">
        <v>43</v>
      </c>
      <c r="C3" s="129"/>
      <c r="D3" s="130">
        <v>27.76</v>
      </c>
      <c r="E3" s="131"/>
      <c r="F3" s="130">
        <v>32.58</v>
      </c>
    </row>
    <row r="4" spans="1:6" ht="15" x14ac:dyDescent="0.25">
      <c r="A4" s="128" t="s">
        <v>92</v>
      </c>
      <c r="B4" s="129" t="s">
        <v>43</v>
      </c>
      <c r="C4" s="129"/>
      <c r="D4" s="130">
        <v>23.76</v>
      </c>
      <c r="E4" s="131"/>
      <c r="F4" s="130">
        <v>24.46</v>
      </c>
    </row>
    <row r="5" spans="1:6" ht="15" x14ac:dyDescent="0.25">
      <c r="A5" s="128" t="s">
        <v>18</v>
      </c>
      <c r="B5" s="129" t="s">
        <v>44</v>
      </c>
      <c r="C5" s="129"/>
      <c r="D5" s="132">
        <v>2.8799999999999999E-2</v>
      </c>
      <c r="E5" s="131"/>
      <c r="F5" s="132">
        <v>2.5100000000000001E-2</v>
      </c>
    </row>
    <row r="6" spans="1:6" ht="15" x14ac:dyDescent="0.25">
      <c r="A6" s="128" t="s">
        <v>91</v>
      </c>
      <c r="B6" s="129" t="s">
        <v>44</v>
      </c>
      <c r="C6" s="129"/>
      <c r="D6" s="132">
        <v>3.3399999999999999E-2</v>
      </c>
      <c r="E6" s="131"/>
      <c r="F6" s="132">
        <v>3.44E-2</v>
      </c>
    </row>
    <row r="7" spans="1:6" ht="15" x14ac:dyDescent="0.25">
      <c r="A7" s="125" t="s">
        <v>99</v>
      </c>
      <c r="B7" s="129" t="s">
        <v>44</v>
      </c>
      <c r="C7" s="129"/>
      <c r="D7" s="132">
        <v>0</v>
      </c>
      <c r="E7" s="131"/>
      <c r="F7" s="132">
        <v>-3.5000000000000001E-3</v>
      </c>
    </row>
    <row r="8" spans="1:6" x14ac:dyDescent="0.3">
      <c r="A8" s="125" t="s">
        <v>100</v>
      </c>
      <c r="B8" s="129" t="s">
        <v>44</v>
      </c>
      <c r="C8" s="129"/>
      <c r="D8" s="132">
        <v>0</v>
      </c>
      <c r="E8" s="131"/>
      <c r="F8" s="132">
        <v>6.7999999999999996E-3</v>
      </c>
    </row>
    <row r="9" spans="1:6" ht="31.2" customHeight="1" x14ac:dyDescent="0.3">
      <c r="A9" s="181" t="s">
        <v>106</v>
      </c>
      <c r="B9" s="129" t="s">
        <v>44</v>
      </c>
      <c r="C9" s="129"/>
      <c r="D9" s="132">
        <v>0</v>
      </c>
      <c r="E9" s="131"/>
      <c r="F9" s="132">
        <v>2.0000000000000001E-4</v>
      </c>
    </row>
    <row r="10" spans="1:6" x14ac:dyDescent="0.3">
      <c r="A10" s="125" t="s">
        <v>75</v>
      </c>
      <c r="B10" s="129" t="s">
        <v>44</v>
      </c>
      <c r="C10" s="129"/>
      <c r="D10" s="132">
        <v>-1.9E-3</v>
      </c>
      <c r="E10" s="130"/>
      <c r="F10" s="132">
        <v>-1.9E-3</v>
      </c>
    </row>
    <row r="11" spans="1:6" ht="15" x14ac:dyDescent="0.25">
      <c r="A11" s="128" t="s">
        <v>45</v>
      </c>
      <c r="B11" s="129" t="s">
        <v>44</v>
      </c>
      <c r="C11" s="129"/>
      <c r="D11" s="133">
        <v>7.0000000000000001E-3</v>
      </c>
      <c r="E11" s="134"/>
      <c r="F11" s="133">
        <v>6.6E-3</v>
      </c>
    </row>
    <row r="12" spans="1:6" ht="15" x14ac:dyDescent="0.25">
      <c r="A12" s="128" t="s">
        <v>46</v>
      </c>
      <c r="B12" s="129" t="s">
        <v>44</v>
      </c>
      <c r="C12" s="129"/>
      <c r="D12" s="133">
        <v>5.1000000000000004E-3</v>
      </c>
      <c r="E12" s="135"/>
      <c r="F12" s="133">
        <v>5.0000000000000001E-3</v>
      </c>
    </row>
    <row r="13" spans="1:6" ht="15" x14ac:dyDescent="0.25">
      <c r="A13" s="128" t="s">
        <v>47</v>
      </c>
      <c r="B13" s="129" t="s">
        <v>44</v>
      </c>
      <c r="C13" s="129"/>
      <c r="D13" s="132">
        <v>3.5999999999999999E-3</v>
      </c>
      <c r="E13" s="130"/>
      <c r="F13" s="132">
        <v>3.5999999999999999E-3</v>
      </c>
    </row>
    <row r="14" spans="1:6" ht="15" x14ac:dyDescent="0.25">
      <c r="A14" s="128" t="s">
        <v>48</v>
      </c>
      <c r="B14" s="129" t="s">
        <v>44</v>
      </c>
      <c r="C14" s="129"/>
      <c r="D14" s="132">
        <v>1.2999999999999999E-3</v>
      </c>
      <c r="E14" s="132"/>
      <c r="F14" s="132">
        <v>1.2999999999999999E-3</v>
      </c>
    </row>
    <row r="15" spans="1:6" ht="15" x14ac:dyDescent="0.25">
      <c r="A15" s="128" t="s">
        <v>49</v>
      </c>
      <c r="B15" s="129" t="s">
        <v>43</v>
      </c>
      <c r="C15" s="129"/>
      <c r="D15" s="130">
        <v>0.79</v>
      </c>
      <c r="E15" s="132"/>
      <c r="F15" s="130">
        <v>0.79</v>
      </c>
    </row>
    <row r="16" spans="1:6" ht="15" x14ac:dyDescent="0.25">
      <c r="A16" s="125" t="s">
        <v>50</v>
      </c>
      <c r="B16" s="129" t="s">
        <v>43</v>
      </c>
      <c r="C16" s="129"/>
      <c r="D16" s="130">
        <v>0.25</v>
      </c>
      <c r="E16" s="130"/>
      <c r="F16" s="130">
        <v>0.25</v>
      </c>
    </row>
    <row r="17" spans="1:6" ht="15" x14ac:dyDescent="0.25">
      <c r="B17" s="129"/>
      <c r="C17" s="129"/>
      <c r="D17" s="128"/>
      <c r="E17" s="128"/>
      <c r="F17" s="128"/>
    </row>
    <row r="18" spans="1:6" ht="15" x14ac:dyDescent="0.25">
      <c r="A18" s="119" t="s">
        <v>51</v>
      </c>
      <c r="B18" s="129"/>
      <c r="C18" s="129"/>
      <c r="D18" s="128"/>
      <c r="E18" s="128"/>
      <c r="F18" s="128"/>
    </row>
    <row r="19" spans="1:6" ht="15" x14ac:dyDescent="0.25">
      <c r="A19" s="128" t="s">
        <v>17</v>
      </c>
      <c r="B19" s="129" t="s">
        <v>43</v>
      </c>
      <c r="C19" s="129"/>
      <c r="D19" s="130">
        <v>611.64</v>
      </c>
      <c r="E19" s="131"/>
      <c r="F19" s="130">
        <v>629.74</v>
      </c>
    </row>
    <row r="20" spans="1:6" ht="15" x14ac:dyDescent="0.25">
      <c r="A20" s="128" t="s">
        <v>18</v>
      </c>
      <c r="B20" s="129" t="s">
        <v>52</v>
      </c>
      <c r="C20" s="129"/>
      <c r="D20" s="132">
        <v>3.1690999999999998</v>
      </c>
      <c r="E20" s="131"/>
      <c r="F20" s="132">
        <v>3.2629000000000001</v>
      </c>
    </row>
    <row r="21" spans="1:6" x14ac:dyDescent="0.3">
      <c r="A21" s="125" t="s">
        <v>99</v>
      </c>
      <c r="B21" s="129" t="s">
        <v>52</v>
      </c>
      <c r="C21" s="129"/>
      <c r="D21" s="132">
        <v>0</v>
      </c>
      <c r="E21" s="131"/>
      <c r="F21" s="132">
        <v>1.5845</v>
      </c>
    </row>
    <row r="22" spans="1:6" x14ac:dyDescent="0.3">
      <c r="A22" s="125" t="s">
        <v>100</v>
      </c>
      <c r="B22" s="123"/>
      <c r="C22" s="129"/>
      <c r="D22" s="132">
        <v>0</v>
      </c>
      <c r="E22" s="131"/>
      <c r="F22" s="132">
        <v>6.7999999999999996E-3</v>
      </c>
    </row>
    <row r="23" spans="1:6" ht="31.2" customHeight="1" x14ac:dyDescent="0.3">
      <c r="A23" s="181" t="s">
        <v>106</v>
      </c>
      <c r="B23" s="129" t="s">
        <v>44</v>
      </c>
      <c r="C23" s="129"/>
      <c r="D23" s="132">
        <v>0</v>
      </c>
      <c r="E23" s="131"/>
      <c r="F23" s="132">
        <v>2.0000000000000001E-4</v>
      </c>
    </row>
    <row r="24" spans="1:6" x14ac:dyDescent="0.3">
      <c r="A24" s="125" t="s">
        <v>75</v>
      </c>
      <c r="B24" s="129" t="s">
        <v>52</v>
      </c>
      <c r="C24" s="129"/>
      <c r="D24" s="132">
        <v>-0.80100000000000005</v>
      </c>
      <c r="E24" s="130"/>
      <c r="F24" s="132">
        <v>-0.80100000000000005</v>
      </c>
    </row>
    <row r="25" spans="1:6" ht="15" x14ac:dyDescent="0.25">
      <c r="A25" s="128" t="s">
        <v>45</v>
      </c>
      <c r="B25" s="129" t="s">
        <v>52</v>
      </c>
      <c r="C25" s="129"/>
      <c r="D25" s="133">
        <v>2.6924000000000001</v>
      </c>
      <c r="E25" s="134"/>
      <c r="F25" s="133">
        <v>2.5251000000000001</v>
      </c>
    </row>
    <row r="26" spans="1:6" ht="15" x14ac:dyDescent="0.25">
      <c r="A26" s="128" t="s">
        <v>46</v>
      </c>
      <c r="B26" s="129" t="s">
        <v>52</v>
      </c>
      <c r="C26" s="129"/>
      <c r="D26" s="133">
        <v>1.9084000000000001</v>
      </c>
      <c r="E26" s="135"/>
      <c r="F26" s="133">
        <v>1.8871</v>
      </c>
    </row>
    <row r="27" spans="1:6" ht="15" x14ac:dyDescent="0.25">
      <c r="A27" s="128" t="s">
        <v>47</v>
      </c>
      <c r="B27" s="129" t="s">
        <v>44</v>
      </c>
      <c r="C27" s="129"/>
      <c r="D27" s="132">
        <v>3.5999999999999999E-3</v>
      </c>
      <c r="E27" s="130"/>
      <c r="F27" s="132">
        <v>3.5999999999999999E-3</v>
      </c>
    </row>
    <row r="28" spans="1:6" ht="15" x14ac:dyDescent="0.25">
      <c r="A28" s="128" t="s">
        <v>48</v>
      </c>
      <c r="B28" s="129" t="s">
        <v>44</v>
      </c>
      <c r="C28" s="129"/>
      <c r="D28" s="132">
        <v>1.2999999999999999E-3</v>
      </c>
      <c r="E28" s="132"/>
      <c r="F28" s="132">
        <v>1.2999999999999999E-3</v>
      </c>
    </row>
    <row r="29" spans="1:6" ht="15" x14ac:dyDescent="0.25">
      <c r="A29" s="125" t="s">
        <v>50</v>
      </c>
      <c r="B29" s="129" t="s">
        <v>43</v>
      </c>
      <c r="C29" s="129"/>
      <c r="D29" s="130">
        <v>0.25</v>
      </c>
      <c r="E29" s="130"/>
      <c r="F29" s="130">
        <v>0.25</v>
      </c>
    </row>
    <row r="30" spans="1:6" x14ac:dyDescent="0.3">
      <c r="B30" s="129"/>
      <c r="C30" s="129"/>
      <c r="D30" s="128"/>
      <c r="E30" s="128"/>
      <c r="F30" s="128"/>
    </row>
    <row r="31" spans="1:6" x14ac:dyDescent="0.3">
      <c r="A31" s="119" t="s">
        <v>53</v>
      </c>
      <c r="B31" s="129"/>
      <c r="C31" s="129"/>
      <c r="D31" s="128"/>
      <c r="E31" s="128"/>
      <c r="F31" s="128"/>
    </row>
    <row r="32" spans="1:6" x14ac:dyDescent="0.3">
      <c r="A32" s="128" t="s">
        <v>17</v>
      </c>
      <c r="B32" s="129" t="s">
        <v>43</v>
      </c>
      <c r="C32" s="129"/>
      <c r="D32" s="130">
        <v>34.270000000000003</v>
      </c>
      <c r="E32" s="131"/>
      <c r="F32" s="130">
        <v>42.18</v>
      </c>
    </row>
    <row r="33" spans="1:15" x14ac:dyDescent="0.3">
      <c r="A33" s="128" t="s">
        <v>18</v>
      </c>
      <c r="B33" s="129" t="s">
        <v>44</v>
      </c>
      <c r="C33" s="129"/>
      <c r="D33" s="132">
        <v>0.14349999999999999</v>
      </c>
      <c r="E33" s="131"/>
      <c r="F33" s="132">
        <v>0.14019999999999999</v>
      </c>
    </row>
    <row r="34" spans="1:15" x14ac:dyDescent="0.3">
      <c r="A34" s="125" t="s">
        <v>99</v>
      </c>
      <c r="B34" s="129" t="s">
        <v>44</v>
      </c>
      <c r="C34" s="129"/>
      <c r="D34" s="132">
        <v>0</v>
      </c>
      <c r="E34" s="131"/>
      <c r="F34" s="132">
        <v>-3.7000000000000002E-3</v>
      </c>
    </row>
    <row r="35" spans="1:15" x14ac:dyDescent="0.3">
      <c r="A35" s="125" t="s">
        <v>100</v>
      </c>
      <c r="B35" s="129" t="s">
        <v>44</v>
      </c>
      <c r="C35" s="129"/>
      <c r="D35" s="132">
        <v>0</v>
      </c>
      <c r="E35" s="131"/>
      <c r="F35" s="132">
        <v>6.7999999999999996E-3</v>
      </c>
    </row>
    <row r="36" spans="1:15" x14ac:dyDescent="0.3">
      <c r="A36" s="125" t="s">
        <v>74</v>
      </c>
      <c r="B36" s="129" t="s">
        <v>44</v>
      </c>
      <c r="C36" s="129"/>
      <c r="D36" s="133">
        <v>3.0700000000000002E-2</v>
      </c>
      <c r="E36" s="128"/>
      <c r="F36" s="133">
        <v>3.0700000000000002E-2</v>
      </c>
    </row>
    <row r="37" spans="1:15" ht="31.2" customHeight="1" x14ac:dyDescent="0.3">
      <c r="A37" s="181" t="s">
        <v>106</v>
      </c>
      <c r="B37" s="129" t="s">
        <v>44</v>
      </c>
      <c r="C37" s="129"/>
      <c r="D37" s="132">
        <v>0</v>
      </c>
      <c r="E37" s="131"/>
      <c r="F37" s="132">
        <v>2.0000000000000001E-4</v>
      </c>
    </row>
    <row r="38" spans="1:15" x14ac:dyDescent="0.3">
      <c r="A38" s="125" t="s">
        <v>63</v>
      </c>
      <c r="B38" s="129" t="s">
        <v>43</v>
      </c>
      <c r="C38" s="129"/>
      <c r="D38" s="130">
        <v>3.57</v>
      </c>
      <c r="E38" s="128"/>
      <c r="F38" s="130">
        <v>0</v>
      </c>
    </row>
    <row r="39" spans="1:15" x14ac:dyDescent="0.3">
      <c r="A39" s="125" t="s">
        <v>75</v>
      </c>
      <c r="B39" s="129" t="s">
        <v>44</v>
      </c>
      <c r="C39" s="129"/>
      <c r="D39" s="132">
        <v>-1.9E-3</v>
      </c>
      <c r="E39" s="130"/>
      <c r="F39" s="132">
        <v>-1.9E-3</v>
      </c>
    </row>
    <row r="40" spans="1:15" x14ac:dyDescent="0.3">
      <c r="A40" s="128" t="s">
        <v>45</v>
      </c>
      <c r="B40" s="129" t="s">
        <v>44</v>
      </c>
      <c r="C40" s="129"/>
      <c r="D40" s="133">
        <v>7.0000000000000001E-3</v>
      </c>
      <c r="E40" s="134"/>
      <c r="F40" s="133">
        <v>6.6E-3</v>
      </c>
    </row>
    <row r="41" spans="1:15" x14ac:dyDescent="0.3">
      <c r="A41" s="128" t="s">
        <v>46</v>
      </c>
      <c r="B41" s="129" t="s">
        <v>44</v>
      </c>
      <c r="C41" s="129"/>
      <c r="D41" s="133">
        <v>5.1000000000000004E-3</v>
      </c>
      <c r="E41" s="135"/>
      <c r="F41" s="133">
        <v>5.0000000000000001E-3</v>
      </c>
    </row>
    <row r="42" spans="1:15" x14ac:dyDescent="0.3">
      <c r="A42" s="128" t="s">
        <v>47</v>
      </c>
      <c r="B42" s="129" t="s">
        <v>44</v>
      </c>
      <c r="C42" s="129"/>
      <c r="D42" s="132">
        <v>3.5999999999999999E-3</v>
      </c>
      <c r="E42" s="130"/>
      <c r="F42" s="132">
        <v>3.5999999999999999E-3</v>
      </c>
    </row>
    <row r="43" spans="1:15" x14ac:dyDescent="0.3">
      <c r="A43" s="128" t="s">
        <v>48</v>
      </c>
      <c r="B43" s="129" t="s">
        <v>44</v>
      </c>
      <c r="C43" s="129"/>
      <c r="D43" s="132">
        <v>1.2999999999999999E-3</v>
      </c>
      <c r="E43" s="132"/>
      <c r="F43" s="132">
        <v>1.2999999999999999E-3</v>
      </c>
    </row>
    <row r="44" spans="1:15" x14ac:dyDescent="0.3">
      <c r="A44" s="128" t="s">
        <v>49</v>
      </c>
      <c r="B44" s="129" t="s">
        <v>43</v>
      </c>
      <c r="C44" s="129"/>
      <c r="D44" s="130">
        <v>0.79</v>
      </c>
      <c r="E44" s="132"/>
      <c r="F44" s="130">
        <v>0.79</v>
      </c>
    </row>
    <row r="45" spans="1:15" x14ac:dyDescent="0.3">
      <c r="A45" s="125" t="s">
        <v>50</v>
      </c>
      <c r="B45" s="129" t="s">
        <v>43</v>
      </c>
      <c r="C45" s="129"/>
      <c r="D45" s="130">
        <v>0.25</v>
      </c>
      <c r="E45" s="130"/>
      <c r="F45" s="130">
        <v>0.25</v>
      </c>
    </row>
    <row r="46" spans="1:15" x14ac:dyDescent="0.3">
      <c r="B46" s="129"/>
      <c r="C46" s="129"/>
      <c r="D46" s="128"/>
      <c r="E46" s="128"/>
      <c r="F46" s="128"/>
    </row>
    <row r="47" spans="1:15" x14ac:dyDescent="0.3">
      <c r="A47" s="119" t="s">
        <v>54</v>
      </c>
      <c r="B47" s="129"/>
      <c r="C47" s="129"/>
      <c r="D47" s="129"/>
      <c r="E47" s="128"/>
      <c r="F47" s="129"/>
    </row>
    <row r="48" spans="1:15" x14ac:dyDescent="0.3">
      <c r="A48" s="128" t="s">
        <v>17</v>
      </c>
      <c r="B48" s="129" t="s">
        <v>43</v>
      </c>
      <c r="C48" s="129"/>
      <c r="D48" s="130">
        <v>1.34</v>
      </c>
      <c r="E48" s="131"/>
      <c r="F48" s="130">
        <v>1.48</v>
      </c>
      <c r="O48" s="167"/>
    </row>
    <row r="49" spans="1:6" x14ac:dyDescent="0.3">
      <c r="A49" s="128" t="s">
        <v>18</v>
      </c>
      <c r="B49" s="129" t="s">
        <v>44</v>
      </c>
      <c r="C49" s="129"/>
      <c r="D49" s="132">
        <v>0.21640000000000001</v>
      </c>
      <c r="E49" s="131"/>
      <c r="F49" s="132">
        <v>0.23899999999999999</v>
      </c>
    </row>
    <row r="50" spans="1:6" x14ac:dyDescent="0.3">
      <c r="A50" s="125" t="s">
        <v>99</v>
      </c>
      <c r="B50" s="129" t="s">
        <v>44</v>
      </c>
      <c r="C50" s="129"/>
      <c r="D50" s="132">
        <v>0</v>
      </c>
      <c r="E50" s="131"/>
      <c r="F50" s="132">
        <v>5.4000000000000003E-3</v>
      </c>
    </row>
    <row r="51" spans="1:6" x14ac:dyDescent="0.3">
      <c r="A51" s="125" t="s">
        <v>100</v>
      </c>
      <c r="B51" s="129" t="s">
        <v>44</v>
      </c>
      <c r="C51" s="129"/>
      <c r="D51" s="132">
        <v>0</v>
      </c>
      <c r="E51" s="131"/>
      <c r="F51" s="132">
        <v>6.7999999999999996E-3</v>
      </c>
    </row>
    <row r="52" spans="1:6" ht="31.2" customHeight="1" x14ac:dyDescent="0.3">
      <c r="A52" s="181" t="s">
        <v>106</v>
      </c>
      <c r="B52" s="129" t="s">
        <v>44</v>
      </c>
      <c r="C52" s="129"/>
      <c r="D52" s="132">
        <v>0</v>
      </c>
      <c r="E52" s="131"/>
      <c r="F52" s="132">
        <v>2.0000000000000001E-4</v>
      </c>
    </row>
    <row r="53" spans="1:6" x14ac:dyDescent="0.3">
      <c r="A53" s="125" t="s">
        <v>75</v>
      </c>
      <c r="B53" s="129" t="s">
        <v>44</v>
      </c>
      <c r="C53" s="129"/>
      <c r="D53" s="132">
        <v>-1.9E-3</v>
      </c>
      <c r="E53" s="131"/>
      <c r="F53" s="132">
        <v>-1.9E-3</v>
      </c>
    </row>
    <row r="54" spans="1:6" x14ac:dyDescent="0.3">
      <c r="A54" s="128" t="s">
        <v>45</v>
      </c>
      <c r="B54" s="129" t="s">
        <v>52</v>
      </c>
      <c r="C54" s="129"/>
      <c r="D54" s="133">
        <v>1.9496</v>
      </c>
      <c r="E54" s="134"/>
      <c r="F54" s="133">
        <v>1.8284</v>
      </c>
    </row>
    <row r="55" spans="1:6" x14ac:dyDescent="0.3">
      <c r="A55" s="128" t="s">
        <v>46</v>
      </c>
      <c r="B55" s="129" t="s">
        <v>52</v>
      </c>
      <c r="C55" s="129"/>
      <c r="D55" s="133">
        <v>1.3767</v>
      </c>
      <c r="E55" s="135"/>
      <c r="F55" s="133">
        <v>1.3613</v>
      </c>
    </row>
    <row r="56" spans="1:6" x14ac:dyDescent="0.3">
      <c r="A56" s="128" t="s">
        <v>47</v>
      </c>
      <c r="B56" s="129" t="s">
        <v>44</v>
      </c>
      <c r="C56" s="129"/>
      <c r="D56" s="132">
        <v>3.5999999999999999E-3</v>
      </c>
      <c r="E56" s="130"/>
      <c r="F56" s="132">
        <v>3.5999999999999999E-3</v>
      </c>
    </row>
    <row r="57" spans="1:6" x14ac:dyDescent="0.3">
      <c r="A57" s="128" t="s">
        <v>48</v>
      </c>
      <c r="B57" s="129" t="s">
        <v>44</v>
      </c>
      <c r="C57" s="129"/>
      <c r="D57" s="132">
        <v>1.2999999999999999E-3</v>
      </c>
      <c r="E57" s="132"/>
      <c r="F57" s="132">
        <v>1.2999999999999999E-3</v>
      </c>
    </row>
    <row r="58" spans="1:6" x14ac:dyDescent="0.3">
      <c r="A58" s="125" t="s">
        <v>50</v>
      </c>
      <c r="B58" s="129" t="s">
        <v>43</v>
      </c>
      <c r="C58" s="129"/>
      <c r="D58" s="130">
        <v>0.25</v>
      </c>
      <c r="E58" s="130"/>
      <c r="F58" s="130">
        <v>0.25</v>
      </c>
    </row>
    <row r="59" spans="1:6" x14ac:dyDescent="0.3">
      <c r="B59" s="129"/>
      <c r="C59" s="129"/>
      <c r="D59" s="128"/>
      <c r="E59" s="128"/>
      <c r="F59" s="128"/>
    </row>
    <row r="60" spans="1:6" x14ac:dyDescent="0.3">
      <c r="A60" s="119" t="s">
        <v>55</v>
      </c>
      <c r="B60" s="129"/>
      <c r="C60" s="129"/>
      <c r="D60" s="128"/>
      <c r="E60" s="128"/>
      <c r="F60" s="128"/>
    </row>
    <row r="61" spans="1:6" x14ac:dyDescent="0.3">
      <c r="A61" s="160" t="s">
        <v>94</v>
      </c>
      <c r="B61" s="129" t="s">
        <v>44</v>
      </c>
      <c r="C61" s="129"/>
      <c r="D61" s="132">
        <v>1.1000000000000001E-3</v>
      </c>
      <c r="E61" s="128"/>
      <c r="F61" s="132">
        <v>1.1000000000000001E-3</v>
      </c>
    </row>
    <row r="62" spans="1:6" x14ac:dyDescent="0.3">
      <c r="A62" s="123" t="s">
        <v>56</v>
      </c>
      <c r="B62" s="129" t="s">
        <v>44</v>
      </c>
      <c r="C62" s="129"/>
      <c r="D62" s="132">
        <v>0.10299999999999999</v>
      </c>
      <c r="E62" s="128"/>
      <c r="F62" s="132">
        <v>0.10299999999999999</v>
      </c>
    </row>
    <row r="63" spans="1:6" x14ac:dyDescent="0.3">
      <c r="A63" s="123" t="s">
        <v>57</v>
      </c>
      <c r="B63" s="129" t="s">
        <v>44</v>
      </c>
      <c r="C63" s="129"/>
      <c r="D63" s="132">
        <v>0.121</v>
      </c>
      <c r="E63" s="128"/>
      <c r="F63" s="132">
        <v>0.121</v>
      </c>
    </row>
    <row r="64" spans="1:6" x14ac:dyDescent="0.3">
      <c r="B64" s="123"/>
      <c r="C64" s="129"/>
      <c r="D64" s="132"/>
      <c r="E64" s="128"/>
      <c r="F64" s="132"/>
    </row>
    <row r="65" spans="1:6" x14ac:dyDescent="0.3">
      <c r="A65" s="119" t="s">
        <v>58</v>
      </c>
      <c r="B65" s="129"/>
      <c r="C65" s="129"/>
      <c r="D65" s="128"/>
      <c r="E65" s="130"/>
      <c r="F65" s="128"/>
    </row>
    <row r="66" spans="1:6" x14ac:dyDescent="0.3">
      <c r="A66" s="123" t="s">
        <v>59</v>
      </c>
      <c r="B66" s="129" t="s">
        <v>60</v>
      </c>
      <c r="C66" s="129"/>
      <c r="D66" s="132">
        <v>9.1700000000000004E-2</v>
      </c>
      <c r="E66" s="128"/>
      <c r="F66" s="132">
        <v>9.1700000000000004E-2</v>
      </c>
    </row>
    <row r="67" spans="1:6" x14ac:dyDescent="0.3">
      <c r="B67" s="129"/>
      <c r="C67" s="129"/>
      <c r="D67" s="128"/>
      <c r="E67" s="128"/>
      <c r="F67" s="128"/>
    </row>
    <row r="68" spans="1:6" x14ac:dyDescent="0.3">
      <c r="A68" s="119" t="s">
        <v>4</v>
      </c>
      <c r="B68" s="129"/>
      <c r="C68" s="129"/>
      <c r="D68" s="128"/>
      <c r="E68" s="128"/>
      <c r="F68" s="128"/>
    </row>
    <row r="69" spans="1:6" x14ac:dyDescent="0.3">
      <c r="A69" s="123" t="s">
        <v>32</v>
      </c>
      <c r="B69" s="129" t="s">
        <v>44</v>
      </c>
      <c r="C69" s="129"/>
      <c r="D69" s="137">
        <v>8.6999999999999994E-2</v>
      </c>
      <c r="E69" s="128"/>
      <c r="F69" s="137">
        <v>8.6999999999999994E-2</v>
      </c>
    </row>
    <row r="70" spans="1:6" x14ac:dyDescent="0.3">
      <c r="A70" s="123" t="s">
        <v>33</v>
      </c>
      <c r="B70" s="129" t="s">
        <v>44</v>
      </c>
      <c r="C70" s="129"/>
      <c r="D70" s="137">
        <v>0.13200000000000001</v>
      </c>
      <c r="E70" s="128"/>
      <c r="F70" s="137">
        <v>0.13200000000000001</v>
      </c>
    </row>
    <row r="71" spans="1:6" x14ac:dyDescent="0.3">
      <c r="A71" s="123" t="s">
        <v>34</v>
      </c>
      <c r="B71" s="129" t="s">
        <v>44</v>
      </c>
      <c r="C71" s="129"/>
      <c r="D71" s="137">
        <v>0.18</v>
      </c>
      <c r="E71" s="128"/>
      <c r="F71" s="137">
        <v>0.18</v>
      </c>
    </row>
    <row r="72" spans="1:6" x14ac:dyDescent="0.3">
      <c r="B72" s="129"/>
      <c r="C72" s="129"/>
      <c r="D72" s="128"/>
      <c r="E72" s="128"/>
      <c r="F72" s="128"/>
    </row>
    <row r="73" spans="1:6" x14ac:dyDescent="0.3">
      <c r="A73" s="123" t="s">
        <v>68</v>
      </c>
      <c r="B73" s="129" t="s">
        <v>44</v>
      </c>
      <c r="C73" s="129"/>
      <c r="D73" s="137">
        <v>0.113</v>
      </c>
      <c r="E73" s="128"/>
      <c r="F73" s="137">
        <v>0.113</v>
      </c>
    </row>
    <row r="74" spans="1:6" x14ac:dyDescent="0.3">
      <c r="A74" s="123" t="s">
        <v>69</v>
      </c>
      <c r="B74" s="129" t="s">
        <v>44</v>
      </c>
      <c r="C74" s="129"/>
      <c r="D74" s="137">
        <f>(D69*0.64)+(D70*0.18)+(D71*0.18)</f>
        <v>0.11183999999999999</v>
      </c>
      <c r="E74" s="128"/>
      <c r="F74" s="137">
        <f>(F69*0.64)+(F70*0.18)+(F71*0.18)</f>
        <v>0.11183999999999999</v>
      </c>
    </row>
    <row r="75" spans="1:6" x14ac:dyDescent="0.3">
      <c r="B75" s="129"/>
      <c r="C75" s="129"/>
      <c r="D75" s="128"/>
      <c r="E75" s="128"/>
      <c r="F75" s="128"/>
    </row>
    <row r="76" spans="1:6" x14ac:dyDescent="0.3">
      <c r="B76" s="136"/>
      <c r="C76" s="136"/>
      <c r="D76" s="127"/>
      <c r="E76" s="127"/>
      <c r="F76" s="127"/>
    </row>
    <row r="77" spans="1:6" x14ac:dyDescent="0.3">
      <c r="B77" s="136"/>
      <c r="C77" s="136"/>
      <c r="D77" s="127"/>
      <c r="E77" s="127"/>
      <c r="F77" s="127"/>
    </row>
    <row r="78" spans="1:6" x14ac:dyDescent="0.3">
      <c r="B78" s="136"/>
      <c r="C78" s="136"/>
      <c r="D78" s="127"/>
      <c r="E78" s="127"/>
      <c r="F78" s="127"/>
    </row>
  </sheetData>
  <pageMargins left="0.7" right="0.7" top="0.75" bottom="0.75" header="0.3" footer="0.3"/>
  <pageSetup scale="71" fitToHeight="0" orientation="portrait" r:id="rId1"/>
  <rowBreaks count="1" manualBreakCount="1">
    <brk id="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S42"/>
  <sheetViews>
    <sheetView showGridLines="0" zoomScaleNormal="100" workbookViewId="0">
      <selection activeCell="J19" sqref="J19"/>
    </sheetView>
  </sheetViews>
  <sheetFormatPr defaultColWidth="9.109375" defaultRowHeight="14.4" x14ac:dyDescent="0.3"/>
  <cols>
    <col min="1" max="1" width="2.109375" style="1" customWidth="1"/>
    <col min="2" max="2" width="40" style="1" customWidth="1"/>
    <col min="3" max="3" width="1.33203125" style="1" customWidth="1"/>
    <col min="4" max="4" width="11.33203125" style="1" customWidth="1"/>
    <col min="5" max="5" width="1.33203125" style="1" customWidth="1"/>
    <col min="6" max="6" width="12.33203125" style="1" customWidth="1"/>
    <col min="7" max="7" width="8.5546875" style="1" customWidth="1"/>
    <col min="8" max="8" width="10.33203125" style="1" bestFit="1" customWidth="1"/>
    <col min="9" max="9" width="2.88671875" style="1" customWidth="1"/>
    <col min="10" max="10" width="12.109375" style="1" customWidth="1"/>
    <col min="11" max="11" width="8.5546875" style="1" customWidth="1"/>
    <col min="12" max="12" width="10.33203125" style="1" bestFit="1" customWidth="1"/>
    <col min="13" max="13" width="2.88671875" style="1" customWidth="1"/>
    <col min="14" max="14" width="12.6640625" style="1" bestFit="1" customWidth="1"/>
    <col min="15" max="15" width="10.88671875" style="1" bestFit="1" customWidth="1"/>
    <col min="16" max="16" width="3.88671875" style="1" customWidth="1"/>
    <col min="17" max="19" width="9.109375" style="1"/>
    <col min="20" max="20" width="9.109375" style="1" customWidth="1"/>
    <col min="21" max="16384" width="9.10937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194" t="s">
        <v>0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/>
    </row>
    <row r="3" spans="2:16" ht="18.75" customHeight="1" x14ac:dyDescent="0.25">
      <c r="B3" s="194" t="s">
        <v>1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195" t="s">
        <v>77</v>
      </c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2" t="s">
        <v>3</v>
      </c>
      <c r="D8" s="5" t="s">
        <v>4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75" x14ac:dyDescent="0.2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ht="15" x14ac:dyDescent="0.25">
      <c r="B10" s="6"/>
      <c r="D10" s="7" t="s">
        <v>5</v>
      </c>
      <c r="E10" s="7"/>
      <c r="F10" s="8">
        <v>750</v>
      </c>
      <c r="G10" s="7" t="s">
        <v>6</v>
      </c>
    </row>
    <row r="11" spans="2:16" ht="15" x14ac:dyDescent="0.25">
      <c r="B11" s="6"/>
    </row>
    <row r="12" spans="2:16" ht="15" x14ac:dyDescent="0.25">
      <c r="B12" s="6"/>
      <c r="D12" s="9"/>
      <c r="E12" s="9"/>
      <c r="F12" s="196" t="s">
        <v>7</v>
      </c>
      <c r="G12" s="197"/>
      <c r="H12" s="198"/>
      <c r="J12" s="196" t="s">
        <v>8</v>
      </c>
      <c r="K12" s="197"/>
      <c r="L12" s="198"/>
      <c r="N12" s="196" t="s">
        <v>9</v>
      </c>
      <c r="O12" s="198"/>
    </row>
    <row r="13" spans="2:16" x14ac:dyDescent="0.3">
      <c r="B13" s="6"/>
      <c r="D13" s="188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190" t="s">
        <v>14</v>
      </c>
      <c r="O13" s="192" t="s">
        <v>15</v>
      </c>
    </row>
    <row r="14" spans="2:16" x14ac:dyDescent="0.3">
      <c r="B14" s="6"/>
      <c r="D14" s="189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191"/>
      <c r="O14" s="193"/>
    </row>
    <row r="15" spans="2:16" ht="15" x14ac:dyDescent="0.25">
      <c r="B15" s="16" t="s">
        <v>17</v>
      </c>
      <c r="C15" s="16"/>
      <c r="D15" s="17" t="s">
        <v>61</v>
      </c>
      <c r="E15" s="18"/>
      <c r="F15" s="19">
        <f>Rates!D3</f>
        <v>27.76</v>
      </c>
      <c r="G15" s="20">
        <v>1</v>
      </c>
      <c r="H15" s="21">
        <f>G15*F15</f>
        <v>27.76</v>
      </c>
      <c r="I15" s="22"/>
      <c r="J15" s="23">
        <f>Rates!F3</f>
        <v>32.58</v>
      </c>
      <c r="K15" s="24">
        <v>1</v>
      </c>
      <c r="L15" s="21">
        <f>K15*J15</f>
        <v>32.58</v>
      </c>
      <c r="M15" s="22"/>
      <c r="N15" s="25">
        <f>L15-H15</f>
        <v>4.8199999999999967</v>
      </c>
      <c r="O15" s="26">
        <f>IF((H15)=0,"",(N15/H15))</f>
        <v>0.17363112391930824</v>
      </c>
    </row>
    <row r="16" spans="2:16" ht="15" x14ac:dyDescent="0.25">
      <c r="B16" s="16" t="s">
        <v>18</v>
      </c>
      <c r="C16" s="16"/>
      <c r="D16" s="17" t="s">
        <v>62</v>
      </c>
      <c r="E16" s="18"/>
      <c r="F16" s="19">
        <f>Rates!D5</f>
        <v>2.8799999999999999E-2</v>
      </c>
      <c r="G16" s="20">
        <f>$F$10</f>
        <v>750</v>
      </c>
      <c r="H16" s="21">
        <f t="shared" ref="H16:H17" si="0">G16*F16</f>
        <v>21.599999999999998</v>
      </c>
      <c r="I16" s="22"/>
      <c r="J16" s="23">
        <f>Rates!F5</f>
        <v>2.5100000000000001E-2</v>
      </c>
      <c r="K16" s="20">
        <f>$F$10</f>
        <v>750</v>
      </c>
      <c r="L16" s="21">
        <f t="shared" ref="L16:L17" si="1">K16*J16</f>
        <v>18.824999999999999</v>
      </c>
      <c r="M16" s="22"/>
      <c r="N16" s="25">
        <f t="shared" ref="N16:N18" si="2">L16-H16</f>
        <v>-2.7749999999999986</v>
      </c>
      <c r="O16" s="26">
        <f t="shared" ref="O16:O18" si="3">IF((H16)=0,"",(N16/H16))</f>
        <v>-0.12847222222222218</v>
      </c>
    </row>
    <row r="17" spans="2:19" ht="45" x14ac:dyDescent="0.25">
      <c r="B17" s="112" t="str">
        <f>Rates!A10</f>
        <v>Rate Rider for the Disposition of Account 1575 &amp; 1576 - effective until December 31, 2019</v>
      </c>
      <c r="C17" s="16"/>
      <c r="D17" s="52" t="s">
        <v>62</v>
      </c>
      <c r="E17" s="18"/>
      <c r="F17" s="23">
        <f>Rates!D10</f>
        <v>-1.9E-3</v>
      </c>
      <c r="G17" s="20">
        <f t="shared" ref="G17" si="4">$F$10</f>
        <v>750</v>
      </c>
      <c r="H17" s="21">
        <f t="shared" si="0"/>
        <v>-1.425</v>
      </c>
      <c r="I17" s="22"/>
      <c r="J17" s="23">
        <f>Rates!F10</f>
        <v>-1.9E-3</v>
      </c>
      <c r="K17" s="20">
        <f t="shared" ref="K17" si="5">$F$10</f>
        <v>750</v>
      </c>
      <c r="L17" s="21">
        <f t="shared" si="1"/>
        <v>-1.425</v>
      </c>
      <c r="M17" s="22"/>
      <c r="N17" s="25">
        <f t="shared" si="2"/>
        <v>0</v>
      </c>
      <c r="O17" s="26">
        <f t="shared" si="3"/>
        <v>0</v>
      </c>
    </row>
    <row r="18" spans="2:19" s="38" customFormat="1" ht="15" x14ac:dyDescent="0.25">
      <c r="B18" s="27" t="s">
        <v>21</v>
      </c>
      <c r="C18" s="28"/>
      <c r="D18" s="29"/>
      <c r="E18" s="28"/>
      <c r="F18" s="30"/>
      <c r="G18" s="31"/>
      <c r="H18" s="32">
        <f>SUM(H15:H17)</f>
        <v>47.935000000000002</v>
      </c>
      <c r="I18" s="33"/>
      <c r="J18" s="34"/>
      <c r="K18" s="35"/>
      <c r="L18" s="32">
        <f>SUM(L15:L17)</f>
        <v>49.980000000000004</v>
      </c>
      <c r="M18" s="33"/>
      <c r="N18" s="36">
        <f t="shared" si="2"/>
        <v>2.0450000000000017</v>
      </c>
      <c r="O18" s="37">
        <f t="shared" si="3"/>
        <v>4.2661938041097351E-2</v>
      </c>
    </row>
    <row r="19" spans="2:19" ht="38.25" x14ac:dyDescent="0.25">
      <c r="B19" s="39" t="str">
        <f>Rates!A7</f>
        <v>Rate Rider for the Disposition of Deferral/Variance Accounts (2017) - effective until December 31, 2017</v>
      </c>
      <c r="C19" s="16"/>
      <c r="D19" s="17" t="s">
        <v>62</v>
      </c>
      <c r="E19" s="18"/>
      <c r="F19" s="23">
        <f>Rates!D7</f>
        <v>0</v>
      </c>
      <c r="G19" s="20">
        <f t="shared" ref="G19:G20" si="6">$F$10</f>
        <v>750</v>
      </c>
      <c r="H19" s="21">
        <f t="shared" ref="H19:H21" si="7">G19*F19</f>
        <v>0</v>
      </c>
      <c r="I19" s="40"/>
      <c r="J19" s="23">
        <f>Rates!F7+Rates!F9</f>
        <v>-3.3E-3</v>
      </c>
      <c r="K19" s="20">
        <f t="shared" ref="K19:K20" si="8">$F$10</f>
        <v>750</v>
      </c>
      <c r="L19" s="21">
        <f t="shared" ref="L19:L21" si="9">K19*J19</f>
        <v>-2.4750000000000001</v>
      </c>
      <c r="M19" s="41"/>
      <c r="N19" s="25">
        <f t="shared" ref="N19:N21" si="10">L19-H19</f>
        <v>-2.4750000000000001</v>
      </c>
      <c r="O19" s="26" t="str">
        <f t="shared" ref="O19:O21" si="11">IF((H19)=0,"",(N19/H19))</f>
        <v/>
      </c>
    </row>
    <row r="20" spans="2:19" ht="15" x14ac:dyDescent="0.25">
      <c r="B20" s="42" t="s">
        <v>22</v>
      </c>
      <c r="C20" s="16"/>
      <c r="D20" s="17"/>
      <c r="E20" s="18"/>
      <c r="F20" s="19"/>
      <c r="G20" s="20">
        <f t="shared" si="6"/>
        <v>750</v>
      </c>
      <c r="H20" s="21">
        <f>G20*F20</f>
        <v>0</v>
      </c>
      <c r="I20" s="22"/>
      <c r="J20" s="23"/>
      <c r="K20" s="20">
        <f t="shared" si="8"/>
        <v>750</v>
      </c>
      <c r="L20" s="21">
        <f>K20*J20</f>
        <v>0</v>
      </c>
      <c r="M20" s="22"/>
      <c r="N20" s="25">
        <f>L20-H20</f>
        <v>0</v>
      </c>
      <c r="O20" s="26" t="str">
        <f>IF((H20)=0,"",(N20/H20))</f>
        <v/>
      </c>
    </row>
    <row r="21" spans="2:19" ht="15" x14ac:dyDescent="0.25">
      <c r="B21" s="42" t="s">
        <v>23</v>
      </c>
      <c r="C21" s="16"/>
      <c r="D21" s="17" t="s">
        <v>62</v>
      </c>
      <c r="E21" s="18"/>
      <c r="F21" s="43">
        <f>IF(ISBLANK(D8)=TRUE, 0, IF(D8="TOU", 0.64*$F$31+0.18*$F$32+0.18*$F$33, IF(AND(D8="non-TOU",#REF!&gt; 0),#REF!,#REF!)))</f>
        <v>0.11183999999999999</v>
      </c>
      <c r="G21" s="44">
        <f>$F$10*(1+$F$40)-$F$10</f>
        <v>68.774999999999864</v>
      </c>
      <c r="H21" s="21">
        <f t="shared" si="7"/>
        <v>7.6917959999999841</v>
      </c>
      <c r="I21" s="22"/>
      <c r="J21" s="45">
        <f>0.64*$F$31+0.18*$F$32+0.18*$F$33</f>
        <v>0.11183999999999999</v>
      </c>
      <c r="K21" s="44">
        <f>$F$10*(1+$J$40)-$F$10</f>
        <v>68.774999999999864</v>
      </c>
      <c r="L21" s="21">
        <f t="shared" si="9"/>
        <v>7.6917959999999841</v>
      </c>
      <c r="M21" s="22"/>
      <c r="N21" s="25">
        <f t="shared" si="10"/>
        <v>0</v>
      </c>
      <c r="O21" s="26">
        <f t="shared" si="11"/>
        <v>0</v>
      </c>
    </row>
    <row r="22" spans="2:19" ht="15" x14ac:dyDescent="0.25">
      <c r="B22" s="42" t="s">
        <v>24</v>
      </c>
      <c r="C22" s="16"/>
      <c r="D22" s="17" t="s">
        <v>61</v>
      </c>
      <c r="E22" s="18"/>
      <c r="F22" s="43">
        <f>Rates!D15</f>
        <v>0.79</v>
      </c>
      <c r="G22" s="20">
        <v>1</v>
      </c>
      <c r="H22" s="21">
        <f>G22*F22</f>
        <v>0.79</v>
      </c>
      <c r="I22" s="22"/>
      <c r="J22" s="43">
        <f>Rates!F15</f>
        <v>0.79</v>
      </c>
      <c r="K22" s="20">
        <v>1</v>
      </c>
      <c r="L22" s="21">
        <f>K22*J22</f>
        <v>0.79</v>
      </c>
      <c r="M22" s="22"/>
      <c r="N22" s="25">
        <f>L22-H22</f>
        <v>0</v>
      </c>
      <c r="O22" s="26"/>
    </row>
    <row r="23" spans="2:19" ht="25.5" x14ac:dyDescent="0.25">
      <c r="B23" s="46" t="s">
        <v>25</v>
      </c>
      <c r="C23" s="47"/>
      <c r="D23" s="47"/>
      <c r="E23" s="47"/>
      <c r="F23" s="48"/>
      <c r="G23" s="49"/>
      <c r="H23" s="50">
        <f>SUM(H19:H22)+H18</f>
        <v>56.416795999999991</v>
      </c>
      <c r="I23" s="33"/>
      <c r="J23" s="49"/>
      <c r="K23" s="51"/>
      <c r="L23" s="50">
        <f>SUM(L19:L22)+L18</f>
        <v>55.986795999999991</v>
      </c>
      <c r="M23" s="33"/>
      <c r="N23" s="36">
        <f t="shared" ref="N23:N37" si="12">L23-H23</f>
        <v>-0.42999999999999972</v>
      </c>
      <c r="O23" s="37">
        <f t="shared" ref="O23:O37" si="13">IF((H23)=0,"",(N23/H23))</f>
        <v>-7.6218436793184744E-3</v>
      </c>
    </row>
    <row r="24" spans="2:19" ht="15" x14ac:dyDescent="0.25">
      <c r="B24" s="22" t="s">
        <v>26</v>
      </c>
      <c r="C24" s="22"/>
      <c r="D24" s="52" t="s">
        <v>62</v>
      </c>
      <c r="E24" s="53"/>
      <c r="F24" s="23">
        <f>Rates!D11</f>
        <v>7.0000000000000001E-3</v>
      </c>
      <c r="G24" s="54">
        <f>F10*(1+F40)</f>
        <v>818.77499999999986</v>
      </c>
      <c r="H24" s="21">
        <f>G24*F24</f>
        <v>5.7314249999999989</v>
      </c>
      <c r="I24" s="22"/>
      <c r="J24" s="23">
        <f>Rates!F11</f>
        <v>6.6E-3</v>
      </c>
      <c r="K24" s="55">
        <f>F10*(1+J40)</f>
        <v>818.77499999999986</v>
      </c>
      <c r="L24" s="21">
        <f>K24*J24</f>
        <v>5.4039149999999987</v>
      </c>
      <c r="M24" s="22"/>
      <c r="N24" s="25">
        <f t="shared" si="12"/>
        <v>-0.32751000000000019</v>
      </c>
      <c r="O24" s="26">
        <f t="shared" si="13"/>
        <v>-5.714285714285719E-2</v>
      </c>
    </row>
    <row r="25" spans="2:19" ht="15" x14ac:dyDescent="0.25">
      <c r="B25" s="56" t="s">
        <v>27</v>
      </c>
      <c r="C25" s="22"/>
      <c r="D25" s="52" t="s">
        <v>62</v>
      </c>
      <c r="E25" s="53"/>
      <c r="F25" s="23">
        <f>Rates!D12</f>
        <v>5.1000000000000004E-3</v>
      </c>
      <c r="G25" s="54">
        <f>G24</f>
        <v>818.77499999999986</v>
      </c>
      <c r="H25" s="21">
        <f>G25*F25</f>
        <v>4.1757524999999998</v>
      </c>
      <c r="I25" s="22"/>
      <c r="J25" s="23">
        <f>Rates!F12</f>
        <v>5.0000000000000001E-3</v>
      </c>
      <c r="K25" s="55">
        <f>K24</f>
        <v>818.77499999999986</v>
      </c>
      <c r="L25" s="21">
        <f>K25*J25</f>
        <v>4.0938749999999997</v>
      </c>
      <c r="M25" s="22"/>
      <c r="N25" s="25">
        <f t="shared" si="12"/>
        <v>-8.1877500000000047E-2</v>
      </c>
      <c r="O25" s="26">
        <f t="shared" si="13"/>
        <v>-1.9607843137254916E-2</v>
      </c>
    </row>
    <row r="26" spans="2:19" ht="25.5" x14ac:dyDescent="0.25">
      <c r="B26" s="46" t="s">
        <v>28</v>
      </c>
      <c r="C26" s="28"/>
      <c r="D26" s="28"/>
      <c r="E26" s="28"/>
      <c r="F26" s="57"/>
      <c r="G26" s="49"/>
      <c r="H26" s="50">
        <f>SUM(H23:H25)</f>
        <v>66.323973499999994</v>
      </c>
      <c r="I26" s="58"/>
      <c r="J26" s="59"/>
      <c r="K26" s="60"/>
      <c r="L26" s="50">
        <f>SUM(L23:L25)</f>
        <v>65.484585999999993</v>
      </c>
      <c r="M26" s="58"/>
      <c r="N26" s="36">
        <f t="shared" si="12"/>
        <v>-0.83938750000000084</v>
      </c>
      <c r="O26" s="37">
        <f t="shared" si="13"/>
        <v>-1.2655868695804253E-2</v>
      </c>
    </row>
    <row r="27" spans="2:19" ht="15" x14ac:dyDescent="0.25">
      <c r="B27" s="61" t="s">
        <v>29</v>
      </c>
      <c r="C27" s="16"/>
      <c r="D27" s="52" t="s">
        <v>62</v>
      </c>
      <c r="E27" s="18"/>
      <c r="F27" s="64">
        <f>Rates!D13</f>
        <v>3.5999999999999999E-3</v>
      </c>
      <c r="G27" s="54">
        <f>G25</f>
        <v>818.77499999999986</v>
      </c>
      <c r="H27" s="63">
        <f t="shared" ref="H27:H33" si="14">G27*F27</f>
        <v>2.9475899999999995</v>
      </c>
      <c r="I27" s="22"/>
      <c r="J27" s="64">
        <f>Rates!F13</f>
        <v>3.5999999999999999E-3</v>
      </c>
      <c r="K27" s="55">
        <f>K25</f>
        <v>818.77499999999986</v>
      </c>
      <c r="L27" s="63">
        <f t="shared" ref="L27:L33" si="15">K27*J27</f>
        <v>2.9475899999999995</v>
      </c>
      <c r="M27" s="22"/>
      <c r="N27" s="25">
        <f t="shared" si="12"/>
        <v>0</v>
      </c>
      <c r="O27" s="65">
        <f t="shared" si="13"/>
        <v>0</v>
      </c>
    </row>
    <row r="28" spans="2:19" ht="15" x14ac:dyDescent="0.25">
      <c r="B28" s="61" t="s">
        <v>30</v>
      </c>
      <c r="C28" s="16"/>
      <c r="D28" s="52" t="s">
        <v>62</v>
      </c>
      <c r="E28" s="18"/>
      <c r="F28" s="64">
        <f>Rates!D14</f>
        <v>1.2999999999999999E-3</v>
      </c>
      <c r="G28" s="54">
        <f>G25</f>
        <v>818.77499999999986</v>
      </c>
      <c r="H28" s="63">
        <f t="shared" si="14"/>
        <v>1.0644074999999997</v>
      </c>
      <c r="I28" s="22"/>
      <c r="J28" s="64">
        <f>Rates!F14</f>
        <v>1.2999999999999999E-3</v>
      </c>
      <c r="K28" s="55">
        <f>K25</f>
        <v>818.77499999999986</v>
      </c>
      <c r="L28" s="63">
        <f t="shared" si="15"/>
        <v>1.0644074999999997</v>
      </c>
      <c r="M28" s="22"/>
      <c r="N28" s="25">
        <f t="shared" si="12"/>
        <v>0</v>
      </c>
      <c r="O28" s="65">
        <f t="shared" si="13"/>
        <v>0</v>
      </c>
    </row>
    <row r="29" spans="2:19" ht="15" x14ac:dyDescent="0.25">
      <c r="B29" s="16" t="s">
        <v>31</v>
      </c>
      <c r="C29" s="16"/>
      <c r="D29" s="17" t="s">
        <v>61</v>
      </c>
      <c r="E29" s="18"/>
      <c r="F29" s="62">
        <f>Rates!D16</f>
        <v>0.25</v>
      </c>
      <c r="G29" s="20">
        <v>1</v>
      </c>
      <c r="H29" s="63">
        <f t="shared" si="14"/>
        <v>0.25</v>
      </c>
      <c r="I29" s="22"/>
      <c r="J29" s="64">
        <f>Rates!F16</f>
        <v>0.25</v>
      </c>
      <c r="K29" s="24">
        <v>1</v>
      </c>
      <c r="L29" s="63">
        <f t="shared" si="15"/>
        <v>0.25</v>
      </c>
      <c r="M29" s="22"/>
      <c r="N29" s="25">
        <f t="shared" si="12"/>
        <v>0</v>
      </c>
      <c r="O29" s="65">
        <f t="shared" si="13"/>
        <v>0</v>
      </c>
    </row>
    <row r="30" spans="2:19" ht="15" x14ac:dyDescent="0.25">
      <c r="B30" s="16" t="s">
        <v>95</v>
      </c>
      <c r="C30" s="16"/>
      <c r="D30" s="17" t="s">
        <v>62</v>
      </c>
      <c r="E30" s="18"/>
      <c r="F30" s="62">
        <f>Rates!D61</f>
        <v>1.1000000000000001E-3</v>
      </c>
      <c r="G30" s="66">
        <f>F10</f>
        <v>750</v>
      </c>
      <c r="H30" s="63">
        <f t="shared" si="14"/>
        <v>0.82500000000000007</v>
      </c>
      <c r="I30" s="22"/>
      <c r="J30" s="64">
        <f>Rates!F61</f>
        <v>1.1000000000000001E-3</v>
      </c>
      <c r="K30" s="67">
        <f>F10</f>
        <v>750</v>
      </c>
      <c r="L30" s="63">
        <f t="shared" si="15"/>
        <v>0.82500000000000007</v>
      </c>
      <c r="M30" s="22"/>
      <c r="N30" s="25">
        <f t="shared" si="12"/>
        <v>0</v>
      </c>
      <c r="O30" s="65">
        <f t="shared" si="13"/>
        <v>0</v>
      </c>
    </row>
    <row r="31" spans="2:19" ht="15" x14ac:dyDescent="0.25">
      <c r="B31" s="42" t="s">
        <v>32</v>
      </c>
      <c r="C31" s="16"/>
      <c r="D31" s="17" t="s">
        <v>62</v>
      </c>
      <c r="E31" s="18"/>
      <c r="F31" s="68">
        <f>Rates!D69</f>
        <v>8.6999999999999994E-2</v>
      </c>
      <c r="G31" s="69">
        <f>0.64*$F$10</f>
        <v>480</v>
      </c>
      <c r="H31" s="63">
        <f t="shared" si="14"/>
        <v>41.76</v>
      </c>
      <c r="I31" s="22"/>
      <c r="J31" s="62">
        <f>Rates!F69</f>
        <v>8.6999999999999994E-2</v>
      </c>
      <c r="K31" s="69">
        <f>G31</f>
        <v>480</v>
      </c>
      <c r="L31" s="63">
        <f t="shared" si="15"/>
        <v>41.76</v>
      </c>
      <c r="M31" s="22"/>
      <c r="N31" s="25">
        <f t="shared" si="12"/>
        <v>0</v>
      </c>
      <c r="O31" s="65">
        <f t="shared" si="13"/>
        <v>0</v>
      </c>
      <c r="S31" s="70"/>
    </row>
    <row r="32" spans="2:19" ht="15" x14ac:dyDescent="0.25">
      <c r="B32" s="42" t="s">
        <v>33</v>
      </c>
      <c r="C32" s="16"/>
      <c r="D32" s="17" t="s">
        <v>62</v>
      </c>
      <c r="E32" s="18"/>
      <c r="F32" s="68">
        <f>Rates!D70</f>
        <v>0.13200000000000001</v>
      </c>
      <c r="G32" s="69">
        <f>0.18*$F$10</f>
        <v>135</v>
      </c>
      <c r="H32" s="63">
        <f t="shared" si="14"/>
        <v>17.82</v>
      </c>
      <c r="I32" s="22"/>
      <c r="J32" s="62">
        <f>Rates!F70</f>
        <v>0.13200000000000001</v>
      </c>
      <c r="K32" s="69">
        <f>G32</f>
        <v>135</v>
      </c>
      <c r="L32" s="63">
        <f t="shared" si="15"/>
        <v>17.82</v>
      </c>
      <c r="M32" s="22"/>
      <c r="N32" s="25">
        <f t="shared" si="12"/>
        <v>0</v>
      </c>
      <c r="O32" s="65">
        <f t="shared" si="13"/>
        <v>0</v>
      </c>
      <c r="S32" s="70"/>
    </row>
    <row r="33" spans="1:19" ht="15.75" thickBot="1" x14ac:dyDescent="0.3">
      <c r="B33" s="6" t="s">
        <v>34</v>
      </c>
      <c r="C33" s="16"/>
      <c r="D33" s="17" t="s">
        <v>62</v>
      </c>
      <c r="E33" s="18"/>
      <c r="F33" s="68">
        <f>Rates!D71</f>
        <v>0.18</v>
      </c>
      <c r="G33" s="69">
        <f>0.18*$F$10</f>
        <v>135</v>
      </c>
      <c r="H33" s="63">
        <f t="shared" si="14"/>
        <v>24.3</v>
      </c>
      <c r="I33" s="22"/>
      <c r="J33" s="62">
        <f>Rates!F71</f>
        <v>0.18</v>
      </c>
      <c r="K33" s="69">
        <f>G33</f>
        <v>135</v>
      </c>
      <c r="L33" s="63">
        <f t="shared" si="15"/>
        <v>24.3</v>
      </c>
      <c r="M33" s="22"/>
      <c r="N33" s="25">
        <f t="shared" si="12"/>
        <v>0</v>
      </c>
      <c r="O33" s="65">
        <f t="shared" si="13"/>
        <v>0</v>
      </c>
      <c r="S33" s="70"/>
    </row>
    <row r="34" spans="1:19" ht="15" thickBot="1" x14ac:dyDescent="0.35">
      <c r="B34" s="72"/>
      <c r="C34" s="73"/>
      <c r="D34" s="74"/>
      <c r="E34" s="73"/>
      <c r="F34" s="75"/>
      <c r="G34" s="76"/>
      <c r="H34" s="77"/>
      <c r="I34" s="78"/>
      <c r="J34" s="75"/>
      <c r="K34" s="79"/>
      <c r="L34" s="77"/>
      <c r="M34" s="78"/>
      <c r="N34" s="80"/>
      <c r="O34" s="81"/>
    </row>
    <row r="35" spans="1:19" x14ac:dyDescent="0.3">
      <c r="B35" s="82" t="s">
        <v>35</v>
      </c>
      <c r="C35" s="16"/>
      <c r="D35" s="16"/>
      <c r="E35" s="16"/>
      <c r="F35" s="83"/>
      <c r="G35" s="84"/>
      <c r="H35" s="85">
        <f>SUM(H27:H33,H26)</f>
        <v>155.29097100000001</v>
      </c>
      <c r="I35" s="86"/>
      <c r="J35" s="87"/>
      <c r="K35" s="87"/>
      <c r="L35" s="111">
        <f>SUM(L27:L33,L26)</f>
        <v>154.4515835</v>
      </c>
      <c r="M35" s="88"/>
      <c r="N35" s="89">
        <f t="shared" ref="N35" si="16">L35-H35</f>
        <v>-0.83938750000001505</v>
      </c>
      <c r="O35" s="90">
        <f t="shared" ref="O35" si="17">IF((H35)=0,"",(N35/H35))</f>
        <v>-5.4052563043089927E-3</v>
      </c>
      <c r="S35" s="70"/>
    </row>
    <row r="36" spans="1:19" x14ac:dyDescent="0.3">
      <c r="B36" s="91" t="s">
        <v>36</v>
      </c>
      <c r="C36" s="16"/>
      <c r="D36" s="16"/>
      <c r="E36" s="16"/>
      <c r="F36" s="92">
        <v>0.13</v>
      </c>
      <c r="G36" s="93"/>
      <c r="H36" s="94">
        <f>H35*F36</f>
        <v>20.187826230000002</v>
      </c>
      <c r="I36" s="95"/>
      <c r="J36" s="96">
        <v>0.13</v>
      </c>
      <c r="K36" s="95"/>
      <c r="L36" s="97">
        <f>L35*J36</f>
        <v>20.078705854999999</v>
      </c>
      <c r="M36" s="98"/>
      <c r="N36" s="99">
        <f t="shared" si="12"/>
        <v>-0.10912037500000338</v>
      </c>
      <c r="O36" s="100">
        <f t="shared" si="13"/>
        <v>-5.405256304309063E-3</v>
      </c>
      <c r="S36" s="70"/>
    </row>
    <row r="37" spans="1:19" s="113" customFormat="1" ht="15" thickBot="1" x14ac:dyDescent="0.35">
      <c r="B37" s="101" t="s">
        <v>97</v>
      </c>
      <c r="C37" s="168"/>
      <c r="D37" s="168"/>
      <c r="E37" s="168"/>
      <c r="F37" s="173"/>
      <c r="G37" s="174"/>
      <c r="H37" s="175">
        <f>H35+H36</f>
        <v>175.47879723000003</v>
      </c>
      <c r="I37" s="176"/>
      <c r="J37" s="176"/>
      <c r="K37" s="176"/>
      <c r="L37" s="177">
        <f>L35+L36</f>
        <v>174.53028935500001</v>
      </c>
      <c r="M37" s="178"/>
      <c r="N37" s="179">
        <f t="shared" si="12"/>
        <v>-0.94850787500001843</v>
      </c>
      <c r="O37" s="180">
        <f t="shared" si="13"/>
        <v>-5.4052563043090005E-3</v>
      </c>
      <c r="S37" s="172"/>
    </row>
    <row r="38" spans="1:19" s="113" customFormat="1" ht="15" thickBot="1" x14ac:dyDescent="0.35">
      <c r="B38" s="72"/>
      <c r="C38" s="73"/>
      <c r="D38" s="74"/>
      <c r="E38" s="73"/>
      <c r="F38" s="75"/>
      <c r="G38" s="76"/>
      <c r="H38" s="77"/>
      <c r="I38" s="78"/>
      <c r="J38" s="75"/>
      <c r="K38" s="79"/>
      <c r="L38" s="77"/>
      <c r="M38" s="78"/>
      <c r="N38" s="80"/>
      <c r="O38" s="81"/>
      <c r="S38" s="172"/>
    </row>
    <row r="39" spans="1:19" x14ac:dyDescent="0.3">
      <c r="L39" s="70"/>
    </row>
    <row r="40" spans="1:19" x14ac:dyDescent="0.3">
      <c r="B40" s="7" t="s">
        <v>37</v>
      </c>
      <c r="F40" s="109">
        <f>Rates!D66</f>
        <v>9.1700000000000004E-2</v>
      </c>
      <c r="J40" s="109">
        <f>Rates!F66</f>
        <v>9.1700000000000004E-2</v>
      </c>
    </row>
    <row r="42" spans="1:19" x14ac:dyDescent="0.3">
      <c r="A42" s="110"/>
      <c r="B42" s="1" t="s">
        <v>38</v>
      </c>
    </row>
  </sheetData>
  <mergeCells count="9">
    <mergeCell ref="D13:D14"/>
    <mergeCell ref="N13:N14"/>
    <mergeCell ref="O13:O14"/>
    <mergeCell ref="B2:O2"/>
    <mergeCell ref="B3:O3"/>
    <mergeCell ref="D6:O6"/>
    <mergeCell ref="F12:H12"/>
    <mergeCell ref="J12:L12"/>
    <mergeCell ref="N12:O12"/>
  </mergeCells>
  <dataValidations count="3">
    <dataValidation type="list" allowBlank="1" showInputMessage="1" showErrorMessage="1" sqref="D8">
      <formula1>"TOU, non-TOU"</formula1>
    </dataValidation>
    <dataValidation type="list" allowBlank="1" showInputMessage="1" showErrorMessage="1" sqref="E24:E25 E38 E15:E17 E19:E22 E27:E34">
      <formula1>#REF!</formula1>
    </dataValidation>
    <dataValidation type="list" allowBlank="1" showInputMessage="1" showErrorMessage="1" prompt="Select Charge Unit - monthly, per kWh, per kW" sqref="D24:D25 D38 D15:D17 D19:D22 D27:D34">
      <formula1>"Monthly, per kWh, per kW"</formula1>
    </dataValidation>
  </dataValidations>
  <pageMargins left="0.7" right="0.7" top="0.75" bottom="0.75" header="0.3" footer="0.3"/>
  <pageSetup scale="61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S42"/>
  <sheetViews>
    <sheetView showGridLines="0" zoomScaleNormal="100" workbookViewId="0">
      <selection activeCell="J19" sqref="J19"/>
    </sheetView>
  </sheetViews>
  <sheetFormatPr defaultColWidth="9.109375" defaultRowHeight="14.4" x14ac:dyDescent="0.3"/>
  <cols>
    <col min="1" max="1" width="2.109375" style="1" customWidth="1"/>
    <col min="2" max="2" width="40" style="1" customWidth="1"/>
    <col min="3" max="3" width="1.33203125" style="1" customWidth="1"/>
    <col min="4" max="4" width="11.33203125" style="1" customWidth="1"/>
    <col min="5" max="5" width="1.33203125" style="1" customWidth="1"/>
    <col min="6" max="6" width="12.33203125" style="1" customWidth="1"/>
    <col min="7" max="7" width="8.5546875" style="1" customWidth="1"/>
    <col min="8" max="8" width="10.33203125" style="1" bestFit="1" customWidth="1"/>
    <col min="9" max="9" width="2.88671875" style="1" customWidth="1"/>
    <col min="10" max="10" width="12.109375" style="1" customWidth="1"/>
    <col min="11" max="11" width="8.5546875" style="1" customWidth="1"/>
    <col min="12" max="12" width="10.33203125" style="1" bestFit="1" customWidth="1"/>
    <col min="13" max="13" width="2.88671875" style="1" customWidth="1"/>
    <col min="14" max="14" width="12.6640625" style="1" bestFit="1" customWidth="1"/>
    <col min="15" max="15" width="10.88671875" style="1" bestFit="1" customWidth="1"/>
    <col min="16" max="16" width="3.88671875" style="1" customWidth="1"/>
    <col min="17" max="19" width="9.109375" style="1"/>
    <col min="20" max="20" width="9.109375" style="1" customWidth="1"/>
    <col min="21" max="16384" width="9.10937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194" t="s">
        <v>0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/>
    </row>
    <row r="3" spans="2:16" ht="18.75" customHeight="1" x14ac:dyDescent="0.25">
      <c r="B3" s="194" t="s">
        <v>1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195" t="s">
        <v>77</v>
      </c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2" t="s">
        <v>3</v>
      </c>
      <c r="D8" s="5" t="s">
        <v>4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75" x14ac:dyDescent="0.2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ht="15" x14ac:dyDescent="0.25">
      <c r="B10" s="6"/>
      <c r="D10" s="7" t="s">
        <v>5</v>
      </c>
      <c r="E10" s="7"/>
      <c r="F10" s="8">
        <v>294</v>
      </c>
      <c r="G10" s="7" t="s">
        <v>6</v>
      </c>
    </row>
    <row r="11" spans="2:16" ht="15" x14ac:dyDescent="0.25">
      <c r="B11" s="6"/>
    </row>
    <row r="12" spans="2:16" ht="15" x14ac:dyDescent="0.25">
      <c r="B12" s="6"/>
      <c r="D12" s="9"/>
      <c r="E12" s="9"/>
      <c r="F12" s="196" t="s">
        <v>7</v>
      </c>
      <c r="G12" s="197"/>
      <c r="H12" s="198"/>
      <c r="J12" s="196" t="s">
        <v>8</v>
      </c>
      <c r="K12" s="197"/>
      <c r="L12" s="198"/>
      <c r="N12" s="196" t="s">
        <v>9</v>
      </c>
      <c r="O12" s="198"/>
    </row>
    <row r="13" spans="2:16" x14ac:dyDescent="0.3">
      <c r="B13" s="6"/>
      <c r="D13" s="188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190" t="s">
        <v>14</v>
      </c>
      <c r="O13" s="192" t="s">
        <v>15</v>
      </c>
    </row>
    <row r="14" spans="2:16" x14ac:dyDescent="0.3">
      <c r="B14" s="6"/>
      <c r="D14" s="189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191"/>
      <c r="O14" s="193"/>
    </row>
    <row r="15" spans="2:16" ht="15" x14ac:dyDescent="0.25">
      <c r="B15" s="16" t="s">
        <v>17</v>
      </c>
      <c r="C15" s="16"/>
      <c r="D15" s="17" t="s">
        <v>61</v>
      </c>
      <c r="E15" s="18"/>
      <c r="F15" s="19">
        <f>Rates!D3</f>
        <v>27.76</v>
      </c>
      <c r="G15" s="20">
        <v>1</v>
      </c>
      <c r="H15" s="21">
        <f>G15*F15</f>
        <v>27.76</v>
      </c>
      <c r="I15" s="22"/>
      <c r="J15" s="23">
        <f>Rates!F3</f>
        <v>32.58</v>
      </c>
      <c r="K15" s="24">
        <v>1</v>
      </c>
      <c r="L15" s="21">
        <f>K15*J15</f>
        <v>32.58</v>
      </c>
      <c r="M15" s="22"/>
      <c r="N15" s="25">
        <f>L15-H15</f>
        <v>4.8199999999999967</v>
      </c>
      <c r="O15" s="26">
        <f>IF((H15)=0,"",(N15/H15))</f>
        <v>0.17363112391930824</v>
      </c>
    </row>
    <row r="16" spans="2:16" ht="15" x14ac:dyDescent="0.25">
      <c r="B16" s="16" t="s">
        <v>18</v>
      </c>
      <c r="C16" s="16"/>
      <c r="D16" s="17" t="s">
        <v>62</v>
      </c>
      <c r="E16" s="18"/>
      <c r="F16" s="19">
        <f>Rates!D5</f>
        <v>2.8799999999999999E-2</v>
      </c>
      <c r="G16" s="20">
        <f>$F$10</f>
        <v>294</v>
      </c>
      <c r="H16" s="21">
        <f t="shared" ref="H16:H17" si="0">G16*F16</f>
        <v>8.4672000000000001</v>
      </c>
      <c r="I16" s="22"/>
      <c r="J16" s="23">
        <f>Rates!F5</f>
        <v>2.5100000000000001E-2</v>
      </c>
      <c r="K16" s="20">
        <f>$F$10</f>
        <v>294</v>
      </c>
      <c r="L16" s="21">
        <f t="shared" ref="L16:L17" si="1">K16*J16</f>
        <v>7.3794000000000004</v>
      </c>
      <c r="M16" s="22"/>
      <c r="N16" s="25">
        <f t="shared" ref="N16:N21" si="2">L16-H16</f>
        <v>-1.0877999999999997</v>
      </c>
      <c r="O16" s="26">
        <f t="shared" ref="O16:O21" si="3">IF((H16)=0,"",(N16/H16))</f>
        <v>-0.12847222222222218</v>
      </c>
    </row>
    <row r="17" spans="2:19" ht="45" x14ac:dyDescent="0.25">
      <c r="B17" s="112" t="str">
        <f>Rates!A10</f>
        <v>Rate Rider for the Disposition of Account 1575 &amp; 1576 - effective until December 31, 2019</v>
      </c>
      <c r="C17" s="16"/>
      <c r="D17" s="52" t="s">
        <v>62</v>
      </c>
      <c r="E17" s="18"/>
      <c r="F17" s="23">
        <f>Rates!D10</f>
        <v>-1.9E-3</v>
      </c>
      <c r="G17" s="20">
        <f t="shared" ref="G17" si="4">$F$10</f>
        <v>294</v>
      </c>
      <c r="H17" s="21">
        <f t="shared" si="0"/>
        <v>-0.55859999999999999</v>
      </c>
      <c r="I17" s="22"/>
      <c r="J17" s="23">
        <f>Rates!F10</f>
        <v>-1.9E-3</v>
      </c>
      <c r="K17" s="20">
        <f t="shared" ref="K17" si="5">$F$10</f>
        <v>294</v>
      </c>
      <c r="L17" s="21">
        <f t="shared" si="1"/>
        <v>-0.55859999999999999</v>
      </c>
      <c r="M17" s="22"/>
      <c r="N17" s="25">
        <f t="shared" si="2"/>
        <v>0</v>
      </c>
      <c r="O17" s="26">
        <f t="shared" si="3"/>
        <v>0</v>
      </c>
    </row>
    <row r="18" spans="2:19" s="38" customFormat="1" ht="15" x14ac:dyDescent="0.25">
      <c r="B18" s="27" t="s">
        <v>21</v>
      </c>
      <c r="C18" s="28"/>
      <c r="D18" s="29"/>
      <c r="E18" s="28"/>
      <c r="F18" s="30"/>
      <c r="G18" s="31"/>
      <c r="H18" s="32">
        <f>SUM(H15:H17)</f>
        <v>35.668600000000005</v>
      </c>
      <c r="I18" s="33"/>
      <c r="J18" s="34"/>
      <c r="K18" s="35"/>
      <c r="L18" s="32">
        <f>SUM(L15:L17)</f>
        <v>39.400800000000004</v>
      </c>
      <c r="M18" s="33"/>
      <c r="N18" s="36">
        <f t="shared" si="2"/>
        <v>3.7321999999999989</v>
      </c>
      <c r="O18" s="37">
        <f t="shared" si="3"/>
        <v>0.10463544966721425</v>
      </c>
    </row>
    <row r="19" spans="2:19" ht="38.25" x14ac:dyDescent="0.25">
      <c r="B19" s="39" t="str">
        <f>Rates!A7</f>
        <v>Rate Rider for the Disposition of Deferral/Variance Accounts (2017) - effective until December 31, 2017</v>
      </c>
      <c r="C19" s="16"/>
      <c r="D19" s="17" t="s">
        <v>62</v>
      </c>
      <c r="E19" s="18"/>
      <c r="F19" s="23">
        <f>Rates!D7</f>
        <v>0</v>
      </c>
      <c r="G19" s="20">
        <f t="shared" ref="G19:G20" si="6">$F$10</f>
        <v>294</v>
      </c>
      <c r="H19" s="21">
        <f t="shared" ref="H19:H21" si="7">G19*F19</f>
        <v>0</v>
      </c>
      <c r="I19" s="40"/>
      <c r="J19" s="23">
        <f>Rates!F7+Rates!F9</f>
        <v>-3.3E-3</v>
      </c>
      <c r="K19" s="20">
        <f t="shared" ref="K19:K20" si="8">$F$10</f>
        <v>294</v>
      </c>
      <c r="L19" s="21">
        <f t="shared" ref="L19:L21" si="9">K19*J19</f>
        <v>-0.97019999999999995</v>
      </c>
      <c r="M19" s="41"/>
      <c r="N19" s="25">
        <f t="shared" si="2"/>
        <v>-0.97019999999999995</v>
      </c>
      <c r="O19" s="26" t="str">
        <f t="shared" si="3"/>
        <v/>
      </c>
    </row>
    <row r="20" spans="2:19" ht="15" x14ac:dyDescent="0.25">
      <c r="B20" s="42" t="s">
        <v>22</v>
      </c>
      <c r="C20" s="16"/>
      <c r="D20" s="17"/>
      <c r="E20" s="18"/>
      <c r="F20" s="19"/>
      <c r="G20" s="20">
        <f t="shared" si="6"/>
        <v>294</v>
      </c>
      <c r="H20" s="21">
        <f>G20*F20</f>
        <v>0</v>
      </c>
      <c r="I20" s="22"/>
      <c r="J20" s="23"/>
      <c r="K20" s="20">
        <f t="shared" si="8"/>
        <v>294</v>
      </c>
      <c r="L20" s="21">
        <f>K20*J20</f>
        <v>0</v>
      </c>
      <c r="M20" s="22"/>
      <c r="N20" s="25">
        <f>L20-H20</f>
        <v>0</v>
      </c>
      <c r="O20" s="26" t="str">
        <f>IF((H20)=0,"",(N20/H20))</f>
        <v/>
      </c>
    </row>
    <row r="21" spans="2:19" ht="15" x14ac:dyDescent="0.25">
      <c r="B21" s="42" t="s">
        <v>23</v>
      </c>
      <c r="C21" s="16"/>
      <c r="D21" s="17" t="s">
        <v>62</v>
      </c>
      <c r="E21" s="18"/>
      <c r="F21" s="43">
        <f>IF(ISBLANK(D8)=TRUE, 0, IF(D8="TOU", 0.64*$F$31+0.18*$F$32+0.18*$F$33, IF(AND(D8="non-TOU",#REF!&gt; 0),#REF!,#REF!)))</f>
        <v>0.11183999999999999</v>
      </c>
      <c r="G21" s="44">
        <f>$F$10*(1+$F$40)-$F$10</f>
        <v>26.959799999999973</v>
      </c>
      <c r="H21" s="21">
        <f t="shared" si="7"/>
        <v>3.015184031999997</v>
      </c>
      <c r="I21" s="22"/>
      <c r="J21" s="45">
        <f>0.64*$F$31+0.18*$F$32+0.18*$F$33</f>
        <v>0.11183999999999999</v>
      </c>
      <c r="K21" s="44">
        <f>$F$10*(1+$J$40)-$F$10</f>
        <v>26.959799999999973</v>
      </c>
      <c r="L21" s="21">
        <f t="shared" si="9"/>
        <v>3.015184031999997</v>
      </c>
      <c r="M21" s="22"/>
      <c r="N21" s="25">
        <f t="shared" si="2"/>
        <v>0</v>
      </c>
      <c r="O21" s="26">
        <f t="shared" si="3"/>
        <v>0</v>
      </c>
    </row>
    <row r="22" spans="2:19" ht="15" x14ac:dyDescent="0.25">
      <c r="B22" s="42" t="s">
        <v>24</v>
      </c>
      <c r="C22" s="16"/>
      <c r="D22" s="17" t="s">
        <v>61</v>
      </c>
      <c r="E22" s="18"/>
      <c r="F22" s="43">
        <f>Rates!D15</f>
        <v>0.79</v>
      </c>
      <c r="G22" s="20">
        <v>1</v>
      </c>
      <c r="H22" s="21">
        <f>G22*F22</f>
        <v>0.79</v>
      </c>
      <c r="I22" s="22"/>
      <c r="J22" s="43">
        <f>Rates!F15</f>
        <v>0.79</v>
      </c>
      <c r="K22" s="20">
        <v>1</v>
      </c>
      <c r="L22" s="21">
        <f>K22*J22</f>
        <v>0.79</v>
      </c>
      <c r="M22" s="22"/>
      <c r="N22" s="25">
        <f>L22-H22</f>
        <v>0</v>
      </c>
      <c r="O22" s="26"/>
    </row>
    <row r="23" spans="2:19" ht="25.5" x14ac:dyDescent="0.25">
      <c r="B23" s="46" t="s">
        <v>25</v>
      </c>
      <c r="C23" s="47"/>
      <c r="D23" s="47"/>
      <c r="E23" s="47"/>
      <c r="F23" s="48"/>
      <c r="G23" s="49"/>
      <c r="H23" s="50">
        <f>SUM(H19:H22)+H18</f>
        <v>39.473784032000005</v>
      </c>
      <c r="I23" s="33"/>
      <c r="J23" s="49"/>
      <c r="K23" s="51"/>
      <c r="L23" s="50">
        <f>SUM(L19:L22)+L18</f>
        <v>42.235784031999998</v>
      </c>
      <c r="M23" s="33"/>
      <c r="N23" s="36">
        <f t="shared" ref="N23:N37" si="10">L23-H23</f>
        <v>2.7619999999999933</v>
      </c>
      <c r="O23" s="37">
        <f t="shared" ref="O23:O37" si="11">IF((H23)=0,"",(N23/H23))</f>
        <v>6.9970489724545726E-2</v>
      </c>
    </row>
    <row r="24" spans="2:19" ht="15" x14ac:dyDescent="0.25">
      <c r="B24" s="22" t="s">
        <v>26</v>
      </c>
      <c r="C24" s="22"/>
      <c r="D24" s="52" t="s">
        <v>62</v>
      </c>
      <c r="E24" s="53"/>
      <c r="F24" s="23">
        <f>Rates!D11</f>
        <v>7.0000000000000001E-3</v>
      </c>
      <c r="G24" s="54">
        <f>F10*(1+F40)</f>
        <v>320.95979999999997</v>
      </c>
      <c r="H24" s="21">
        <f>G24*F24</f>
        <v>2.2467185999999999</v>
      </c>
      <c r="I24" s="22"/>
      <c r="J24" s="23">
        <f>Rates!F11</f>
        <v>6.6E-3</v>
      </c>
      <c r="K24" s="55">
        <f>F10*(1+J40)</f>
        <v>320.95979999999997</v>
      </c>
      <c r="L24" s="21">
        <f>K24*J24</f>
        <v>2.1183346799999998</v>
      </c>
      <c r="M24" s="22"/>
      <c r="N24" s="25">
        <f t="shared" si="10"/>
        <v>-0.1283839200000001</v>
      </c>
      <c r="O24" s="26">
        <f t="shared" si="11"/>
        <v>-5.714285714285719E-2</v>
      </c>
    </row>
    <row r="25" spans="2:19" ht="15" x14ac:dyDescent="0.25">
      <c r="B25" s="56" t="s">
        <v>27</v>
      </c>
      <c r="C25" s="22"/>
      <c r="D25" s="52" t="s">
        <v>62</v>
      </c>
      <c r="E25" s="53"/>
      <c r="F25" s="23">
        <f>Rates!D12</f>
        <v>5.1000000000000004E-3</v>
      </c>
      <c r="G25" s="54">
        <f>G24</f>
        <v>320.95979999999997</v>
      </c>
      <c r="H25" s="21">
        <f>G25*F25</f>
        <v>1.6368949799999999</v>
      </c>
      <c r="I25" s="22"/>
      <c r="J25" s="23">
        <f>Rates!F12</f>
        <v>5.0000000000000001E-3</v>
      </c>
      <c r="K25" s="55">
        <f>K24</f>
        <v>320.95979999999997</v>
      </c>
      <c r="L25" s="21">
        <f>K25*J25</f>
        <v>1.6047989999999999</v>
      </c>
      <c r="M25" s="22"/>
      <c r="N25" s="25">
        <f t="shared" si="10"/>
        <v>-3.2095980000000024E-2</v>
      </c>
      <c r="O25" s="26">
        <f t="shared" si="11"/>
        <v>-1.9607843137254919E-2</v>
      </c>
    </row>
    <row r="26" spans="2:19" ht="25.5" x14ac:dyDescent="0.25">
      <c r="B26" s="46" t="s">
        <v>28</v>
      </c>
      <c r="C26" s="28"/>
      <c r="D26" s="28"/>
      <c r="E26" s="28"/>
      <c r="F26" s="57"/>
      <c r="G26" s="49"/>
      <c r="H26" s="50">
        <f>SUM(H23:H25)</f>
        <v>43.357397612000007</v>
      </c>
      <c r="I26" s="58"/>
      <c r="J26" s="59"/>
      <c r="K26" s="60"/>
      <c r="L26" s="50">
        <f>SUM(L23:L25)</f>
        <v>45.958917711999995</v>
      </c>
      <c r="M26" s="58"/>
      <c r="N26" s="36">
        <f t="shared" si="10"/>
        <v>2.6015200999999877</v>
      </c>
      <c r="O26" s="37">
        <f t="shared" si="11"/>
        <v>6.0001758483769471E-2</v>
      </c>
    </row>
    <row r="27" spans="2:19" x14ac:dyDescent="0.3">
      <c r="B27" s="61" t="s">
        <v>29</v>
      </c>
      <c r="C27" s="16"/>
      <c r="D27" s="52" t="s">
        <v>62</v>
      </c>
      <c r="E27" s="18"/>
      <c r="F27" s="64">
        <f>Rates!D13</f>
        <v>3.5999999999999999E-3</v>
      </c>
      <c r="G27" s="54">
        <f>G25</f>
        <v>320.95979999999997</v>
      </c>
      <c r="H27" s="63">
        <f t="shared" ref="H27:H33" si="12">G27*F27</f>
        <v>1.15545528</v>
      </c>
      <c r="I27" s="22"/>
      <c r="J27" s="64">
        <f>Rates!F13</f>
        <v>3.5999999999999999E-3</v>
      </c>
      <c r="K27" s="55">
        <f>K25</f>
        <v>320.95979999999997</v>
      </c>
      <c r="L27" s="63">
        <f t="shared" ref="L27:L33" si="13">K27*J27</f>
        <v>1.15545528</v>
      </c>
      <c r="M27" s="22"/>
      <c r="N27" s="25">
        <f t="shared" si="10"/>
        <v>0</v>
      </c>
      <c r="O27" s="65">
        <f t="shared" si="11"/>
        <v>0</v>
      </c>
    </row>
    <row r="28" spans="2:19" x14ac:dyDescent="0.3">
      <c r="B28" s="61" t="s">
        <v>30</v>
      </c>
      <c r="C28" s="16"/>
      <c r="D28" s="52" t="s">
        <v>62</v>
      </c>
      <c r="E28" s="18"/>
      <c r="F28" s="64">
        <f>Rates!D14</f>
        <v>1.2999999999999999E-3</v>
      </c>
      <c r="G28" s="54">
        <f>G25</f>
        <v>320.95979999999997</v>
      </c>
      <c r="H28" s="63">
        <f t="shared" si="12"/>
        <v>0.41724773999999992</v>
      </c>
      <c r="I28" s="22"/>
      <c r="J28" s="64">
        <f>Rates!F14</f>
        <v>1.2999999999999999E-3</v>
      </c>
      <c r="K28" s="55">
        <f>K25</f>
        <v>320.95979999999997</v>
      </c>
      <c r="L28" s="63">
        <f t="shared" si="13"/>
        <v>0.41724773999999992</v>
      </c>
      <c r="M28" s="22"/>
      <c r="N28" s="25">
        <f t="shared" si="10"/>
        <v>0</v>
      </c>
      <c r="O28" s="65">
        <f t="shared" si="11"/>
        <v>0</v>
      </c>
    </row>
    <row r="29" spans="2:19" x14ac:dyDescent="0.3">
      <c r="B29" s="16" t="s">
        <v>31</v>
      </c>
      <c r="C29" s="16"/>
      <c r="D29" s="17" t="s">
        <v>61</v>
      </c>
      <c r="E29" s="18"/>
      <c r="F29" s="62">
        <f>Rates!D16</f>
        <v>0.25</v>
      </c>
      <c r="G29" s="20">
        <v>1</v>
      </c>
      <c r="H29" s="63">
        <f t="shared" si="12"/>
        <v>0.25</v>
      </c>
      <c r="I29" s="22"/>
      <c r="J29" s="64">
        <f>Rates!F16</f>
        <v>0.25</v>
      </c>
      <c r="K29" s="24">
        <v>1</v>
      </c>
      <c r="L29" s="63">
        <f t="shared" si="13"/>
        <v>0.25</v>
      </c>
      <c r="M29" s="22"/>
      <c r="N29" s="25">
        <f t="shared" si="10"/>
        <v>0</v>
      </c>
      <c r="O29" s="65">
        <f t="shared" si="11"/>
        <v>0</v>
      </c>
    </row>
    <row r="30" spans="2:19" x14ac:dyDescent="0.3">
      <c r="B30" s="16" t="s">
        <v>95</v>
      </c>
      <c r="C30" s="16"/>
      <c r="D30" s="17" t="s">
        <v>62</v>
      </c>
      <c r="E30" s="18"/>
      <c r="F30" s="62">
        <f>Rates!D61</f>
        <v>1.1000000000000001E-3</v>
      </c>
      <c r="G30" s="66">
        <f>F10</f>
        <v>294</v>
      </c>
      <c r="H30" s="63">
        <f t="shared" si="12"/>
        <v>0.32340000000000002</v>
      </c>
      <c r="I30" s="22"/>
      <c r="J30" s="64">
        <f>Rates!F61</f>
        <v>1.1000000000000001E-3</v>
      </c>
      <c r="K30" s="67">
        <f>F10</f>
        <v>294</v>
      </c>
      <c r="L30" s="63">
        <f t="shared" si="13"/>
        <v>0.32340000000000002</v>
      </c>
      <c r="M30" s="22"/>
      <c r="N30" s="25">
        <f t="shared" si="10"/>
        <v>0</v>
      </c>
      <c r="O30" s="65">
        <f t="shared" si="11"/>
        <v>0</v>
      </c>
    </row>
    <row r="31" spans="2:19" x14ac:dyDescent="0.3">
      <c r="B31" s="42" t="s">
        <v>32</v>
      </c>
      <c r="C31" s="16"/>
      <c r="D31" s="17" t="s">
        <v>62</v>
      </c>
      <c r="E31" s="18"/>
      <c r="F31" s="68">
        <f>Rates!D69</f>
        <v>8.6999999999999994E-2</v>
      </c>
      <c r="G31" s="69">
        <f>0.64*$F$10</f>
        <v>188.16</v>
      </c>
      <c r="H31" s="63">
        <f t="shared" si="12"/>
        <v>16.369919999999997</v>
      </c>
      <c r="I31" s="22"/>
      <c r="J31" s="62">
        <f>Rates!F69</f>
        <v>8.6999999999999994E-2</v>
      </c>
      <c r="K31" s="69">
        <f>G31</f>
        <v>188.16</v>
      </c>
      <c r="L31" s="63">
        <f t="shared" si="13"/>
        <v>16.369919999999997</v>
      </c>
      <c r="M31" s="22"/>
      <c r="N31" s="25">
        <f t="shared" si="10"/>
        <v>0</v>
      </c>
      <c r="O31" s="65">
        <f t="shared" si="11"/>
        <v>0</v>
      </c>
      <c r="S31" s="70"/>
    </row>
    <row r="32" spans="2:19" x14ac:dyDescent="0.3">
      <c r="B32" s="42" t="s">
        <v>33</v>
      </c>
      <c r="C32" s="16"/>
      <c r="D32" s="17" t="s">
        <v>62</v>
      </c>
      <c r="E32" s="18"/>
      <c r="F32" s="68">
        <f>Rates!D70</f>
        <v>0.13200000000000001</v>
      </c>
      <c r="G32" s="69">
        <f>0.18*$F$10</f>
        <v>52.919999999999995</v>
      </c>
      <c r="H32" s="63">
        <f t="shared" si="12"/>
        <v>6.9854399999999996</v>
      </c>
      <c r="I32" s="22"/>
      <c r="J32" s="62">
        <f>Rates!F70</f>
        <v>0.13200000000000001</v>
      </c>
      <c r="K32" s="69">
        <f>G32</f>
        <v>52.919999999999995</v>
      </c>
      <c r="L32" s="63">
        <f t="shared" si="13"/>
        <v>6.9854399999999996</v>
      </c>
      <c r="M32" s="22"/>
      <c r="N32" s="25">
        <f t="shared" si="10"/>
        <v>0</v>
      </c>
      <c r="O32" s="65">
        <f t="shared" si="11"/>
        <v>0</v>
      </c>
      <c r="S32" s="70"/>
    </row>
    <row r="33" spans="1:19" ht="15" thickBot="1" x14ac:dyDescent="0.35">
      <c r="B33" s="6" t="s">
        <v>34</v>
      </c>
      <c r="C33" s="16"/>
      <c r="D33" s="17" t="s">
        <v>62</v>
      </c>
      <c r="E33" s="18"/>
      <c r="F33" s="68">
        <f>Rates!D71</f>
        <v>0.18</v>
      </c>
      <c r="G33" s="69">
        <f>0.18*$F$10</f>
        <v>52.919999999999995</v>
      </c>
      <c r="H33" s="63">
        <f t="shared" si="12"/>
        <v>9.525599999999999</v>
      </c>
      <c r="I33" s="22"/>
      <c r="J33" s="62">
        <f>Rates!F71</f>
        <v>0.18</v>
      </c>
      <c r="K33" s="69">
        <f>G33</f>
        <v>52.919999999999995</v>
      </c>
      <c r="L33" s="63">
        <f t="shared" si="13"/>
        <v>9.525599999999999</v>
      </c>
      <c r="M33" s="22"/>
      <c r="N33" s="25">
        <f t="shared" si="10"/>
        <v>0</v>
      </c>
      <c r="O33" s="65">
        <f t="shared" si="11"/>
        <v>0</v>
      </c>
      <c r="S33" s="70"/>
    </row>
    <row r="34" spans="1:19" ht="15" thickBot="1" x14ac:dyDescent="0.35">
      <c r="B34" s="72"/>
      <c r="C34" s="73"/>
      <c r="D34" s="74"/>
      <c r="E34" s="73"/>
      <c r="F34" s="75"/>
      <c r="G34" s="76"/>
      <c r="H34" s="77"/>
      <c r="I34" s="78"/>
      <c r="J34" s="75"/>
      <c r="K34" s="79"/>
      <c r="L34" s="77"/>
      <c r="M34" s="78"/>
      <c r="N34" s="80"/>
      <c r="O34" s="81"/>
    </row>
    <row r="35" spans="1:19" x14ac:dyDescent="0.3">
      <c r="B35" s="82" t="s">
        <v>35</v>
      </c>
      <c r="C35" s="16"/>
      <c r="D35" s="16"/>
      <c r="E35" s="16"/>
      <c r="F35" s="83"/>
      <c r="G35" s="84"/>
      <c r="H35" s="85">
        <f>SUM(H27:H33,H26)</f>
        <v>78.384460632000014</v>
      </c>
      <c r="I35" s="86"/>
      <c r="J35" s="87"/>
      <c r="K35" s="87"/>
      <c r="L35" s="111">
        <f>SUM(L27:L33,L26)</f>
        <v>80.985980732000002</v>
      </c>
      <c r="M35" s="88"/>
      <c r="N35" s="89">
        <f t="shared" ref="N35" si="14">L35-H35</f>
        <v>2.6015200999999877</v>
      </c>
      <c r="O35" s="90">
        <f t="shared" ref="O35" si="15">IF((H35)=0,"",(N35/H35))</f>
        <v>3.3189232649231647E-2</v>
      </c>
      <c r="S35" s="70"/>
    </row>
    <row r="36" spans="1:19" x14ac:dyDescent="0.3">
      <c r="B36" s="91" t="s">
        <v>36</v>
      </c>
      <c r="C36" s="16"/>
      <c r="D36" s="16"/>
      <c r="E36" s="16"/>
      <c r="F36" s="92">
        <v>0.13</v>
      </c>
      <c r="G36" s="93"/>
      <c r="H36" s="94">
        <f>H35*F36</f>
        <v>10.189979882160003</v>
      </c>
      <c r="I36" s="95"/>
      <c r="J36" s="96">
        <v>0.13</v>
      </c>
      <c r="K36" s="95"/>
      <c r="L36" s="97">
        <f>L35*J36</f>
        <v>10.528177495160001</v>
      </c>
      <c r="M36" s="98"/>
      <c r="N36" s="99">
        <f t="shared" si="10"/>
        <v>0.3381976129999984</v>
      </c>
      <c r="O36" s="100">
        <f t="shared" si="11"/>
        <v>3.3189232649231647E-2</v>
      </c>
      <c r="S36" s="70"/>
    </row>
    <row r="37" spans="1:19" s="113" customFormat="1" ht="15" thickBot="1" x14ac:dyDescent="0.35">
      <c r="B37" s="101" t="s">
        <v>97</v>
      </c>
      <c r="C37" s="168"/>
      <c r="D37" s="168"/>
      <c r="E37" s="168"/>
      <c r="F37" s="173"/>
      <c r="G37" s="174"/>
      <c r="H37" s="175">
        <f>H35+H36</f>
        <v>88.574440514160017</v>
      </c>
      <c r="I37" s="176"/>
      <c r="J37" s="176"/>
      <c r="K37" s="176"/>
      <c r="L37" s="177">
        <f>L35+L36</f>
        <v>91.51415822716001</v>
      </c>
      <c r="M37" s="178"/>
      <c r="N37" s="179">
        <f t="shared" si="10"/>
        <v>2.9397177129999932</v>
      </c>
      <c r="O37" s="180">
        <f t="shared" si="11"/>
        <v>3.318923264923173E-2</v>
      </c>
      <c r="S37" s="172"/>
    </row>
    <row r="38" spans="1:19" s="113" customFormat="1" ht="15" thickBot="1" x14ac:dyDescent="0.35">
      <c r="B38" s="72"/>
      <c r="C38" s="73"/>
      <c r="D38" s="74"/>
      <c r="E38" s="73"/>
      <c r="F38" s="75"/>
      <c r="G38" s="76"/>
      <c r="H38" s="77"/>
      <c r="I38" s="78"/>
      <c r="J38" s="75"/>
      <c r="K38" s="79"/>
      <c r="L38" s="77"/>
      <c r="M38" s="78"/>
      <c r="N38" s="80"/>
      <c r="O38" s="81"/>
      <c r="S38" s="172"/>
    </row>
    <row r="39" spans="1:19" x14ac:dyDescent="0.3">
      <c r="L39" s="70"/>
    </row>
    <row r="40" spans="1:19" x14ac:dyDescent="0.3">
      <c r="B40" s="7" t="s">
        <v>37</v>
      </c>
      <c r="F40" s="109">
        <f>Rates!D66</f>
        <v>9.1700000000000004E-2</v>
      </c>
      <c r="J40" s="109">
        <f>Rates!F66</f>
        <v>9.1700000000000004E-2</v>
      </c>
    </row>
    <row r="42" spans="1:19" x14ac:dyDescent="0.3">
      <c r="A42" s="110"/>
      <c r="B42" s="1" t="s">
        <v>38</v>
      </c>
    </row>
  </sheetData>
  <mergeCells count="9">
    <mergeCell ref="D13:D14"/>
    <mergeCell ref="N13:N14"/>
    <mergeCell ref="O13:O14"/>
    <mergeCell ref="B2:O2"/>
    <mergeCell ref="B3:O3"/>
    <mergeCell ref="D6:O6"/>
    <mergeCell ref="F12:H12"/>
    <mergeCell ref="J12:L12"/>
    <mergeCell ref="N12:O12"/>
  </mergeCells>
  <dataValidations count="3">
    <dataValidation type="list" allowBlank="1" showInputMessage="1" showErrorMessage="1" prompt="Select Charge Unit - monthly, per kWh, per kW" sqref="D24:D25 D38 D15:D17 D19:D22 D27:D34">
      <formula1>"Monthly, per kWh, per kW"</formula1>
    </dataValidation>
    <dataValidation type="list" allowBlank="1" showInputMessage="1" showErrorMessage="1" sqref="E24:E25 E38 E15:E17 E19:E22 E27:E34">
      <formula1>#REF!</formula1>
    </dataValidation>
    <dataValidation type="list" allowBlank="1" showInputMessage="1" showErrorMessage="1" sqref="D8">
      <formula1>"TOU, non-TOU"</formula1>
    </dataValidation>
  </dataValidations>
  <pageMargins left="0.7" right="0.7" top="0.75" bottom="0.75" header="0.3" footer="0.3"/>
  <pageSetup scale="61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S42"/>
  <sheetViews>
    <sheetView showGridLines="0" topLeftCell="A10" zoomScaleNormal="100" workbookViewId="0">
      <selection activeCell="J19" sqref="J19"/>
    </sheetView>
  </sheetViews>
  <sheetFormatPr defaultColWidth="9.109375" defaultRowHeight="14.4" x14ac:dyDescent="0.3"/>
  <cols>
    <col min="1" max="1" width="2.109375" style="1" customWidth="1"/>
    <col min="2" max="2" width="40.33203125" style="1" customWidth="1"/>
    <col min="3" max="3" width="1.33203125" style="1" customWidth="1"/>
    <col min="4" max="4" width="11.33203125" style="1" customWidth="1"/>
    <col min="5" max="5" width="1.33203125" style="1" customWidth="1"/>
    <col min="6" max="6" width="12.33203125" style="1" customWidth="1"/>
    <col min="7" max="7" width="8.5546875" style="1" customWidth="1"/>
    <col min="8" max="8" width="10.33203125" style="1" bestFit="1" customWidth="1"/>
    <col min="9" max="9" width="2.88671875" style="1" customWidth="1"/>
    <col min="10" max="10" width="12.109375" style="1" customWidth="1"/>
    <col min="11" max="11" width="8.5546875" style="1" customWidth="1"/>
    <col min="12" max="12" width="10.33203125" style="1" bestFit="1" customWidth="1"/>
    <col min="13" max="13" width="2.88671875" style="1" customWidth="1"/>
    <col min="14" max="14" width="12.6640625" style="1" bestFit="1" customWidth="1"/>
    <col min="15" max="15" width="10.88671875" style="1" bestFit="1" customWidth="1"/>
    <col min="16" max="16" width="3.88671875" style="1" customWidth="1"/>
    <col min="17" max="19" width="9.109375" style="1"/>
    <col min="20" max="20" width="9.109375" style="1" customWidth="1"/>
    <col min="21" max="16384" width="9.10937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194" t="s">
        <v>0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/>
    </row>
    <row r="3" spans="2:16" ht="18.75" customHeight="1" x14ac:dyDescent="0.25">
      <c r="B3" s="194" t="s">
        <v>1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195" t="s">
        <v>77</v>
      </c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2" t="s">
        <v>3</v>
      </c>
      <c r="D8" s="5" t="s">
        <v>4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75" x14ac:dyDescent="0.2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ht="15" x14ac:dyDescent="0.25">
      <c r="B10" s="6"/>
      <c r="D10" s="7" t="s">
        <v>5</v>
      </c>
      <c r="E10" s="7"/>
      <c r="F10" s="8">
        <v>2000</v>
      </c>
      <c r="G10" s="7" t="s">
        <v>6</v>
      </c>
    </row>
    <row r="11" spans="2:16" ht="15" x14ac:dyDescent="0.25">
      <c r="B11" s="6"/>
    </row>
    <row r="12" spans="2:16" ht="15" x14ac:dyDescent="0.25">
      <c r="B12" s="6"/>
      <c r="D12" s="9"/>
      <c r="E12" s="9"/>
      <c r="F12" s="196" t="s">
        <v>7</v>
      </c>
      <c r="G12" s="197"/>
      <c r="H12" s="198"/>
      <c r="J12" s="196" t="s">
        <v>8</v>
      </c>
      <c r="K12" s="197"/>
      <c r="L12" s="198"/>
      <c r="N12" s="196" t="s">
        <v>9</v>
      </c>
      <c r="O12" s="198"/>
    </row>
    <row r="13" spans="2:16" x14ac:dyDescent="0.3">
      <c r="B13" s="6"/>
      <c r="D13" s="188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190" t="s">
        <v>14</v>
      </c>
      <c r="O13" s="192" t="s">
        <v>15</v>
      </c>
    </row>
    <row r="14" spans="2:16" x14ac:dyDescent="0.3">
      <c r="B14" s="6"/>
      <c r="D14" s="189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191"/>
      <c r="O14" s="193"/>
    </row>
    <row r="15" spans="2:16" ht="15" x14ac:dyDescent="0.25">
      <c r="B15" s="16" t="s">
        <v>17</v>
      </c>
      <c r="C15" s="16"/>
      <c r="D15" s="17" t="s">
        <v>61</v>
      </c>
      <c r="E15" s="18"/>
      <c r="F15" s="19">
        <f>Rates!D4</f>
        <v>23.76</v>
      </c>
      <c r="G15" s="20">
        <v>1</v>
      </c>
      <c r="H15" s="21">
        <f>G15*F15</f>
        <v>23.76</v>
      </c>
      <c r="I15" s="22"/>
      <c r="J15" s="23">
        <f>Rates!F4</f>
        <v>24.46</v>
      </c>
      <c r="K15" s="24">
        <v>1</v>
      </c>
      <c r="L15" s="21">
        <f>K15*J15</f>
        <v>24.46</v>
      </c>
      <c r="M15" s="22"/>
      <c r="N15" s="25">
        <f>L15-H15</f>
        <v>0.69999999999999929</v>
      </c>
      <c r="O15" s="26">
        <f>IF((H15)=0,"",(N15/H15))</f>
        <v>2.9461279461279428E-2</v>
      </c>
    </row>
    <row r="16" spans="2:16" ht="15" x14ac:dyDescent="0.25">
      <c r="B16" s="16" t="s">
        <v>18</v>
      </c>
      <c r="C16" s="16"/>
      <c r="D16" s="17" t="s">
        <v>62</v>
      </c>
      <c r="E16" s="18"/>
      <c r="F16" s="19">
        <f>Rates!D6</f>
        <v>3.3399999999999999E-2</v>
      </c>
      <c r="G16" s="20">
        <f>$F$10</f>
        <v>2000</v>
      </c>
      <c r="H16" s="21">
        <f t="shared" ref="H16:H17" si="0">G16*F16</f>
        <v>66.8</v>
      </c>
      <c r="I16" s="22"/>
      <c r="J16" s="23">
        <f>Rates!F6</f>
        <v>3.44E-2</v>
      </c>
      <c r="K16" s="20">
        <f>$F$10</f>
        <v>2000</v>
      </c>
      <c r="L16" s="21">
        <f t="shared" ref="L16:L17" si="1">K16*J16</f>
        <v>68.8</v>
      </c>
      <c r="M16" s="22"/>
      <c r="N16" s="25">
        <f t="shared" ref="N16:N18" si="2">L16-H16</f>
        <v>2</v>
      </c>
      <c r="O16" s="26">
        <f t="shared" ref="O16:O18" si="3">IF((H16)=0,"",(N16/H16))</f>
        <v>2.9940119760479042E-2</v>
      </c>
    </row>
    <row r="17" spans="2:19" ht="45" x14ac:dyDescent="0.25">
      <c r="B17" s="112" t="str">
        <f>Rates!A10</f>
        <v>Rate Rider for the Disposition of Account 1575 &amp; 1576 - effective until December 31, 2019</v>
      </c>
      <c r="C17" s="16"/>
      <c r="D17" s="52" t="s">
        <v>62</v>
      </c>
      <c r="E17" s="18"/>
      <c r="F17" s="23">
        <f>Rates!D10</f>
        <v>-1.9E-3</v>
      </c>
      <c r="G17" s="20">
        <f t="shared" ref="G17" si="4">$F$10</f>
        <v>2000</v>
      </c>
      <c r="H17" s="21">
        <f t="shared" si="0"/>
        <v>-3.8</v>
      </c>
      <c r="I17" s="22"/>
      <c r="J17" s="23">
        <f>Rates!F10</f>
        <v>-1.9E-3</v>
      </c>
      <c r="K17" s="20">
        <f t="shared" ref="K17" si="5">$F$10</f>
        <v>2000</v>
      </c>
      <c r="L17" s="21">
        <f t="shared" si="1"/>
        <v>-3.8</v>
      </c>
      <c r="M17" s="22"/>
      <c r="N17" s="25">
        <f t="shared" si="2"/>
        <v>0</v>
      </c>
      <c r="O17" s="26">
        <f t="shared" si="3"/>
        <v>0</v>
      </c>
    </row>
    <row r="18" spans="2:19" s="38" customFormat="1" ht="15" x14ac:dyDescent="0.25">
      <c r="B18" s="27" t="s">
        <v>21</v>
      </c>
      <c r="C18" s="28"/>
      <c r="D18" s="29"/>
      <c r="E18" s="28"/>
      <c r="F18" s="30"/>
      <c r="G18" s="31"/>
      <c r="H18" s="32">
        <f>SUM(H15:H17)</f>
        <v>86.76</v>
      </c>
      <c r="I18" s="33"/>
      <c r="J18" s="34"/>
      <c r="K18" s="35"/>
      <c r="L18" s="32">
        <f>SUM(L15:L17)</f>
        <v>89.46</v>
      </c>
      <c r="M18" s="33"/>
      <c r="N18" s="36">
        <f t="shared" si="2"/>
        <v>2.6999999999999886</v>
      </c>
      <c r="O18" s="37">
        <f t="shared" si="3"/>
        <v>3.1120331950207338E-2</v>
      </c>
    </row>
    <row r="19" spans="2:19" ht="38.25" x14ac:dyDescent="0.25">
      <c r="B19" s="39" t="str">
        <f>Rates!A7</f>
        <v>Rate Rider for the Disposition of Deferral/Variance Accounts (2017) - effective until December 31, 2017</v>
      </c>
      <c r="C19" s="16"/>
      <c r="D19" s="17" t="s">
        <v>62</v>
      </c>
      <c r="E19" s="18"/>
      <c r="F19" s="23">
        <f>Rates!D7</f>
        <v>0</v>
      </c>
      <c r="G19" s="20">
        <f t="shared" ref="G19:G20" si="6">$F$10</f>
        <v>2000</v>
      </c>
      <c r="H19" s="21">
        <f t="shared" ref="H19:H21" si="7">G19*F19</f>
        <v>0</v>
      </c>
      <c r="I19" s="40"/>
      <c r="J19" s="23">
        <f>Rates!F7+Rates!F9</f>
        <v>-3.3E-3</v>
      </c>
      <c r="K19" s="20">
        <f t="shared" ref="K19:K20" si="8">$F$10</f>
        <v>2000</v>
      </c>
      <c r="L19" s="21">
        <f t="shared" ref="L19:L21" si="9">K19*J19</f>
        <v>-6.6</v>
      </c>
      <c r="M19" s="41"/>
      <c r="N19" s="25">
        <f t="shared" ref="N19:N21" si="10">L19-H19</f>
        <v>-6.6</v>
      </c>
      <c r="O19" s="26" t="str">
        <f t="shared" ref="O19:O21" si="11">IF((H19)=0,"",(N19/H19))</f>
        <v/>
      </c>
    </row>
    <row r="20" spans="2:19" ht="15" x14ac:dyDescent="0.25">
      <c r="B20" s="42" t="s">
        <v>22</v>
      </c>
      <c r="C20" s="16"/>
      <c r="D20" s="17"/>
      <c r="E20" s="18"/>
      <c r="F20" s="19"/>
      <c r="G20" s="20">
        <f t="shared" si="6"/>
        <v>2000</v>
      </c>
      <c r="H20" s="21">
        <f>G20*F20</f>
        <v>0</v>
      </c>
      <c r="I20" s="22"/>
      <c r="J20" s="23"/>
      <c r="K20" s="20">
        <f t="shared" si="8"/>
        <v>2000</v>
      </c>
      <c r="L20" s="21">
        <f>K20*J20</f>
        <v>0</v>
      </c>
      <c r="M20" s="22"/>
      <c r="N20" s="25">
        <f>L20-H20</f>
        <v>0</v>
      </c>
      <c r="O20" s="26" t="str">
        <f>IF((H20)=0,"",(N20/H20))</f>
        <v/>
      </c>
    </row>
    <row r="21" spans="2:19" ht="15" x14ac:dyDescent="0.25">
      <c r="B21" s="42" t="s">
        <v>23</v>
      </c>
      <c r="C21" s="16"/>
      <c r="D21" s="17" t="s">
        <v>62</v>
      </c>
      <c r="E21" s="18"/>
      <c r="F21" s="43">
        <f>IF(ISBLANK(D8)=TRUE, 0, IF(D8="TOU", 0.64*$F$31+0.18*$F$32+0.18*$F$33, IF(AND(D8="non-TOU",#REF!&gt; 0),#REF!,#REF!)))</f>
        <v>0.11183999999999999</v>
      </c>
      <c r="G21" s="44">
        <f>$F$10*(1+$F$40)-$F$10</f>
        <v>183.39999999999964</v>
      </c>
      <c r="H21" s="21">
        <f t="shared" si="7"/>
        <v>20.51145599999996</v>
      </c>
      <c r="I21" s="22"/>
      <c r="J21" s="45">
        <f>0.64*$F$31+0.18*$F$32+0.18*$F$33</f>
        <v>0.11183999999999999</v>
      </c>
      <c r="K21" s="44">
        <f>$F$10*(1+$J$40)-$F$10</f>
        <v>183.39999999999964</v>
      </c>
      <c r="L21" s="21">
        <f t="shared" si="9"/>
        <v>20.51145599999996</v>
      </c>
      <c r="M21" s="22"/>
      <c r="N21" s="25">
        <f t="shared" si="10"/>
        <v>0</v>
      </c>
      <c r="O21" s="26">
        <f t="shared" si="11"/>
        <v>0</v>
      </c>
    </row>
    <row r="22" spans="2:19" ht="15" x14ac:dyDescent="0.25">
      <c r="B22" s="42" t="s">
        <v>24</v>
      </c>
      <c r="C22" s="16"/>
      <c r="D22" s="17" t="s">
        <v>61</v>
      </c>
      <c r="E22" s="18"/>
      <c r="F22" s="43">
        <f>Rates!D15</f>
        <v>0.79</v>
      </c>
      <c r="G22" s="20">
        <v>1</v>
      </c>
      <c r="H22" s="21">
        <f>G22*F22</f>
        <v>0.79</v>
      </c>
      <c r="I22" s="22"/>
      <c r="J22" s="43">
        <f>Rates!F15</f>
        <v>0.79</v>
      </c>
      <c r="K22" s="20">
        <v>1</v>
      </c>
      <c r="L22" s="21">
        <f>K22*J22</f>
        <v>0.79</v>
      </c>
      <c r="M22" s="22"/>
      <c r="N22" s="25">
        <f>L22-H22</f>
        <v>0</v>
      </c>
      <c r="O22" s="26"/>
    </row>
    <row r="23" spans="2:19" ht="25.5" x14ac:dyDescent="0.25">
      <c r="B23" s="46" t="s">
        <v>25</v>
      </c>
      <c r="C23" s="47"/>
      <c r="D23" s="47"/>
      <c r="E23" s="47"/>
      <c r="F23" s="48"/>
      <c r="G23" s="49"/>
      <c r="H23" s="50">
        <f>SUM(H19:H22)+H18</f>
        <v>108.06145599999996</v>
      </c>
      <c r="I23" s="33"/>
      <c r="J23" s="49"/>
      <c r="K23" s="51"/>
      <c r="L23" s="50">
        <f>SUM(L19:L22)+L18</f>
        <v>104.16145599999996</v>
      </c>
      <c r="M23" s="33"/>
      <c r="N23" s="36">
        <f t="shared" ref="N23:N37" si="12">L23-H23</f>
        <v>-3.9000000000000057</v>
      </c>
      <c r="O23" s="37">
        <f t="shared" ref="O23:O37" si="13">IF((H23)=0,"",(N23/H23))</f>
        <v>-3.6090574237681999E-2</v>
      </c>
    </row>
    <row r="24" spans="2:19" ht="15" x14ac:dyDescent="0.25">
      <c r="B24" s="22" t="s">
        <v>26</v>
      </c>
      <c r="C24" s="22"/>
      <c r="D24" s="52" t="s">
        <v>62</v>
      </c>
      <c r="E24" s="53"/>
      <c r="F24" s="23">
        <f>Rates!D11</f>
        <v>7.0000000000000001E-3</v>
      </c>
      <c r="G24" s="54">
        <f>F10*(1+F40)</f>
        <v>2183.3999999999996</v>
      </c>
      <c r="H24" s="21">
        <f>G24*F24</f>
        <v>15.283799999999998</v>
      </c>
      <c r="I24" s="22"/>
      <c r="J24" s="23">
        <f>Rates!F11</f>
        <v>6.6E-3</v>
      </c>
      <c r="K24" s="55">
        <f>F10*(1+J40)</f>
        <v>2183.3999999999996</v>
      </c>
      <c r="L24" s="21">
        <f>K24*J24</f>
        <v>14.410439999999998</v>
      </c>
      <c r="M24" s="22"/>
      <c r="N24" s="25">
        <f t="shared" si="12"/>
        <v>-0.87335999999999991</v>
      </c>
      <c r="O24" s="26">
        <f t="shared" si="13"/>
        <v>-5.7142857142857148E-2</v>
      </c>
    </row>
    <row r="25" spans="2:19" ht="15" x14ac:dyDescent="0.25">
      <c r="B25" s="56" t="s">
        <v>27</v>
      </c>
      <c r="C25" s="22"/>
      <c r="D25" s="52" t="s">
        <v>62</v>
      </c>
      <c r="E25" s="53"/>
      <c r="F25" s="23">
        <f>Rates!D12</f>
        <v>5.1000000000000004E-3</v>
      </c>
      <c r="G25" s="54">
        <f>G24</f>
        <v>2183.3999999999996</v>
      </c>
      <c r="H25" s="21">
        <f>G25*F25</f>
        <v>11.135339999999999</v>
      </c>
      <c r="I25" s="22"/>
      <c r="J25" s="23">
        <f>Rates!F12</f>
        <v>5.0000000000000001E-3</v>
      </c>
      <c r="K25" s="55">
        <f>K24</f>
        <v>2183.3999999999996</v>
      </c>
      <c r="L25" s="21">
        <f>K25*J25</f>
        <v>10.916999999999998</v>
      </c>
      <c r="M25" s="22"/>
      <c r="N25" s="25">
        <f t="shared" si="12"/>
        <v>-0.21834000000000131</v>
      </c>
      <c r="O25" s="26">
        <f t="shared" si="13"/>
        <v>-1.960784313725502E-2</v>
      </c>
    </row>
    <row r="26" spans="2:19" ht="25.5" x14ac:dyDescent="0.25">
      <c r="B26" s="46" t="s">
        <v>28</v>
      </c>
      <c r="C26" s="28"/>
      <c r="D26" s="28"/>
      <c r="E26" s="28"/>
      <c r="F26" s="57"/>
      <c r="G26" s="49"/>
      <c r="H26" s="50">
        <f>SUM(H23:H25)</f>
        <v>134.48059599999996</v>
      </c>
      <c r="I26" s="58"/>
      <c r="J26" s="59"/>
      <c r="K26" s="60"/>
      <c r="L26" s="50">
        <f>SUM(L23:L25)</f>
        <v>129.48889599999995</v>
      </c>
      <c r="M26" s="58"/>
      <c r="N26" s="36">
        <f t="shared" si="12"/>
        <v>-4.9917000000000087</v>
      </c>
      <c r="O26" s="37">
        <f t="shared" si="13"/>
        <v>-3.7118366132166833E-2</v>
      </c>
    </row>
    <row r="27" spans="2:19" x14ac:dyDescent="0.3">
      <c r="B27" s="61" t="s">
        <v>29</v>
      </c>
      <c r="C27" s="16"/>
      <c r="D27" s="52" t="s">
        <v>62</v>
      </c>
      <c r="E27" s="18"/>
      <c r="F27" s="64">
        <f>Rates!D13</f>
        <v>3.5999999999999999E-3</v>
      </c>
      <c r="G27" s="54">
        <f>G25</f>
        <v>2183.3999999999996</v>
      </c>
      <c r="H27" s="63">
        <f t="shared" ref="H27:H33" si="14">G27*F27</f>
        <v>7.8602399999999983</v>
      </c>
      <c r="I27" s="22"/>
      <c r="J27" s="64">
        <f>Rates!F13</f>
        <v>3.5999999999999999E-3</v>
      </c>
      <c r="K27" s="55">
        <f>K25</f>
        <v>2183.3999999999996</v>
      </c>
      <c r="L27" s="63">
        <f t="shared" ref="L27:L33" si="15">K27*J27</f>
        <v>7.8602399999999983</v>
      </c>
      <c r="M27" s="22"/>
      <c r="N27" s="25">
        <f t="shared" si="12"/>
        <v>0</v>
      </c>
      <c r="O27" s="65">
        <f t="shared" si="13"/>
        <v>0</v>
      </c>
    </row>
    <row r="28" spans="2:19" x14ac:dyDescent="0.3">
      <c r="B28" s="61" t="s">
        <v>30</v>
      </c>
      <c r="C28" s="16"/>
      <c r="D28" s="52" t="s">
        <v>62</v>
      </c>
      <c r="E28" s="18"/>
      <c r="F28" s="64">
        <f>Rates!D14</f>
        <v>1.2999999999999999E-3</v>
      </c>
      <c r="G28" s="54">
        <f>G25</f>
        <v>2183.3999999999996</v>
      </c>
      <c r="H28" s="63">
        <f t="shared" si="14"/>
        <v>2.8384199999999993</v>
      </c>
      <c r="I28" s="22"/>
      <c r="J28" s="64">
        <f>Rates!F14</f>
        <v>1.2999999999999999E-3</v>
      </c>
      <c r="K28" s="55">
        <f>K25</f>
        <v>2183.3999999999996</v>
      </c>
      <c r="L28" s="63">
        <f t="shared" si="15"/>
        <v>2.8384199999999993</v>
      </c>
      <c r="M28" s="22"/>
      <c r="N28" s="25">
        <f t="shared" si="12"/>
        <v>0</v>
      </c>
      <c r="O28" s="65">
        <f t="shared" si="13"/>
        <v>0</v>
      </c>
    </row>
    <row r="29" spans="2:19" x14ac:dyDescent="0.3">
      <c r="B29" s="16" t="s">
        <v>31</v>
      </c>
      <c r="C29" s="16"/>
      <c r="D29" s="17" t="s">
        <v>61</v>
      </c>
      <c r="E29" s="18"/>
      <c r="F29" s="62">
        <f>Rates!D16</f>
        <v>0.25</v>
      </c>
      <c r="G29" s="20">
        <v>1</v>
      </c>
      <c r="H29" s="63">
        <f t="shared" si="14"/>
        <v>0.25</v>
      </c>
      <c r="I29" s="22"/>
      <c r="J29" s="64">
        <f>Rates!F16</f>
        <v>0.25</v>
      </c>
      <c r="K29" s="24">
        <v>1</v>
      </c>
      <c r="L29" s="63">
        <f t="shared" si="15"/>
        <v>0.25</v>
      </c>
      <c r="M29" s="22"/>
      <c r="N29" s="25">
        <f t="shared" si="12"/>
        <v>0</v>
      </c>
      <c r="O29" s="65">
        <f t="shared" si="13"/>
        <v>0</v>
      </c>
    </row>
    <row r="30" spans="2:19" x14ac:dyDescent="0.3">
      <c r="B30" s="16" t="s">
        <v>95</v>
      </c>
      <c r="C30" s="16"/>
      <c r="D30" s="17" t="s">
        <v>62</v>
      </c>
      <c r="E30" s="18"/>
      <c r="F30" s="62">
        <f>Rates!D61</f>
        <v>1.1000000000000001E-3</v>
      </c>
      <c r="G30" s="66">
        <f>F10</f>
        <v>2000</v>
      </c>
      <c r="H30" s="63">
        <f t="shared" si="14"/>
        <v>2.2000000000000002</v>
      </c>
      <c r="I30" s="22"/>
      <c r="J30" s="64">
        <f>Rates!F61</f>
        <v>1.1000000000000001E-3</v>
      </c>
      <c r="K30" s="67">
        <f>F10</f>
        <v>2000</v>
      </c>
      <c r="L30" s="63">
        <f t="shared" si="15"/>
        <v>2.2000000000000002</v>
      </c>
      <c r="M30" s="22"/>
      <c r="N30" s="25">
        <f t="shared" ref="N30" si="16">L30-H30</f>
        <v>0</v>
      </c>
      <c r="O30" s="65">
        <f t="shared" ref="O30" si="17">IF((H30)=0,"",(N30/H30))</f>
        <v>0</v>
      </c>
    </row>
    <row r="31" spans="2:19" x14ac:dyDescent="0.3">
      <c r="B31" s="42" t="s">
        <v>32</v>
      </c>
      <c r="C31" s="16"/>
      <c r="D31" s="17" t="s">
        <v>62</v>
      </c>
      <c r="E31" s="18"/>
      <c r="F31" s="68">
        <f>Rates!D69</f>
        <v>8.6999999999999994E-2</v>
      </c>
      <c r="G31" s="69">
        <f>0.64*$F$10</f>
        <v>1280</v>
      </c>
      <c r="H31" s="63">
        <f t="shared" si="14"/>
        <v>111.35999999999999</v>
      </c>
      <c r="I31" s="22"/>
      <c r="J31" s="62">
        <f>Rates!F69</f>
        <v>8.6999999999999994E-2</v>
      </c>
      <c r="K31" s="69">
        <f>G31</f>
        <v>1280</v>
      </c>
      <c r="L31" s="63">
        <f t="shared" si="15"/>
        <v>111.35999999999999</v>
      </c>
      <c r="M31" s="22"/>
      <c r="N31" s="25">
        <f t="shared" si="12"/>
        <v>0</v>
      </c>
      <c r="O31" s="65">
        <f t="shared" si="13"/>
        <v>0</v>
      </c>
      <c r="S31" s="70"/>
    </row>
    <row r="32" spans="2:19" x14ac:dyDescent="0.3">
      <c r="B32" s="42" t="s">
        <v>33</v>
      </c>
      <c r="C32" s="16"/>
      <c r="D32" s="17" t="s">
        <v>62</v>
      </c>
      <c r="E32" s="18"/>
      <c r="F32" s="68">
        <f>Rates!D70</f>
        <v>0.13200000000000001</v>
      </c>
      <c r="G32" s="69">
        <f>0.18*$F$10</f>
        <v>360</v>
      </c>
      <c r="H32" s="63">
        <f t="shared" si="14"/>
        <v>47.52</v>
      </c>
      <c r="I32" s="22"/>
      <c r="J32" s="62">
        <f>Rates!F70</f>
        <v>0.13200000000000001</v>
      </c>
      <c r="K32" s="69">
        <f>G32</f>
        <v>360</v>
      </c>
      <c r="L32" s="63">
        <f t="shared" si="15"/>
        <v>47.52</v>
      </c>
      <c r="M32" s="22"/>
      <c r="N32" s="25">
        <f t="shared" si="12"/>
        <v>0</v>
      </c>
      <c r="O32" s="65">
        <f t="shared" si="13"/>
        <v>0</v>
      </c>
      <c r="S32" s="70"/>
    </row>
    <row r="33" spans="1:19" ht="15" thickBot="1" x14ac:dyDescent="0.35">
      <c r="B33" s="6" t="s">
        <v>34</v>
      </c>
      <c r="C33" s="16"/>
      <c r="D33" s="17" t="s">
        <v>62</v>
      </c>
      <c r="E33" s="18"/>
      <c r="F33" s="68">
        <f>Rates!D71</f>
        <v>0.18</v>
      </c>
      <c r="G33" s="69">
        <f>0.18*$F$10</f>
        <v>360</v>
      </c>
      <c r="H33" s="63">
        <f t="shared" si="14"/>
        <v>64.8</v>
      </c>
      <c r="I33" s="22"/>
      <c r="J33" s="62">
        <f>Rates!F71</f>
        <v>0.18</v>
      </c>
      <c r="K33" s="69">
        <f>G33</f>
        <v>360</v>
      </c>
      <c r="L33" s="63">
        <f t="shared" si="15"/>
        <v>64.8</v>
      </c>
      <c r="M33" s="22"/>
      <c r="N33" s="25">
        <f t="shared" si="12"/>
        <v>0</v>
      </c>
      <c r="O33" s="65">
        <f t="shared" si="13"/>
        <v>0</v>
      </c>
      <c r="S33" s="70"/>
    </row>
    <row r="34" spans="1:19" ht="15" thickBot="1" x14ac:dyDescent="0.35">
      <c r="B34" s="72"/>
      <c r="C34" s="73"/>
      <c r="D34" s="74"/>
      <c r="E34" s="73"/>
      <c r="F34" s="75"/>
      <c r="G34" s="76"/>
      <c r="H34" s="77"/>
      <c r="I34" s="78"/>
      <c r="J34" s="75"/>
      <c r="K34" s="79"/>
      <c r="L34" s="77"/>
      <c r="M34" s="78"/>
      <c r="N34" s="80"/>
      <c r="O34" s="81"/>
    </row>
    <row r="35" spans="1:19" x14ac:dyDescent="0.3">
      <c r="B35" s="82" t="s">
        <v>35</v>
      </c>
      <c r="C35" s="16"/>
      <c r="D35" s="16"/>
      <c r="E35" s="16"/>
      <c r="F35" s="83"/>
      <c r="G35" s="84"/>
      <c r="H35" s="85">
        <f>SUM(H27:H33,H26)</f>
        <v>371.30925599999989</v>
      </c>
      <c r="I35" s="86"/>
      <c r="J35" s="87"/>
      <c r="K35" s="87"/>
      <c r="L35" s="111">
        <f>SUM(L27:L33,L26)</f>
        <v>366.31755599999991</v>
      </c>
      <c r="M35" s="88"/>
      <c r="N35" s="89">
        <f t="shared" ref="N35" si="18">L35-H35</f>
        <v>-4.9916999999999803</v>
      </c>
      <c r="O35" s="90">
        <f t="shared" ref="O35" si="19">IF((H35)=0,"",(N35/H35))</f>
        <v>-1.3443510818378256E-2</v>
      </c>
      <c r="S35" s="70"/>
    </row>
    <row r="36" spans="1:19" x14ac:dyDescent="0.3">
      <c r="B36" s="91" t="s">
        <v>36</v>
      </c>
      <c r="C36" s="16"/>
      <c r="D36" s="16"/>
      <c r="E36" s="16"/>
      <c r="F36" s="92">
        <v>0.13</v>
      </c>
      <c r="G36" s="93"/>
      <c r="H36" s="94">
        <f>H35*F36</f>
        <v>48.27020327999999</v>
      </c>
      <c r="I36" s="95"/>
      <c r="J36" s="96">
        <v>0.13</v>
      </c>
      <c r="K36" s="95"/>
      <c r="L36" s="97">
        <f>L35*J36</f>
        <v>47.621282279999988</v>
      </c>
      <c r="M36" s="98"/>
      <c r="N36" s="99">
        <f t="shared" si="12"/>
        <v>-0.64892100000000141</v>
      </c>
      <c r="O36" s="100">
        <f t="shared" si="13"/>
        <v>-1.3443510818378338E-2</v>
      </c>
      <c r="S36" s="70"/>
    </row>
    <row r="37" spans="1:19" s="113" customFormat="1" ht="15" thickBot="1" x14ac:dyDescent="0.35">
      <c r="B37" s="101" t="s">
        <v>97</v>
      </c>
      <c r="C37" s="168"/>
      <c r="D37" s="168"/>
      <c r="E37" s="168"/>
      <c r="F37" s="173"/>
      <c r="G37" s="174"/>
      <c r="H37" s="175">
        <f>H35+H36</f>
        <v>419.57945927999987</v>
      </c>
      <c r="I37" s="176"/>
      <c r="J37" s="176"/>
      <c r="K37" s="176"/>
      <c r="L37" s="177">
        <f>L35+L36</f>
        <v>413.93883827999991</v>
      </c>
      <c r="M37" s="178"/>
      <c r="N37" s="179">
        <f t="shared" si="12"/>
        <v>-5.6406209999999533</v>
      </c>
      <c r="O37" s="180">
        <f t="shared" si="13"/>
        <v>-1.3443510818378199E-2</v>
      </c>
      <c r="S37" s="172"/>
    </row>
    <row r="38" spans="1:19" ht="15" thickBot="1" x14ac:dyDescent="0.35">
      <c r="B38" s="72"/>
      <c r="C38" s="73"/>
      <c r="D38" s="74"/>
      <c r="E38" s="73"/>
      <c r="F38" s="75"/>
      <c r="G38" s="76"/>
      <c r="H38" s="77"/>
      <c r="I38" s="78"/>
      <c r="J38" s="75"/>
      <c r="K38" s="79"/>
      <c r="L38" s="77"/>
      <c r="M38" s="78"/>
      <c r="N38" s="80"/>
      <c r="O38" s="81"/>
      <c r="S38" s="70"/>
    </row>
    <row r="39" spans="1:19" x14ac:dyDescent="0.3">
      <c r="L39" s="70"/>
    </row>
    <row r="40" spans="1:19" x14ac:dyDescent="0.3">
      <c r="B40" s="7" t="s">
        <v>37</v>
      </c>
      <c r="F40" s="109">
        <f>Rates!D66</f>
        <v>9.1700000000000004E-2</v>
      </c>
      <c r="J40" s="109">
        <f>Rates!F66</f>
        <v>9.1700000000000004E-2</v>
      </c>
    </row>
    <row r="42" spans="1:19" x14ac:dyDescent="0.3">
      <c r="A42" s="110"/>
      <c r="B42" s="1" t="s">
        <v>38</v>
      </c>
    </row>
  </sheetData>
  <mergeCells count="9">
    <mergeCell ref="D13:D14"/>
    <mergeCell ref="N13:N14"/>
    <mergeCell ref="O13:O14"/>
    <mergeCell ref="B2:O2"/>
    <mergeCell ref="B3:O3"/>
    <mergeCell ref="D6:O6"/>
    <mergeCell ref="F12:H12"/>
    <mergeCell ref="J12:L12"/>
    <mergeCell ref="N12:O12"/>
  </mergeCells>
  <dataValidations count="3">
    <dataValidation type="list" allowBlank="1" showInputMessage="1" showErrorMessage="1" prompt="Select Charge Unit - monthly, per kWh, per kW" sqref="D24:D25 D38 D15:D17 D19:D22 D27:D34">
      <formula1>"Monthly, per kWh, per kW"</formula1>
    </dataValidation>
    <dataValidation type="list" allowBlank="1" showInputMessage="1" showErrorMessage="1" sqref="E24:E25 E38 E15:E17 E19:E22 E27:E34">
      <formula1>#REF!</formula1>
    </dataValidation>
    <dataValidation type="list" allowBlank="1" showInputMessage="1" showErrorMessage="1" sqref="D8">
      <formula1>"TOU, non-TOU"</formula1>
    </dataValidation>
  </dataValidations>
  <pageMargins left="0.7" right="0.7" top="0.75" bottom="0.75" header="0.3" footer="0.3"/>
  <pageSetup scale="61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S41"/>
  <sheetViews>
    <sheetView showGridLines="0" zoomScaleNormal="100" workbookViewId="0">
      <selection activeCell="J19" sqref="J19"/>
    </sheetView>
  </sheetViews>
  <sheetFormatPr defaultColWidth="9.109375" defaultRowHeight="14.4" x14ac:dyDescent="0.3"/>
  <cols>
    <col min="1" max="1" width="2.109375" style="1" customWidth="1"/>
    <col min="2" max="2" width="40.6640625" style="1" customWidth="1"/>
    <col min="3" max="3" width="1.33203125" style="1" customWidth="1"/>
    <col min="4" max="4" width="11.33203125" style="1" customWidth="1"/>
    <col min="5" max="5" width="1.33203125" style="1" customWidth="1"/>
    <col min="6" max="6" width="12.33203125" style="1" customWidth="1"/>
    <col min="7" max="7" width="8.5546875" style="1" customWidth="1"/>
    <col min="8" max="8" width="9.6640625" style="1" customWidth="1"/>
    <col min="9" max="9" width="2.88671875" style="1" customWidth="1"/>
    <col min="10" max="10" width="12.109375" style="1" customWidth="1"/>
    <col min="11" max="11" width="8.5546875" style="1" customWidth="1"/>
    <col min="12" max="12" width="9.88671875" style="1" customWidth="1"/>
    <col min="13" max="13" width="2.88671875" style="1" customWidth="1"/>
    <col min="14" max="14" width="12.6640625" style="1" bestFit="1" customWidth="1"/>
    <col min="15" max="15" width="10.88671875" style="1" bestFit="1" customWidth="1"/>
    <col min="16" max="16" width="3.88671875" style="1" customWidth="1"/>
    <col min="17" max="19" width="9.109375" style="1"/>
    <col min="20" max="20" width="9.109375" style="1" customWidth="1"/>
    <col min="21" max="16384" width="9.10937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194" t="s">
        <v>0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/>
    </row>
    <row r="3" spans="2:16" ht="18.75" customHeight="1" x14ac:dyDescent="0.25">
      <c r="B3" s="194" t="s">
        <v>1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195" t="s">
        <v>78</v>
      </c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2" t="s">
        <v>3</v>
      </c>
      <c r="D8" s="5" t="s">
        <v>4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75" x14ac:dyDescent="0.2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ht="15" x14ac:dyDescent="0.25">
      <c r="B10" s="6"/>
      <c r="D10" s="7" t="s">
        <v>5</v>
      </c>
      <c r="E10" s="7"/>
      <c r="F10" s="8">
        <v>750</v>
      </c>
      <c r="G10" s="7" t="s">
        <v>6</v>
      </c>
    </row>
    <row r="11" spans="2:16" ht="15" x14ac:dyDescent="0.25">
      <c r="B11" s="6"/>
    </row>
    <row r="12" spans="2:16" ht="15" x14ac:dyDescent="0.25">
      <c r="B12" s="6"/>
      <c r="D12" s="9"/>
      <c r="E12" s="9"/>
      <c r="F12" s="196" t="s">
        <v>7</v>
      </c>
      <c r="G12" s="197"/>
      <c r="H12" s="198"/>
      <c r="J12" s="196" t="s">
        <v>8</v>
      </c>
      <c r="K12" s="197"/>
      <c r="L12" s="198"/>
      <c r="N12" s="196" t="s">
        <v>9</v>
      </c>
      <c r="O12" s="198"/>
    </row>
    <row r="13" spans="2:16" x14ac:dyDescent="0.3">
      <c r="B13" s="6"/>
      <c r="D13" s="188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190" t="s">
        <v>14</v>
      </c>
      <c r="O13" s="192" t="s">
        <v>15</v>
      </c>
    </row>
    <row r="14" spans="2:16" x14ac:dyDescent="0.3">
      <c r="B14" s="6"/>
      <c r="D14" s="189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191"/>
      <c r="O14" s="193"/>
    </row>
    <row r="15" spans="2:16" ht="15" x14ac:dyDescent="0.25">
      <c r="B15" s="16" t="s">
        <v>17</v>
      </c>
      <c r="C15" s="16"/>
      <c r="D15" s="17" t="s">
        <v>61</v>
      </c>
      <c r="E15" s="18"/>
      <c r="F15" s="19">
        <f>Rates!D3</f>
        <v>27.76</v>
      </c>
      <c r="G15" s="20">
        <v>1</v>
      </c>
      <c r="H15" s="21">
        <f>G15*F15</f>
        <v>27.76</v>
      </c>
      <c r="I15" s="22"/>
      <c r="J15" s="23">
        <f>Rates!F3</f>
        <v>32.58</v>
      </c>
      <c r="K15" s="24">
        <v>1</v>
      </c>
      <c r="L15" s="21">
        <f>K15*J15</f>
        <v>32.58</v>
      </c>
      <c r="M15" s="22"/>
      <c r="N15" s="25">
        <f>L15-H15</f>
        <v>4.8199999999999967</v>
      </c>
      <c r="O15" s="26">
        <f>IF((H15)=0,"",(N15/H15))</f>
        <v>0.17363112391930824</v>
      </c>
    </row>
    <row r="16" spans="2:16" ht="15" x14ac:dyDescent="0.25">
      <c r="B16" s="16" t="s">
        <v>18</v>
      </c>
      <c r="C16" s="16"/>
      <c r="D16" s="17" t="s">
        <v>62</v>
      </c>
      <c r="E16" s="18"/>
      <c r="F16" s="19">
        <f>Rates!D5</f>
        <v>2.8799999999999999E-2</v>
      </c>
      <c r="G16" s="20">
        <f>$F$10</f>
        <v>750</v>
      </c>
      <c r="H16" s="21">
        <f t="shared" ref="H16:H17" si="0">G16*F16</f>
        <v>21.599999999999998</v>
      </c>
      <c r="I16" s="22"/>
      <c r="J16" s="23">
        <f>Rates!F5</f>
        <v>2.5100000000000001E-2</v>
      </c>
      <c r="K16" s="20">
        <f>$F$10</f>
        <v>750</v>
      </c>
      <c r="L16" s="21">
        <f t="shared" ref="L16:L17" si="1">K16*J16</f>
        <v>18.824999999999999</v>
      </c>
      <c r="M16" s="22"/>
      <c r="N16" s="25">
        <f t="shared" ref="N16:N18" si="2">L16-H16</f>
        <v>-2.7749999999999986</v>
      </c>
      <c r="O16" s="26">
        <f t="shared" ref="O16:O18" si="3">IF((H16)=0,"",(N16/H16))</f>
        <v>-0.12847222222222218</v>
      </c>
    </row>
    <row r="17" spans="2:19" ht="45" x14ac:dyDescent="0.25">
      <c r="B17" s="112" t="str">
        <f>Rates!A10</f>
        <v>Rate Rider for the Disposition of Account 1575 &amp; 1576 - effective until December 31, 2019</v>
      </c>
      <c r="C17" s="16"/>
      <c r="D17" s="52" t="s">
        <v>62</v>
      </c>
      <c r="E17" s="18"/>
      <c r="F17" s="23">
        <f>Rates!D10</f>
        <v>-1.9E-3</v>
      </c>
      <c r="G17" s="20">
        <f t="shared" ref="G17" si="4">$F$10</f>
        <v>750</v>
      </c>
      <c r="H17" s="21">
        <f t="shared" si="0"/>
        <v>-1.425</v>
      </c>
      <c r="I17" s="22"/>
      <c r="J17" s="23">
        <f>Rates!F10</f>
        <v>-1.9E-3</v>
      </c>
      <c r="K17" s="20">
        <f t="shared" ref="K17" si="5">$F$10</f>
        <v>750</v>
      </c>
      <c r="L17" s="21">
        <f t="shared" si="1"/>
        <v>-1.425</v>
      </c>
      <c r="M17" s="22"/>
      <c r="N17" s="25">
        <f t="shared" si="2"/>
        <v>0</v>
      </c>
      <c r="O17" s="26">
        <f t="shared" si="3"/>
        <v>0</v>
      </c>
    </row>
    <row r="18" spans="2:19" s="38" customFormat="1" ht="15" x14ac:dyDescent="0.25">
      <c r="B18" s="27" t="s">
        <v>21</v>
      </c>
      <c r="C18" s="28"/>
      <c r="D18" s="29"/>
      <c r="E18" s="28"/>
      <c r="F18" s="30"/>
      <c r="G18" s="31"/>
      <c r="H18" s="32">
        <f>SUM(H15:H17)</f>
        <v>47.935000000000002</v>
      </c>
      <c r="I18" s="33"/>
      <c r="J18" s="34"/>
      <c r="K18" s="35"/>
      <c r="L18" s="32">
        <f>SUM(L15:L17)</f>
        <v>49.980000000000004</v>
      </c>
      <c r="M18" s="33"/>
      <c r="N18" s="36">
        <f t="shared" si="2"/>
        <v>2.0450000000000017</v>
      </c>
      <c r="O18" s="37">
        <f t="shared" si="3"/>
        <v>4.2661938041097351E-2</v>
      </c>
    </row>
    <row r="19" spans="2:19" ht="38.25" x14ac:dyDescent="0.25">
      <c r="B19" s="39" t="str">
        <f>Rates!A7</f>
        <v>Rate Rider for the Disposition of Deferral/Variance Accounts (2017) - effective until December 31, 2017</v>
      </c>
      <c r="C19" s="16"/>
      <c r="D19" s="17" t="s">
        <v>62</v>
      </c>
      <c r="E19" s="18"/>
      <c r="F19" s="23">
        <f>Rates!D7</f>
        <v>0</v>
      </c>
      <c r="G19" s="20">
        <f t="shared" ref="G19:G21" si="6">$F$10</f>
        <v>750</v>
      </c>
      <c r="H19" s="21">
        <f t="shared" ref="H19:H22" si="7">G19*F19</f>
        <v>0</v>
      </c>
      <c r="I19" s="40"/>
      <c r="J19" s="23">
        <f>Rates!F7+Rates!F9</f>
        <v>-3.3E-3</v>
      </c>
      <c r="K19" s="20">
        <f t="shared" ref="K19:K21" si="8">$F$10</f>
        <v>750</v>
      </c>
      <c r="L19" s="21">
        <f t="shared" ref="L19:L22" si="9">K19*J19</f>
        <v>-2.4750000000000001</v>
      </c>
      <c r="M19" s="41"/>
      <c r="N19" s="25">
        <f t="shared" ref="N19:N22" si="10">L19-H19</f>
        <v>-2.4750000000000001</v>
      </c>
      <c r="O19" s="26" t="str">
        <f t="shared" ref="O19:O22" si="11">IF((H19)=0,"",(N19/H19))</f>
        <v/>
      </c>
    </row>
    <row r="20" spans="2:19" ht="38.25" x14ac:dyDescent="0.25">
      <c r="B20" s="39" t="str">
        <f>Rates!A8</f>
        <v>Rate Rider for the Disposition of Global Adjustment Sub-Account (2017) - effective until December 31, 2017</v>
      </c>
      <c r="C20" s="16"/>
      <c r="D20" s="17" t="s">
        <v>62</v>
      </c>
      <c r="E20" s="18"/>
      <c r="F20" s="23">
        <f>Rates!D8</f>
        <v>0</v>
      </c>
      <c r="G20" s="20">
        <f t="shared" si="6"/>
        <v>750</v>
      </c>
      <c r="H20" s="21">
        <f t="shared" si="7"/>
        <v>0</v>
      </c>
      <c r="I20" s="40"/>
      <c r="J20" s="23">
        <f>Rates!F8</f>
        <v>6.7999999999999996E-3</v>
      </c>
      <c r="K20" s="20">
        <f t="shared" si="8"/>
        <v>750</v>
      </c>
      <c r="L20" s="21">
        <f t="shared" si="9"/>
        <v>5.0999999999999996</v>
      </c>
      <c r="M20" s="41"/>
      <c r="N20" s="25">
        <f t="shared" si="10"/>
        <v>5.0999999999999996</v>
      </c>
      <c r="O20" s="26" t="str">
        <f t="shared" si="11"/>
        <v/>
      </c>
    </row>
    <row r="21" spans="2:19" ht="15" x14ac:dyDescent="0.25">
      <c r="B21" s="42" t="s">
        <v>22</v>
      </c>
      <c r="C21" s="16"/>
      <c r="D21" s="17"/>
      <c r="E21" s="18"/>
      <c r="F21" s="19"/>
      <c r="G21" s="20">
        <f t="shared" si="6"/>
        <v>750</v>
      </c>
      <c r="H21" s="21">
        <f>G21*F21</f>
        <v>0</v>
      </c>
      <c r="I21" s="22"/>
      <c r="J21" s="23"/>
      <c r="K21" s="20">
        <f t="shared" si="8"/>
        <v>750</v>
      </c>
      <c r="L21" s="21">
        <f>K21*J21</f>
        <v>0</v>
      </c>
      <c r="M21" s="22"/>
      <c r="N21" s="25">
        <f>L21-H21</f>
        <v>0</v>
      </c>
      <c r="O21" s="26" t="str">
        <f>IF((H21)=0,"",(N21/H21))</f>
        <v/>
      </c>
    </row>
    <row r="22" spans="2:19" ht="15" x14ac:dyDescent="0.25">
      <c r="B22" s="42" t="s">
        <v>23</v>
      </c>
      <c r="C22" s="16"/>
      <c r="D22" s="17" t="s">
        <v>62</v>
      </c>
      <c r="E22" s="18"/>
      <c r="F22" s="43">
        <f>Rates!D74</f>
        <v>0.11183999999999999</v>
      </c>
      <c r="G22" s="20">
        <f>$F$10*(1+$F$39)-$F$10</f>
        <v>68.774999999999864</v>
      </c>
      <c r="H22" s="21">
        <f t="shared" si="7"/>
        <v>7.6917959999999841</v>
      </c>
      <c r="I22" s="22"/>
      <c r="J22" s="45">
        <f>Rates!F74</f>
        <v>0.11183999999999999</v>
      </c>
      <c r="K22" s="20">
        <f>$F$10*(1+$J$39)-$F$10</f>
        <v>68.774999999999864</v>
      </c>
      <c r="L22" s="21">
        <f t="shared" si="9"/>
        <v>7.6917959999999841</v>
      </c>
      <c r="M22" s="22"/>
      <c r="N22" s="25">
        <f t="shared" si="10"/>
        <v>0</v>
      </c>
      <c r="O22" s="26">
        <f t="shared" si="11"/>
        <v>0</v>
      </c>
    </row>
    <row r="23" spans="2:19" ht="15" x14ac:dyDescent="0.25">
      <c r="B23" s="42" t="s">
        <v>24</v>
      </c>
      <c r="C23" s="16"/>
      <c r="D23" s="17" t="s">
        <v>61</v>
      </c>
      <c r="E23" s="18"/>
      <c r="F23" s="43">
        <f>Rates!D15</f>
        <v>0.79</v>
      </c>
      <c r="G23" s="20">
        <v>1</v>
      </c>
      <c r="H23" s="21">
        <f>G23*F23</f>
        <v>0.79</v>
      </c>
      <c r="I23" s="22"/>
      <c r="J23" s="43">
        <f>Rates!F15</f>
        <v>0.79</v>
      </c>
      <c r="K23" s="20">
        <v>1</v>
      </c>
      <c r="L23" s="21">
        <f>K23*J23</f>
        <v>0.79</v>
      </c>
      <c r="M23" s="22"/>
      <c r="N23" s="25">
        <f>L23-H23</f>
        <v>0</v>
      </c>
      <c r="O23" s="26"/>
    </row>
    <row r="24" spans="2:19" ht="25.5" x14ac:dyDescent="0.25">
      <c r="B24" s="46" t="s">
        <v>25</v>
      </c>
      <c r="C24" s="47"/>
      <c r="D24" s="47"/>
      <c r="E24" s="47"/>
      <c r="F24" s="48"/>
      <c r="G24" s="49"/>
      <c r="H24" s="50">
        <f>SUM(H19:H23)+H18</f>
        <v>56.416795999999991</v>
      </c>
      <c r="I24" s="33"/>
      <c r="J24" s="49"/>
      <c r="K24" s="51"/>
      <c r="L24" s="50">
        <f>SUM(L19:L23)+L18</f>
        <v>61.086795999999993</v>
      </c>
      <c r="M24" s="33"/>
      <c r="N24" s="36">
        <f t="shared" ref="N24:N36" si="12">L24-H24</f>
        <v>4.6700000000000017</v>
      </c>
      <c r="O24" s="37">
        <f t="shared" ref="O24:O36" si="13">IF((H24)=0,"",(N24/H24))</f>
        <v>8.2776767400970494E-2</v>
      </c>
    </row>
    <row r="25" spans="2:19" ht="15" x14ac:dyDescent="0.25">
      <c r="B25" s="22" t="s">
        <v>26</v>
      </c>
      <c r="C25" s="22"/>
      <c r="D25" s="52" t="s">
        <v>62</v>
      </c>
      <c r="E25" s="53"/>
      <c r="F25" s="23">
        <f>Rates!D11</f>
        <v>7.0000000000000001E-3</v>
      </c>
      <c r="G25" s="54">
        <f>F10*(1+F39)</f>
        <v>818.77499999999986</v>
      </c>
      <c r="H25" s="21">
        <f>G25*F25</f>
        <v>5.7314249999999989</v>
      </c>
      <c r="I25" s="22"/>
      <c r="J25" s="23">
        <f>Rates!F11</f>
        <v>6.6E-3</v>
      </c>
      <c r="K25" s="55">
        <f>F10*(1+J39)</f>
        <v>818.77499999999986</v>
      </c>
      <c r="L25" s="21">
        <f>K25*J25</f>
        <v>5.4039149999999987</v>
      </c>
      <c r="M25" s="22"/>
      <c r="N25" s="25">
        <f t="shared" si="12"/>
        <v>-0.32751000000000019</v>
      </c>
      <c r="O25" s="26">
        <f t="shared" si="13"/>
        <v>-5.714285714285719E-2</v>
      </c>
    </row>
    <row r="26" spans="2:19" ht="15" x14ac:dyDescent="0.25">
      <c r="B26" s="56" t="s">
        <v>27</v>
      </c>
      <c r="C26" s="22"/>
      <c r="D26" s="52" t="s">
        <v>62</v>
      </c>
      <c r="E26" s="53"/>
      <c r="F26" s="23">
        <f>Rates!D12</f>
        <v>5.1000000000000004E-3</v>
      </c>
      <c r="G26" s="54">
        <f>G25</f>
        <v>818.77499999999986</v>
      </c>
      <c r="H26" s="21">
        <f>G26*F26</f>
        <v>4.1757524999999998</v>
      </c>
      <c r="I26" s="22"/>
      <c r="J26" s="23">
        <f>Rates!F12</f>
        <v>5.0000000000000001E-3</v>
      </c>
      <c r="K26" s="55">
        <f>K25</f>
        <v>818.77499999999986</v>
      </c>
      <c r="L26" s="21">
        <f>K26*J26</f>
        <v>4.0938749999999997</v>
      </c>
      <c r="M26" s="22"/>
      <c r="N26" s="25">
        <f t="shared" si="12"/>
        <v>-8.1877500000000047E-2</v>
      </c>
      <c r="O26" s="26">
        <f t="shared" si="13"/>
        <v>-1.9607843137254916E-2</v>
      </c>
    </row>
    <row r="27" spans="2:19" ht="25.5" x14ac:dyDescent="0.25">
      <c r="B27" s="46" t="s">
        <v>28</v>
      </c>
      <c r="C27" s="28"/>
      <c r="D27" s="28"/>
      <c r="E27" s="28"/>
      <c r="F27" s="57"/>
      <c r="G27" s="49"/>
      <c r="H27" s="50">
        <f>SUM(H24:H26)</f>
        <v>66.323973499999994</v>
      </c>
      <c r="I27" s="58"/>
      <c r="J27" s="59"/>
      <c r="K27" s="60"/>
      <c r="L27" s="50">
        <f>SUM(L24:L26)</f>
        <v>70.584585999999987</v>
      </c>
      <c r="M27" s="58"/>
      <c r="N27" s="36">
        <f t="shared" si="12"/>
        <v>4.2606124999999935</v>
      </c>
      <c r="O27" s="37">
        <f t="shared" si="13"/>
        <v>6.4239403569510106E-2</v>
      </c>
    </row>
    <row r="28" spans="2:19" ht="15" x14ac:dyDescent="0.25">
      <c r="B28" s="61" t="s">
        <v>29</v>
      </c>
      <c r="C28" s="16"/>
      <c r="D28" s="52" t="s">
        <v>62</v>
      </c>
      <c r="E28" s="18"/>
      <c r="F28" s="64">
        <f>Rates!D13</f>
        <v>3.5999999999999999E-3</v>
      </c>
      <c r="G28" s="54">
        <f>G26</f>
        <v>818.77499999999986</v>
      </c>
      <c r="H28" s="63">
        <f t="shared" ref="H28:H32" si="14">G28*F28</f>
        <v>2.9475899999999995</v>
      </c>
      <c r="I28" s="22"/>
      <c r="J28" s="64">
        <f>Rates!F13</f>
        <v>3.5999999999999999E-3</v>
      </c>
      <c r="K28" s="55">
        <f>K26</f>
        <v>818.77499999999986</v>
      </c>
      <c r="L28" s="63">
        <f t="shared" ref="L28:L32" si="15">K28*J28</f>
        <v>2.9475899999999995</v>
      </c>
      <c r="M28" s="22"/>
      <c r="N28" s="25">
        <f t="shared" si="12"/>
        <v>0</v>
      </c>
      <c r="O28" s="65">
        <f t="shared" si="13"/>
        <v>0</v>
      </c>
    </row>
    <row r="29" spans="2:19" ht="15" x14ac:dyDescent="0.25">
      <c r="B29" s="61" t="s">
        <v>30</v>
      </c>
      <c r="C29" s="16"/>
      <c r="D29" s="52" t="s">
        <v>62</v>
      </c>
      <c r="E29" s="18"/>
      <c r="F29" s="64">
        <f>Rates!D14</f>
        <v>1.2999999999999999E-3</v>
      </c>
      <c r="G29" s="54">
        <f>G26</f>
        <v>818.77499999999986</v>
      </c>
      <c r="H29" s="63">
        <f t="shared" si="14"/>
        <v>1.0644074999999997</v>
      </c>
      <c r="I29" s="22"/>
      <c r="J29" s="64">
        <f>Rates!F14</f>
        <v>1.2999999999999999E-3</v>
      </c>
      <c r="K29" s="55">
        <f>K26</f>
        <v>818.77499999999986</v>
      </c>
      <c r="L29" s="63">
        <f t="shared" si="15"/>
        <v>1.0644074999999997</v>
      </c>
      <c r="M29" s="22"/>
      <c r="N29" s="25">
        <f t="shared" si="12"/>
        <v>0</v>
      </c>
      <c r="O29" s="65">
        <f t="shared" si="13"/>
        <v>0</v>
      </c>
    </row>
    <row r="30" spans="2:19" x14ac:dyDescent="0.3">
      <c r="B30" s="16" t="s">
        <v>31</v>
      </c>
      <c r="C30" s="16"/>
      <c r="D30" s="17" t="s">
        <v>61</v>
      </c>
      <c r="E30" s="18"/>
      <c r="F30" s="62">
        <f>Rates!D16</f>
        <v>0.25</v>
      </c>
      <c r="G30" s="20">
        <v>1</v>
      </c>
      <c r="H30" s="63">
        <f t="shared" si="14"/>
        <v>0.25</v>
      </c>
      <c r="I30" s="22"/>
      <c r="J30" s="64">
        <f>Rates!F16</f>
        <v>0.25</v>
      </c>
      <c r="K30" s="24">
        <v>1</v>
      </c>
      <c r="L30" s="63">
        <f t="shared" si="15"/>
        <v>0.25</v>
      </c>
      <c r="M30" s="22"/>
      <c r="N30" s="25">
        <f t="shared" si="12"/>
        <v>0</v>
      </c>
      <c r="O30" s="65">
        <f t="shared" si="13"/>
        <v>0</v>
      </c>
    </row>
    <row r="31" spans="2:19" x14ac:dyDescent="0.3">
      <c r="B31" s="16" t="s">
        <v>95</v>
      </c>
      <c r="C31" s="16"/>
      <c r="D31" s="17" t="s">
        <v>62</v>
      </c>
      <c r="E31" s="18"/>
      <c r="F31" s="62">
        <f>Rates!D61</f>
        <v>1.1000000000000001E-3</v>
      </c>
      <c r="G31" s="66">
        <f>F10</f>
        <v>750</v>
      </c>
      <c r="H31" s="63">
        <f t="shared" si="14"/>
        <v>0.82500000000000007</v>
      </c>
      <c r="I31" s="22"/>
      <c r="J31" s="64">
        <f>Rates!F61</f>
        <v>1.1000000000000001E-3</v>
      </c>
      <c r="K31" s="67">
        <f>F10</f>
        <v>750</v>
      </c>
      <c r="L31" s="63">
        <f t="shared" ref="L31" si="16">K31*J31</f>
        <v>0.82500000000000007</v>
      </c>
      <c r="M31" s="22"/>
      <c r="N31" s="25">
        <f t="shared" ref="N31" si="17">L31-H31</f>
        <v>0</v>
      </c>
      <c r="O31" s="65">
        <f t="shared" ref="O31" si="18">IF((H31)=0,"",(N31/H31))</f>
        <v>0</v>
      </c>
    </row>
    <row r="32" spans="2:19" ht="15" thickBot="1" x14ac:dyDescent="0.35">
      <c r="B32" s="42" t="s">
        <v>79</v>
      </c>
      <c r="C32" s="16"/>
      <c r="D32" s="17" t="s">
        <v>62</v>
      </c>
      <c r="E32" s="18"/>
      <c r="F32" s="68">
        <f>Rates!D73</f>
        <v>0.113</v>
      </c>
      <c r="G32" s="69">
        <f>F10</f>
        <v>750</v>
      </c>
      <c r="H32" s="63">
        <f t="shared" si="14"/>
        <v>84.75</v>
      </c>
      <c r="I32" s="22"/>
      <c r="J32" s="62">
        <f>Rates!F73</f>
        <v>0.113</v>
      </c>
      <c r="K32" s="69">
        <f>G32</f>
        <v>750</v>
      </c>
      <c r="L32" s="63">
        <f t="shared" si="15"/>
        <v>84.75</v>
      </c>
      <c r="M32" s="22"/>
      <c r="N32" s="25">
        <f t="shared" si="12"/>
        <v>0</v>
      </c>
      <c r="O32" s="65">
        <f t="shared" si="13"/>
        <v>0</v>
      </c>
      <c r="S32" s="70"/>
    </row>
    <row r="33" spans="1:19" ht="15" thickBot="1" x14ac:dyDescent="0.35">
      <c r="B33" s="72"/>
      <c r="C33" s="73"/>
      <c r="D33" s="74"/>
      <c r="E33" s="73"/>
      <c r="F33" s="75"/>
      <c r="G33" s="76"/>
      <c r="H33" s="77"/>
      <c r="I33" s="78"/>
      <c r="J33" s="75"/>
      <c r="K33" s="79"/>
      <c r="L33" s="77"/>
      <c r="M33" s="78"/>
      <c r="N33" s="80"/>
      <c r="O33" s="81"/>
    </row>
    <row r="34" spans="1:19" x14ac:dyDescent="0.3">
      <c r="B34" s="82" t="s">
        <v>76</v>
      </c>
      <c r="C34" s="16"/>
      <c r="D34" s="16"/>
      <c r="E34" s="16"/>
      <c r="F34" s="83"/>
      <c r="G34" s="84"/>
      <c r="H34" s="85">
        <f>SUM(H28:H32,H27)</f>
        <v>156.16097099999999</v>
      </c>
      <c r="I34" s="86"/>
      <c r="J34" s="87"/>
      <c r="K34" s="87"/>
      <c r="L34" s="111">
        <f>SUM(L28:L32,L27)</f>
        <v>160.4215835</v>
      </c>
      <c r="M34" s="88"/>
      <c r="N34" s="89">
        <f t="shared" ref="N34" si="19">L34-H34</f>
        <v>4.2606125000000077</v>
      </c>
      <c r="O34" s="90">
        <f t="shared" ref="O34" si="20">IF((H34)=0,"",(N34/H34))</f>
        <v>2.7283465725888755E-2</v>
      </c>
      <c r="S34" s="70"/>
    </row>
    <row r="35" spans="1:19" x14ac:dyDescent="0.3">
      <c r="B35" s="91" t="s">
        <v>36</v>
      </c>
      <c r="C35" s="16"/>
      <c r="D35" s="16"/>
      <c r="E35" s="16"/>
      <c r="F35" s="92">
        <v>0.13</v>
      </c>
      <c r="G35" s="93"/>
      <c r="H35" s="94">
        <f>H34*F35</f>
        <v>20.300926229999998</v>
      </c>
      <c r="I35" s="95"/>
      <c r="J35" s="96">
        <v>0.13</v>
      </c>
      <c r="K35" s="95"/>
      <c r="L35" s="97">
        <f>L34*J35</f>
        <v>20.854805854999999</v>
      </c>
      <c r="M35" s="98"/>
      <c r="N35" s="99">
        <f t="shared" si="12"/>
        <v>0.55387962500000043</v>
      </c>
      <c r="O35" s="100">
        <f t="shared" si="13"/>
        <v>2.7283465725888727E-2</v>
      </c>
      <c r="S35" s="70"/>
    </row>
    <row r="36" spans="1:19" s="113" customFormat="1" ht="15" thickBot="1" x14ac:dyDescent="0.35">
      <c r="B36" s="101" t="s">
        <v>97</v>
      </c>
      <c r="C36" s="168"/>
      <c r="D36" s="168"/>
      <c r="E36" s="168"/>
      <c r="F36" s="173"/>
      <c r="G36" s="174"/>
      <c r="H36" s="175">
        <f>H34+H35</f>
        <v>176.46189722999998</v>
      </c>
      <c r="I36" s="176"/>
      <c r="J36" s="176"/>
      <c r="K36" s="176"/>
      <c r="L36" s="177">
        <f>L34+L35</f>
        <v>181.27638935499999</v>
      </c>
      <c r="M36" s="178"/>
      <c r="N36" s="179">
        <f t="shared" si="12"/>
        <v>4.8144921250000152</v>
      </c>
      <c r="O36" s="180">
        <f t="shared" si="13"/>
        <v>2.7283465725888793E-2</v>
      </c>
      <c r="S36" s="172"/>
    </row>
    <row r="37" spans="1:19" ht="15" thickBot="1" x14ac:dyDescent="0.35">
      <c r="B37" s="72"/>
      <c r="C37" s="73"/>
      <c r="D37" s="74"/>
      <c r="E37" s="73"/>
      <c r="F37" s="75"/>
      <c r="G37" s="76"/>
      <c r="H37" s="77"/>
      <c r="I37" s="78"/>
      <c r="J37" s="75"/>
      <c r="K37" s="79"/>
      <c r="L37" s="77"/>
      <c r="M37" s="78"/>
      <c r="N37" s="80"/>
      <c r="O37" s="81"/>
      <c r="S37" s="70"/>
    </row>
    <row r="38" spans="1:19" x14ac:dyDescent="0.3">
      <c r="L38" s="70"/>
    </row>
    <row r="39" spans="1:19" x14ac:dyDescent="0.3">
      <c r="B39" s="7" t="s">
        <v>37</v>
      </c>
      <c r="F39" s="109">
        <f>Rates!D66</f>
        <v>9.1700000000000004E-2</v>
      </c>
      <c r="J39" s="109">
        <f>Rates!F66</f>
        <v>9.1700000000000004E-2</v>
      </c>
    </row>
    <row r="41" spans="1:19" x14ac:dyDescent="0.3">
      <c r="A41" s="110"/>
      <c r="B41" s="1" t="s">
        <v>38</v>
      </c>
    </row>
  </sheetData>
  <mergeCells count="9">
    <mergeCell ref="D13:D14"/>
    <mergeCell ref="N13:N14"/>
    <mergeCell ref="O13:O14"/>
    <mergeCell ref="B2:O2"/>
    <mergeCell ref="B3:O3"/>
    <mergeCell ref="D6:O6"/>
    <mergeCell ref="F12:H12"/>
    <mergeCell ref="J12:L12"/>
    <mergeCell ref="N12:O12"/>
  </mergeCells>
  <dataValidations count="3">
    <dataValidation type="list" allowBlank="1" showInputMessage="1" showErrorMessage="1" prompt="Select Charge Unit - monthly, per kWh, per kW" sqref="D25:D26 D37 D15:D17 D19:D23 D28:D33">
      <formula1>"Monthly, per kWh, per kW"</formula1>
    </dataValidation>
    <dataValidation type="list" allowBlank="1" showInputMessage="1" showErrorMessage="1" sqref="E25:E26 E37 E15:E17 E19:E23 E28:E33">
      <formula1>#REF!</formula1>
    </dataValidation>
    <dataValidation type="list" allowBlank="1" showInputMessage="1" showErrorMessage="1" sqref="D8">
      <formula1>"TOU, non-TOU"</formula1>
    </dataValidation>
  </dataValidations>
  <pageMargins left="0.7" right="0.7" top="0.75" bottom="0.75" header="0.3" footer="0.3"/>
  <pageSetup scale="61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S41"/>
  <sheetViews>
    <sheetView showGridLines="0" topLeftCell="A13" zoomScaleNormal="100" workbookViewId="0">
      <selection activeCell="D20" sqref="D20"/>
    </sheetView>
  </sheetViews>
  <sheetFormatPr defaultColWidth="9.109375" defaultRowHeight="14.4" x14ac:dyDescent="0.3"/>
  <cols>
    <col min="1" max="1" width="2.109375" style="1" customWidth="1"/>
    <col min="2" max="2" width="40.33203125" style="1" customWidth="1"/>
    <col min="3" max="3" width="1.33203125" style="1" customWidth="1"/>
    <col min="4" max="4" width="11.33203125" style="1" customWidth="1"/>
    <col min="5" max="5" width="1.33203125" style="1" customWidth="1"/>
    <col min="6" max="6" width="12.33203125" style="1" customWidth="1"/>
    <col min="7" max="7" width="8.5546875" style="1" customWidth="1"/>
    <col min="8" max="8" width="11.33203125" style="1" bestFit="1" customWidth="1"/>
    <col min="9" max="9" width="2.88671875" style="1" customWidth="1"/>
    <col min="10" max="10" width="12.109375" style="1" customWidth="1"/>
    <col min="11" max="11" width="8.5546875" style="1" customWidth="1"/>
    <col min="12" max="12" width="11.33203125" style="1" bestFit="1" customWidth="1"/>
    <col min="13" max="13" width="2.88671875" style="1" customWidth="1"/>
    <col min="14" max="14" width="12.6640625" style="1" bestFit="1" customWidth="1"/>
    <col min="15" max="15" width="10.88671875" style="1" bestFit="1" customWidth="1"/>
    <col min="16" max="16" width="3.88671875" style="1" customWidth="1"/>
    <col min="17" max="19" width="9.109375" style="1"/>
    <col min="20" max="20" width="9.109375" style="1" customWidth="1"/>
    <col min="21" max="16384" width="9.10937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194" t="s">
        <v>0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/>
    </row>
    <row r="3" spans="2:16" ht="18.75" customHeight="1" x14ac:dyDescent="0.25">
      <c r="B3" s="194" t="s">
        <v>1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195" t="s">
        <v>101</v>
      </c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3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" x14ac:dyDescent="0.25">
      <c r="B9" s="6"/>
      <c r="D9" s="7" t="s">
        <v>5</v>
      </c>
      <c r="E9" s="7"/>
      <c r="F9" s="8">
        <v>90000</v>
      </c>
      <c r="G9" s="7" t="s">
        <v>6</v>
      </c>
      <c r="I9" s="199" t="s">
        <v>65</v>
      </c>
      <c r="J9" s="199"/>
      <c r="K9" s="8">
        <v>225</v>
      </c>
      <c r="L9" s="113" t="s">
        <v>66</v>
      </c>
    </row>
    <row r="10" spans="2:16" ht="15" x14ac:dyDescent="0.25">
      <c r="B10" s="6"/>
    </row>
    <row r="11" spans="2:16" ht="15" x14ac:dyDescent="0.25">
      <c r="B11" s="6"/>
      <c r="D11" s="9"/>
      <c r="E11" s="9"/>
      <c r="F11" s="196" t="s">
        <v>7</v>
      </c>
      <c r="G11" s="197"/>
      <c r="H11" s="198"/>
      <c r="J11" s="196" t="s">
        <v>8</v>
      </c>
      <c r="K11" s="197"/>
      <c r="L11" s="198"/>
      <c r="N11" s="196" t="s">
        <v>9</v>
      </c>
      <c r="O11" s="198"/>
    </row>
    <row r="12" spans="2:16" x14ac:dyDescent="0.3">
      <c r="B12" s="6"/>
      <c r="D12" s="188" t="s">
        <v>10</v>
      </c>
      <c r="E12" s="10"/>
      <c r="F12" s="11" t="s">
        <v>11</v>
      </c>
      <c r="G12" s="11" t="s">
        <v>12</v>
      </c>
      <c r="H12" s="12" t="s">
        <v>13</v>
      </c>
      <c r="J12" s="11" t="s">
        <v>11</v>
      </c>
      <c r="K12" s="13" t="s">
        <v>12</v>
      </c>
      <c r="L12" s="12" t="s">
        <v>13</v>
      </c>
      <c r="N12" s="190" t="s">
        <v>14</v>
      </c>
      <c r="O12" s="192" t="s">
        <v>15</v>
      </c>
    </row>
    <row r="13" spans="2:16" x14ac:dyDescent="0.3">
      <c r="B13" s="6"/>
      <c r="D13" s="189"/>
      <c r="E13" s="10"/>
      <c r="F13" s="14" t="s">
        <v>16</v>
      </c>
      <c r="G13" s="14"/>
      <c r="H13" s="15" t="s">
        <v>16</v>
      </c>
      <c r="J13" s="14" t="s">
        <v>16</v>
      </c>
      <c r="K13" s="15"/>
      <c r="L13" s="15" t="s">
        <v>16</v>
      </c>
      <c r="N13" s="191"/>
      <c r="O13" s="193"/>
    </row>
    <row r="14" spans="2:16" ht="15" x14ac:dyDescent="0.25">
      <c r="B14" s="16" t="s">
        <v>17</v>
      </c>
      <c r="C14" s="16"/>
      <c r="D14" s="17" t="s">
        <v>61</v>
      </c>
      <c r="E14" s="18"/>
      <c r="F14" s="19">
        <f>Rates!D19</f>
        <v>611.64</v>
      </c>
      <c r="G14" s="20">
        <v>1</v>
      </c>
      <c r="H14" s="21">
        <f>G14*F14</f>
        <v>611.64</v>
      </c>
      <c r="I14" s="22"/>
      <c r="J14" s="23">
        <v>629.74</v>
      </c>
      <c r="K14" s="24">
        <v>1</v>
      </c>
      <c r="L14" s="21">
        <f>K14*J14</f>
        <v>629.74</v>
      </c>
      <c r="M14" s="22"/>
      <c r="N14" s="25">
        <f>L14-H14</f>
        <v>18.100000000000023</v>
      </c>
      <c r="O14" s="26">
        <f>IF((H14)=0,"",(N14/H14))</f>
        <v>2.959257079327713E-2</v>
      </c>
    </row>
    <row r="15" spans="2:16" ht="15" x14ac:dyDescent="0.25">
      <c r="B15" s="16" t="s">
        <v>18</v>
      </c>
      <c r="C15" s="16"/>
      <c r="D15" s="17" t="s">
        <v>67</v>
      </c>
      <c r="E15" s="18"/>
      <c r="F15" s="19">
        <f>Rates!D20</f>
        <v>3.1690999999999998</v>
      </c>
      <c r="G15" s="20">
        <f>$K$9</f>
        <v>225</v>
      </c>
      <c r="H15" s="21">
        <f t="shared" ref="H15:H16" si="0">G15*F15</f>
        <v>713.0474999999999</v>
      </c>
      <c r="I15" s="22"/>
      <c r="J15" s="23">
        <v>3.2629000000000001</v>
      </c>
      <c r="K15" s="20">
        <f>$K$9</f>
        <v>225</v>
      </c>
      <c r="L15" s="21">
        <f t="shared" ref="L15:L16" si="1">K15*J15</f>
        <v>734.15250000000003</v>
      </c>
      <c r="M15" s="22"/>
      <c r="N15" s="25">
        <f t="shared" ref="N15:N17" si="2">L15-H15</f>
        <v>21.105000000000132</v>
      </c>
      <c r="O15" s="26">
        <f t="shared" ref="O15:O17" si="3">IF((H15)=0,"",(N15/H15))</f>
        <v>2.9598308668076299E-2</v>
      </c>
    </row>
    <row r="16" spans="2:16" ht="45" x14ac:dyDescent="0.25">
      <c r="B16" s="112" t="str">
        <f>Rates!A24</f>
        <v>Rate Rider for the Disposition of Account 1575 &amp; 1576 - effective until December 31, 2019</v>
      </c>
      <c r="C16" s="16"/>
      <c r="D16" s="52" t="s">
        <v>67</v>
      </c>
      <c r="E16" s="18"/>
      <c r="F16" s="23">
        <f>Rates!D24</f>
        <v>-0.80100000000000005</v>
      </c>
      <c r="G16" s="20">
        <f t="shared" ref="G16:G21" si="4">$K$9</f>
        <v>225</v>
      </c>
      <c r="H16" s="21">
        <f t="shared" si="0"/>
        <v>-180.22500000000002</v>
      </c>
      <c r="I16" s="22"/>
      <c r="J16" s="23">
        <f>Rates!F24</f>
        <v>-0.80100000000000005</v>
      </c>
      <c r="K16" s="20">
        <f t="shared" ref="K16:K21" si="5">$K$9</f>
        <v>225</v>
      </c>
      <c r="L16" s="21">
        <f t="shared" si="1"/>
        <v>-180.22500000000002</v>
      </c>
      <c r="M16" s="22"/>
      <c r="N16" s="25">
        <f t="shared" si="2"/>
        <v>0</v>
      </c>
      <c r="O16" s="26">
        <f t="shared" si="3"/>
        <v>0</v>
      </c>
    </row>
    <row r="17" spans="2:19" s="38" customFormat="1" ht="15" x14ac:dyDescent="0.25">
      <c r="B17" s="27" t="s">
        <v>21</v>
      </c>
      <c r="C17" s="28"/>
      <c r="D17" s="29"/>
      <c r="E17" s="28"/>
      <c r="F17" s="30"/>
      <c r="G17" s="31"/>
      <c r="H17" s="32">
        <f>SUM(H14:H16)</f>
        <v>1144.4625000000001</v>
      </c>
      <c r="I17" s="33"/>
      <c r="J17" s="34"/>
      <c r="K17" s="35"/>
      <c r="L17" s="32">
        <f>SUM(L14:L16)</f>
        <v>1183.6675</v>
      </c>
      <c r="M17" s="33"/>
      <c r="N17" s="36">
        <f t="shared" si="2"/>
        <v>39.204999999999927</v>
      </c>
      <c r="O17" s="37">
        <f t="shared" si="3"/>
        <v>3.4256255665869283E-2</v>
      </c>
    </row>
    <row r="18" spans="2:19" ht="38.25" x14ac:dyDescent="0.25">
      <c r="B18" s="39" t="str">
        <f>Rates!A21</f>
        <v>Rate Rider for the Disposition of Deferral/Variance Accounts (2017) - effective until December 31, 2017</v>
      </c>
      <c r="C18" s="16"/>
      <c r="D18" s="17" t="s">
        <v>67</v>
      </c>
      <c r="E18" s="18"/>
      <c r="F18" s="23">
        <f>Rates!D21</f>
        <v>0</v>
      </c>
      <c r="G18" s="20">
        <f t="shared" si="4"/>
        <v>225</v>
      </c>
      <c r="H18" s="21">
        <f t="shared" ref="H18:H22" si="6">G18*F18</f>
        <v>0</v>
      </c>
      <c r="I18" s="40"/>
      <c r="J18" s="23">
        <f>Rates!F21</f>
        <v>1.5845</v>
      </c>
      <c r="K18" s="20">
        <f t="shared" si="5"/>
        <v>225</v>
      </c>
      <c r="L18" s="21">
        <f t="shared" ref="L18:L22" si="7">K18*J18</f>
        <v>356.51249999999999</v>
      </c>
      <c r="M18" s="41"/>
      <c r="N18" s="25">
        <f t="shared" ref="N18:N22" si="8">L18-H18</f>
        <v>356.51249999999999</v>
      </c>
      <c r="O18" s="26" t="str">
        <f t="shared" ref="O18:O22" si="9">IF((H18)=0,"",(N18/H18))</f>
        <v/>
      </c>
    </row>
    <row r="19" spans="2:19" ht="39.6" x14ac:dyDescent="0.3">
      <c r="B19" s="39" t="str">
        <f>Rates!A22</f>
        <v>Rate Rider for the Disposition of Global Adjustment Sub-Account (2017) - effective until December 31, 2017</v>
      </c>
      <c r="C19" s="16"/>
      <c r="D19" s="17" t="s">
        <v>62</v>
      </c>
      <c r="E19" s="18"/>
      <c r="F19" s="23">
        <f>Rates!D22</f>
        <v>0</v>
      </c>
      <c r="G19" s="114">
        <f>F9</f>
        <v>90000</v>
      </c>
      <c r="H19" s="21">
        <f t="shared" si="6"/>
        <v>0</v>
      </c>
      <c r="I19" s="40"/>
      <c r="J19" s="23">
        <f>Rates!F22</f>
        <v>6.7999999999999996E-3</v>
      </c>
      <c r="K19" s="114">
        <f>F9</f>
        <v>90000</v>
      </c>
      <c r="L19" s="21">
        <f t="shared" si="7"/>
        <v>612</v>
      </c>
      <c r="M19" s="41"/>
      <c r="N19" s="25">
        <f t="shared" si="8"/>
        <v>612</v>
      </c>
      <c r="O19" s="26" t="str">
        <f t="shared" si="9"/>
        <v/>
      </c>
    </row>
    <row r="20" spans="2:19" ht="53.4" x14ac:dyDescent="0.3">
      <c r="B20" s="181" t="s">
        <v>106</v>
      </c>
      <c r="C20" s="16"/>
      <c r="D20" s="183" t="s">
        <v>62</v>
      </c>
      <c r="E20" s="18"/>
      <c r="F20" s="23">
        <f>Rates!D23</f>
        <v>0</v>
      </c>
      <c r="G20" s="114">
        <f>F10</f>
        <v>0</v>
      </c>
      <c r="H20" s="21">
        <f t="shared" ref="H20" si="10">G20*F20</f>
        <v>0</v>
      </c>
      <c r="I20" s="182"/>
      <c r="J20" s="23">
        <f>Rates!F23</f>
        <v>2.0000000000000001E-4</v>
      </c>
      <c r="K20" s="114">
        <f>F9</f>
        <v>90000</v>
      </c>
      <c r="L20" s="21">
        <f t="shared" ref="L20" si="11">K20*J20</f>
        <v>18</v>
      </c>
      <c r="M20" s="182"/>
      <c r="N20" s="25">
        <f t="shared" si="8"/>
        <v>18</v>
      </c>
      <c r="O20" s="26" t="str">
        <f t="shared" si="9"/>
        <v/>
      </c>
    </row>
    <row r="21" spans="2:19" x14ac:dyDescent="0.3">
      <c r="B21" s="42" t="s">
        <v>22</v>
      </c>
      <c r="C21" s="16"/>
      <c r="D21" s="17"/>
      <c r="E21" s="18"/>
      <c r="F21" s="19"/>
      <c r="G21" s="20">
        <f t="shared" si="4"/>
        <v>225</v>
      </c>
      <c r="H21" s="21">
        <f>G21*F21</f>
        <v>0</v>
      </c>
      <c r="I21" s="22"/>
      <c r="J21" s="23"/>
      <c r="K21" s="20">
        <f t="shared" si="5"/>
        <v>225</v>
      </c>
      <c r="L21" s="21">
        <f>K21*J21</f>
        <v>0</v>
      </c>
      <c r="M21" s="22"/>
      <c r="N21" s="25">
        <f>L21-H21</f>
        <v>0</v>
      </c>
      <c r="O21" s="26" t="str">
        <f>IF((H21)=0,"",(N21/H21))</f>
        <v/>
      </c>
    </row>
    <row r="22" spans="2:19" ht="15" x14ac:dyDescent="0.25">
      <c r="B22" s="42" t="s">
        <v>23</v>
      </c>
      <c r="C22" s="16"/>
      <c r="D22" s="17" t="s">
        <v>62</v>
      </c>
      <c r="E22" s="18"/>
      <c r="F22" s="115">
        <f>Rates!D74</f>
        <v>0.11183999999999999</v>
      </c>
      <c r="G22" s="44">
        <f>$F$9*(1+$F$39)-$F$9</f>
        <v>8252.9999999999854</v>
      </c>
      <c r="H22" s="21">
        <f t="shared" si="6"/>
        <v>923.01551999999833</v>
      </c>
      <c r="I22" s="22"/>
      <c r="J22" s="117">
        <f>Rates!F74</f>
        <v>0.11183999999999999</v>
      </c>
      <c r="K22" s="44">
        <f>$F$9*(1+$J$39)-$F$9</f>
        <v>8252.9999999999854</v>
      </c>
      <c r="L22" s="21">
        <f t="shared" si="7"/>
        <v>923.01551999999833</v>
      </c>
      <c r="M22" s="22"/>
      <c r="N22" s="25">
        <f t="shared" si="8"/>
        <v>0</v>
      </c>
      <c r="O22" s="26">
        <f t="shared" si="9"/>
        <v>0</v>
      </c>
    </row>
    <row r="23" spans="2:19" ht="15" x14ac:dyDescent="0.25">
      <c r="B23" s="42" t="s">
        <v>24</v>
      </c>
      <c r="C23" s="16"/>
      <c r="D23" s="17" t="s">
        <v>61</v>
      </c>
      <c r="E23" s="18"/>
      <c r="F23" s="43"/>
      <c r="G23" s="20">
        <v>1</v>
      </c>
      <c r="H23" s="21">
        <f>G23*F23</f>
        <v>0</v>
      </c>
      <c r="I23" s="22"/>
      <c r="J23" s="43"/>
      <c r="K23" s="20">
        <v>1</v>
      </c>
      <c r="L23" s="21">
        <f>K23*J23</f>
        <v>0</v>
      </c>
      <c r="M23" s="22"/>
      <c r="N23" s="25">
        <f>L23-H23</f>
        <v>0</v>
      </c>
      <c r="O23" s="26"/>
    </row>
    <row r="24" spans="2:19" ht="25.5" x14ac:dyDescent="0.25">
      <c r="B24" s="46" t="s">
        <v>25</v>
      </c>
      <c r="C24" s="47"/>
      <c r="D24" s="47"/>
      <c r="E24" s="47"/>
      <c r="F24" s="48"/>
      <c r="G24" s="49"/>
      <c r="H24" s="50">
        <f>SUM(H18:H23)+H17</f>
        <v>2067.4780199999987</v>
      </c>
      <c r="I24" s="33"/>
      <c r="J24" s="49"/>
      <c r="K24" s="51"/>
      <c r="L24" s="50">
        <f>SUM(L18:L23)+L17</f>
        <v>3093.1955199999984</v>
      </c>
      <c r="M24" s="33"/>
      <c r="N24" s="36">
        <f t="shared" ref="N24:N36" si="12">L24-H24</f>
        <v>1025.7174999999997</v>
      </c>
      <c r="O24" s="37">
        <f t="shared" ref="O24:O36" si="13">IF((H24)=0,"",(N24/H24))</f>
        <v>0.49612014738613786</v>
      </c>
    </row>
    <row r="25" spans="2:19" ht="15" x14ac:dyDescent="0.25">
      <c r="B25" s="22" t="s">
        <v>26</v>
      </c>
      <c r="C25" s="22"/>
      <c r="D25" s="52" t="s">
        <v>67</v>
      </c>
      <c r="E25" s="53"/>
      <c r="F25" s="23">
        <f>Rates!D25</f>
        <v>2.6924000000000001</v>
      </c>
      <c r="G25" s="54">
        <f>K9*(1+F39)</f>
        <v>245.63249999999996</v>
      </c>
      <c r="H25" s="21">
        <f>G25*F25</f>
        <v>661.34094299999992</v>
      </c>
      <c r="I25" s="22"/>
      <c r="J25" s="23">
        <f>Rates!F25</f>
        <v>2.5251000000000001</v>
      </c>
      <c r="K25" s="55">
        <f>K9*(1+J39)</f>
        <v>245.63249999999996</v>
      </c>
      <c r="L25" s="21">
        <f>K25*J25</f>
        <v>620.24662574999991</v>
      </c>
      <c r="M25" s="22"/>
      <c r="N25" s="25">
        <f t="shared" si="12"/>
        <v>-41.094317250000017</v>
      </c>
      <c r="O25" s="26">
        <f t="shared" si="13"/>
        <v>-6.2137869558758017E-2</v>
      </c>
    </row>
    <row r="26" spans="2:19" ht="15" x14ac:dyDescent="0.25">
      <c r="B26" s="56" t="s">
        <v>27</v>
      </c>
      <c r="C26" s="22"/>
      <c r="D26" s="52" t="s">
        <v>67</v>
      </c>
      <c r="E26" s="53"/>
      <c r="F26" s="23">
        <f>Rates!D26</f>
        <v>1.9084000000000001</v>
      </c>
      <c r="G26" s="54">
        <f>G25</f>
        <v>245.63249999999996</v>
      </c>
      <c r="H26" s="21">
        <f>G26*F26</f>
        <v>468.76506299999994</v>
      </c>
      <c r="I26" s="22"/>
      <c r="J26" s="23">
        <f>Rates!F26</f>
        <v>1.8871</v>
      </c>
      <c r="K26" s="55">
        <f>K25</f>
        <v>245.63249999999996</v>
      </c>
      <c r="L26" s="21">
        <f>K26*J26</f>
        <v>463.53309074999993</v>
      </c>
      <c r="M26" s="22"/>
      <c r="N26" s="25">
        <f t="shared" si="12"/>
        <v>-5.2319722500000125</v>
      </c>
      <c r="O26" s="26">
        <f t="shared" si="13"/>
        <v>-1.1161182142108601E-2</v>
      </c>
    </row>
    <row r="27" spans="2:19" ht="26.4" x14ac:dyDescent="0.3">
      <c r="B27" s="46" t="s">
        <v>28</v>
      </c>
      <c r="C27" s="28"/>
      <c r="D27" s="28"/>
      <c r="E27" s="28"/>
      <c r="F27" s="57"/>
      <c r="G27" s="49"/>
      <c r="H27" s="50">
        <f>SUM(H24:H26)</f>
        <v>3197.5840259999986</v>
      </c>
      <c r="I27" s="58"/>
      <c r="J27" s="59"/>
      <c r="K27" s="60"/>
      <c r="L27" s="50">
        <f>SUM(L24:L26)</f>
        <v>4176.9752364999986</v>
      </c>
      <c r="M27" s="58"/>
      <c r="N27" s="36">
        <f t="shared" si="12"/>
        <v>979.39121049999994</v>
      </c>
      <c r="O27" s="37">
        <f t="shared" si="13"/>
        <v>0.30629100049801172</v>
      </c>
    </row>
    <row r="28" spans="2:19" x14ac:dyDescent="0.3">
      <c r="B28" s="61" t="s">
        <v>29</v>
      </c>
      <c r="C28" s="16"/>
      <c r="D28" s="52" t="s">
        <v>62</v>
      </c>
      <c r="E28" s="18"/>
      <c r="F28" s="64">
        <f>Rates!D27</f>
        <v>3.5999999999999999E-3</v>
      </c>
      <c r="G28" s="54">
        <f>F9*(1+F39)</f>
        <v>98252.999999999985</v>
      </c>
      <c r="H28" s="63">
        <f t="shared" ref="H28:H32" si="14">G28*F28</f>
        <v>353.71079999999995</v>
      </c>
      <c r="I28" s="22"/>
      <c r="J28" s="64">
        <f>Rates!F27</f>
        <v>3.5999999999999999E-3</v>
      </c>
      <c r="K28" s="55">
        <f>F9*(1+J39)</f>
        <v>98252.999999999985</v>
      </c>
      <c r="L28" s="63">
        <f t="shared" ref="L28:L32" si="15">K28*J28</f>
        <v>353.71079999999995</v>
      </c>
      <c r="M28" s="22"/>
      <c r="N28" s="25">
        <f t="shared" si="12"/>
        <v>0</v>
      </c>
      <c r="O28" s="65">
        <f t="shared" si="13"/>
        <v>0</v>
      </c>
    </row>
    <row r="29" spans="2:19" x14ac:dyDescent="0.3">
      <c r="B29" s="61" t="s">
        <v>30</v>
      </c>
      <c r="C29" s="16"/>
      <c r="D29" s="52" t="s">
        <v>62</v>
      </c>
      <c r="E29" s="18"/>
      <c r="F29" s="64">
        <f>Rates!D28</f>
        <v>1.2999999999999999E-3</v>
      </c>
      <c r="G29" s="54">
        <f>G28</f>
        <v>98252.999999999985</v>
      </c>
      <c r="H29" s="63">
        <f t="shared" si="14"/>
        <v>127.72889999999998</v>
      </c>
      <c r="I29" s="22"/>
      <c r="J29" s="64">
        <f>Rates!F28</f>
        <v>1.2999999999999999E-3</v>
      </c>
      <c r="K29" s="55">
        <f>K28</f>
        <v>98252.999999999985</v>
      </c>
      <c r="L29" s="63">
        <f t="shared" si="15"/>
        <v>127.72889999999998</v>
      </c>
      <c r="M29" s="22"/>
      <c r="N29" s="25">
        <f t="shared" si="12"/>
        <v>0</v>
      </c>
      <c r="O29" s="65">
        <f t="shared" si="13"/>
        <v>0</v>
      </c>
    </row>
    <row r="30" spans="2:19" x14ac:dyDescent="0.3">
      <c r="B30" s="16" t="s">
        <v>31</v>
      </c>
      <c r="C30" s="16"/>
      <c r="D30" s="17" t="s">
        <v>61</v>
      </c>
      <c r="E30" s="18"/>
      <c r="F30" s="62">
        <f>Rates!D29</f>
        <v>0.25</v>
      </c>
      <c r="G30" s="20">
        <v>1</v>
      </c>
      <c r="H30" s="63">
        <f t="shared" si="14"/>
        <v>0.25</v>
      </c>
      <c r="I30" s="22"/>
      <c r="J30" s="64">
        <f>Rates!F29</f>
        <v>0.25</v>
      </c>
      <c r="K30" s="24">
        <v>1</v>
      </c>
      <c r="L30" s="63">
        <f t="shared" si="15"/>
        <v>0.25</v>
      </c>
      <c r="M30" s="22"/>
      <c r="N30" s="25">
        <f t="shared" si="12"/>
        <v>0</v>
      </c>
      <c r="O30" s="65">
        <f t="shared" si="13"/>
        <v>0</v>
      </c>
    </row>
    <row r="31" spans="2:19" x14ac:dyDescent="0.3">
      <c r="B31" s="16" t="s">
        <v>95</v>
      </c>
      <c r="C31" s="16"/>
      <c r="D31" s="17" t="s">
        <v>62</v>
      </c>
      <c r="E31" s="18"/>
      <c r="F31" s="62">
        <f>Rates!D61</f>
        <v>1.1000000000000001E-3</v>
      </c>
      <c r="G31" s="66">
        <f>F9</f>
        <v>90000</v>
      </c>
      <c r="H31" s="63">
        <f t="shared" si="14"/>
        <v>99</v>
      </c>
      <c r="I31" s="22"/>
      <c r="J31" s="64">
        <f>Rates!F61</f>
        <v>1.1000000000000001E-3</v>
      </c>
      <c r="K31" s="67">
        <f>F9</f>
        <v>90000</v>
      </c>
      <c r="L31" s="63">
        <f t="shared" ref="L31" si="16">K31*J31</f>
        <v>99</v>
      </c>
      <c r="M31" s="22"/>
      <c r="N31" s="25">
        <f t="shared" ref="N31" si="17">L31-H31</f>
        <v>0</v>
      </c>
      <c r="O31" s="65">
        <f t="shared" ref="O31" si="18">IF((H31)=0,"",(N31/H31))</f>
        <v>0</v>
      </c>
    </row>
    <row r="32" spans="2:19" ht="15" thickBot="1" x14ac:dyDescent="0.35">
      <c r="B32" s="42" t="s">
        <v>70</v>
      </c>
      <c r="C32" s="16"/>
      <c r="D32" s="17" t="s">
        <v>62</v>
      </c>
      <c r="E32" s="18"/>
      <c r="F32" s="116">
        <f>Rates!D73</f>
        <v>0.113</v>
      </c>
      <c r="G32" s="69">
        <f>$F$9</f>
        <v>90000</v>
      </c>
      <c r="H32" s="63">
        <f t="shared" si="14"/>
        <v>10170</v>
      </c>
      <c r="I32" s="22"/>
      <c r="J32" s="118">
        <f>Rates!F73</f>
        <v>0.113</v>
      </c>
      <c r="K32" s="69">
        <f>F9</f>
        <v>90000</v>
      </c>
      <c r="L32" s="63">
        <f t="shared" si="15"/>
        <v>10170</v>
      </c>
      <c r="M32" s="22"/>
      <c r="N32" s="25">
        <f t="shared" si="12"/>
        <v>0</v>
      </c>
      <c r="O32" s="65">
        <f t="shared" si="13"/>
        <v>0</v>
      </c>
      <c r="S32" s="70"/>
    </row>
    <row r="33" spans="1:19" ht="15" thickBot="1" x14ac:dyDescent="0.35">
      <c r="B33" s="72"/>
      <c r="C33" s="73"/>
      <c r="D33" s="74"/>
      <c r="E33" s="73"/>
      <c r="F33" s="75"/>
      <c r="G33" s="76"/>
      <c r="H33" s="77"/>
      <c r="I33" s="78"/>
      <c r="J33" s="75"/>
      <c r="K33" s="79"/>
      <c r="L33" s="77"/>
      <c r="M33" s="78"/>
      <c r="N33" s="80"/>
      <c r="O33" s="81"/>
    </row>
    <row r="34" spans="1:19" x14ac:dyDescent="0.3">
      <c r="B34" s="82" t="s">
        <v>76</v>
      </c>
      <c r="C34" s="16"/>
      <c r="D34" s="16"/>
      <c r="E34" s="16"/>
      <c r="F34" s="83"/>
      <c r="G34" s="84"/>
      <c r="H34" s="85">
        <f>SUM(H28:H32,H27)</f>
        <v>13948.273725999998</v>
      </c>
      <c r="I34" s="86"/>
      <c r="J34" s="87"/>
      <c r="K34" s="87"/>
      <c r="L34" s="111">
        <f>SUM(L28:L32,L27)</f>
        <v>14927.664936499998</v>
      </c>
      <c r="M34" s="88"/>
      <c r="N34" s="89">
        <f t="shared" ref="N34" si="19">L34-H34</f>
        <v>979.39121049999994</v>
      </c>
      <c r="O34" s="90">
        <f t="shared" ref="O34" si="20">IF((H34)=0,"",(N34/H34))</f>
        <v>7.0215944262291441E-2</v>
      </c>
      <c r="S34" s="70"/>
    </row>
    <row r="35" spans="1:19" x14ac:dyDescent="0.3">
      <c r="B35" s="91" t="s">
        <v>36</v>
      </c>
      <c r="C35" s="16"/>
      <c r="D35" s="16"/>
      <c r="E35" s="16"/>
      <c r="F35" s="92">
        <v>0.13</v>
      </c>
      <c r="G35" s="93"/>
      <c r="H35" s="94">
        <f>H34*F35</f>
        <v>1813.2755843799998</v>
      </c>
      <c r="I35" s="95"/>
      <c r="J35" s="96">
        <v>0.13</v>
      </c>
      <c r="K35" s="95"/>
      <c r="L35" s="97">
        <f>L34*J35</f>
        <v>1940.5964417449998</v>
      </c>
      <c r="M35" s="98"/>
      <c r="N35" s="99">
        <f t="shared" si="12"/>
        <v>127.32085736499994</v>
      </c>
      <c r="O35" s="100">
        <f t="shared" si="13"/>
        <v>7.0215944262291399E-2</v>
      </c>
      <c r="S35" s="70"/>
    </row>
    <row r="36" spans="1:19" s="113" customFormat="1" ht="15" thickBot="1" x14ac:dyDescent="0.35">
      <c r="B36" s="101" t="s">
        <v>97</v>
      </c>
      <c r="C36" s="168"/>
      <c r="D36" s="168"/>
      <c r="E36" s="168"/>
      <c r="F36" s="169"/>
      <c r="G36" s="170"/>
      <c r="H36" s="85">
        <f>H34+H35</f>
        <v>15761.549310379998</v>
      </c>
      <c r="I36" s="86"/>
      <c r="J36" s="86"/>
      <c r="K36" s="86"/>
      <c r="L36" s="171">
        <f>L34+L35</f>
        <v>16868.261378244999</v>
      </c>
      <c r="M36" s="88"/>
      <c r="N36" s="89">
        <f t="shared" si="12"/>
        <v>1106.7120678650008</v>
      </c>
      <c r="O36" s="90">
        <f t="shared" si="13"/>
        <v>7.0215944262291483E-2</v>
      </c>
      <c r="S36" s="172"/>
    </row>
    <row r="37" spans="1:19" s="71" customFormat="1" ht="15" thickBot="1" x14ac:dyDescent="0.3">
      <c r="B37" s="102"/>
      <c r="C37" s="103"/>
      <c r="D37" s="104"/>
      <c r="E37" s="103"/>
      <c r="F37" s="75"/>
      <c r="G37" s="105"/>
      <c r="H37" s="77"/>
      <c r="I37" s="106"/>
      <c r="J37" s="75"/>
      <c r="K37" s="107"/>
      <c r="L37" s="77"/>
      <c r="M37" s="106"/>
      <c r="N37" s="108"/>
      <c r="O37" s="81"/>
    </row>
    <row r="38" spans="1:19" x14ac:dyDescent="0.3">
      <c r="L38" s="70"/>
    </row>
    <row r="39" spans="1:19" x14ac:dyDescent="0.3">
      <c r="B39" s="7" t="s">
        <v>37</v>
      </c>
      <c r="F39" s="109">
        <f>Rates!D66</f>
        <v>9.1700000000000004E-2</v>
      </c>
      <c r="J39" s="109">
        <f>Rates!F66</f>
        <v>9.1700000000000004E-2</v>
      </c>
    </row>
    <row r="41" spans="1:19" x14ac:dyDescent="0.3">
      <c r="A41" s="110"/>
      <c r="B41" s="1" t="s">
        <v>38</v>
      </c>
    </row>
  </sheetData>
  <mergeCells count="10">
    <mergeCell ref="D12:D13"/>
    <mergeCell ref="N12:N13"/>
    <mergeCell ref="O12:O13"/>
    <mergeCell ref="B2:O2"/>
    <mergeCell ref="B3:O3"/>
    <mergeCell ref="D6:O6"/>
    <mergeCell ref="I9:J9"/>
    <mergeCell ref="F11:H11"/>
    <mergeCell ref="J11:L11"/>
    <mergeCell ref="N11:O11"/>
  </mergeCells>
  <dataValidations count="2">
    <dataValidation type="list" allowBlank="1" showInputMessage="1" showErrorMessage="1" sqref="E25:E26 E37 E18:E23 E14:E16 E28:E33">
      <formula1>#REF!</formula1>
    </dataValidation>
    <dataValidation type="list" allowBlank="1" showInputMessage="1" showErrorMessage="1" prompt="Select Charge Unit - monthly, per kWh, per kW" sqref="D25:D26 D37 D18:D23 D14:D16 D28:D33">
      <formula1>"Monthly, per kWh, per kW"</formula1>
    </dataValidation>
  </dataValidations>
  <pageMargins left="0.7" right="0.7" top="0.75" bottom="0.75" header="0.3" footer="0.3"/>
  <pageSetup scale="60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3300"/>
    <pageSetUpPr fitToPage="1"/>
  </sheetPr>
  <dimension ref="A1:S46"/>
  <sheetViews>
    <sheetView showGridLines="0" topLeftCell="A13" zoomScaleNormal="100" workbookViewId="0">
      <selection activeCell="J23" sqref="J23"/>
    </sheetView>
  </sheetViews>
  <sheetFormatPr defaultColWidth="9.109375" defaultRowHeight="14.4" x14ac:dyDescent="0.3"/>
  <cols>
    <col min="1" max="1" width="2.109375" style="1" customWidth="1"/>
    <col min="2" max="2" width="40.44140625" style="1" customWidth="1"/>
    <col min="3" max="3" width="1.33203125" style="1" customWidth="1"/>
    <col min="4" max="4" width="11.33203125" style="1" customWidth="1"/>
    <col min="5" max="5" width="1.33203125" style="1" customWidth="1"/>
    <col min="6" max="6" width="12.33203125" style="1" customWidth="1"/>
    <col min="7" max="7" width="8.5546875" style="1" customWidth="1"/>
    <col min="8" max="8" width="9.6640625" style="1" customWidth="1"/>
    <col min="9" max="9" width="2.88671875" style="1" customWidth="1"/>
    <col min="10" max="10" width="12.109375" style="1" customWidth="1"/>
    <col min="11" max="11" width="8.5546875" style="1" customWidth="1"/>
    <col min="12" max="12" width="9.88671875" style="1" customWidth="1"/>
    <col min="13" max="13" width="2.88671875" style="1" customWidth="1"/>
    <col min="14" max="14" width="12.6640625" style="1" bestFit="1" customWidth="1"/>
    <col min="15" max="15" width="10.88671875" style="1" bestFit="1" customWidth="1"/>
    <col min="16" max="16" width="3.88671875" style="1" customWidth="1"/>
    <col min="17" max="19" width="9.109375" style="1"/>
    <col min="20" max="20" width="9.109375" style="1" customWidth="1"/>
    <col min="21" max="16384" width="9.10937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194" t="s">
        <v>0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/>
    </row>
    <row r="3" spans="2:16" ht="18.75" customHeight="1" x14ac:dyDescent="0.25">
      <c r="B3" s="194" t="s">
        <v>1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195" t="s">
        <v>80</v>
      </c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2" t="s">
        <v>3</v>
      </c>
      <c r="D8" s="5" t="s">
        <v>4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75" x14ac:dyDescent="0.2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ht="15" x14ac:dyDescent="0.25">
      <c r="B10" s="6"/>
      <c r="D10" s="7" t="s">
        <v>5</v>
      </c>
      <c r="E10" s="7"/>
      <c r="F10" s="8">
        <v>750</v>
      </c>
      <c r="G10" s="7" t="s">
        <v>6</v>
      </c>
    </row>
    <row r="11" spans="2:16" ht="15" x14ac:dyDescent="0.25">
      <c r="B11" s="6"/>
    </row>
    <row r="12" spans="2:16" ht="15" x14ac:dyDescent="0.25">
      <c r="B12" s="6"/>
      <c r="D12" s="9"/>
      <c r="E12" s="9"/>
      <c r="F12" s="196" t="s">
        <v>7</v>
      </c>
      <c r="G12" s="197"/>
      <c r="H12" s="198"/>
      <c r="J12" s="196" t="s">
        <v>8</v>
      </c>
      <c r="K12" s="197"/>
      <c r="L12" s="198"/>
      <c r="N12" s="196" t="s">
        <v>9</v>
      </c>
      <c r="O12" s="198"/>
    </row>
    <row r="13" spans="2:16" x14ac:dyDescent="0.3">
      <c r="B13" s="6"/>
      <c r="D13" s="188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190" t="s">
        <v>14</v>
      </c>
      <c r="O13" s="192" t="s">
        <v>15</v>
      </c>
    </row>
    <row r="14" spans="2:16" x14ac:dyDescent="0.3">
      <c r="B14" s="6"/>
      <c r="D14" s="189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191"/>
      <c r="O14" s="193"/>
    </row>
    <row r="15" spans="2:16" ht="15" x14ac:dyDescent="0.25">
      <c r="B15" s="16" t="s">
        <v>17</v>
      </c>
      <c r="C15" s="16"/>
      <c r="D15" s="17" t="s">
        <v>61</v>
      </c>
      <c r="E15" s="18"/>
      <c r="F15" s="19">
        <f>Rates!D32</f>
        <v>34.270000000000003</v>
      </c>
      <c r="G15" s="20">
        <v>1</v>
      </c>
      <c r="H15" s="21">
        <f>G15*F15</f>
        <v>34.270000000000003</v>
      </c>
      <c r="I15" s="22"/>
      <c r="J15" s="23">
        <v>42.18</v>
      </c>
      <c r="K15" s="24">
        <v>1</v>
      </c>
      <c r="L15" s="21">
        <f>K15*J15</f>
        <v>42.18</v>
      </c>
      <c r="M15" s="22"/>
      <c r="N15" s="25">
        <f>L15-H15</f>
        <v>7.9099999999999966</v>
      </c>
      <c r="O15" s="26">
        <f>IF((H15)=0,"",(N15/H15))</f>
        <v>0.23081412313977229</v>
      </c>
    </row>
    <row r="16" spans="2:16" ht="30" x14ac:dyDescent="0.25">
      <c r="B16" s="112" t="str">
        <f>Rates!A38</f>
        <v>SME - Net Deferred Revenue Requirement, effective until December 31, 2016</v>
      </c>
      <c r="C16" s="16"/>
      <c r="D16" s="52" t="s">
        <v>61</v>
      </c>
      <c r="E16" s="18"/>
      <c r="F16" s="23">
        <f>Rates!D38</f>
        <v>3.57</v>
      </c>
      <c r="G16" s="20">
        <v>1</v>
      </c>
      <c r="H16" s="21">
        <f t="shared" ref="H16:H21" si="0">G16*F16</f>
        <v>3.57</v>
      </c>
      <c r="I16" s="22"/>
      <c r="J16" s="23">
        <f>Rates!F38</f>
        <v>0</v>
      </c>
      <c r="K16" s="24">
        <v>1</v>
      </c>
      <c r="L16" s="21">
        <f t="shared" ref="L16:L21" si="1">K16*J16</f>
        <v>0</v>
      </c>
      <c r="M16" s="22"/>
      <c r="N16" s="25">
        <f t="shared" ref="N16:N22" si="2">L16-H16</f>
        <v>-3.57</v>
      </c>
      <c r="O16" s="26">
        <f t="shared" ref="O16:O22" si="3">IF((H16)=0,"",(N16/H16))</f>
        <v>-1</v>
      </c>
    </row>
    <row r="17" spans="2:15" ht="15" x14ac:dyDescent="0.25">
      <c r="B17" s="16" t="s">
        <v>18</v>
      </c>
      <c r="C17" s="16"/>
      <c r="D17" s="17" t="s">
        <v>62</v>
      </c>
      <c r="E17" s="18"/>
      <c r="F17" s="19">
        <f>Rates!D33</f>
        <v>0.14349999999999999</v>
      </c>
      <c r="G17" s="20">
        <f>$F$10</f>
        <v>750</v>
      </c>
      <c r="H17" s="21">
        <f t="shared" si="0"/>
        <v>107.62499999999999</v>
      </c>
      <c r="I17" s="22"/>
      <c r="J17" s="23">
        <v>0.14019999999999999</v>
      </c>
      <c r="K17" s="20">
        <f>$F$10</f>
        <v>750</v>
      </c>
      <c r="L17" s="21">
        <f t="shared" si="1"/>
        <v>105.14999999999999</v>
      </c>
      <c r="M17" s="22"/>
      <c r="N17" s="25">
        <f t="shared" si="2"/>
        <v>-2.4749999999999943</v>
      </c>
      <c r="O17" s="26">
        <f t="shared" si="3"/>
        <v>-2.2996515679442459E-2</v>
      </c>
    </row>
    <row r="18" spans="2:15" ht="15" x14ac:dyDescent="0.25">
      <c r="B18" s="16" t="s">
        <v>19</v>
      </c>
      <c r="C18" s="16"/>
      <c r="D18" s="17"/>
      <c r="E18" s="18"/>
      <c r="F18" s="19"/>
      <c r="G18" s="20">
        <f t="shared" ref="G18" si="4">$F$10</f>
        <v>750</v>
      </c>
      <c r="H18" s="21">
        <f t="shared" si="0"/>
        <v>0</v>
      </c>
      <c r="I18" s="22"/>
      <c r="J18" s="23"/>
      <c r="K18" s="20">
        <f t="shared" ref="K18:K21" si="5">$F$10</f>
        <v>750</v>
      </c>
      <c r="L18" s="21">
        <f t="shared" si="1"/>
        <v>0</v>
      </c>
      <c r="M18" s="22"/>
      <c r="N18" s="25">
        <f t="shared" si="2"/>
        <v>0</v>
      </c>
      <c r="O18" s="26" t="str">
        <f t="shared" si="3"/>
        <v/>
      </c>
    </row>
    <row r="19" spans="2:15" ht="15" x14ac:dyDescent="0.25">
      <c r="B19" s="16" t="s">
        <v>20</v>
      </c>
      <c r="C19" s="16"/>
      <c r="D19" s="17"/>
      <c r="E19" s="18"/>
      <c r="F19" s="19"/>
      <c r="G19" s="20">
        <f>$F$10</f>
        <v>750</v>
      </c>
      <c r="H19" s="21">
        <f t="shared" si="0"/>
        <v>0</v>
      </c>
      <c r="I19" s="22"/>
      <c r="J19" s="23"/>
      <c r="K19" s="20">
        <f t="shared" si="5"/>
        <v>750</v>
      </c>
      <c r="L19" s="21">
        <f t="shared" si="1"/>
        <v>0</v>
      </c>
      <c r="M19" s="22"/>
      <c r="N19" s="25">
        <f t="shared" si="2"/>
        <v>0</v>
      </c>
      <c r="O19" s="26" t="str">
        <f t="shared" si="3"/>
        <v/>
      </c>
    </row>
    <row r="20" spans="2:15" ht="30" x14ac:dyDescent="0.25">
      <c r="B20" s="112" t="str">
        <f>Rates!A36</f>
        <v>Deferral/Variance Account Disposition - effective until June 30, 2019</v>
      </c>
      <c r="C20" s="16"/>
      <c r="D20" s="52" t="s">
        <v>62</v>
      </c>
      <c r="E20" s="18"/>
      <c r="F20" s="23">
        <f>Rates!D36</f>
        <v>3.0700000000000002E-2</v>
      </c>
      <c r="G20" s="20">
        <f t="shared" ref="G20:G21" si="6">$F$10</f>
        <v>750</v>
      </c>
      <c r="H20" s="21">
        <f t="shared" si="0"/>
        <v>23.025000000000002</v>
      </c>
      <c r="I20" s="22"/>
      <c r="J20" s="23">
        <f>Rates!F36</f>
        <v>3.0700000000000002E-2</v>
      </c>
      <c r="K20" s="20">
        <f t="shared" si="5"/>
        <v>750</v>
      </c>
      <c r="L20" s="21">
        <f t="shared" si="1"/>
        <v>23.025000000000002</v>
      </c>
      <c r="M20" s="22"/>
      <c r="N20" s="25">
        <f t="shared" si="2"/>
        <v>0</v>
      </c>
      <c r="O20" s="26">
        <f t="shared" si="3"/>
        <v>0</v>
      </c>
    </row>
    <row r="21" spans="2:15" ht="45" x14ac:dyDescent="0.25">
      <c r="B21" s="112" t="str">
        <f>Rates!A53</f>
        <v>Rate Rider for the Disposition of Account 1575 &amp; 1576 - effective until December 31, 2019</v>
      </c>
      <c r="C21" s="16"/>
      <c r="D21" s="52" t="s">
        <v>62</v>
      </c>
      <c r="E21" s="18"/>
      <c r="F21" s="23">
        <f>Rates!D39</f>
        <v>-1.9E-3</v>
      </c>
      <c r="G21" s="20">
        <f t="shared" si="6"/>
        <v>750</v>
      </c>
      <c r="H21" s="21">
        <f t="shared" si="0"/>
        <v>-1.425</v>
      </c>
      <c r="I21" s="22"/>
      <c r="J21" s="23">
        <f>Rates!F39</f>
        <v>-1.9E-3</v>
      </c>
      <c r="K21" s="20">
        <f t="shared" si="5"/>
        <v>750</v>
      </c>
      <c r="L21" s="21">
        <f t="shared" si="1"/>
        <v>-1.425</v>
      </c>
      <c r="M21" s="22"/>
      <c r="N21" s="25">
        <f t="shared" si="2"/>
        <v>0</v>
      </c>
      <c r="O21" s="26">
        <f t="shared" si="3"/>
        <v>0</v>
      </c>
    </row>
    <row r="22" spans="2:15" s="38" customFormat="1" ht="15" x14ac:dyDescent="0.25">
      <c r="B22" s="27" t="s">
        <v>21</v>
      </c>
      <c r="C22" s="28"/>
      <c r="D22" s="29"/>
      <c r="E22" s="28"/>
      <c r="F22" s="30"/>
      <c r="G22" s="31"/>
      <c r="H22" s="32">
        <f>SUM(H15:H21)</f>
        <v>167.06499999999997</v>
      </c>
      <c r="I22" s="33"/>
      <c r="J22" s="34"/>
      <c r="K22" s="35"/>
      <c r="L22" s="32">
        <f>SUM(L15:L21)</f>
        <v>168.92999999999998</v>
      </c>
      <c r="M22" s="33"/>
      <c r="N22" s="36">
        <f t="shared" si="2"/>
        <v>1.8650000000000091</v>
      </c>
      <c r="O22" s="37">
        <f t="shared" si="3"/>
        <v>1.116331966599832E-2</v>
      </c>
    </row>
    <row r="23" spans="2:15" ht="38.25" x14ac:dyDescent="0.25">
      <c r="B23" s="39" t="str">
        <f>Rates!A34</f>
        <v>Rate Rider for the Disposition of Deferral/Variance Accounts (2017) - effective until December 31, 2017</v>
      </c>
      <c r="C23" s="16"/>
      <c r="D23" s="17" t="s">
        <v>62</v>
      </c>
      <c r="E23" s="18"/>
      <c r="F23" s="23">
        <f>Rates!D34</f>
        <v>0</v>
      </c>
      <c r="G23" s="20">
        <f t="shared" ref="G23:G24" si="7">$F$10</f>
        <v>750</v>
      </c>
      <c r="H23" s="21">
        <f t="shared" ref="H23:H25" si="8">G23*F23</f>
        <v>0</v>
      </c>
      <c r="I23" s="40"/>
      <c r="J23" s="23">
        <f>Rates!F34+Rates!F37</f>
        <v>-3.5000000000000001E-3</v>
      </c>
      <c r="K23" s="20">
        <f t="shared" ref="K23:K24" si="9">$F$10</f>
        <v>750</v>
      </c>
      <c r="L23" s="21">
        <f t="shared" ref="L23:L25" si="10">K23*J23</f>
        <v>-2.625</v>
      </c>
      <c r="M23" s="41"/>
      <c r="N23" s="25">
        <f t="shared" ref="N23:N25" si="11">L23-H23</f>
        <v>-2.625</v>
      </c>
      <c r="O23" s="26" t="str">
        <f t="shared" ref="O23:O25" si="12">IF((H23)=0,"",(N23/H23))</f>
        <v/>
      </c>
    </row>
    <row r="24" spans="2:15" ht="15" x14ac:dyDescent="0.25">
      <c r="B24" s="42" t="s">
        <v>22</v>
      </c>
      <c r="C24" s="16"/>
      <c r="D24" s="17"/>
      <c r="E24" s="18"/>
      <c r="F24" s="19"/>
      <c r="G24" s="20">
        <f t="shared" si="7"/>
        <v>750</v>
      </c>
      <c r="H24" s="21">
        <f>G24*F24</f>
        <v>0</v>
      </c>
      <c r="I24" s="22"/>
      <c r="J24" s="23"/>
      <c r="K24" s="20">
        <f t="shared" si="9"/>
        <v>750</v>
      </c>
      <c r="L24" s="21">
        <f>K24*J24</f>
        <v>0</v>
      </c>
      <c r="M24" s="22"/>
      <c r="N24" s="25">
        <f>L24-H24</f>
        <v>0</v>
      </c>
      <c r="O24" s="26" t="str">
        <f>IF((H24)=0,"",(N24/H24))</f>
        <v/>
      </c>
    </row>
    <row r="25" spans="2:15" ht="15" x14ac:dyDescent="0.25">
      <c r="B25" s="42" t="s">
        <v>23</v>
      </c>
      <c r="C25" s="16"/>
      <c r="D25" s="17" t="s">
        <v>62</v>
      </c>
      <c r="E25" s="18"/>
      <c r="F25" s="43">
        <f>IF(ISBLANK(D8)=TRUE, 0, IF(D8="TOU", 0.64*$F$35+0.18*$F$36+0.18*$F$37, IF(AND(D8="non-TOU",#REF!&gt; 0),#REF!,#REF!)))</f>
        <v>0.11183999999999999</v>
      </c>
      <c r="G25" s="44">
        <f>$F$10*(1+$F$44)-$F$10</f>
        <v>68.774999999999864</v>
      </c>
      <c r="H25" s="21">
        <f t="shared" si="8"/>
        <v>7.6917959999999841</v>
      </c>
      <c r="I25" s="22"/>
      <c r="J25" s="45">
        <f>0.64*$F$35+0.18*$F$36+0.18*$F$37</f>
        <v>0.11183999999999999</v>
      </c>
      <c r="K25" s="44">
        <f>$F$10*(1+$J$44)-$F$10</f>
        <v>68.774999999999864</v>
      </c>
      <c r="L25" s="21">
        <f t="shared" si="10"/>
        <v>7.6917959999999841</v>
      </c>
      <c r="M25" s="22"/>
      <c r="N25" s="25">
        <f t="shared" si="11"/>
        <v>0</v>
      </c>
      <c r="O25" s="26">
        <f t="shared" si="12"/>
        <v>0</v>
      </c>
    </row>
    <row r="26" spans="2:15" x14ac:dyDescent="0.3">
      <c r="B26" s="42" t="s">
        <v>24</v>
      </c>
      <c r="C26" s="16"/>
      <c r="D26" s="17" t="s">
        <v>61</v>
      </c>
      <c r="E26" s="18"/>
      <c r="F26" s="43">
        <f>Rates!D44</f>
        <v>0.79</v>
      </c>
      <c r="G26" s="20">
        <v>1</v>
      </c>
      <c r="H26" s="21">
        <f>G26*F26</f>
        <v>0.79</v>
      </c>
      <c r="I26" s="22"/>
      <c r="J26" s="43">
        <f>Rates!F44</f>
        <v>0.79</v>
      </c>
      <c r="K26" s="20">
        <v>1</v>
      </c>
      <c r="L26" s="21">
        <f>K26*J26</f>
        <v>0.79</v>
      </c>
      <c r="M26" s="22"/>
      <c r="N26" s="25">
        <f>L26-H26</f>
        <v>0</v>
      </c>
      <c r="O26" s="26"/>
    </row>
    <row r="27" spans="2:15" ht="26.4" x14ac:dyDescent="0.3">
      <c r="B27" s="46" t="s">
        <v>25</v>
      </c>
      <c r="C27" s="47"/>
      <c r="D27" s="47"/>
      <c r="E27" s="47"/>
      <c r="F27" s="48"/>
      <c r="G27" s="49"/>
      <c r="H27" s="50">
        <f>SUM(H23:H26)+H22</f>
        <v>175.54679599999994</v>
      </c>
      <c r="I27" s="33"/>
      <c r="J27" s="49"/>
      <c r="K27" s="51"/>
      <c r="L27" s="50">
        <f>SUM(L23:L26)+L22</f>
        <v>174.78679599999995</v>
      </c>
      <c r="M27" s="33"/>
      <c r="N27" s="36">
        <f t="shared" ref="N27:N41" si="13">L27-H27</f>
        <v>-0.75999999999999091</v>
      </c>
      <c r="O27" s="37">
        <f t="shared" ref="O27:O41" si="14">IF((H27)=0,"",(N27/H27))</f>
        <v>-4.3293299411741541E-3</v>
      </c>
    </row>
    <row r="28" spans="2:15" x14ac:dyDescent="0.3">
      <c r="B28" s="22" t="s">
        <v>26</v>
      </c>
      <c r="C28" s="22"/>
      <c r="D28" s="52" t="s">
        <v>62</v>
      </c>
      <c r="E28" s="53"/>
      <c r="F28" s="23">
        <f>Rates!D40</f>
        <v>7.0000000000000001E-3</v>
      </c>
      <c r="G28" s="54">
        <f>F10*(1+F44)</f>
        <v>818.77499999999986</v>
      </c>
      <c r="H28" s="21">
        <f>G28*F28</f>
        <v>5.7314249999999989</v>
      </c>
      <c r="I28" s="22"/>
      <c r="J28" s="23">
        <f>Rates!F40</f>
        <v>6.6E-3</v>
      </c>
      <c r="K28" s="55">
        <f>F10*(1+J44)</f>
        <v>818.77499999999986</v>
      </c>
      <c r="L28" s="21">
        <f>K28*J28</f>
        <v>5.4039149999999987</v>
      </c>
      <c r="M28" s="22"/>
      <c r="N28" s="25">
        <f t="shared" si="13"/>
        <v>-0.32751000000000019</v>
      </c>
      <c r="O28" s="26">
        <f t="shared" si="14"/>
        <v>-5.714285714285719E-2</v>
      </c>
    </row>
    <row r="29" spans="2:15" x14ac:dyDescent="0.3">
      <c r="B29" s="56" t="s">
        <v>27</v>
      </c>
      <c r="C29" s="22"/>
      <c r="D29" s="52" t="s">
        <v>62</v>
      </c>
      <c r="E29" s="53"/>
      <c r="F29" s="23">
        <f>Rates!D41</f>
        <v>5.1000000000000004E-3</v>
      </c>
      <c r="G29" s="54">
        <f>G28</f>
        <v>818.77499999999986</v>
      </c>
      <c r="H29" s="21">
        <f>G29*F29</f>
        <v>4.1757524999999998</v>
      </c>
      <c r="I29" s="22"/>
      <c r="J29" s="23">
        <f>Rates!F41</f>
        <v>5.0000000000000001E-3</v>
      </c>
      <c r="K29" s="55">
        <f>K28</f>
        <v>818.77499999999986</v>
      </c>
      <c r="L29" s="21">
        <f>K29*J29</f>
        <v>4.0938749999999997</v>
      </c>
      <c r="M29" s="22"/>
      <c r="N29" s="25">
        <f t="shared" si="13"/>
        <v>-8.1877500000000047E-2</v>
      </c>
      <c r="O29" s="26">
        <f t="shared" si="14"/>
        <v>-1.9607843137254916E-2</v>
      </c>
    </row>
    <row r="30" spans="2:15" ht="26.4" x14ac:dyDescent="0.3">
      <c r="B30" s="46" t="s">
        <v>28</v>
      </c>
      <c r="C30" s="28"/>
      <c r="D30" s="28"/>
      <c r="E30" s="28"/>
      <c r="F30" s="57"/>
      <c r="G30" s="49"/>
      <c r="H30" s="50">
        <f>SUM(H27:H29)</f>
        <v>185.45397349999993</v>
      </c>
      <c r="I30" s="58"/>
      <c r="J30" s="59"/>
      <c r="K30" s="60"/>
      <c r="L30" s="50">
        <f>SUM(L27:L29)</f>
        <v>184.28458599999996</v>
      </c>
      <c r="M30" s="58"/>
      <c r="N30" s="36">
        <f t="shared" si="13"/>
        <v>-1.1693874999999707</v>
      </c>
      <c r="O30" s="37">
        <f t="shared" si="14"/>
        <v>-6.3055402800521344E-3</v>
      </c>
    </row>
    <row r="31" spans="2:15" x14ac:dyDescent="0.3">
      <c r="B31" s="61" t="s">
        <v>29</v>
      </c>
      <c r="C31" s="16"/>
      <c r="D31" s="52" t="s">
        <v>62</v>
      </c>
      <c r="E31" s="18"/>
      <c r="F31" s="64">
        <f>Rates!D42</f>
        <v>3.5999999999999999E-3</v>
      </c>
      <c r="G31" s="54">
        <f>G29</f>
        <v>818.77499999999986</v>
      </c>
      <c r="H31" s="63">
        <f t="shared" ref="H31:H37" si="15">G31*F31</f>
        <v>2.9475899999999995</v>
      </c>
      <c r="I31" s="22"/>
      <c r="J31" s="64">
        <f>Rates!F42</f>
        <v>3.5999999999999999E-3</v>
      </c>
      <c r="K31" s="55">
        <f>K29</f>
        <v>818.77499999999986</v>
      </c>
      <c r="L31" s="63">
        <f t="shared" ref="L31:L37" si="16">K31*J31</f>
        <v>2.9475899999999995</v>
      </c>
      <c r="M31" s="22"/>
      <c r="N31" s="25">
        <f t="shared" si="13"/>
        <v>0</v>
      </c>
      <c r="O31" s="65">
        <f t="shared" si="14"/>
        <v>0</v>
      </c>
    </row>
    <row r="32" spans="2:15" x14ac:dyDescent="0.3">
      <c r="B32" s="61" t="s">
        <v>30</v>
      </c>
      <c r="C32" s="16"/>
      <c r="D32" s="52" t="s">
        <v>62</v>
      </c>
      <c r="E32" s="18"/>
      <c r="F32" s="64">
        <f>Rates!D43</f>
        <v>1.2999999999999999E-3</v>
      </c>
      <c r="G32" s="54">
        <f>G29</f>
        <v>818.77499999999986</v>
      </c>
      <c r="H32" s="63">
        <f t="shared" si="15"/>
        <v>1.0644074999999997</v>
      </c>
      <c r="I32" s="22"/>
      <c r="J32" s="64">
        <f>Rates!F43</f>
        <v>1.2999999999999999E-3</v>
      </c>
      <c r="K32" s="55">
        <f>K29</f>
        <v>818.77499999999986</v>
      </c>
      <c r="L32" s="63">
        <f t="shared" si="16"/>
        <v>1.0644074999999997</v>
      </c>
      <c r="M32" s="22"/>
      <c r="N32" s="25">
        <f t="shared" si="13"/>
        <v>0</v>
      </c>
      <c r="O32" s="65">
        <f t="shared" si="14"/>
        <v>0</v>
      </c>
    </row>
    <row r="33" spans="1:19" x14ac:dyDescent="0.3">
      <c r="B33" s="16" t="s">
        <v>31</v>
      </c>
      <c r="C33" s="16"/>
      <c r="D33" s="17" t="s">
        <v>61</v>
      </c>
      <c r="E33" s="18"/>
      <c r="F33" s="62">
        <f>Rates!D45</f>
        <v>0.25</v>
      </c>
      <c r="G33" s="20">
        <v>1</v>
      </c>
      <c r="H33" s="63">
        <f t="shared" si="15"/>
        <v>0.25</v>
      </c>
      <c r="I33" s="22"/>
      <c r="J33" s="64">
        <f>Rates!F45</f>
        <v>0.25</v>
      </c>
      <c r="K33" s="24">
        <v>1</v>
      </c>
      <c r="L33" s="63">
        <f t="shared" si="16"/>
        <v>0.25</v>
      </c>
      <c r="M33" s="22"/>
      <c r="N33" s="25">
        <f t="shared" si="13"/>
        <v>0</v>
      </c>
      <c r="O33" s="65">
        <f t="shared" si="14"/>
        <v>0</v>
      </c>
    </row>
    <row r="34" spans="1:19" x14ac:dyDescent="0.3">
      <c r="B34" s="16" t="s">
        <v>95</v>
      </c>
      <c r="C34" s="16"/>
      <c r="D34" s="17" t="s">
        <v>62</v>
      </c>
      <c r="E34" s="18"/>
      <c r="F34" s="62">
        <f>Rates!D61</f>
        <v>1.1000000000000001E-3</v>
      </c>
      <c r="G34" s="66">
        <f>F10</f>
        <v>750</v>
      </c>
      <c r="H34" s="63">
        <f t="shared" si="15"/>
        <v>0.82500000000000007</v>
      </c>
      <c r="I34" s="22"/>
      <c r="J34" s="64">
        <f>Rates!F61</f>
        <v>1.1000000000000001E-3</v>
      </c>
      <c r="K34" s="67">
        <f>F10</f>
        <v>750</v>
      </c>
      <c r="L34" s="63">
        <f t="shared" ref="L34" si="17">K34*J34</f>
        <v>0.82500000000000007</v>
      </c>
      <c r="M34" s="22"/>
      <c r="N34" s="25">
        <f t="shared" ref="N34" si="18">L34-H34</f>
        <v>0</v>
      </c>
      <c r="O34" s="65">
        <f t="shared" ref="O34" si="19">IF((H34)=0,"",(N34/H34))</f>
        <v>0</v>
      </c>
    </row>
    <row r="35" spans="1:19" x14ac:dyDescent="0.3">
      <c r="B35" s="42" t="s">
        <v>32</v>
      </c>
      <c r="C35" s="16"/>
      <c r="D35" s="17" t="s">
        <v>62</v>
      </c>
      <c r="E35" s="18"/>
      <c r="F35" s="68">
        <f>Rates!D69</f>
        <v>8.6999999999999994E-2</v>
      </c>
      <c r="G35" s="69">
        <f>0.64*$F$10</f>
        <v>480</v>
      </c>
      <c r="H35" s="63">
        <f t="shared" si="15"/>
        <v>41.76</v>
      </c>
      <c r="I35" s="22"/>
      <c r="J35" s="62">
        <f>Rates!F69</f>
        <v>8.6999999999999994E-2</v>
      </c>
      <c r="K35" s="69">
        <f>G35</f>
        <v>480</v>
      </c>
      <c r="L35" s="63">
        <f t="shared" si="16"/>
        <v>41.76</v>
      </c>
      <c r="M35" s="22"/>
      <c r="N35" s="25">
        <f t="shared" si="13"/>
        <v>0</v>
      </c>
      <c r="O35" s="65">
        <f t="shared" si="14"/>
        <v>0</v>
      </c>
      <c r="S35" s="70"/>
    </row>
    <row r="36" spans="1:19" x14ac:dyDescent="0.3">
      <c r="B36" s="42" t="s">
        <v>33</v>
      </c>
      <c r="C36" s="16"/>
      <c r="D36" s="17" t="s">
        <v>62</v>
      </c>
      <c r="E36" s="18"/>
      <c r="F36" s="68">
        <f>Rates!D70</f>
        <v>0.13200000000000001</v>
      </c>
      <c r="G36" s="69">
        <f>0.18*$F$10</f>
        <v>135</v>
      </c>
      <c r="H36" s="63">
        <f t="shared" si="15"/>
        <v>17.82</v>
      </c>
      <c r="I36" s="22"/>
      <c r="J36" s="62">
        <f>Rates!F70</f>
        <v>0.13200000000000001</v>
      </c>
      <c r="K36" s="69">
        <f>G36</f>
        <v>135</v>
      </c>
      <c r="L36" s="63">
        <f t="shared" si="16"/>
        <v>17.82</v>
      </c>
      <c r="M36" s="22"/>
      <c r="N36" s="25">
        <f t="shared" si="13"/>
        <v>0</v>
      </c>
      <c r="O36" s="65">
        <f t="shared" si="14"/>
        <v>0</v>
      </c>
      <c r="S36" s="70"/>
    </row>
    <row r="37" spans="1:19" ht="15" thickBot="1" x14ac:dyDescent="0.35">
      <c r="B37" s="6" t="s">
        <v>34</v>
      </c>
      <c r="C37" s="16"/>
      <c r="D37" s="17" t="s">
        <v>62</v>
      </c>
      <c r="E37" s="18"/>
      <c r="F37" s="68">
        <f>Rates!D71</f>
        <v>0.18</v>
      </c>
      <c r="G37" s="69">
        <f>0.18*$F$10</f>
        <v>135</v>
      </c>
      <c r="H37" s="63">
        <f t="shared" si="15"/>
        <v>24.3</v>
      </c>
      <c r="I37" s="22"/>
      <c r="J37" s="62">
        <f>Rates!F71</f>
        <v>0.18</v>
      </c>
      <c r="K37" s="69">
        <f>G37</f>
        <v>135</v>
      </c>
      <c r="L37" s="63">
        <f t="shared" si="16"/>
        <v>24.3</v>
      </c>
      <c r="M37" s="22"/>
      <c r="N37" s="25">
        <f t="shared" si="13"/>
        <v>0</v>
      </c>
      <c r="O37" s="65">
        <f t="shared" si="14"/>
        <v>0</v>
      </c>
      <c r="S37" s="70"/>
    </row>
    <row r="38" spans="1:19" ht="15" thickBot="1" x14ac:dyDescent="0.35">
      <c r="B38" s="72"/>
      <c r="C38" s="73"/>
      <c r="D38" s="74"/>
      <c r="E38" s="73"/>
      <c r="F38" s="75"/>
      <c r="G38" s="76"/>
      <c r="H38" s="77"/>
      <c r="I38" s="78"/>
      <c r="J38" s="75"/>
      <c r="K38" s="79"/>
      <c r="L38" s="77"/>
      <c r="M38" s="78"/>
      <c r="N38" s="80"/>
      <c r="O38" s="81"/>
    </row>
    <row r="39" spans="1:19" x14ac:dyDescent="0.3">
      <c r="B39" s="82" t="s">
        <v>35</v>
      </c>
      <c r="C39" s="16"/>
      <c r="D39" s="16"/>
      <c r="E39" s="16"/>
      <c r="F39" s="83"/>
      <c r="G39" s="84"/>
      <c r="H39" s="85">
        <f>SUM(H31:H37,H30)</f>
        <v>274.42097099999995</v>
      </c>
      <c r="I39" s="86"/>
      <c r="J39" s="87"/>
      <c r="K39" s="87"/>
      <c r="L39" s="111">
        <f>SUM(L31:L37,L30)</f>
        <v>273.25158349999998</v>
      </c>
      <c r="M39" s="88"/>
      <c r="N39" s="89">
        <f t="shared" ref="N39" si="20">L39-H39</f>
        <v>-1.1693874999999707</v>
      </c>
      <c r="O39" s="90">
        <f t="shared" ref="O39" si="21">IF((H39)=0,"",(N39/H39))</f>
        <v>-4.2612905848218533E-3</v>
      </c>
      <c r="S39" s="70"/>
    </row>
    <row r="40" spans="1:19" x14ac:dyDescent="0.3">
      <c r="B40" s="91" t="s">
        <v>36</v>
      </c>
      <c r="C40" s="16"/>
      <c r="D40" s="16"/>
      <c r="E40" s="16"/>
      <c r="F40" s="92">
        <v>0.13</v>
      </c>
      <c r="G40" s="93"/>
      <c r="H40" s="94">
        <f>H39*F40</f>
        <v>35.674726229999997</v>
      </c>
      <c r="I40" s="95"/>
      <c r="J40" s="96">
        <v>0.13</v>
      </c>
      <c r="K40" s="95"/>
      <c r="L40" s="97">
        <f>L39*J40</f>
        <v>35.522705854999998</v>
      </c>
      <c r="M40" s="98"/>
      <c r="N40" s="99">
        <f t="shared" si="13"/>
        <v>-0.15202037499999932</v>
      </c>
      <c r="O40" s="100">
        <f t="shared" si="14"/>
        <v>-4.2612905848219409E-3</v>
      </c>
      <c r="S40" s="70"/>
    </row>
    <row r="41" spans="1:19" s="113" customFormat="1" ht="15" thickBot="1" x14ac:dyDescent="0.35">
      <c r="B41" s="101" t="s">
        <v>97</v>
      </c>
      <c r="C41" s="168"/>
      <c r="D41" s="168"/>
      <c r="E41" s="168"/>
      <c r="F41" s="169"/>
      <c r="G41" s="170"/>
      <c r="H41" s="85">
        <f>H39+H40</f>
        <v>310.09569722999993</v>
      </c>
      <c r="I41" s="86"/>
      <c r="J41" s="86"/>
      <c r="K41" s="86"/>
      <c r="L41" s="171">
        <f>L39+L40</f>
        <v>308.77428935499995</v>
      </c>
      <c r="M41" s="88"/>
      <c r="N41" s="89">
        <f t="shared" si="13"/>
        <v>-1.3214078749999771</v>
      </c>
      <c r="O41" s="90">
        <f t="shared" si="14"/>
        <v>-4.2612905848218871E-3</v>
      </c>
      <c r="S41" s="172"/>
    </row>
    <row r="42" spans="1:19" ht="15" thickBot="1" x14ac:dyDescent="0.35">
      <c r="B42" s="72"/>
      <c r="C42" s="73"/>
      <c r="D42" s="74"/>
      <c r="E42" s="73"/>
      <c r="F42" s="75"/>
      <c r="G42" s="76"/>
      <c r="H42" s="77"/>
      <c r="I42" s="78"/>
      <c r="J42" s="75"/>
      <c r="K42" s="79"/>
      <c r="L42" s="77"/>
      <c r="M42" s="78"/>
      <c r="N42" s="80"/>
      <c r="O42" s="81"/>
      <c r="S42" s="70"/>
    </row>
    <row r="43" spans="1:19" x14ac:dyDescent="0.3">
      <c r="L43" s="70"/>
    </row>
    <row r="44" spans="1:19" x14ac:dyDescent="0.3">
      <c r="B44" s="7" t="s">
        <v>37</v>
      </c>
      <c r="F44" s="109">
        <f>Rates!D66</f>
        <v>9.1700000000000004E-2</v>
      </c>
      <c r="J44" s="109">
        <f>Rates!F66</f>
        <v>9.1700000000000004E-2</v>
      </c>
    </row>
    <row r="46" spans="1:19" x14ac:dyDescent="0.3">
      <c r="A46" s="110"/>
      <c r="B46" s="1" t="s">
        <v>38</v>
      </c>
    </row>
  </sheetData>
  <mergeCells count="9">
    <mergeCell ref="D13:D14"/>
    <mergeCell ref="N13:N14"/>
    <mergeCell ref="O13:O14"/>
    <mergeCell ref="B2:O2"/>
    <mergeCell ref="B3:O3"/>
    <mergeCell ref="D6:O6"/>
    <mergeCell ref="F12:H12"/>
    <mergeCell ref="J12:L12"/>
    <mergeCell ref="N12:O12"/>
  </mergeCells>
  <dataValidations disablePrompts="1" count="3">
    <dataValidation type="list" allowBlank="1" showInputMessage="1" showErrorMessage="1" sqref="E28:E29 E42 E15:E21 E23:E26 E31:E38">
      <formula1>#REF!</formula1>
    </dataValidation>
    <dataValidation type="list" allowBlank="1" showInputMessage="1" showErrorMessage="1" prompt="Select Charge Unit - monthly, per kWh, per kW" sqref="D28:D29 D42 D15:D21 D23:D26 D31:D38">
      <formula1>"Monthly, per kWh, per kW"</formula1>
    </dataValidation>
    <dataValidation type="list" allowBlank="1" showInputMessage="1" showErrorMessage="1" sqref="D8">
      <formula1>"TOU, non-TOU"</formula1>
    </dataValidation>
  </dataValidations>
  <pageMargins left="0.7" right="0.7" top="0.75" bottom="0.75" header="0.3" footer="0.3"/>
  <pageSetup scale="61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3300"/>
    <pageSetUpPr fitToPage="1"/>
  </sheetPr>
  <dimension ref="A1:S46"/>
  <sheetViews>
    <sheetView showGridLines="0" topLeftCell="A19" zoomScaleNormal="100" workbookViewId="0">
      <selection activeCell="J23" sqref="J23"/>
    </sheetView>
  </sheetViews>
  <sheetFormatPr defaultColWidth="9.109375" defaultRowHeight="14.4" x14ac:dyDescent="0.3"/>
  <cols>
    <col min="1" max="1" width="2.109375" style="1" customWidth="1"/>
    <col min="2" max="2" width="40.44140625" style="1" customWidth="1"/>
    <col min="3" max="3" width="1.33203125" style="1" customWidth="1"/>
    <col min="4" max="4" width="11.33203125" style="1" customWidth="1"/>
    <col min="5" max="5" width="1.33203125" style="1" customWidth="1"/>
    <col min="6" max="6" width="12.33203125" style="1" customWidth="1"/>
    <col min="7" max="7" width="8.5546875" style="1" customWidth="1"/>
    <col min="8" max="8" width="9.6640625" style="1" customWidth="1"/>
    <col min="9" max="9" width="2.88671875" style="1" customWidth="1"/>
    <col min="10" max="10" width="12.109375" style="1" customWidth="1"/>
    <col min="11" max="11" width="8.5546875" style="1" customWidth="1"/>
    <col min="12" max="12" width="9.88671875" style="1" customWidth="1"/>
    <col min="13" max="13" width="2.88671875" style="1" customWidth="1"/>
    <col min="14" max="14" width="12.6640625" style="1" bestFit="1" customWidth="1"/>
    <col min="15" max="15" width="10.88671875" style="1" bestFit="1" customWidth="1"/>
    <col min="16" max="16" width="3.88671875" style="1" customWidth="1"/>
    <col min="17" max="19" width="9.109375" style="1"/>
    <col min="20" max="20" width="9.109375" style="1" customWidth="1"/>
    <col min="21" max="16384" width="9.10937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194" t="s">
        <v>0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/>
    </row>
    <row r="3" spans="2:16" ht="18.75" customHeight="1" x14ac:dyDescent="0.25">
      <c r="B3" s="194" t="s">
        <v>1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195" t="s">
        <v>80</v>
      </c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2" t="s">
        <v>3</v>
      </c>
      <c r="D8" s="5" t="s">
        <v>4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75" x14ac:dyDescent="0.2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ht="15" x14ac:dyDescent="0.25">
      <c r="B10" s="6"/>
      <c r="D10" s="7" t="s">
        <v>5</v>
      </c>
      <c r="E10" s="7"/>
      <c r="F10" s="8">
        <v>205</v>
      </c>
      <c r="G10" s="7" t="s">
        <v>6</v>
      </c>
    </row>
    <row r="11" spans="2:16" ht="15" x14ac:dyDescent="0.25">
      <c r="B11" s="6"/>
    </row>
    <row r="12" spans="2:16" ht="15" x14ac:dyDescent="0.25">
      <c r="B12" s="6"/>
      <c r="D12" s="9"/>
      <c r="E12" s="9"/>
      <c r="F12" s="196" t="s">
        <v>7</v>
      </c>
      <c r="G12" s="197"/>
      <c r="H12" s="198"/>
      <c r="J12" s="196" t="s">
        <v>8</v>
      </c>
      <c r="K12" s="197"/>
      <c r="L12" s="198"/>
      <c r="N12" s="196" t="s">
        <v>9</v>
      </c>
      <c r="O12" s="198"/>
    </row>
    <row r="13" spans="2:16" x14ac:dyDescent="0.3">
      <c r="B13" s="6"/>
      <c r="D13" s="188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190" t="s">
        <v>14</v>
      </c>
      <c r="O13" s="192" t="s">
        <v>15</v>
      </c>
    </row>
    <row r="14" spans="2:16" x14ac:dyDescent="0.3">
      <c r="B14" s="6"/>
      <c r="D14" s="189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191"/>
      <c r="O14" s="193"/>
    </row>
    <row r="15" spans="2:16" ht="15" x14ac:dyDescent="0.25">
      <c r="B15" s="16" t="s">
        <v>17</v>
      </c>
      <c r="C15" s="16"/>
      <c r="D15" s="17" t="s">
        <v>61</v>
      </c>
      <c r="E15" s="18"/>
      <c r="F15" s="19">
        <f>Rates!D32</f>
        <v>34.270000000000003</v>
      </c>
      <c r="G15" s="20">
        <v>1</v>
      </c>
      <c r="H15" s="21">
        <f>G15*F15</f>
        <v>34.270000000000003</v>
      </c>
      <c r="I15" s="22"/>
      <c r="J15" s="23">
        <v>42.18</v>
      </c>
      <c r="K15" s="24">
        <v>1</v>
      </c>
      <c r="L15" s="21">
        <f>K15*J15</f>
        <v>42.18</v>
      </c>
      <c r="M15" s="22"/>
      <c r="N15" s="25">
        <f>L15-H15</f>
        <v>7.9099999999999966</v>
      </c>
      <c r="O15" s="26">
        <f>IF((H15)=0,"",(N15/H15))</f>
        <v>0.23081412313977229</v>
      </c>
    </row>
    <row r="16" spans="2:16" ht="30" x14ac:dyDescent="0.25">
      <c r="B16" s="112" t="str">
        <f>Rates!A38</f>
        <v>SME - Net Deferred Revenue Requirement, effective until December 31, 2016</v>
      </c>
      <c r="C16" s="16"/>
      <c r="D16" s="52" t="s">
        <v>61</v>
      </c>
      <c r="E16" s="18"/>
      <c r="F16" s="23">
        <f>Rates!D38</f>
        <v>3.57</v>
      </c>
      <c r="G16" s="20">
        <v>1</v>
      </c>
      <c r="H16" s="21">
        <f t="shared" ref="H16:H21" si="0">G16*F16</f>
        <v>3.57</v>
      </c>
      <c r="I16" s="22"/>
      <c r="J16" s="23">
        <f>Rates!F38</f>
        <v>0</v>
      </c>
      <c r="K16" s="24">
        <v>1</v>
      </c>
      <c r="L16" s="21">
        <f t="shared" ref="L16:L21" si="1">K16*J16</f>
        <v>0</v>
      </c>
      <c r="M16" s="22"/>
      <c r="N16" s="25">
        <f t="shared" ref="N16:N25" si="2">L16-H16</f>
        <v>-3.57</v>
      </c>
      <c r="O16" s="26">
        <f t="shared" ref="O16:O25" si="3">IF((H16)=0,"",(N16/H16))</f>
        <v>-1</v>
      </c>
    </row>
    <row r="17" spans="2:15" ht="15" x14ac:dyDescent="0.25">
      <c r="B17" s="16" t="s">
        <v>18</v>
      </c>
      <c r="C17" s="16"/>
      <c r="D17" s="17" t="s">
        <v>62</v>
      </c>
      <c r="E17" s="18"/>
      <c r="F17" s="19">
        <f>Rates!D33</f>
        <v>0.14349999999999999</v>
      </c>
      <c r="G17" s="20">
        <f>$F$10</f>
        <v>205</v>
      </c>
      <c r="H17" s="21">
        <f t="shared" si="0"/>
        <v>29.417499999999997</v>
      </c>
      <c r="I17" s="22"/>
      <c r="J17" s="23">
        <v>0.14019999999999999</v>
      </c>
      <c r="K17" s="20">
        <f>$F$10</f>
        <v>205</v>
      </c>
      <c r="L17" s="21">
        <f t="shared" si="1"/>
        <v>28.741</v>
      </c>
      <c r="M17" s="22"/>
      <c r="N17" s="25">
        <f t="shared" si="2"/>
        <v>-0.67649999999999721</v>
      </c>
      <c r="O17" s="26">
        <f t="shared" si="3"/>
        <v>-2.2996515679442418E-2</v>
      </c>
    </row>
    <row r="18" spans="2:15" ht="15" x14ac:dyDescent="0.25">
      <c r="B18" s="16" t="s">
        <v>19</v>
      </c>
      <c r="C18" s="16"/>
      <c r="D18" s="17"/>
      <c r="E18" s="18"/>
      <c r="F18" s="19"/>
      <c r="G18" s="20">
        <f t="shared" ref="G18" si="4">$F$10</f>
        <v>205</v>
      </c>
      <c r="H18" s="21">
        <f t="shared" si="0"/>
        <v>0</v>
      </c>
      <c r="I18" s="22"/>
      <c r="J18" s="23"/>
      <c r="K18" s="20">
        <f t="shared" ref="K18:K21" si="5">$F$10</f>
        <v>205</v>
      </c>
      <c r="L18" s="21">
        <f t="shared" si="1"/>
        <v>0</v>
      </c>
      <c r="M18" s="22"/>
      <c r="N18" s="25">
        <f t="shared" si="2"/>
        <v>0</v>
      </c>
      <c r="O18" s="26" t="str">
        <f t="shared" si="3"/>
        <v/>
      </c>
    </row>
    <row r="19" spans="2:15" ht="15" x14ac:dyDescent="0.25">
      <c r="B19" s="16" t="s">
        <v>20</v>
      </c>
      <c r="C19" s="16"/>
      <c r="D19" s="17"/>
      <c r="E19" s="18"/>
      <c r="F19" s="19"/>
      <c r="G19" s="20">
        <f>$F$10</f>
        <v>205</v>
      </c>
      <c r="H19" s="21">
        <f t="shared" si="0"/>
        <v>0</v>
      </c>
      <c r="I19" s="22"/>
      <c r="J19" s="23"/>
      <c r="K19" s="20">
        <f t="shared" si="5"/>
        <v>205</v>
      </c>
      <c r="L19" s="21">
        <f t="shared" si="1"/>
        <v>0</v>
      </c>
      <c r="M19" s="22"/>
      <c r="N19" s="25">
        <f t="shared" si="2"/>
        <v>0</v>
      </c>
      <c r="O19" s="26" t="str">
        <f t="shared" si="3"/>
        <v/>
      </c>
    </row>
    <row r="20" spans="2:15" ht="30" x14ac:dyDescent="0.25">
      <c r="B20" s="112" t="str">
        <f>Rates!A36</f>
        <v>Deferral/Variance Account Disposition - effective until June 30, 2019</v>
      </c>
      <c r="C20" s="16"/>
      <c r="D20" s="52" t="s">
        <v>62</v>
      </c>
      <c r="E20" s="18"/>
      <c r="F20" s="23">
        <f>Rates!D36</f>
        <v>3.0700000000000002E-2</v>
      </c>
      <c r="G20" s="20">
        <f t="shared" ref="G20:G21" si="6">$F$10</f>
        <v>205</v>
      </c>
      <c r="H20" s="21">
        <f t="shared" si="0"/>
        <v>6.2935000000000008</v>
      </c>
      <c r="I20" s="22"/>
      <c r="J20" s="23">
        <f>Rates!F36</f>
        <v>3.0700000000000002E-2</v>
      </c>
      <c r="K20" s="20">
        <f t="shared" si="5"/>
        <v>205</v>
      </c>
      <c r="L20" s="21">
        <f t="shared" si="1"/>
        <v>6.2935000000000008</v>
      </c>
      <c r="M20" s="22"/>
      <c r="N20" s="25">
        <f t="shared" si="2"/>
        <v>0</v>
      </c>
      <c r="O20" s="26">
        <f t="shared" si="3"/>
        <v>0</v>
      </c>
    </row>
    <row r="21" spans="2:15" ht="45" x14ac:dyDescent="0.25">
      <c r="B21" s="112" t="str">
        <f>Rates!A53</f>
        <v>Rate Rider for the Disposition of Account 1575 &amp; 1576 - effective until December 31, 2019</v>
      </c>
      <c r="C21" s="16"/>
      <c r="D21" s="52" t="s">
        <v>62</v>
      </c>
      <c r="E21" s="18"/>
      <c r="F21" s="23">
        <f>Rates!D39</f>
        <v>-1.9E-3</v>
      </c>
      <c r="G21" s="20">
        <f t="shared" si="6"/>
        <v>205</v>
      </c>
      <c r="H21" s="21">
        <f t="shared" si="0"/>
        <v>-0.38950000000000001</v>
      </c>
      <c r="I21" s="22"/>
      <c r="J21" s="23">
        <f>Rates!F39</f>
        <v>-1.9E-3</v>
      </c>
      <c r="K21" s="20">
        <f t="shared" si="5"/>
        <v>205</v>
      </c>
      <c r="L21" s="21">
        <f t="shared" si="1"/>
        <v>-0.38950000000000001</v>
      </c>
      <c r="M21" s="22"/>
      <c r="N21" s="25">
        <f t="shared" si="2"/>
        <v>0</v>
      </c>
      <c r="O21" s="26">
        <f t="shared" si="3"/>
        <v>0</v>
      </c>
    </row>
    <row r="22" spans="2:15" s="38" customFormat="1" ht="15" x14ac:dyDescent="0.25">
      <c r="B22" s="27" t="s">
        <v>21</v>
      </c>
      <c r="C22" s="28"/>
      <c r="D22" s="29"/>
      <c r="E22" s="28"/>
      <c r="F22" s="30"/>
      <c r="G22" s="31"/>
      <c r="H22" s="32">
        <f>SUM(H15:H21)</f>
        <v>73.16149999999999</v>
      </c>
      <c r="I22" s="33"/>
      <c r="J22" s="34"/>
      <c r="K22" s="35"/>
      <c r="L22" s="32">
        <f>SUM(L15:L21)</f>
        <v>76.824999999999989</v>
      </c>
      <c r="M22" s="33"/>
      <c r="N22" s="36">
        <f t="shared" si="2"/>
        <v>3.6634999999999991</v>
      </c>
      <c r="O22" s="37">
        <f t="shared" si="3"/>
        <v>5.0074151022053946E-2</v>
      </c>
    </row>
    <row r="23" spans="2:15" ht="38.25" x14ac:dyDescent="0.25">
      <c r="B23" s="39" t="str">
        <f>Rates!A34</f>
        <v>Rate Rider for the Disposition of Deferral/Variance Accounts (2017) - effective until December 31, 2017</v>
      </c>
      <c r="C23" s="16"/>
      <c r="D23" s="17" t="s">
        <v>62</v>
      </c>
      <c r="E23" s="18"/>
      <c r="F23" s="23">
        <f>Rates!D34</f>
        <v>0</v>
      </c>
      <c r="G23" s="20">
        <f t="shared" ref="G23:G24" si="7">$F$10</f>
        <v>205</v>
      </c>
      <c r="H23" s="21">
        <f t="shared" ref="H23:H25" si="8">G23*F23</f>
        <v>0</v>
      </c>
      <c r="I23" s="40"/>
      <c r="J23" s="23">
        <f>Rates!F34+Rates!F37</f>
        <v>-3.5000000000000001E-3</v>
      </c>
      <c r="K23" s="20">
        <f t="shared" ref="K23:K24" si="9">$F$10</f>
        <v>205</v>
      </c>
      <c r="L23" s="21">
        <f t="shared" ref="L23:L25" si="10">K23*J23</f>
        <v>-0.71750000000000003</v>
      </c>
      <c r="M23" s="41"/>
      <c r="N23" s="25">
        <f t="shared" si="2"/>
        <v>-0.71750000000000003</v>
      </c>
      <c r="O23" s="26" t="str">
        <f t="shared" si="3"/>
        <v/>
      </c>
    </row>
    <row r="24" spans="2:15" ht="15" x14ac:dyDescent="0.25">
      <c r="B24" s="42" t="s">
        <v>22</v>
      </c>
      <c r="C24" s="16"/>
      <c r="D24" s="17"/>
      <c r="E24" s="18"/>
      <c r="F24" s="19"/>
      <c r="G24" s="20">
        <f t="shared" si="7"/>
        <v>205</v>
      </c>
      <c r="H24" s="21">
        <f>G24*F24</f>
        <v>0</v>
      </c>
      <c r="I24" s="22"/>
      <c r="J24" s="23"/>
      <c r="K24" s="20">
        <f t="shared" si="9"/>
        <v>205</v>
      </c>
      <c r="L24" s="21">
        <f>K24*J24</f>
        <v>0</v>
      </c>
      <c r="M24" s="22"/>
      <c r="N24" s="25">
        <f>L24-H24</f>
        <v>0</v>
      </c>
      <c r="O24" s="26" t="str">
        <f>IF((H24)=0,"",(N24/H24))</f>
        <v/>
      </c>
    </row>
    <row r="25" spans="2:15" ht="15" x14ac:dyDescent="0.25">
      <c r="B25" s="42" t="s">
        <v>23</v>
      </c>
      <c r="C25" s="16"/>
      <c r="D25" s="17" t="s">
        <v>62</v>
      </c>
      <c r="E25" s="18"/>
      <c r="F25" s="43">
        <f>IF(ISBLANK(D8)=TRUE, 0, IF(D8="TOU", 0.64*$F$35+0.18*$F$36+0.18*$F$37, IF(AND(D8="non-TOU",#REF!&gt; 0),#REF!,#REF!)))</f>
        <v>0.11183999999999999</v>
      </c>
      <c r="G25" s="44">
        <f>$F$10*(1+$F$44)-$F$10</f>
        <v>18.79849999999999</v>
      </c>
      <c r="H25" s="21">
        <f t="shared" si="8"/>
        <v>2.1024242399999986</v>
      </c>
      <c r="I25" s="22"/>
      <c r="J25" s="45">
        <f>0.64*$F$35+0.18*$F$36+0.18*$F$37</f>
        <v>0.11183999999999999</v>
      </c>
      <c r="K25" s="44">
        <f>$F$10*(1+$J$44)-$F$10</f>
        <v>18.79849999999999</v>
      </c>
      <c r="L25" s="21">
        <f t="shared" si="10"/>
        <v>2.1024242399999986</v>
      </c>
      <c r="M25" s="22"/>
      <c r="N25" s="25">
        <f t="shared" si="2"/>
        <v>0</v>
      </c>
      <c r="O25" s="26">
        <f t="shared" si="3"/>
        <v>0</v>
      </c>
    </row>
    <row r="26" spans="2:15" x14ac:dyDescent="0.3">
      <c r="B26" s="42" t="s">
        <v>24</v>
      </c>
      <c r="C26" s="16"/>
      <c r="D26" s="17" t="s">
        <v>61</v>
      </c>
      <c r="E26" s="18"/>
      <c r="F26" s="43">
        <f>Rates!D44</f>
        <v>0.79</v>
      </c>
      <c r="G26" s="20">
        <v>1</v>
      </c>
      <c r="H26" s="21">
        <f>G26*F26</f>
        <v>0.79</v>
      </c>
      <c r="I26" s="22"/>
      <c r="J26" s="43">
        <f>Rates!F44</f>
        <v>0.79</v>
      </c>
      <c r="K26" s="20">
        <v>1</v>
      </c>
      <c r="L26" s="21">
        <f>K26*J26</f>
        <v>0.79</v>
      </c>
      <c r="M26" s="22"/>
      <c r="N26" s="25">
        <f>L26-H26</f>
        <v>0</v>
      </c>
      <c r="O26" s="26"/>
    </row>
    <row r="27" spans="2:15" ht="26.4" x14ac:dyDescent="0.3">
      <c r="B27" s="46" t="s">
        <v>25</v>
      </c>
      <c r="C27" s="47"/>
      <c r="D27" s="47"/>
      <c r="E27" s="47"/>
      <c r="F27" s="48"/>
      <c r="G27" s="49"/>
      <c r="H27" s="50">
        <f>SUM(H23:H26)+H22</f>
        <v>76.053924239999986</v>
      </c>
      <c r="I27" s="33"/>
      <c r="J27" s="49"/>
      <c r="K27" s="51"/>
      <c r="L27" s="50">
        <f>SUM(L23:L26)+L22</f>
        <v>78.999924239999984</v>
      </c>
      <c r="M27" s="33"/>
      <c r="N27" s="36">
        <f t="shared" ref="N27:N41" si="11">L27-H27</f>
        <v>2.945999999999998</v>
      </c>
      <c r="O27" s="37">
        <f t="shared" ref="O27:O41" si="12">IF((H27)=0,"",(N27/H27))</f>
        <v>3.8735673792498031E-2</v>
      </c>
    </row>
    <row r="28" spans="2:15" x14ac:dyDescent="0.3">
      <c r="B28" s="22" t="s">
        <v>26</v>
      </c>
      <c r="C28" s="22"/>
      <c r="D28" s="52" t="s">
        <v>62</v>
      </c>
      <c r="E28" s="53"/>
      <c r="F28" s="23">
        <f>Rates!D40</f>
        <v>7.0000000000000001E-3</v>
      </c>
      <c r="G28" s="54">
        <f>F10*(1+F44)</f>
        <v>223.79849999999999</v>
      </c>
      <c r="H28" s="21">
        <f>G28*F28</f>
        <v>1.5665894999999999</v>
      </c>
      <c r="I28" s="22"/>
      <c r="J28" s="23">
        <f>Rates!F40</f>
        <v>6.6E-3</v>
      </c>
      <c r="K28" s="55">
        <f>F10*(1+J44)</f>
        <v>223.79849999999999</v>
      </c>
      <c r="L28" s="21">
        <f>K28*J28</f>
        <v>1.4770700999999999</v>
      </c>
      <c r="M28" s="22"/>
      <c r="N28" s="25">
        <f t="shared" si="11"/>
        <v>-8.9519399999999916E-2</v>
      </c>
      <c r="O28" s="26">
        <f t="shared" si="12"/>
        <v>-5.7142857142857093E-2</v>
      </c>
    </row>
    <row r="29" spans="2:15" x14ac:dyDescent="0.3">
      <c r="B29" s="56" t="s">
        <v>27</v>
      </c>
      <c r="C29" s="22"/>
      <c r="D29" s="52" t="s">
        <v>62</v>
      </c>
      <c r="E29" s="53"/>
      <c r="F29" s="23">
        <f>Rates!D41</f>
        <v>5.1000000000000004E-3</v>
      </c>
      <c r="G29" s="54">
        <f>G28</f>
        <v>223.79849999999999</v>
      </c>
      <c r="H29" s="21">
        <f>G29*F29</f>
        <v>1.1413723499999999</v>
      </c>
      <c r="I29" s="22"/>
      <c r="J29" s="23">
        <f>Rates!F41</f>
        <v>5.0000000000000001E-3</v>
      </c>
      <c r="K29" s="55">
        <f>K28</f>
        <v>223.79849999999999</v>
      </c>
      <c r="L29" s="21">
        <f>K29*J29</f>
        <v>1.1189925000000001</v>
      </c>
      <c r="M29" s="22"/>
      <c r="N29" s="25">
        <f t="shared" si="11"/>
        <v>-2.2379849999999868E-2</v>
      </c>
      <c r="O29" s="26">
        <f t="shared" si="12"/>
        <v>-1.9607843137254787E-2</v>
      </c>
    </row>
    <row r="30" spans="2:15" ht="26.4" x14ac:dyDescent="0.3">
      <c r="B30" s="46" t="s">
        <v>28</v>
      </c>
      <c r="C30" s="28"/>
      <c r="D30" s="28"/>
      <c r="E30" s="28"/>
      <c r="F30" s="57"/>
      <c r="G30" s="49"/>
      <c r="H30" s="50">
        <f>SUM(H27:H29)</f>
        <v>78.76188608999999</v>
      </c>
      <c r="I30" s="58"/>
      <c r="J30" s="59"/>
      <c r="K30" s="60"/>
      <c r="L30" s="50">
        <f>SUM(L27:L29)</f>
        <v>81.595986839999995</v>
      </c>
      <c r="M30" s="58"/>
      <c r="N30" s="36">
        <f t="shared" si="11"/>
        <v>2.8341007500000046</v>
      </c>
      <c r="O30" s="37">
        <f t="shared" si="12"/>
        <v>3.5983149854506041E-2</v>
      </c>
    </row>
    <row r="31" spans="2:15" x14ac:dyDescent="0.3">
      <c r="B31" s="61" t="s">
        <v>29</v>
      </c>
      <c r="C31" s="16"/>
      <c r="D31" s="52" t="s">
        <v>62</v>
      </c>
      <c r="E31" s="18"/>
      <c r="F31" s="64">
        <f>Rates!D42</f>
        <v>3.5999999999999999E-3</v>
      </c>
      <c r="G31" s="54">
        <f>G29</f>
        <v>223.79849999999999</v>
      </c>
      <c r="H31" s="63">
        <f t="shared" ref="H31:H37" si="13">G31*F31</f>
        <v>0.80567459999999991</v>
      </c>
      <c r="I31" s="22"/>
      <c r="J31" s="64">
        <f>Rates!F42</f>
        <v>3.5999999999999999E-3</v>
      </c>
      <c r="K31" s="55">
        <f>K29</f>
        <v>223.79849999999999</v>
      </c>
      <c r="L31" s="63">
        <f t="shared" ref="L31:L37" si="14">K31*J31</f>
        <v>0.80567459999999991</v>
      </c>
      <c r="M31" s="22"/>
      <c r="N31" s="25">
        <f t="shared" si="11"/>
        <v>0</v>
      </c>
      <c r="O31" s="65">
        <f t="shared" si="12"/>
        <v>0</v>
      </c>
    </row>
    <row r="32" spans="2:15" x14ac:dyDescent="0.3">
      <c r="B32" s="61" t="s">
        <v>30</v>
      </c>
      <c r="C32" s="16"/>
      <c r="D32" s="52" t="s">
        <v>62</v>
      </c>
      <c r="E32" s="18"/>
      <c r="F32" s="64">
        <f>Rates!D43</f>
        <v>1.2999999999999999E-3</v>
      </c>
      <c r="G32" s="54">
        <f>G29</f>
        <v>223.79849999999999</v>
      </c>
      <c r="H32" s="63">
        <f t="shared" si="13"/>
        <v>0.29093804999999995</v>
      </c>
      <c r="I32" s="22"/>
      <c r="J32" s="64">
        <f>Rates!F43</f>
        <v>1.2999999999999999E-3</v>
      </c>
      <c r="K32" s="55">
        <f>K29</f>
        <v>223.79849999999999</v>
      </c>
      <c r="L32" s="63">
        <f t="shared" si="14"/>
        <v>0.29093804999999995</v>
      </c>
      <c r="M32" s="22"/>
      <c r="N32" s="25">
        <f t="shared" si="11"/>
        <v>0</v>
      </c>
      <c r="O32" s="65">
        <f t="shared" si="12"/>
        <v>0</v>
      </c>
    </row>
    <row r="33" spans="1:19" x14ac:dyDescent="0.3">
      <c r="B33" s="16" t="s">
        <v>31</v>
      </c>
      <c r="C33" s="16"/>
      <c r="D33" s="17" t="s">
        <v>61</v>
      </c>
      <c r="E33" s="18"/>
      <c r="F33" s="62">
        <f>Rates!D45</f>
        <v>0.25</v>
      </c>
      <c r="G33" s="20">
        <v>1</v>
      </c>
      <c r="H33" s="63">
        <f t="shared" si="13"/>
        <v>0.25</v>
      </c>
      <c r="I33" s="22"/>
      <c r="J33" s="64">
        <f>Rates!F45</f>
        <v>0.25</v>
      </c>
      <c r="K33" s="24">
        <v>1</v>
      </c>
      <c r="L33" s="63">
        <f t="shared" si="14"/>
        <v>0.25</v>
      </c>
      <c r="M33" s="22"/>
      <c r="N33" s="25">
        <f t="shared" si="11"/>
        <v>0</v>
      </c>
      <c r="O33" s="65">
        <f t="shared" si="12"/>
        <v>0</v>
      </c>
    </row>
    <row r="34" spans="1:19" x14ac:dyDescent="0.3">
      <c r="B34" s="16" t="s">
        <v>95</v>
      </c>
      <c r="C34" s="16"/>
      <c r="D34" s="17" t="s">
        <v>62</v>
      </c>
      <c r="E34" s="18"/>
      <c r="F34" s="62">
        <f>Rates!D61</f>
        <v>1.1000000000000001E-3</v>
      </c>
      <c r="G34" s="66">
        <f>F10</f>
        <v>205</v>
      </c>
      <c r="H34" s="63">
        <f t="shared" si="13"/>
        <v>0.22550000000000001</v>
      </c>
      <c r="I34" s="22"/>
      <c r="J34" s="64">
        <f>Rates!F61</f>
        <v>1.1000000000000001E-3</v>
      </c>
      <c r="K34" s="67">
        <f>F10</f>
        <v>205</v>
      </c>
      <c r="L34" s="63">
        <f t="shared" si="14"/>
        <v>0.22550000000000001</v>
      </c>
      <c r="M34" s="22"/>
      <c r="N34" s="25">
        <f t="shared" si="11"/>
        <v>0</v>
      </c>
      <c r="O34" s="65">
        <f t="shared" si="12"/>
        <v>0</v>
      </c>
    </row>
    <row r="35" spans="1:19" x14ac:dyDescent="0.3">
      <c r="B35" s="42" t="s">
        <v>32</v>
      </c>
      <c r="C35" s="16"/>
      <c r="D35" s="17" t="s">
        <v>62</v>
      </c>
      <c r="E35" s="18"/>
      <c r="F35" s="68">
        <f>Rates!D69</f>
        <v>8.6999999999999994E-2</v>
      </c>
      <c r="G35" s="69">
        <f>0.64*$F$10</f>
        <v>131.19999999999999</v>
      </c>
      <c r="H35" s="63">
        <f t="shared" si="13"/>
        <v>11.414399999999999</v>
      </c>
      <c r="I35" s="22"/>
      <c r="J35" s="62">
        <f>Rates!F69</f>
        <v>8.6999999999999994E-2</v>
      </c>
      <c r="K35" s="69">
        <f>G35</f>
        <v>131.19999999999999</v>
      </c>
      <c r="L35" s="63">
        <f t="shared" si="14"/>
        <v>11.414399999999999</v>
      </c>
      <c r="M35" s="22"/>
      <c r="N35" s="25">
        <f t="shared" si="11"/>
        <v>0</v>
      </c>
      <c r="O35" s="65">
        <f t="shared" si="12"/>
        <v>0</v>
      </c>
      <c r="S35" s="70"/>
    </row>
    <row r="36" spans="1:19" x14ac:dyDescent="0.3">
      <c r="B36" s="42" t="s">
        <v>33</v>
      </c>
      <c r="C36" s="16"/>
      <c r="D36" s="17" t="s">
        <v>62</v>
      </c>
      <c r="E36" s="18"/>
      <c r="F36" s="68">
        <f>Rates!D70</f>
        <v>0.13200000000000001</v>
      </c>
      <c r="G36" s="69">
        <f>0.18*$F$10</f>
        <v>36.9</v>
      </c>
      <c r="H36" s="63">
        <f t="shared" si="13"/>
        <v>4.8708</v>
      </c>
      <c r="I36" s="22"/>
      <c r="J36" s="62">
        <f>Rates!F70</f>
        <v>0.13200000000000001</v>
      </c>
      <c r="K36" s="69">
        <f>G36</f>
        <v>36.9</v>
      </c>
      <c r="L36" s="63">
        <f t="shared" si="14"/>
        <v>4.8708</v>
      </c>
      <c r="M36" s="22"/>
      <c r="N36" s="25">
        <f t="shared" si="11"/>
        <v>0</v>
      </c>
      <c r="O36" s="65">
        <f t="shared" si="12"/>
        <v>0</v>
      </c>
      <c r="S36" s="70"/>
    </row>
    <row r="37" spans="1:19" ht="15" thickBot="1" x14ac:dyDescent="0.35">
      <c r="B37" s="6" t="s">
        <v>34</v>
      </c>
      <c r="C37" s="16"/>
      <c r="D37" s="17" t="s">
        <v>62</v>
      </c>
      <c r="E37" s="18"/>
      <c r="F37" s="68">
        <f>Rates!D71</f>
        <v>0.18</v>
      </c>
      <c r="G37" s="69">
        <f>0.18*$F$10</f>
        <v>36.9</v>
      </c>
      <c r="H37" s="63">
        <f t="shared" si="13"/>
        <v>6.6419999999999995</v>
      </c>
      <c r="I37" s="22"/>
      <c r="J37" s="62">
        <f>Rates!F71</f>
        <v>0.18</v>
      </c>
      <c r="K37" s="69">
        <f>G37</f>
        <v>36.9</v>
      </c>
      <c r="L37" s="63">
        <f t="shared" si="14"/>
        <v>6.6419999999999995</v>
      </c>
      <c r="M37" s="22"/>
      <c r="N37" s="25">
        <f t="shared" si="11"/>
        <v>0</v>
      </c>
      <c r="O37" s="65">
        <f t="shared" si="12"/>
        <v>0</v>
      </c>
      <c r="S37" s="70"/>
    </row>
    <row r="38" spans="1:19" ht="15" thickBot="1" x14ac:dyDescent="0.35">
      <c r="B38" s="72"/>
      <c r="C38" s="73"/>
      <c r="D38" s="74"/>
      <c r="E38" s="73"/>
      <c r="F38" s="75"/>
      <c r="G38" s="76"/>
      <c r="H38" s="77"/>
      <c r="I38" s="78"/>
      <c r="J38" s="75"/>
      <c r="K38" s="79"/>
      <c r="L38" s="77"/>
      <c r="M38" s="78"/>
      <c r="N38" s="80"/>
      <c r="O38" s="81"/>
    </row>
    <row r="39" spans="1:19" x14ac:dyDescent="0.3">
      <c r="B39" s="82" t="s">
        <v>35</v>
      </c>
      <c r="C39" s="16"/>
      <c r="D39" s="16"/>
      <c r="E39" s="16"/>
      <c r="F39" s="83"/>
      <c r="G39" s="84"/>
      <c r="H39" s="85">
        <f>SUM(H31:H37,H30)</f>
        <v>103.26119873999998</v>
      </c>
      <c r="I39" s="86"/>
      <c r="J39" s="87"/>
      <c r="K39" s="87"/>
      <c r="L39" s="111">
        <f>SUM(L31:L37,L30)</f>
        <v>106.09529948999999</v>
      </c>
      <c r="M39" s="88"/>
      <c r="N39" s="89">
        <f t="shared" ref="N39" si="15">L39-H39</f>
        <v>2.8341007500000046</v>
      </c>
      <c r="O39" s="90">
        <f t="shared" ref="O39" si="16">IF((H39)=0,"",(N39/H39))</f>
        <v>2.7445940823677146E-2</v>
      </c>
      <c r="S39" s="70"/>
    </row>
    <row r="40" spans="1:19" x14ac:dyDescent="0.3">
      <c r="B40" s="91" t="s">
        <v>36</v>
      </c>
      <c r="C40" s="16"/>
      <c r="D40" s="16"/>
      <c r="E40" s="16"/>
      <c r="F40" s="92">
        <v>0.13</v>
      </c>
      <c r="G40" s="93"/>
      <c r="H40" s="94">
        <f>H39*F40</f>
        <v>13.423955836199998</v>
      </c>
      <c r="I40" s="95"/>
      <c r="J40" s="96">
        <v>0.13</v>
      </c>
      <c r="K40" s="95"/>
      <c r="L40" s="97">
        <f>L39*J40</f>
        <v>13.792388933699998</v>
      </c>
      <c r="M40" s="98"/>
      <c r="N40" s="99">
        <f t="shared" si="11"/>
        <v>0.36843309750000053</v>
      </c>
      <c r="O40" s="100">
        <f t="shared" si="12"/>
        <v>2.7445940823677142E-2</v>
      </c>
      <c r="S40" s="70"/>
    </row>
    <row r="41" spans="1:19" s="113" customFormat="1" ht="15" thickBot="1" x14ac:dyDescent="0.35">
      <c r="B41" s="101" t="s">
        <v>97</v>
      </c>
      <c r="C41" s="168"/>
      <c r="D41" s="168"/>
      <c r="E41" s="168"/>
      <c r="F41" s="169"/>
      <c r="G41" s="170"/>
      <c r="H41" s="85">
        <f>H39+H40</f>
        <v>116.68515457619998</v>
      </c>
      <c r="I41" s="86"/>
      <c r="J41" s="86"/>
      <c r="K41" s="86"/>
      <c r="L41" s="171">
        <f>L39+L40</f>
        <v>119.88768842369998</v>
      </c>
      <c r="M41" s="88"/>
      <c r="N41" s="89">
        <f t="shared" si="11"/>
        <v>3.2025338475000069</v>
      </c>
      <c r="O41" s="90">
        <f t="shared" si="12"/>
        <v>2.7445940823677163E-2</v>
      </c>
      <c r="S41" s="172"/>
    </row>
    <row r="42" spans="1:19" ht="15" thickBot="1" x14ac:dyDescent="0.35">
      <c r="B42" s="72"/>
      <c r="C42" s="73"/>
      <c r="D42" s="74"/>
      <c r="E42" s="73"/>
      <c r="F42" s="75"/>
      <c r="G42" s="76"/>
      <c r="H42" s="77"/>
      <c r="I42" s="78"/>
      <c r="J42" s="75"/>
      <c r="K42" s="79"/>
      <c r="L42" s="77"/>
      <c r="M42" s="78"/>
      <c r="N42" s="80"/>
      <c r="O42" s="81"/>
      <c r="S42" s="70"/>
    </row>
    <row r="43" spans="1:19" x14ac:dyDescent="0.3">
      <c r="L43" s="70"/>
    </row>
    <row r="44" spans="1:19" x14ac:dyDescent="0.3">
      <c r="B44" s="7" t="s">
        <v>37</v>
      </c>
      <c r="F44" s="109">
        <f>Rates!D66</f>
        <v>9.1700000000000004E-2</v>
      </c>
      <c r="J44" s="109">
        <f>Rates!F66</f>
        <v>9.1700000000000004E-2</v>
      </c>
    </row>
    <row r="46" spans="1:19" x14ac:dyDescent="0.3">
      <c r="A46" s="110"/>
      <c r="B46" s="1" t="s">
        <v>38</v>
      </c>
    </row>
  </sheetData>
  <mergeCells count="9">
    <mergeCell ref="D13:D14"/>
    <mergeCell ref="N13:N14"/>
    <mergeCell ref="O13:O14"/>
    <mergeCell ref="B2:O2"/>
    <mergeCell ref="B3:O3"/>
    <mergeCell ref="D6:O6"/>
    <mergeCell ref="F12:H12"/>
    <mergeCell ref="J12:L12"/>
    <mergeCell ref="N12:O12"/>
  </mergeCells>
  <dataValidations count="3">
    <dataValidation type="list" allowBlank="1" showInputMessage="1" showErrorMessage="1" sqref="E28:E29 E42 E15:E21 E23:E26 E31:E38">
      <formula1>#REF!</formula1>
    </dataValidation>
    <dataValidation type="list" allowBlank="1" showInputMessage="1" showErrorMessage="1" prompt="Select Charge Unit - monthly, per kWh, per kW" sqref="D28:D29 D42 D15:D21 D23:D26 D31:D38">
      <formula1>"Monthly, per kWh, per kW"</formula1>
    </dataValidation>
    <dataValidation type="list" allowBlank="1" showInputMessage="1" showErrorMessage="1" sqref="D8">
      <formula1>"TOU, non-TOU"</formula1>
    </dataValidation>
  </dataValidations>
  <pageMargins left="0.7" right="0.7" top="0.75" bottom="0.75" header="0.3" footer="0.3"/>
  <pageSetup scale="6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11</vt:i4>
      </vt:variant>
    </vt:vector>
  </HeadingPairs>
  <TitlesOfParts>
    <vt:vector size="26" baseType="lpstr">
      <vt:lpstr>Cover</vt:lpstr>
      <vt:lpstr>Rates</vt:lpstr>
      <vt:lpstr>Residential_R1RPP_750</vt:lpstr>
      <vt:lpstr>Residential_R1RPP_10th_PCTL</vt:lpstr>
      <vt:lpstr>Residential_R1GSRPP_2000</vt:lpstr>
      <vt:lpstr>Residential_R1Non-RPP_750</vt:lpstr>
      <vt:lpstr>Residential - R2</vt:lpstr>
      <vt:lpstr>Seasonal_RPP_750</vt:lpstr>
      <vt:lpstr>Seasonal_RPP_AVG</vt:lpstr>
      <vt:lpstr>Seasonal_RPP_10th_PCTL</vt:lpstr>
      <vt:lpstr>Seasonal_Non-RPP_750</vt:lpstr>
      <vt:lpstr>Street Lighting Non-RPP</vt:lpstr>
      <vt:lpstr>Street Lighting Non-RPP (2)</vt:lpstr>
      <vt:lpstr>Summary</vt:lpstr>
      <vt:lpstr>Sheet1</vt:lpstr>
      <vt:lpstr>'Residential - R2'!Print_Area</vt:lpstr>
      <vt:lpstr>Residential_R1GSRPP_2000!Print_Area</vt:lpstr>
      <vt:lpstr>'Residential_R1Non-RPP_750'!Print_Area</vt:lpstr>
      <vt:lpstr>Residential_R1RPP_10th_PCTL!Print_Area</vt:lpstr>
      <vt:lpstr>Residential_R1RPP_750!Print_Area</vt:lpstr>
      <vt:lpstr>'Seasonal_Non-RPP_750'!Print_Area</vt:lpstr>
      <vt:lpstr>Seasonal_RPP_10th_PCTL!Print_Area</vt:lpstr>
      <vt:lpstr>Seasonal_RPP_750!Print_Area</vt:lpstr>
      <vt:lpstr>Seasonal_RPP_AVG!Print_Area</vt:lpstr>
      <vt:lpstr>'Street Lighting Non-RPP'!Print_Area</vt:lpstr>
      <vt:lpstr>'Street Lighting Non-RPP (2)'!Print_Area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Bradbury, Doug</dc:creator>
  <cp:lastModifiedBy>Kelli Benincasa</cp:lastModifiedBy>
  <cp:lastPrinted>2016-11-15T16:15:43Z</cp:lastPrinted>
  <dcterms:created xsi:type="dcterms:W3CDTF">2014-04-09T13:49:52Z</dcterms:created>
  <dcterms:modified xsi:type="dcterms:W3CDTF">2016-11-15T16:41:49Z</dcterms:modified>
</cp:coreProperties>
</file>