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Rate Submissions\2017\Interrogatories\LRAM Summary\"/>
    </mc:Choice>
  </mc:AlternateContent>
  <bookViews>
    <workbookView xWindow="0" yWindow="0" windowWidth="19200" windowHeight="6860"/>
  </bookViews>
  <sheets>
    <sheet name="Guelph Summary" sheetId="1" r:id="rId1"/>
    <sheet name="Guelph Adjs" sheetId="2" r:id="rId2"/>
  </sheets>
  <externalReferences>
    <externalReference r:id="rId3"/>
    <externalReference r:id="rId4"/>
  </externalReferences>
  <calcPr calcId="152511"/>
</workbook>
</file>

<file path=xl/calcChain.xml><?xml version="1.0" encoding="utf-8"?>
<calcChain xmlns="http://schemas.openxmlformats.org/spreadsheetml/2006/main">
  <c r="C5" i="2" l="1"/>
  <c r="C4" i="2"/>
  <c r="C3" i="2"/>
  <c r="G32" i="2" l="1"/>
  <c r="C32" i="2"/>
  <c r="B3" i="2" l="1"/>
  <c r="A25" i="2" l="1"/>
  <c r="A27" i="2" l="1"/>
  <c r="F22" i="2" l="1"/>
  <c r="D20" i="2"/>
  <c r="F18" i="2"/>
  <c r="G18" i="2" s="1"/>
  <c r="F17" i="2"/>
  <c r="E17" i="2"/>
  <c r="G17" i="2" s="1"/>
  <c r="F16" i="2"/>
  <c r="E16" i="2"/>
  <c r="G16" i="2" s="1"/>
  <c r="G15" i="2"/>
  <c r="F15" i="2"/>
  <c r="E15" i="2"/>
  <c r="D15" i="2"/>
  <c r="F14" i="2"/>
  <c r="E14" i="2"/>
  <c r="D14" i="2"/>
  <c r="C14" i="2"/>
  <c r="B14" i="2"/>
  <c r="B19" i="2" s="1"/>
  <c r="F21" i="2" l="1"/>
  <c r="F26" i="2"/>
  <c r="G14" i="2"/>
  <c r="C15" i="2"/>
  <c r="C19" i="2" s="1"/>
  <c r="D16" i="2"/>
  <c r="D19" i="2" s="1"/>
  <c r="F19" i="2"/>
  <c r="E19" i="2"/>
  <c r="F25" i="2" l="1"/>
  <c r="G19" i="2"/>
  <c r="B5" i="2"/>
  <c r="G21" i="2" l="1"/>
  <c r="A26" i="2"/>
  <c r="F27" i="2"/>
  <c r="G25" i="2"/>
  <c r="B4" i="2"/>
  <c r="B6" i="2" s="1"/>
  <c r="C6" i="2"/>
  <c r="G12" i="1" l="1"/>
  <c r="B17" i="1"/>
  <c r="B15" i="1"/>
  <c r="D22" i="1"/>
  <c r="D23" i="1" s="1"/>
  <c r="E5" i="1" l="1"/>
  <c r="C4" i="1"/>
  <c r="E4" i="1" l="1"/>
  <c r="E6" i="1" l="1"/>
  <c r="F6" i="1" s="1"/>
  <c r="E10" i="1"/>
  <c r="G11" i="1" l="1"/>
  <c r="G16" i="1"/>
  <c r="D4" i="1"/>
  <c r="G8" i="1"/>
  <c r="F7" i="1"/>
  <c r="F4" i="1" l="1"/>
  <c r="D5" i="1"/>
  <c r="F5" i="1" s="1"/>
  <c r="G5" i="1"/>
  <c r="G7" i="1"/>
  <c r="G6" i="1"/>
  <c r="G4" i="1" l="1"/>
  <c r="H8" i="1" l="1"/>
  <c r="H5" i="1"/>
  <c r="H6" i="1"/>
  <c r="H7" i="1"/>
  <c r="H4" i="1"/>
  <c r="G9" i="1"/>
  <c r="F9" i="1"/>
  <c r="E9" i="1"/>
  <c r="D9" i="1"/>
  <c r="C9" i="1"/>
  <c r="A9" i="2" l="1"/>
  <c r="A10" i="2" s="1"/>
  <c r="G15" i="1"/>
  <c r="H9" i="1"/>
  <c r="B16" i="1" s="1"/>
  <c r="H22" i="1"/>
  <c r="H15" i="1" l="1"/>
  <c r="G17" i="1"/>
  <c r="H11" i="1"/>
</calcChain>
</file>

<file path=xl/comments1.xml><?xml version="1.0" encoding="utf-8"?>
<comments xmlns="http://schemas.openxmlformats.org/spreadsheetml/2006/main">
  <authors>
    <author>Cristina</author>
  </authors>
  <commentList>
    <comment ref="C17" authorId="0" shapeId="0">
      <text>
        <r>
          <rPr>
            <b/>
            <sz val="9"/>
            <color indexed="81"/>
            <rFont val="Tahoma"/>
            <family val="2"/>
          </rPr>
          <t>Cristina:</t>
        </r>
        <r>
          <rPr>
            <sz val="9"/>
            <color indexed="81"/>
            <rFont val="Tahoma"/>
            <family val="2"/>
          </rPr>
          <t xml:space="preserve">
corrected in 2016 for 2017IRM = formulas was E9xH36x8/12</t>
        </r>
      </text>
    </comment>
    <comment ref="D22" authorId="0" shapeId="0">
      <text>
        <r>
          <rPr>
            <b/>
            <sz val="9"/>
            <color indexed="81"/>
            <rFont val="Tahoma"/>
            <family val="2"/>
          </rPr>
          <t>Cristina:</t>
        </r>
        <r>
          <rPr>
            <sz val="9"/>
            <color indexed="81"/>
            <rFont val="Tahoma"/>
            <family val="2"/>
          </rPr>
          <t xml:space="preserve">
corrected in 2016 for 2017IRM = formulas was E9xH36x8/12</t>
        </r>
      </text>
    </comment>
  </commentList>
</comments>
</file>

<file path=xl/comments2.xml><?xml version="1.0" encoding="utf-8"?>
<comments xmlns="http://schemas.openxmlformats.org/spreadsheetml/2006/main">
  <authors>
    <author>Cristina</author>
  </authors>
  <commentList>
    <comment ref="B27" authorId="0" shapeId="0">
      <text>
        <r>
          <rPr>
            <b/>
            <sz val="9"/>
            <color indexed="81"/>
            <rFont val="Tahoma"/>
            <family val="2"/>
          </rPr>
          <t>Cristina:</t>
        </r>
        <r>
          <rPr>
            <sz val="9"/>
            <color indexed="81"/>
            <rFont val="Tahoma"/>
            <family val="2"/>
          </rPr>
          <t xml:space="preserve">
corrected in 2016 for 2017IRM = formulas was E9xH36x8/12</t>
        </r>
      </text>
    </comment>
    <comment ref="C32" authorId="0" shapeId="0">
      <text>
        <r>
          <rPr>
            <b/>
            <sz val="9"/>
            <color indexed="81"/>
            <rFont val="Tahoma"/>
            <family val="2"/>
          </rPr>
          <t>Cristina:</t>
        </r>
        <r>
          <rPr>
            <sz val="9"/>
            <color indexed="81"/>
            <rFont val="Tahoma"/>
            <family val="2"/>
          </rPr>
          <t xml:space="preserve">
corrected in 2016 for 2017IRM = formulas was E9xH36x8/12</t>
        </r>
      </text>
    </comment>
  </commentList>
</comments>
</file>

<file path=xl/sharedStrings.xml><?xml version="1.0" encoding="utf-8"?>
<sst xmlns="http://schemas.openxmlformats.org/spreadsheetml/2006/main" count="57" uniqueCount="35">
  <si>
    <t>Rate Year</t>
  </si>
  <si>
    <t>Totals</t>
  </si>
  <si>
    <t>Program Year</t>
  </si>
  <si>
    <t>Lost Revenue Summary</t>
  </si>
  <si>
    <t>Approved as part of EB-2015-0073</t>
  </si>
  <si>
    <t>Claimed as part of current application</t>
  </si>
  <si>
    <t>Eligible Totals</t>
  </si>
  <si>
    <t>CDM Load Forecast Amount (To be deducted from LRAMVA Amount)</t>
  </si>
  <si>
    <t>2012 (CoS)</t>
  </si>
  <si>
    <t>Approved Forecast (2014-2015)</t>
  </si>
  <si>
    <t>Notes</t>
  </si>
  <si>
    <t>2011 LRAM</t>
  </si>
  <si>
    <t>2012 LRAM</t>
  </si>
  <si>
    <t>2013 LRAM</t>
  </si>
  <si>
    <t>2014 LRAM</t>
  </si>
  <si>
    <t>2015 LRAM</t>
  </si>
  <si>
    <t>Note: In each year after the initial program year, LRAM amounts will be related to the persisting program savings in subsequent years (i.e., in 2011 LRAM amounts in 2012 should be persisting 2011 savings in 2012)</t>
  </si>
  <si>
    <t>2011-2013 Carrying Charges</t>
  </si>
  <si>
    <t>2014-2015 Carrying Charges</t>
  </si>
  <si>
    <t>Please confirm that 2012 load forecast used 2010 actuals (not 2011 actuals which would have incorporated 2011 CDM effects making any 2011 persisting savings ineligible for recovery through the LRAMVA)</t>
  </si>
  <si>
    <t>This is based on the 2012 CDM Manual Adjustment</t>
  </si>
  <si>
    <t>Principal</t>
  </si>
  <si>
    <t>Interest including Jan. 1 to Dec. 31, 2015</t>
  </si>
  <si>
    <t>Total Approved in 2016 COS</t>
  </si>
  <si>
    <t>2016 Carrying Charges</t>
  </si>
  <si>
    <t>difference due correction of CDM Load Forecast adj.</t>
  </si>
  <si>
    <t>Guelph Hydro confirms that 2012 load forecast used 2010 actuals (not 2011 actuals)</t>
  </si>
  <si>
    <t>kW</t>
  </si>
  <si>
    <t>$</t>
  </si>
  <si>
    <t>Lost revenue that was not claimed in 2016 COS and are included in 2014</t>
  </si>
  <si>
    <t>Key control</t>
  </si>
  <si>
    <t>2014 Adj</t>
  </si>
  <si>
    <t>Total 2014 Lost Revenue without adjs.</t>
  </si>
  <si>
    <t>TOTAL</t>
  </si>
  <si>
    <t>All 2011 to 2013 adjustments removed from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</si>
</sst>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7" formatCode="&quot;$&quot;#,##0.00;\-&quot;$&quot;#,##0.00"/>
    <numFmt numFmtId="8" formatCode="&quot;$&quot;#,##0.00;[Red]\-&quot;$&quot;#,##0.00"/>
    <numFmt numFmtId="44" formatCode="_-&quot;$&quot;* #,##0.00_-;\-&quot;$&quot;* #,##0.00_-;_-&quot;$&quot;* &quot;-&quot;??_-;_-@_-"/>
    <numFmt numFmtId="43" formatCode="_-* #,##0.00_-;\-* #,##0.00_-;_-* &quot;-&quot;??_-;_-@_-"/>
    <numFmt numFmtId="164" formatCode="_-&quot;$&quot;* #,##0_-;\-&quot;$&quot;* #,##0_-;_-&quot;$&quot;* &quot;-&quot;??_-;_-@_-"/>
    <numFmt numFmtId="165" formatCode="_-* #,##0_-;\-* #,##0_-;_-* &quot;-&quot;??_-;_-@_-"/>
    <numFmt numFmtId="166" formatCode="&quot;$&quot;#,##0.00"/>
    <numFmt numFmtId="167" formatCode="&quot;$&quot;#,##0.00_);[Red]\(&quot;$&quot;#,##0.00\)"/>
  </numFmts>
  <fonts count="8"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9"/>
      <color indexed="81"/>
      <name val="Tahoma"/>
      <family val="2"/>
    </font>
    <font>
      <b/>
      <sz val="9"/>
      <color indexed="81"/>
      <name val="Tahoma"/>
      <family val="2"/>
    </font>
    <font>
      <b/>
      <sz val="11"/>
      <color theme="1"/>
      <name val="Arial"/>
      <family val="2"/>
    </font>
  </fonts>
  <fills count="9">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68">
    <xf numFmtId="0" fontId="0" fillId="0" borderId="0" xfId="0"/>
    <xf numFmtId="0" fontId="0" fillId="0" borderId="0" xfId="0"/>
    <xf numFmtId="0" fontId="0" fillId="0" borderId="1" xfId="0" applyBorder="1"/>
    <xf numFmtId="0" fontId="1" fillId="4" borderId="1" xfId="0" applyFont="1" applyFill="1" applyBorder="1"/>
    <xf numFmtId="0" fontId="1" fillId="0" borderId="1" xfId="0" applyFont="1" applyFill="1" applyBorder="1"/>
    <xf numFmtId="0" fontId="1" fillId="0" borderId="0" xfId="0" applyFont="1" applyFill="1"/>
    <xf numFmtId="0" fontId="1" fillId="0" borderId="1" xfId="0" applyFont="1" applyBorder="1" applyAlignment="1">
      <alignment horizontal="center"/>
    </xf>
    <xf numFmtId="0" fontId="1" fillId="0" borderId="1" xfId="0" applyFont="1" applyFill="1" applyBorder="1" applyAlignment="1">
      <alignment horizontal="center"/>
    </xf>
    <xf numFmtId="0" fontId="1" fillId="2" borderId="1" xfId="0" applyFont="1" applyFill="1" applyBorder="1" applyAlignment="1">
      <alignment horizontal="center"/>
    </xf>
    <xf numFmtId="0" fontId="1" fillId="0" borderId="0" xfId="0" applyFont="1" applyFill="1" applyBorder="1"/>
    <xf numFmtId="164" fontId="0" fillId="0" borderId="1" xfId="2" applyNumberFormat="1" applyFont="1" applyBorder="1"/>
    <xf numFmtId="164" fontId="0" fillId="0" borderId="1" xfId="0" applyNumberFormat="1" applyBorder="1"/>
    <xf numFmtId="164" fontId="0" fillId="0" borderId="0" xfId="0" applyNumberFormat="1"/>
    <xf numFmtId="165" fontId="0" fillId="0" borderId="0" xfId="1" applyNumberFormat="1" applyFont="1"/>
    <xf numFmtId="0" fontId="0" fillId="0" borderId="4" xfId="0" applyBorder="1"/>
    <xf numFmtId="0" fontId="0" fillId="0" borderId="2" xfId="0" applyBorder="1" applyAlignment="1">
      <alignment horizontal="right"/>
    </xf>
    <xf numFmtId="0" fontId="3" fillId="0" borderId="0" xfId="0" applyFont="1"/>
    <xf numFmtId="0" fontId="4" fillId="0" borderId="0" xfId="0" applyFont="1"/>
    <xf numFmtId="0" fontId="1" fillId="0" borderId="5" xfId="0" applyFont="1" applyBorder="1" applyAlignment="1"/>
    <xf numFmtId="164" fontId="0" fillId="5" borderId="1" xfId="2" applyNumberFormat="1" applyFont="1" applyFill="1" applyBorder="1"/>
    <xf numFmtId="0" fontId="4" fillId="0" borderId="0" xfId="0" applyFont="1" applyAlignment="1">
      <alignment wrapText="1"/>
    </xf>
    <xf numFmtId="166" fontId="0" fillId="5" borderId="2" xfId="0" applyNumberFormat="1" applyFill="1" applyBorder="1"/>
    <xf numFmtId="166" fontId="0" fillId="5" borderId="1" xfId="0" applyNumberFormat="1" applyFill="1" applyBorder="1"/>
    <xf numFmtId="166" fontId="0" fillId="3" borderId="1" xfId="2" applyNumberFormat="1" applyFont="1" applyFill="1" applyBorder="1"/>
    <xf numFmtId="166" fontId="0" fillId="0" borderId="3" xfId="0" applyNumberFormat="1" applyFill="1" applyBorder="1" applyAlignment="1">
      <alignment vertical="center" wrapText="1"/>
    </xf>
    <xf numFmtId="166" fontId="0" fillId="0" borderId="0" xfId="0" applyNumberFormat="1" applyFill="1" applyBorder="1"/>
    <xf numFmtId="166" fontId="0" fillId="0" borderId="0" xfId="0" applyNumberFormat="1" applyBorder="1"/>
    <xf numFmtId="166" fontId="0" fillId="0" borderId="0" xfId="2" applyNumberFormat="1" applyFont="1" applyBorder="1"/>
    <xf numFmtId="166" fontId="0" fillId="3" borderId="3" xfId="2" applyNumberFormat="1" applyFont="1" applyFill="1" applyBorder="1"/>
    <xf numFmtId="166" fontId="0" fillId="0" borderId="1" xfId="0" applyNumberFormat="1" applyFill="1" applyBorder="1" applyAlignment="1">
      <alignment vertical="center" wrapText="1"/>
    </xf>
    <xf numFmtId="166" fontId="0" fillId="0" borderId="1" xfId="2" applyNumberFormat="1" applyFont="1" applyFill="1" applyBorder="1" applyAlignment="1"/>
    <xf numFmtId="166" fontId="0" fillId="0" borderId="1" xfId="0" applyNumberFormat="1" applyFill="1" applyBorder="1" applyAlignment="1"/>
    <xf numFmtId="166" fontId="0" fillId="0" borderId="1" xfId="0" applyNumberFormat="1" applyBorder="1"/>
    <xf numFmtId="166" fontId="0" fillId="5" borderId="3" xfId="0" applyNumberFormat="1" applyFill="1" applyBorder="1"/>
    <xf numFmtId="166" fontId="0" fillId="3" borderId="1" xfId="0" applyNumberFormat="1" applyFill="1" applyBorder="1"/>
    <xf numFmtId="166" fontId="0" fillId="0" borderId="0" xfId="0" applyNumberFormat="1"/>
    <xf numFmtId="7" fontId="0" fillId="0" borderId="0" xfId="0" applyNumberFormat="1"/>
    <xf numFmtId="164" fontId="0" fillId="7" borderId="1" xfId="2" applyNumberFormat="1" applyFont="1" applyFill="1" applyBorder="1"/>
    <xf numFmtId="0" fontId="0" fillId="0" borderId="0" xfId="0" applyAlignment="1">
      <alignment wrapText="1"/>
    </xf>
    <xf numFmtId="0" fontId="1" fillId="0" borderId="0" xfId="0" applyFont="1" applyAlignment="1">
      <alignment wrapText="1"/>
    </xf>
    <xf numFmtId="166" fontId="1" fillId="0" borderId="0" xfId="0" applyNumberFormat="1" applyFont="1"/>
    <xf numFmtId="166" fontId="0" fillId="6" borderId="0" xfId="0" applyNumberFormat="1" applyFill="1"/>
    <xf numFmtId="166" fontId="0" fillId="3" borderId="0" xfId="0" applyNumberFormat="1" applyFill="1"/>
    <xf numFmtId="167" fontId="7" fillId="2" borderId="1" xfId="0" applyNumberFormat="1" applyFont="1" applyFill="1" applyBorder="1" applyAlignment="1">
      <alignment horizontal="center"/>
    </xf>
    <xf numFmtId="166" fontId="0" fillId="7" borderId="0" xfId="0" applyNumberFormat="1" applyFill="1"/>
    <xf numFmtId="0" fontId="0" fillId="0" borderId="0" xfId="0" applyAlignment="1">
      <alignment wrapText="1"/>
    </xf>
    <xf numFmtId="0" fontId="1" fillId="0" borderId="0" xfId="0" applyFont="1"/>
    <xf numFmtId="0" fontId="0" fillId="0" borderId="0" xfId="0" applyBorder="1"/>
    <xf numFmtId="164" fontId="0" fillId="0" borderId="0" xfId="0" applyNumberFormat="1" applyBorder="1"/>
    <xf numFmtId="0" fontId="1" fillId="0" borderId="4" xfId="0" applyFont="1" applyFill="1" applyBorder="1"/>
    <xf numFmtId="3" fontId="0" fillId="0" borderId="1" xfId="0" applyNumberFormat="1" applyBorder="1"/>
    <xf numFmtId="8" fontId="0" fillId="0" borderId="1" xfId="0" applyNumberFormat="1" applyBorder="1"/>
    <xf numFmtId="166" fontId="0" fillId="0" borderId="0" xfId="0" applyNumberFormat="1" applyAlignment="1">
      <alignment horizontal="right"/>
    </xf>
    <xf numFmtId="0" fontId="1" fillId="8" borderId="1" xfId="0" applyFont="1" applyFill="1" applyBorder="1"/>
    <xf numFmtId="3" fontId="1" fillId="8" borderId="1" xfId="0" applyNumberFormat="1" applyFont="1" applyFill="1" applyBorder="1"/>
    <xf numFmtId="8" fontId="1" fillId="8" borderId="1" xfId="0" applyNumberFormat="1" applyFont="1" applyFill="1" applyBorder="1"/>
    <xf numFmtId="0" fontId="0" fillId="8" borderId="0" xfId="0" applyFill="1"/>
    <xf numFmtId="0" fontId="1" fillId="8" borderId="2" xfId="0" applyFont="1" applyFill="1" applyBorder="1" applyAlignment="1">
      <alignment horizontal="center" wrapText="1"/>
    </xf>
    <xf numFmtId="0" fontId="1" fillId="8" borderId="1" xfId="0" applyFont="1" applyFill="1" applyBorder="1" applyAlignment="1">
      <alignment horizontal="center"/>
    </xf>
    <xf numFmtId="0" fontId="1" fillId="0" borderId="0" xfId="0" applyFont="1" applyAlignment="1">
      <alignment horizontal="center" vertical="center" wrapText="1"/>
    </xf>
    <xf numFmtId="0" fontId="1" fillId="0" borderId="5" xfId="0" applyFont="1" applyBorder="1" applyAlignment="1">
      <alignment horizontal="center"/>
    </xf>
    <xf numFmtId="0" fontId="3" fillId="0" borderId="0" xfId="0" applyFont="1" applyFill="1" applyBorder="1" applyAlignment="1">
      <alignment wrapText="1"/>
    </xf>
    <xf numFmtId="0" fontId="0" fillId="0" borderId="0" xfId="0" applyAlignment="1">
      <alignment wrapText="1"/>
    </xf>
    <xf numFmtId="0" fontId="0" fillId="0" borderId="6" xfId="0" applyBorder="1" applyAlignment="1"/>
    <xf numFmtId="0" fontId="1" fillId="8" borderId="1" xfId="0" applyFont="1" applyFill="1" applyBorder="1" applyAlignment="1">
      <alignment wrapText="1"/>
    </xf>
    <xf numFmtId="0" fontId="0" fillId="8" borderId="1" xfId="0" applyFill="1" applyBorder="1" applyAlignment="1">
      <alignment wrapText="1"/>
    </xf>
    <xf numFmtId="166" fontId="0" fillId="2" borderId="1" xfId="0" applyNumberFormat="1" applyFill="1" applyBorder="1"/>
    <xf numFmtId="166" fontId="0" fillId="2" borderId="1" xfId="2" applyNumberFormat="1" applyFont="1" applyFill="1" applyBorder="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te%20Submissions/2016%20Rate%20-%20Rebasing%20Process/LRAMVA/2012%20Actual%20CDM%20adjustments%20at%20customer%20class.mdw.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te%20Submissions/2017/Interrogatories/Guelph%20Responses%20to%20IRs/Guelph_2017IRM_Generic_LRAMVA_Work_Form_updated%20201609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 Allocation"/>
      <sheetName val="Lost revenue"/>
      <sheetName val="CDM Prgs"/>
      <sheetName val="Continuity Schedule"/>
    </sheetNames>
    <sheetDataSet>
      <sheetData sheetId="0">
        <row r="56">
          <cell r="F56">
            <v>123312.65503919848</v>
          </cell>
        </row>
      </sheetData>
      <sheetData sheetId="1">
        <row r="58">
          <cell r="D58">
            <v>2864.1073881087505</v>
          </cell>
        </row>
      </sheetData>
      <sheetData sheetId="2">
        <row r="5">
          <cell r="T5">
            <v>1612046.0683048728</v>
          </cell>
        </row>
      </sheetData>
      <sheetData sheetId="3">
        <row r="32">
          <cell r="Q32">
            <v>103692.79669333334</v>
          </cell>
          <cell r="AD32">
            <v>294449.38199004158</v>
          </cell>
          <cell r="AQ32">
            <v>537705.4992082743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Navigator"/>
      <sheetName val="Input Output Flow Chart"/>
      <sheetName val="1.  LRAMVA Summary"/>
      <sheetName val="2.  CDM Allocation"/>
      <sheetName val="3.  Distribution Rates"/>
      <sheetName val="4.  2011-14 LRAM"/>
      <sheetName val="5.  2015 LRAM"/>
      <sheetName val="5-b. 2016 LRAM"/>
      <sheetName val="5-c.  2017 LRAM"/>
      <sheetName val="5-d.  2018 LRAM"/>
      <sheetName val="5-e.  2019 LRAM"/>
      <sheetName val="5-f.  2020 LRAM"/>
      <sheetName val="6.  Persistence Rates"/>
      <sheetName val="7.  Carrying Charges"/>
      <sheetName val="8. Guelph_Approved CDM adj"/>
      <sheetName val="9. Guelph_Lost Revenue"/>
      <sheetName val="10. Guelph_CDM Prgs"/>
      <sheetName val="11. Guelph_Continuity Schedule"/>
      <sheetName val="12. Guelph_Proposed Rate Riders"/>
    </sheetNames>
    <sheetDataSet>
      <sheetData sheetId="0" refreshError="1"/>
      <sheetData sheetId="1" refreshError="1"/>
      <sheetData sheetId="2">
        <row r="9">
          <cell r="H9">
            <v>302621.07616299344</v>
          </cell>
        </row>
        <row r="37">
          <cell r="K37">
            <v>41782.879625616588</v>
          </cell>
        </row>
        <row r="39">
          <cell r="L39">
            <v>16223.331601355385</v>
          </cell>
        </row>
        <row r="40">
          <cell r="K40">
            <v>1532854.5386229157</v>
          </cell>
        </row>
      </sheetData>
      <sheetData sheetId="3" refreshError="1"/>
      <sheetData sheetId="4">
        <row r="51">
          <cell r="F51">
            <v>37116.119507496871</v>
          </cell>
          <cell r="G51">
            <v>37580.831389629318</v>
          </cell>
          <cell r="H51">
            <v>26403.829886593536</v>
          </cell>
        </row>
        <row r="55">
          <cell r="F55">
            <v>7466.6593740859898</v>
          </cell>
          <cell r="G55">
            <v>7454.1565954957587</v>
          </cell>
          <cell r="H55">
            <v>14387.286097809356</v>
          </cell>
        </row>
        <row r="56">
          <cell r="F56">
            <v>10169.51775372916</v>
          </cell>
          <cell r="G56">
            <v>10152.489090377301</v>
          </cell>
          <cell r="H56">
            <v>558.34491699230307</v>
          </cell>
        </row>
        <row r="57">
          <cell r="F57">
            <v>8155.7362971629136</v>
          </cell>
          <cell r="G57">
            <v>8142.0796724188349</v>
          </cell>
          <cell r="H57">
            <v>27360.273326228533</v>
          </cell>
        </row>
      </sheetData>
      <sheetData sheetId="5">
        <row r="73">
          <cell r="P73">
            <v>109824.54622382467</v>
          </cell>
        </row>
        <row r="151">
          <cell r="P151">
            <v>111670.26553139661</v>
          </cell>
        </row>
        <row r="152">
          <cell r="P152">
            <v>238831.48494584448</v>
          </cell>
        </row>
        <row r="231">
          <cell r="P231">
            <v>116345.48339152298</v>
          </cell>
        </row>
        <row r="232">
          <cell r="P232">
            <v>199369.58169292222</v>
          </cell>
        </row>
        <row r="233">
          <cell r="P233">
            <v>218290.72347960685</v>
          </cell>
        </row>
        <row r="312">
          <cell r="P312">
            <v>116197.84917114869</v>
          </cell>
        </row>
        <row r="313">
          <cell r="P313">
            <v>200312.543291693</v>
          </cell>
        </row>
        <row r="314">
          <cell r="P314">
            <v>67170.753394492029</v>
          </cell>
        </row>
        <row r="315">
          <cell r="P315">
            <v>116892.86534935409</v>
          </cell>
        </row>
        <row r="316">
          <cell r="P316">
            <v>500574.01120668784</v>
          </cell>
        </row>
      </sheetData>
      <sheetData sheetId="6">
        <row r="119">
          <cell r="P119">
            <v>127555.34708077094</v>
          </cell>
        </row>
        <row r="120">
          <cell r="P120">
            <v>100450.48999889518</v>
          </cell>
        </row>
        <row r="121">
          <cell r="P121">
            <v>67817.550506223008</v>
          </cell>
        </row>
        <row r="122">
          <cell r="P122">
            <v>87878.335288603907</v>
          </cell>
        </row>
        <row r="123">
          <cell r="P123">
            <v>403417.62458000006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66">
          <cell r="N66">
            <v>288940.88767139864</v>
          </cell>
          <cell r="O66">
            <v>10234.568406113398</v>
          </cell>
          <cell r="Q66">
            <v>3445.6200854814279</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showGridLines="0" tabSelected="1" topLeftCell="A2" zoomScaleNormal="100" workbookViewId="0">
      <selection activeCell="F4" sqref="F4:F6"/>
    </sheetView>
  </sheetViews>
  <sheetFormatPr defaultRowHeight="14.5" x14ac:dyDescent="0.35"/>
  <cols>
    <col min="2" max="2" width="14.453125" customWidth="1"/>
    <col min="3" max="3" width="13.26953125" bestFit="1" customWidth="1"/>
    <col min="4" max="4" width="14" bestFit="1" customWidth="1"/>
    <col min="5" max="5" width="13.81640625" bestFit="1" customWidth="1"/>
    <col min="6" max="6" width="15.6328125" customWidth="1"/>
    <col min="7" max="7" width="13.26953125" bestFit="1" customWidth="1"/>
    <col min="8" max="8" width="29.7265625" customWidth="1"/>
    <col min="9" max="9" width="52.90625" customWidth="1"/>
    <col min="10" max="10" width="6" customWidth="1"/>
  </cols>
  <sheetData>
    <row r="1" spans="1:9" s="1" customFormat="1" x14ac:dyDescent="0.35">
      <c r="A1" s="1" t="s">
        <v>3</v>
      </c>
    </row>
    <row r="2" spans="1:9" x14ac:dyDescent="0.35">
      <c r="A2" s="1"/>
      <c r="B2" s="1"/>
      <c r="C2" s="60" t="s">
        <v>0</v>
      </c>
      <c r="D2" s="60"/>
      <c r="E2" s="60"/>
      <c r="F2" s="60"/>
      <c r="G2" s="60"/>
      <c r="H2" s="18"/>
      <c r="I2" s="1"/>
    </row>
    <row r="3" spans="1:9" x14ac:dyDescent="0.35">
      <c r="A3" s="1"/>
      <c r="B3" s="1"/>
      <c r="C3" s="6">
        <v>2011</v>
      </c>
      <c r="D3" s="7">
        <v>2012</v>
      </c>
      <c r="E3" s="6">
        <v>2013</v>
      </c>
      <c r="F3" s="6">
        <v>2014</v>
      </c>
      <c r="G3" s="6">
        <v>2015</v>
      </c>
      <c r="H3" s="2" t="s">
        <v>6</v>
      </c>
      <c r="I3" s="5"/>
    </row>
    <row r="4" spans="1:9" ht="15" customHeight="1" x14ac:dyDescent="0.35">
      <c r="A4" s="59" t="s">
        <v>2</v>
      </c>
      <c r="B4" s="4" t="s">
        <v>11</v>
      </c>
      <c r="C4" s="21">
        <f>'[1]Continuity Schedule'!$Q$32</f>
        <v>103692.79669333334</v>
      </c>
      <c r="D4" s="66">
        <f>+'[2]3.  Distribution Rates'!$F$51</f>
        <v>37116.119507496871</v>
      </c>
      <c r="E4" s="66">
        <f>+'[2]3.  Distribution Rates'!$G$51</f>
        <v>37580.831389629318</v>
      </c>
      <c r="F4" s="67">
        <f>+'[2]4.  2011-14 LRAM'!$P$312+'[2]4.  2011-14 LRAM'!$P$151-D4+'[2]4.  2011-14 LRAM'!$P$231-E4+'[2]4.  2011-14 LRAM'!$P$73-C4</f>
        <v>275648.39672743343</v>
      </c>
      <c r="G4" s="23">
        <f>+'[2]5.  2015 LRAM'!$P$119</f>
        <v>127555.34708077094</v>
      </c>
      <c r="H4" s="24">
        <f>SUM(F4:G4)</f>
        <v>403203.74380820437</v>
      </c>
      <c r="I4" s="1"/>
    </row>
    <row r="5" spans="1:9" x14ac:dyDescent="0.35">
      <c r="A5" s="59"/>
      <c r="B5" s="4" t="s">
        <v>12</v>
      </c>
      <c r="C5" s="25"/>
      <c r="D5" s="66">
        <f>+'[1]Continuity Schedule'!$AD$32-'[1]Continuity Schedule'!$Q$32-D4</f>
        <v>153640.46578921139</v>
      </c>
      <c r="E5" s="66">
        <f>+'[2]3.  Distribution Rates'!$H$51</f>
        <v>26403.829886593536</v>
      </c>
      <c r="F5" s="67">
        <f>+'[2]4.  2011-14 LRAM'!$P$313+'[2]4.  2011-14 LRAM'!$P$232-E5+'[2]4.  2011-14 LRAM'!$P$152-D5</f>
        <v>458469.31425465486</v>
      </c>
      <c r="G5" s="23">
        <f>+'[2]5.  2015 LRAM'!$P$120</f>
        <v>100450.48999889518</v>
      </c>
      <c r="H5" s="24">
        <f t="shared" ref="H5:H7" si="0">SUM(F5:G5)</f>
        <v>558919.80425355001</v>
      </c>
      <c r="I5" s="1"/>
    </row>
    <row r="6" spans="1:9" x14ac:dyDescent="0.35">
      <c r="A6" s="59"/>
      <c r="B6" s="4" t="s">
        <v>13</v>
      </c>
      <c r="C6" s="25"/>
      <c r="D6" s="25"/>
      <c r="E6" s="66">
        <f>+'[1]Continuity Schedule'!$AQ$32-'[1]Continuity Schedule'!$AD$32-E5-E4</f>
        <v>179271.45594200987</v>
      </c>
      <c r="F6" s="67">
        <f>+'[2]4.  2011-14 LRAM'!$P$314+'[2]4.  2011-14 LRAM'!$P$233-E6</f>
        <v>106190.02093208901</v>
      </c>
      <c r="G6" s="23">
        <f>+'[2]5.  2015 LRAM'!$P$121</f>
        <v>67817.550506223008</v>
      </c>
      <c r="H6" s="24">
        <f t="shared" si="0"/>
        <v>174007.57143831201</v>
      </c>
      <c r="I6" s="1"/>
    </row>
    <row r="7" spans="1:9" x14ac:dyDescent="0.35">
      <c r="A7" s="59"/>
      <c r="B7" s="4" t="s">
        <v>14</v>
      </c>
      <c r="C7" s="26"/>
      <c r="D7" s="26"/>
      <c r="E7" s="26"/>
      <c r="F7" s="23">
        <f>+'[2]4.  2011-14 LRAM'!$P$315</f>
        <v>116892.86534935409</v>
      </c>
      <c r="G7" s="23">
        <f>+'[2]5.  2015 LRAM'!$P$122</f>
        <v>87878.335288603907</v>
      </c>
      <c r="H7" s="24">
        <f t="shared" si="0"/>
        <v>204771.20063795801</v>
      </c>
      <c r="I7" s="1"/>
    </row>
    <row r="8" spans="1:9" x14ac:dyDescent="0.35">
      <c r="A8" s="59"/>
      <c r="B8" s="4" t="s">
        <v>15</v>
      </c>
      <c r="C8" s="26"/>
      <c r="D8" s="26"/>
      <c r="E8" s="26"/>
      <c r="F8" s="27"/>
      <c r="G8" s="28">
        <f>+'[2]5.  2015 LRAM'!$P$123</f>
        <v>403417.62458000006</v>
      </c>
      <c r="H8" s="29">
        <f>G8</f>
        <v>403417.62458000006</v>
      </c>
      <c r="I8" s="1"/>
    </row>
    <row r="9" spans="1:9" x14ac:dyDescent="0.35">
      <c r="A9" s="1"/>
      <c r="B9" s="3" t="s">
        <v>1</v>
      </c>
      <c r="C9" s="30">
        <f>C4</f>
        <v>103692.79669333334</v>
      </c>
      <c r="D9" s="30">
        <f>D4+D5</f>
        <v>190756.58529670828</v>
      </c>
      <c r="E9" s="30">
        <f>E4+E5+E6</f>
        <v>243256.11721823271</v>
      </c>
      <c r="F9" s="31">
        <f>SUM(F4:F7)</f>
        <v>957200.59726353141</v>
      </c>
      <c r="G9" s="31">
        <f>SUM(G4:G8)</f>
        <v>787119.34745449317</v>
      </c>
      <c r="H9" s="32">
        <f>SUM(F9:G9)</f>
        <v>1744319.9447180247</v>
      </c>
      <c r="I9" s="1"/>
    </row>
    <row r="10" spans="1:9" x14ac:dyDescent="0.35">
      <c r="C10" s="14"/>
      <c r="D10" s="15" t="s">
        <v>17</v>
      </c>
      <c r="E10" s="33">
        <f>+'[2]9. Guelph_Lost Revenue'!$O$66+'[2]9. Guelph_Lost Revenue'!$Q$66</f>
        <v>13680.188491594825</v>
      </c>
    </row>
    <row r="11" spans="1:9" s="1" customFormat="1" x14ac:dyDescent="0.35">
      <c r="E11" s="14"/>
      <c r="F11" s="15" t="s">
        <v>18</v>
      </c>
      <c r="G11" s="34">
        <f>+'[2]1.  LRAMVA Summary'!$K$37-E10</f>
        <v>28102.691134021763</v>
      </c>
      <c r="H11" s="35">
        <f>H9+E10+G11</f>
        <v>1786102.8243436413</v>
      </c>
    </row>
    <row r="12" spans="1:9" s="1" customFormat="1" x14ac:dyDescent="0.35">
      <c r="E12" s="63" t="s">
        <v>24</v>
      </c>
      <c r="F12" s="63"/>
      <c r="G12" s="35">
        <f>+'[2]1.  LRAMVA Summary'!$L$39</f>
        <v>16223.331601355385</v>
      </c>
    </row>
    <row r="13" spans="1:9" s="1" customFormat="1" ht="60.5" customHeight="1" x14ac:dyDescent="0.35">
      <c r="B13" s="61" t="s">
        <v>16</v>
      </c>
      <c r="C13" s="62"/>
      <c r="D13" s="62"/>
      <c r="E13" s="62"/>
      <c r="F13" s="62"/>
      <c r="G13" s="62"/>
      <c r="H13" s="62"/>
    </row>
    <row r="14" spans="1:9" s="1" customFormat="1" x14ac:dyDescent="0.35"/>
    <row r="15" spans="1:9" x14ac:dyDescent="0.35">
      <c r="B15" s="41">
        <f>+'[2]1.  LRAMVA Summary'!$H$9</f>
        <v>302621.07616299344</v>
      </c>
      <c r="C15" s="16" t="s">
        <v>4</v>
      </c>
      <c r="D15" s="16"/>
      <c r="F15" t="s">
        <v>21</v>
      </c>
      <c r="G15" s="35">
        <f>+C9+D9+E9-D22-E22</f>
        <v>288940.88767139835</v>
      </c>
      <c r="H15" s="35">
        <f>'[2]9. Guelph_Lost Revenue'!$N$66-G15</f>
        <v>0</v>
      </c>
    </row>
    <row r="16" spans="1:9" ht="43.5" x14ac:dyDescent="0.35">
      <c r="B16" s="42">
        <f>+H9-H22+G11+G12-C17</f>
        <v>1531954.8986229168</v>
      </c>
      <c r="C16" s="16" t="s">
        <v>5</v>
      </c>
      <c r="D16" s="16"/>
      <c r="F16" s="38" t="s">
        <v>22</v>
      </c>
      <c r="G16" s="35">
        <f>+E10</f>
        <v>13680.188491594825</v>
      </c>
    </row>
    <row r="17" spans="2:9" ht="29" x14ac:dyDescent="0.35">
      <c r="B17" s="43">
        <f>'[2]1.  LRAMVA Summary'!$K$40</f>
        <v>1532854.5386229157</v>
      </c>
      <c r="C17" s="44">
        <v>899.64</v>
      </c>
      <c r="D17" t="s">
        <v>25</v>
      </c>
      <c r="F17" s="39" t="s">
        <v>23</v>
      </c>
      <c r="G17" s="40">
        <f>SUM(G15:G16)</f>
        <v>302621.07616299315</v>
      </c>
    </row>
    <row r="19" spans="2:9" x14ac:dyDescent="0.35">
      <c r="B19" t="s">
        <v>7</v>
      </c>
    </row>
    <row r="20" spans="2:9" x14ac:dyDescent="0.35">
      <c r="C20" s="6">
        <v>2011</v>
      </c>
      <c r="D20" s="8" t="s">
        <v>8</v>
      </c>
      <c r="E20" s="6">
        <v>2013</v>
      </c>
      <c r="F20" s="6">
        <v>2014</v>
      </c>
      <c r="G20" s="6">
        <v>2015</v>
      </c>
      <c r="H20" s="2" t="s">
        <v>9</v>
      </c>
      <c r="I20" t="s">
        <v>10</v>
      </c>
    </row>
    <row r="21" spans="2:9" ht="52.5" customHeight="1" x14ac:dyDescent="0.35">
      <c r="B21" s="4">
        <v>2011</v>
      </c>
      <c r="C21" s="2">
        <v>0</v>
      </c>
      <c r="D21" s="2">
        <v>0</v>
      </c>
      <c r="E21" s="2">
        <v>0</v>
      </c>
      <c r="F21" s="2">
        <v>0</v>
      </c>
      <c r="G21" s="2">
        <v>0</v>
      </c>
      <c r="H21" s="2"/>
      <c r="I21" s="20" t="s">
        <v>19</v>
      </c>
    </row>
    <row r="22" spans="2:9" x14ac:dyDescent="0.35">
      <c r="B22" s="4">
        <v>2012</v>
      </c>
      <c r="C22" s="2"/>
      <c r="D22" s="37">
        <f>+'[1]Adj Allocation'!$F$56</f>
        <v>123312.65503919848</v>
      </c>
      <c r="E22" s="19">
        <v>125451.95649767747</v>
      </c>
      <c r="F22" s="10">
        <v>127094.33105033751</v>
      </c>
      <c r="G22" s="10">
        <v>128697.09778014783</v>
      </c>
      <c r="H22" s="11">
        <f>SUM(F22:G22)</f>
        <v>255791.42883048533</v>
      </c>
      <c r="I22" s="17" t="s">
        <v>20</v>
      </c>
    </row>
    <row r="23" spans="2:9" x14ac:dyDescent="0.35">
      <c r="B23" s="9"/>
      <c r="D23" s="36">
        <f>D22-'[1]Adj Allocation'!$F$56</f>
        <v>0</v>
      </c>
    </row>
    <row r="24" spans="2:9" x14ac:dyDescent="0.35">
      <c r="B24" s="9"/>
      <c r="H24" s="12"/>
    </row>
    <row r="25" spans="2:9" x14ac:dyDescent="0.35">
      <c r="B25" s="9" t="s">
        <v>26</v>
      </c>
      <c r="H25" s="13"/>
    </row>
    <row r="26" spans="2:9" s="1" customFormat="1" x14ac:dyDescent="0.35">
      <c r="B26" s="9"/>
      <c r="H26" s="13"/>
    </row>
    <row r="27" spans="2:9" x14ac:dyDescent="0.35">
      <c r="H27" s="12"/>
    </row>
  </sheetData>
  <mergeCells count="4">
    <mergeCell ref="A4:A8"/>
    <mergeCell ref="C2:G2"/>
    <mergeCell ref="B13:H13"/>
    <mergeCell ref="E12:F12"/>
  </mergeCells>
  <pageMargins left="0.70866141732283472" right="0.70866141732283472" top="0.74803149606299213" bottom="0.74803149606299213" header="0.31496062992125984" footer="0.31496062992125984"/>
  <pageSetup paperSize="5" scale="9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6"/>
  <sheetViews>
    <sheetView topLeftCell="A7" workbookViewId="0">
      <selection activeCell="C14" sqref="C14"/>
    </sheetView>
  </sheetViews>
  <sheetFormatPr defaultRowHeight="14.5" x14ac:dyDescent="0.35"/>
  <cols>
    <col min="1" max="1" width="37.6328125" customWidth="1"/>
    <col min="2" max="2" width="12.26953125" style="1" customWidth="1"/>
    <col min="3" max="4" width="10.81640625" bestFit="1" customWidth="1"/>
    <col min="5" max="5" width="19.90625" customWidth="1"/>
    <col min="6" max="6" width="10.81640625" bestFit="1" customWidth="1"/>
    <col min="7" max="7" width="12.26953125" bestFit="1" customWidth="1"/>
  </cols>
  <sheetData>
    <row r="1" spans="1:7" x14ac:dyDescent="0.35">
      <c r="A1" s="64" t="s">
        <v>29</v>
      </c>
      <c r="B1" s="56"/>
      <c r="C1" s="53" t="s">
        <v>31</v>
      </c>
    </row>
    <row r="2" spans="1:7" x14ac:dyDescent="0.35">
      <c r="A2" s="65"/>
      <c r="B2" s="57" t="s">
        <v>27</v>
      </c>
      <c r="C2" s="58" t="s">
        <v>28</v>
      </c>
    </row>
    <row r="3" spans="1:7" x14ac:dyDescent="0.35">
      <c r="A3" s="49" t="s">
        <v>11</v>
      </c>
      <c r="B3" s="50">
        <f>(+'[2]3.  Distribution Rates'!$F$55+'[2]3.  Distribution Rates'!$F$56+'[2]3.  Distribution Rates'!$F$57)</f>
        <v>25791.913424978062</v>
      </c>
      <c r="C3" s="51">
        <f>'Guelph Summary'!F4-'Guelph Adjs'!E14</f>
        <v>159450.54755628476</v>
      </c>
    </row>
    <row r="4" spans="1:7" x14ac:dyDescent="0.35">
      <c r="A4" s="49" t="s">
        <v>12</v>
      </c>
      <c r="B4" s="50">
        <f>(+'[2]3.  Distribution Rates'!$G$55+'[2]3.  Distribution Rates'!$G$56+'[2]3.  Distribution Rates'!$G$57)</f>
        <v>25748.725358291893</v>
      </c>
      <c r="C4" s="51">
        <f>'Guelph Summary'!F5-'Guelph Adjs'!E15</f>
        <v>258156.77096296186</v>
      </c>
    </row>
    <row r="5" spans="1:7" x14ac:dyDescent="0.35">
      <c r="A5" s="49" t="s">
        <v>13</v>
      </c>
      <c r="B5" s="50">
        <f>(+'[2]3.  Distribution Rates'!$H$55+'[2]3.  Distribution Rates'!$H$56+'[2]3.  Distribution Rates'!$H$57)</f>
        <v>42305.904341030189</v>
      </c>
      <c r="C5" s="51">
        <f>'Guelph Summary'!F6-'Guelph Adjs'!E16</f>
        <v>39019.267537596985</v>
      </c>
    </row>
    <row r="6" spans="1:7" s="46" customFormat="1" x14ac:dyDescent="0.35">
      <c r="A6" s="53" t="s">
        <v>33</v>
      </c>
      <c r="B6" s="54">
        <f>SUM(B3:B5)</f>
        <v>93846.543124300137</v>
      </c>
      <c r="C6" s="55">
        <f>SUM(C3:C5)</f>
        <v>456626.58605684363</v>
      </c>
    </row>
    <row r="8" spans="1:7" x14ac:dyDescent="0.35">
      <c r="A8" s="52" t="s">
        <v>32</v>
      </c>
      <c r="B8" s="35"/>
    </row>
    <row r="9" spans="1:7" x14ac:dyDescent="0.35">
      <c r="A9" s="35">
        <f>+'Guelph Summary'!F9-'Guelph Adjs'!C6</f>
        <v>500574.01120668778</v>
      </c>
      <c r="B9" s="35" t="s">
        <v>30</v>
      </c>
    </row>
    <row r="10" spans="1:7" x14ac:dyDescent="0.35">
      <c r="A10" s="35">
        <f>+A9-'[2]4.  2011-14 LRAM'!$P$316</f>
        <v>0</v>
      </c>
      <c r="B10" s="35"/>
    </row>
    <row r="12" spans="1:7" x14ac:dyDescent="0.35">
      <c r="A12" s="46" t="s">
        <v>34</v>
      </c>
    </row>
    <row r="13" spans="1:7" s="1" customFormat="1" x14ac:dyDescent="0.35">
      <c r="B13" s="6">
        <v>2011</v>
      </c>
      <c r="C13" s="7">
        <v>2012</v>
      </c>
      <c r="D13" s="6">
        <v>2013</v>
      </c>
      <c r="E13" s="6">
        <v>2014</v>
      </c>
      <c r="F13" s="6">
        <v>2015</v>
      </c>
      <c r="G13" s="2" t="s">
        <v>6</v>
      </c>
    </row>
    <row r="14" spans="1:7" x14ac:dyDescent="0.35">
      <c r="A14" s="4" t="s">
        <v>11</v>
      </c>
      <c r="B14" s="21">
        <f>'[1]Continuity Schedule'!$Q$32</f>
        <v>103692.79669333334</v>
      </c>
      <c r="C14" s="22">
        <f>+'[2]3.  Distribution Rates'!$F$51</f>
        <v>37116.119507496871</v>
      </c>
      <c r="D14" s="22">
        <f>+'[2]3.  Distribution Rates'!$G$51</f>
        <v>37580.831389629318</v>
      </c>
      <c r="E14" s="23">
        <f>+'[2]4.  2011-14 LRAM'!$P$312</f>
        <v>116197.84917114869</v>
      </c>
      <c r="F14" s="23">
        <f>+'[2]5.  2015 LRAM'!$P$119</f>
        <v>127555.34708077094</v>
      </c>
      <c r="G14" s="24">
        <f>SUM(E14:F14)</f>
        <v>243753.19625191961</v>
      </c>
    </row>
    <row r="15" spans="1:7" x14ac:dyDescent="0.35">
      <c r="A15" s="4" t="s">
        <v>12</v>
      </c>
      <c r="B15" s="25"/>
      <c r="C15" s="22">
        <f>+'[1]Continuity Schedule'!$AD$32-'[1]Continuity Schedule'!$Q$32-C14</f>
        <v>153640.46578921139</v>
      </c>
      <c r="D15" s="22">
        <f>+'[2]3.  Distribution Rates'!$H$51</f>
        <v>26403.829886593536</v>
      </c>
      <c r="E15" s="23">
        <f>+'[2]4.  2011-14 LRAM'!$P$313</f>
        <v>200312.543291693</v>
      </c>
      <c r="F15" s="23">
        <f>+'[2]5.  2015 LRAM'!$P$120</f>
        <v>100450.48999889518</v>
      </c>
      <c r="G15" s="24">
        <f t="shared" ref="G15:G17" si="0">SUM(E15:F15)</f>
        <v>300763.03329058818</v>
      </c>
    </row>
    <row r="16" spans="1:7" x14ac:dyDescent="0.35">
      <c r="A16" s="4" t="s">
        <v>13</v>
      </c>
      <c r="B16" s="25"/>
      <c r="C16" s="25"/>
      <c r="D16" s="22">
        <f>+'[1]Continuity Schedule'!$AQ$32-'[1]Continuity Schedule'!$AD$32-D15-D14</f>
        <v>179271.45594200987</v>
      </c>
      <c r="E16" s="23">
        <f>+'[2]4.  2011-14 LRAM'!$P$314</f>
        <v>67170.753394492029</v>
      </c>
      <c r="F16" s="23">
        <f>+'[2]5.  2015 LRAM'!$P$121</f>
        <v>67817.550506223008</v>
      </c>
      <c r="G16" s="24">
        <f t="shared" si="0"/>
        <v>134988.30390071502</v>
      </c>
    </row>
    <row r="17" spans="1:7" x14ac:dyDescent="0.35">
      <c r="A17" s="4" t="s">
        <v>14</v>
      </c>
      <c r="B17" s="26"/>
      <c r="C17" s="26"/>
      <c r="D17" s="26"/>
      <c r="E17" s="23">
        <f>+'[2]4.  2011-14 LRAM'!$P$315</f>
        <v>116892.86534935409</v>
      </c>
      <c r="F17" s="23">
        <f>+'[2]5.  2015 LRAM'!$P$122</f>
        <v>87878.335288603907</v>
      </c>
      <c r="G17" s="24">
        <f t="shared" si="0"/>
        <v>204771.20063795801</v>
      </c>
    </row>
    <row r="18" spans="1:7" x14ac:dyDescent="0.35">
      <c r="A18" s="4" t="s">
        <v>15</v>
      </c>
      <c r="B18" s="26"/>
      <c r="C18" s="26"/>
      <c r="D18" s="26"/>
      <c r="E18" s="27"/>
      <c r="F18" s="28">
        <f>+'[2]5.  2015 LRAM'!$P$123</f>
        <v>403417.62458000006</v>
      </c>
      <c r="G18" s="29">
        <f>F18</f>
        <v>403417.62458000006</v>
      </c>
    </row>
    <row r="19" spans="1:7" x14ac:dyDescent="0.35">
      <c r="A19" s="3" t="s">
        <v>1</v>
      </c>
      <c r="B19" s="30">
        <f>B14</f>
        <v>103692.79669333334</v>
      </c>
      <c r="C19" s="30">
        <f>C14+C15</f>
        <v>190756.58529670828</v>
      </c>
      <c r="D19" s="30">
        <f>D14+D15+D16</f>
        <v>243256.11721823271</v>
      </c>
      <c r="E19" s="31">
        <f>SUM(E14:E17)</f>
        <v>500574.01120668784</v>
      </c>
      <c r="F19" s="31">
        <f>SUM(F14:F18)</f>
        <v>787119.34745449317</v>
      </c>
      <c r="G19" s="32">
        <f>SUM(E19:F19)</f>
        <v>1287693.3586611811</v>
      </c>
    </row>
    <row r="20" spans="1:7" x14ac:dyDescent="0.35">
      <c r="A20" s="1"/>
      <c r="B20" s="14"/>
      <c r="C20" s="15" t="s">
        <v>17</v>
      </c>
      <c r="D20" s="33">
        <f>+'[2]9. Guelph_Lost Revenue'!$O$66+'[2]9. Guelph_Lost Revenue'!$Q$66</f>
        <v>13680.188491594825</v>
      </c>
      <c r="E20" s="1"/>
      <c r="F20" s="1"/>
      <c r="G20" s="1"/>
    </row>
    <row r="21" spans="1:7" x14ac:dyDescent="0.35">
      <c r="A21" s="1"/>
      <c r="C21" s="1"/>
      <c r="D21" s="14"/>
      <c r="E21" s="15" t="s">
        <v>18</v>
      </c>
      <c r="F21" s="34">
        <f>+'[2]1.  LRAMVA Summary'!$K$37-D20</f>
        <v>28102.691134021763</v>
      </c>
      <c r="G21" s="35">
        <f>G19+D20+F21</f>
        <v>1329476.2382867977</v>
      </c>
    </row>
    <row r="22" spans="1:7" x14ac:dyDescent="0.35">
      <c r="A22" s="1"/>
      <c r="C22" s="1"/>
      <c r="D22" s="63" t="s">
        <v>24</v>
      </c>
      <c r="E22" s="63"/>
      <c r="F22" s="35">
        <f>+'[2]1.  LRAMVA Summary'!$L$39</f>
        <v>16223.331601355385</v>
      </c>
      <c r="G22" s="1"/>
    </row>
    <row r="23" spans="1:7" x14ac:dyDescent="0.35">
      <c r="A23" s="26"/>
      <c r="B23" s="26"/>
      <c r="C23" s="47"/>
    </row>
    <row r="24" spans="1:7" x14ac:dyDescent="0.35">
      <c r="A24" s="47"/>
      <c r="B24" s="47"/>
      <c r="C24" s="47"/>
    </row>
    <row r="25" spans="1:7" x14ac:dyDescent="0.35">
      <c r="A25" s="41">
        <f>+'[2]1.  LRAMVA Summary'!$H$9</f>
        <v>302621.07616299344</v>
      </c>
      <c r="B25" s="16" t="s">
        <v>4</v>
      </c>
      <c r="C25" s="16"/>
      <c r="D25" s="1"/>
      <c r="E25" s="1" t="s">
        <v>21</v>
      </c>
      <c r="F25" s="35">
        <f>+B19+C19+D19-C32-D32</f>
        <v>288940.88767139835</v>
      </c>
      <c r="G25" s="35">
        <f>'[2]9. Guelph_Lost Revenue'!$N$66-F25</f>
        <v>0</v>
      </c>
    </row>
    <row r="26" spans="1:7" ht="29" x14ac:dyDescent="0.35">
      <c r="A26" s="42">
        <f>+G19-G32+F21+F22-B27</f>
        <v>1075328.3125660731</v>
      </c>
      <c r="B26" s="16" t="s">
        <v>5</v>
      </c>
      <c r="C26" s="16"/>
      <c r="D26" s="1"/>
      <c r="E26" s="45" t="s">
        <v>22</v>
      </c>
      <c r="F26" s="35">
        <f>+D20</f>
        <v>13680.188491594825</v>
      </c>
      <c r="G26" s="1"/>
    </row>
    <row r="27" spans="1:7" ht="29" x14ac:dyDescent="0.35">
      <c r="A27" s="43">
        <f>'[2]1.  LRAMVA Summary'!$K$40</f>
        <v>1532854.5386229157</v>
      </c>
      <c r="B27" s="44">
        <v>899.64</v>
      </c>
      <c r="C27" s="1" t="s">
        <v>25</v>
      </c>
      <c r="D27" s="1"/>
      <c r="E27" s="39" t="s">
        <v>23</v>
      </c>
      <c r="F27" s="40">
        <f>SUM(F25:F26)</f>
        <v>302621.07616299315</v>
      </c>
      <c r="G27" s="1"/>
    </row>
    <row r="28" spans="1:7" x14ac:dyDescent="0.35">
      <c r="A28" s="1"/>
      <c r="C28" s="1"/>
      <c r="D28" s="1"/>
      <c r="E28" s="1"/>
      <c r="F28" s="1"/>
      <c r="G28" s="1"/>
    </row>
    <row r="29" spans="1:7" x14ac:dyDescent="0.35">
      <c r="A29" s="1" t="s">
        <v>7</v>
      </c>
      <c r="C29" s="1"/>
      <c r="D29" s="1"/>
      <c r="E29" s="1"/>
      <c r="F29" s="1"/>
      <c r="G29" s="1"/>
    </row>
    <row r="30" spans="1:7" x14ac:dyDescent="0.35">
      <c r="A30" s="1"/>
      <c r="B30" s="6">
        <v>2011</v>
      </c>
      <c r="C30" s="8" t="s">
        <v>8</v>
      </c>
      <c r="D30" s="6">
        <v>2013</v>
      </c>
      <c r="E30" s="6">
        <v>2014</v>
      </c>
      <c r="F30" s="6">
        <v>2015</v>
      </c>
      <c r="G30" s="2" t="s">
        <v>9</v>
      </c>
    </row>
    <row r="31" spans="1:7" x14ac:dyDescent="0.35">
      <c r="A31" s="4">
        <v>2011</v>
      </c>
      <c r="B31" s="2">
        <v>0</v>
      </c>
      <c r="C31" s="2">
        <v>0</v>
      </c>
      <c r="D31" s="2">
        <v>0</v>
      </c>
      <c r="E31" s="2">
        <v>0</v>
      </c>
      <c r="F31" s="2">
        <v>0</v>
      </c>
      <c r="G31" s="2"/>
    </row>
    <row r="32" spans="1:7" x14ac:dyDescent="0.35">
      <c r="A32" s="4">
        <v>2012</v>
      </c>
      <c r="B32" s="2"/>
      <c r="C32" s="37">
        <f>+'[1]Adj Allocation'!$F$56</f>
        <v>123312.65503919848</v>
      </c>
      <c r="D32" s="19">
        <v>125451.95649767747</v>
      </c>
      <c r="E32" s="10">
        <v>127094.33105033751</v>
      </c>
      <c r="F32" s="10">
        <v>128697.09778014783</v>
      </c>
      <c r="G32" s="11">
        <f>SUM(E32:F32)</f>
        <v>255791.42883048533</v>
      </c>
    </row>
    <row r="34" spans="1:2" x14ac:dyDescent="0.35">
      <c r="A34" s="47"/>
      <c r="B34" s="47"/>
    </row>
    <row r="35" spans="1:2" x14ac:dyDescent="0.35">
      <c r="A35" s="47"/>
      <c r="B35" s="47"/>
    </row>
    <row r="36" spans="1:2" x14ac:dyDescent="0.35">
      <c r="A36" s="48"/>
      <c r="B36" s="48"/>
    </row>
  </sheetData>
  <mergeCells count="2">
    <mergeCell ref="A1:A2"/>
    <mergeCell ref="D22:E22"/>
  </mergeCells>
  <pageMargins left="0.70866141732283472" right="0.70866141732283472" top="0.74803149606299213" bottom="0.74803149606299213" header="0.31496062992125984" footer="0.31496062992125984"/>
  <pageSetup paperSize="5" scale="9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Guelph Summary</vt:lpstr>
      <vt:lpstr>Guelph Adjs</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Cristina</cp:lastModifiedBy>
  <cp:lastPrinted>2016-09-30T13:17:13Z</cp:lastPrinted>
  <dcterms:created xsi:type="dcterms:W3CDTF">2016-09-22T15:11:54Z</dcterms:created>
  <dcterms:modified xsi:type="dcterms:W3CDTF">2016-09-30T13:58:24Z</dcterms:modified>
</cp:coreProperties>
</file>