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qghas400\shared\Rate Submissions\2017\Interrogatories\Guelph Responses to IRs\LRAMVA Fourth IR\"/>
    </mc:Choice>
  </mc:AlternateContent>
  <bookViews>
    <workbookView xWindow="0" yWindow="0" windowWidth="19200" windowHeight="6860" activeTab="2"/>
  </bookViews>
  <sheets>
    <sheet name="Guelph Summary" sheetId="1" r:id="rId1"/>
    <sheet name="Guelph Adjs" sheetId="2" r:id="rId2"/>
    <sheet name="IRR 3 a" sheetId="3" r:id="rId3"/>
    <sheet name="IRR 5 a" sheetId="4" r:id="rId4"/>
  </sheets>
  <externalReferences>
    <externalReference r:id="rId5"/>
    <externalReference r:id="rId6"/>
    <externalReference r:id="rId7"/>
    <externalReference r:id="rId8"/>
    <externalReference r:id="rId9"/>
    <externalReference r:id="rId10"/>
  </externalReferences>
  <calcPr calcId="152511"/>
</workbook>
</file>

<file path=xl/calcChain.xml><?xml version="1.0" encoding="utf-8"?>
<calcChain xmlns="http://schemas.openxmlformats.org/spreadsheetml/2006/main">
  <c r="M14" i="4" l="1"/>
  <c r="F21" i="2"/>
  <c r="C29" i="3" l="1"/>
  <c r="H12" i="4" l="1"/>
  <c r="H8" i="4"/>
  <c r="H7" i="4"/>
  <c r="H13" i="4" s="1"/>
  <c r="E12" i="4"/>
  <c r="E8" i="4"/>
  <c r="E7" i="4"/>
  <c r="I6" i="4"/>
  <c r="I5" i="4"/>
  <c r="I13" i="4" s="1"/>
  <c r="F6" i="4"/>
  <c r="F5" i="4"/>
  <c r="F13" i="4" s="1"/>
  <c r="B12" i="4"/>
  <c r="B8" i="4"/>
  <c r="B7" i="4"/>
  <c r="C5" i="4"/>
  <c r="C6" i="4"/>
  <c r="C13" i="4" l="1"/>
  <c r="E13" i="4"/>
  <c r="B13" i="4"/>
  <c r="L6" i="4"/>
  <c r="K7" i="4"/>
  <c r="K8" i="4"/>
  <c r="K12" i="4"/>
  <c r="L5" i="4"/>
  <c r="A14" i="4"/>
  <c r="A16" i="4"/>
  <c r="B16" i="4"/>
  <c r="D16" i="4"/>
  <c r="E16" i="4"/>
  <c r="F16" i="4"/>
  <c r="G16" i="4"/>
  <c r="H16" i="4"/>
  <c r="A17" i="4"/>
  <c r="B17" i="4"/>
  <c r="D17" i="4"/>
  <c r="D5" i="4" s="1"/>
  <c r="E17" i="4"/>
  <c r="G5" i="4" s="1"/>
  <c r="F17" i="4"/>
  <c r="J5" i="4" s="1"/>
  <c r="G17" i="4"/>
  <c r="H17" i="4"/>
  <c r="A18" i="4"/>
  <c r="B18" i="4"/>
  <c r="D18" i="4"/>
  <c r="D6" i="4" s="1"/>
  <c r="E18" i="4"/>
  <c r="G6" i="4" s="1"/>
  <c r="F18" i="4"/>
  <c r="J6" i="4" s="1"/>
  <c r="G18" i="4"/>
  <c r="H18" i="4"/>
  <c r="A19" i="4"/>
  <c r="B19" i="4"/>
  <c r="D19" i="4"/>
  <c r="D7" i="4" s="1"/>
  <c r="E19" i="4"/>
  <c r="G7" i="4" s="1"/>
  <c r="F19" i="4"/>
  <c r="J7" i="4" s="1"/>
  <c r="G19" i="4"/>
  <c r="H19" i="4"/>
  <c r="A20" i="4"/>
  <c r="B20" i="4"/>
  <c r="D20" i="4"/>
  <c r="D8" i="4" s="1"/>
  <c r="E20" i="4"/>
  <c r="G8" i="4" s="1"/>
  <c r="F20" i="4"/>
  <c r="J8" i="4" s="1"/>
  <c r="G20" i="4"/>
  <c r="H20" i="4"/>
  <c r="A21" i="4"/>
  <c r="B21" i="4"/>
  <c r="D21" i="4"/>
  <c r="E21" i="4"/>
  <c r="F21" i="4"/>
  <c r="G21" i="4"/>
  <c r="H21" i="4"/>
  <c r="A22" i="4"/>
  <c r="B22" i="4"/>
  <c r="D22" i="4"/>
  <c r="E22" i="4"/>
  <c r="F22" i="4"/>
  <c r="G22" i="4"/>
  <c r="H22" i="4"/>
  <c r="A23" i="4"/>
  <c r="B23" i="4"/>
  <c r="D23" i="4"/>
  <c r="E23" i="4"/>
  <c r="F23" i="4"/>
  <c r="G23" i="4"/>
  <c r="H23" i="4"/>
  <c r="A24" i="4"/>
  <c r="B24" i="4"/>
  <c r="D24" i="4"/>
  <c r="D12" i="4" s="1"/>
  <c r="E24" i="4"/>
  <c r="G12" i="4" s="1"/>
  <c r="F24" i="4"/>
  <c r="J12" i="4" s="1"/>
  <c r="G24" i="4"/>
  <c r="H24" i="4"/>
  <c r="M5" i="4" l="1"/>
  <c r="M7" i="4"/>
  <c r="J13" i="4"/>
  <c r="M6" i="4"/>
  <c r="M12" i="4"/>
  <c r="M8" i="4"/>
  <c r="G13" i="4"/>
  <c r="D13" i="4"/>
  <c r="L13" i="4"/>
  <c r="K13" i="4"/>
  <c r="K6" i="3"/>
  <c r="I3" i="3"/>
  <c r="M13" i="4" l="1"/>
  <c r="M15" i="4" s="1"/>
  <c r="M16" i="4" s="1"/>
  <c r="B4" i="2"/>
  <c r="B3" i="2"/>
  <c r="B5" i="2"/>
  <c r="I4" i="3"/>
  <c r="I5" i="3"/>
  <c r="I6" i="3" l="1"/>
  <c r="J5" i="3"/>
  <c r="C5" i="3" l="1"/>
  <c r="C4" i="3"/>
  <c r="C3" i="3"/>
  <c r="B5" i="3" l="1"/>
  <c r="B4" i="3" l="1"/>
  <c r="B3" i="3"/>
  <c r="G33" i="3" l="1"/>
  <c r="C33" i="3"/>
  <c r="A26" i="3"/>
  <c r="D20" i="3"/>
  <c r="F27" i="3" s="1"/>
  <c r="F18" i="3"/>
  <c r="G18" i="3" s="1"/>
  <c r="F17" i="3"/>
  <c r="E17" i="3"/>
  <c r="F16" i="3"/>
  <c r="E16" i="3"/>
  <c r="F15" i="3"/>
  <c r="E15" i="3"/>
  <c r="D15" i="3"/>
  <c r="D14" i="3"/>
  <c r="C14" i="3"/>
  <c r="C15" i="3" s="1"/>
  <c r="C19" i="3" s="1"/>
  <c r="B14" i="3"/>
  <c r="B19" i="3" s="1"/>
  <c r="D11" i="3"/>
  <c r="A9" i="3"/>
  <c r="A10" i="3" s="1"/>
  <c r="C6" i="3"/>
  <c r="B6" i="3"/>
  <c r="D16" i="3" l="1"/>
  <c r="D19" i="3" s="1"/>
  <c r="F26" i="3" s="1"/>
  <c r="G15" i="3"/>
  <c r="G17" i="3"/>
  <c r="G16" i="3"/>
  <c r="F28" i="3" l="1"/>
  <c r="G26" i="3"/>
  <c r="G33" i="2" l="1"/>
  <c r="G18" i="2" l="1"/>
  <c r="G16" i="2"/>
  <c r="G15" i="2"/>
  <c r="B19" i="2"/>
  <c r="B24" i="2" s="1"/>
  <c r="G17" i="2" l="1"/>
  <c r="H8" i="1" l="1"/>
  <c r="H7" i="1"/>
  <c r="C9" i="1"/>
  <c r="H22" i="1" l="1"/>
  <c r="B6" i="2" l="1"/>
  <c r="E19" i="2" l="1"/>
  <c r="G9" i="1"/>
  <c r="F10" i="2" l="1"/>
  <c r="G14" i="2"/>
  <c r="F19" i="2"/>
  <c r="G19" i="2" s="1"/>
  <c r="D19" i="2" l="1"/>
  <c r="D24" i="2" s="1"/>
  <c r="C19" i="2"/>
  <c r="C24" i="2" s="1"/>
  <c r="E24" i="2" s="1"/>
  <c r="F26" i="2" l="1"/>
  <c r="D9" i="1" l="1"/>
  <c r="C5" i="2"/>
  <c r="H6" i="1"/>
  <c r="C4" i="2"/>
  <c r="H5" i="1"/>
  <c r="E9" i="1"/>
  <c r="G15" i="1" s="1"/>
  <c r="C3" i="2"/>
  <c r="H4" i="1"/>
  <c r="F9" i="1"/>
  <c r="C6" i="2" l="1"/>
  <c r="A9" i="2" s="1"/>
  <c r="H9" i="1"/>
  <c r="H11" i="1" l="1"/>
  <c r="G16" i="1"/>
  <c r="G17" i="1" s="1"/>
  <c r="F27" i="2"/>
  <c r="F28" i="2" s="1"/>
  <c r="G21" i="2" l="1"/>
  <c r="B16" i="1" l="1"/>
  <c r="F14" i="3" l="1"/>
  <c r="E14" i="3"/>
  <c r="G14" i="3" l="1"/>
  <c r="E19" i="3"/>
  <c r="F10" i="3"/>
  <c r="F19" i="3"/>
  <c r="G19" i="3" l="1"/>
  <c r="J4" i="3" l="1"/>
  <c r="J3" i="3" l="1"/>
  <c r="J6" i="3" s="1"/>
  <c r="L6" i="3" s="1"/>
  <c r="M6" i="3" l="1"/>
  <c r="N6" i="3" s="1"/>
  <c r="F21" i="3" l="1"/>
  <c r="G21" i="3" s="1"/>
  <c r="A28" i="2" l="1"/>
  <c r="A28" i="3"/>
  <c r="F22" i="2"/>
  <c r="A27" i="2" s="1"/>
  <c r="F22" i="3"/>
  <c r="A27" i="3" s="1"/>
  <c r="A29" i="2" l="1"/>
</calcChain>
</file>

<file path=xl/comments1.xml><?xml version="1.0" encoding="utf-8"?>
<comments xmlns="http://schemas.openxmlformats.org/spreadsheetml/2006/main">
  <authors>
    <author>Cristina</author>
  </authors>
  <commentList>
    <comment ref="C17" authorId="0" shapeId="0">
      <text>
        <r>
          <rPr>
            <b/>
            <sz val="9"/>
            <color indexed="81"/>
            <rFont val="Tahoma"/>
            <family val="2"/>
          </rPr>
          <t>Cristina:</t>
        </r>
        <r>
          <rPr>
            <sz val="9"/>
            <color indexed="81"/>
            <rFont val="Tahoma"/>
            <family val="2"/>
          </rPr>
          <t xml:space="preserve">
corrected in 2016 for 2017IRM = formulas was E9xH36x8/12</t>
        </r>
      </text>
    </comment>
    <comment ref="D22" authorId="0" shapeId="0">
      <text>
        <r>
          <rPr>
            <b/>
            <sz val="9"/>
            <color indexed="81"/>
            <rFont val="Tahoma"/>
            <family val="2"/>
          </rPr>
          <t>Cristina:</t>
        </r>
        <r>
          <rPr>
            <sz val="9"/>
            <color indexed="81"/>
            <rFont val="Tahoma"/>
            <family val="2"/>
          </rPr>
          <t xml:space="preserve">
corrected in 2016 for 2017IRM = formulas was E9xH36x8/12</t>
        </r>
      </text>
    </comment>
  </commentList>
</comments>
</file>

<file path=xl/comments2.xml><?xml version="1.0" encoding="utf-8"?>
<comments xmlns="http://schemas.openxmlformats.org/spreadsheetml/2006/main">
  <authors>
    <author>Cristina</author>
  </authors>
  <commentList>
    <comment ref="B28" authorId="0" shapeId="0">
      <text>
        <r>
          <rPr>
            <b/>
            <sz val="9"/>
            <color indexed="81"/>
            <rFont val="Tahoma"/>
            <family val="2"/>
          </rPr>
          <t>Cristina:</t>
        </r>
        <r>
          <rPr>
            <sz val="9"/>
            <color indexed="81"/>
            <rFont val="Tahoma"/>
            <family val="2"/>
          </rPr>
          <t xml:space="preserve">
corrected in 2016 for 2017IRM = formulas was E9xH36x8/12</t>
        </r>
      </text>
    </comment>
    <comment ref="C33" authorId="0" shapeId="0">
      <text>
        <r>
          <rPr>
            <b/>
            <sz val="9"/>
            <color indexed="81"/>
            <rFont val="Tahoma"/>
            <family val="2"/>
          </rPr>
          <t>Cristina:</t>
        </r>
        <r>
          <rPr>
            <sz val="9"/>
            <color indexed="81"/>
            <rFont val="Tahoma"/>
            <family val="2"/>
          </rPr>
          <t xml:space="preserve">
corrected in 2016 for 2017IRM = formulas was E9xH36x8/12</t>
        </r>
      </text>
    </comment>
  </commentList>
</comments>
</file>

<file path=xl/comments3.xml><?xml version="1.0" encoding="utf-8"?>
<comments xmlns="http://schemas.openxmlformats.org/spreadsheetml/2006/main">
  <authors>
    <author>Cristina</author>
  </authors>
  <commentList>
    <comment ref="B28" authorId="0" shapeId="0">
      <text>
        <r>
          <rPr>
            <b/>
            <sz val="9"/>
            <color indexed="81"/>
            <rFont val="Tahoma"/>
            <family val="2"/>
          </rPr>
          <t>Cristina:</t>
        </r>
        <r>
          <rPr>
            <sz val="9"/>
            <color indexed="81"/>
            <rFont val="Tahoma"/>
            <family val="2"/>
          </rPr>
          <t xml:space="preserve">
corrected in 2016 for 2017IRM = formulas was E9xH36x8/12</t>
        </r>
      </text>
    </comment>
    <comment ref="C33" authorId="0" shapeId="0">
      <text>
        <r>
          <rPr>
            <b/>
            <sz val="9"/>
            <color indexed="81"/>
            <rFont val="Tahoma"/>
            <family val="2"/>
          </rPr>
          <t>Cristina:</t>
        </r>
        <r>
          <rPr>
            <sz val="9"/>
            <color indexed="81"/>
            <rFont val="Tahoma"/>
            <family val="2"/>
          </rPr>
          <t xml:space="preserve">
corrected in 2016 for 2017IRM = formulas was E9xH36x8/12</t>
        </r>
      </text>
    </comment>
  </commentList>
</comments>
</file>

<file path=xl/sharedStrings.xml><?xml version="1.0" encoding="utf-8"?>
<sst xmlns="http://schemas.openxmlformats.org/spreadsheetml/2006/main" count="134" uniqueCount="67">
  <si>
    <t>Rate Year</t>
  </si>
  <si>
    <t>Totals</t>
  </si>
  <si>
    <t>Program Year</t>
  </si>
  <si>
    <t>Lost Revenue Summary</t>
  </si>
  <si>
    <t>Approved as part of EB-2015-0073</t>
  </si>
  <si>
    <t>Claimed as part of current application</t>
  </si>
  <si>
    <t>Eligible Totals</t>
  </si>
  <si>
    <t>CDM Load Forecast Amount (To be deducted from LRAMVA Amount)</t>
  </si>
  <si>
    <t>2012 (CoS)</t>
  </si>
  <si>
    <t>Approved Forecast (2014-2015)</t>
  </si>
  <si>
    <t>Notes</t>
  </si>
  <si>
    <t>2011 LRAM</t>
  </si>
  <si>
    <t>2012 LRAM</t>
  </si>
  <si>
    <t>2013 LRAM</t>
  </si>
  <si>
    <t>2014 LRAM</t>
  </si>
  <si>
    <t>2015 LRAM</t>
  </si>
  <si>
    <t>Note: In each year after the initial program year, LRAM amounts will be related to the persisting program savings in subsequent years (i.e., in 2011 LRAM amounts in 2012 should be persisting 2011 savings in 2012)</t>
  </si>
  <si>
    <t>2011-2013 Carrying Charges</t>
  </si>
  <si>
    <t>2014-2015 Carrying Charges</t>
  </si>
  <si>
    <t>Please confirm that 2012 load forecast used 2010 actuals (not 2011 actuals which would have incorporated 2011 CDM effects making any 2011 persisting savings ineligible for recovery through the LRAMVA)</t>
  </si>
  <si>
    <t>This is based on the 2012 CDM Manual Adjustment</t>
  </si>
  <si>
    <t>Principal</t>
  </si>
  <si>
    <t>Interest including Jan. 1 to Dec. 31, 2015</t>
  </si>
  <si>
    <t>Total Approved in 2016 COS</t>
  </si>
  <si>
    <t>2016 Carrying Charges</t>
  </si>
  <si>
    <t>difference due correction of CDM Load Forecast adj.</t>
  </si>
  <si>
    <t>Guelph Hydro confirms that 2012 load forecast used 2010 actuals (not 2011 actuals)</t>
  </si>
  <si>
    <t>kW</t>
  </si>
  <si>
    <t>$</t>
  </si>
  <si>
    <t>Lost revenue that was not claimed in 2016 COS and are included in 2014</t>
  </si>
  <si>
    <t>Key control</t>
  </si>
  <si>
    <t>2014 Adj</t>
  </si>
  <si>
    <t>Total 2014 Lost Revenue without adjs.</t>
  </si>
  <si>
    <t>TOTAL</t>
  </si>
  <si>
    <t>All 2011 to 2013 adjustments removed from 2014</t>
  </si>
  <si>
    <t>Rate increase</t>
  </si>
  <si>
    <t>Difference between 2016COS LRAMVA balance concept and 2017IRM LRAMVA workform concept</t>
  </si>
  <si>
    <t>Totals LRAMVA work form</t>
  </si>
  <si>
    <t>2011 in 2012 persisting demand</t>
  </si>
  <si>
    <t>2011 in 2013 persisting demand</t>
  </si>
  <si>
    <t>2012 in 2013 persisting demand</t>
  </si>
  <si>
    <t>Difference from different concept</t>
  </si>
  <si>
    <t>Total</t>
  </si>
  <si>
    <t>Total 2011-2013 unclaimed LRAMVA balance</t>
  </si>
  <si>
    <t>Please see LRAMVA Summary file, Tab Guelph Adjs, cell E24</t>
  </si>
  <si>
    <t>2012 to 2013 Carrying Charges</t>
  </si>
  <si>
    <t>Rate Class</t>
  </si>
  <si>
    <t>2011 Adjustments</t>
  </si>
  <si>
    <t>kWh</t>
  </si>
  <si>
    <t>2012 Adjustments</t>
  </si>
  <si>
    <t>2013 Adjustments</t>
  </si>
  <si>
    <t>Residential</t>
  </si>
  <si>
    <t>Large Use</t>
  </si>
  <si>
    <t>General Service &lt;50 kW</t>
  </si>
  <si>
    <t>General Service 50 - 999 kW</t>
  </si>
  <si>
    <t>General Service 1,000 - 4,999 kW</t>
  </si>
  <si>
    <t>Sentinel Lighting</t>
  </si>
  <si>
    <t>Street Lighting</t>
  </si>
  <si>
    <t>Unmetered Scattered Load</t>
  </si>
  <si>
    <t>From LRAMVA work form, Tab. 3. Distribution Rates, version Oct. 18</t>
  </si>
  <si>
    <t>Total Adjustments</t>
  </si>
  <si>
    <t>kWx12</t>
  </si>
  <si>
    <t>Difference between 2016COS LRAMVA balance concept and 2017IRM LRAMVA workform concept (i.e. the previous years adjustmentswere added to the year they belong rather than considering them in the year the IESO reported them)</t>
  </si>
  <si>
    <t>Difference due to previous years adhustments recognized in the year they belong instead in the year the IESO reported them</t>
  </si>
  <si>
    <t>2012 Rate Correction</t>
  </si>
  <si>
    <t>Reconciliation</t>
  </si>
  <si>
    <t>difference due to correction of May1 to Dec. 31, 2012 rates</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</si>
</sst>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7" formatCode="&quot;$&quot;#,##0.00;\-&quot;$&quot;#,##0.00"/>
    <numFmt numFmtId="8" formatCode="&quot;$&quot;#,##0.00;[Red]\-&quot;$&quot;#,##0.00"/>
    <numFmt numFmtId="44" formatCode="_-&quot;$&quot;* #,##0.00_-;\-&quot;$&quot;* #,##0.00_-;_-&quot;$&quot;* &quot;-&quot;??_-;_-@_-"/>
    <numFmt numFmtId="43" formatCode="_-* #,##0.00_-;\-* #,##0.00_-;_-* &quot;-&quot;??_-;_-@_-"/>
    <numFmt numFmtId="164" formatCode="_-&quot;$&quot;* #,##0_-;\-&quot;$&quot;* #,##0_-;_-&quot;$&quot;* &quot;-&quot;??_-;_-@_-"/>
    <numFmt numFmtId="165" formatCode="_-* #,##0_-;\-* #,##0_-;_-* &quot;-&quot;??_-;_-@_-"/>
    <numFmt numFmtId="166" formatCode="&quot;$&quot;#,##0.00"/>
    <numFmt numFmtId="167" formatCode="&quot;$&quot;#,##0.00_);[Red]\(&quot;$&quot;#,##0.00\)"/>
    <numFmt numFmtId="168" formatCode="&quot;$&quot;#,##0.00;[Red]&quot;$&quot;#,##0.00"/>
    <numFmt numFmtId="169" formatCode="_-&quot;$&quot;* #,##0.0000_-;\-&quot;$&quot;* #,##0.0000_-;_-&quot;$&quot;* &quot;-&quot;??_-;_-@_-"/>
  </numFmts>
  <fonts count="13" x14ac:knownFonts="1">
    <font>
      <sz val="11"/>
      <color theme="1"/>
      <name val="Calibri"/>
      <family val="2"/>
      <scheme val="minor"/>
    </font>
    <font>
      <b/>
      <sz val="11"/>
      <color theme="1"/>
      <name val="Calibri"/>
      <family val="2"/>
      <scheme val="minor"/>
    </font>
    <font>
      <sz val="11"/>
      <color theme="1"/>
      <name val="Calibri"/>
      <family val="2"/>
      <scheme val="minor"/>
    </font>
    <font>
      <sz val="10"/>
      <color theme="1"/>
      <name val="Calibri"/>
      <family val="2"/>
      <scheme val="minor"/>
    </font>
    <font>
      <sz val="9"/>
      <color theme="1"/>
      <name val="Calibri"/>
      <family val="2"/>
      <scheme val="minor"/>
    </font>
    <font>
      <sz val="9"/>
      <color indexed="81"/>
      <name val="Tahoma"/>
      <family val="2"/>
    </font>
    <font>
      <b/>
      <sz val="9"/>
      <color indexed="81"/>
      <name val="Tahoma"/>
      <family val="2"/>
    </font>
    <font>
      <b/>
      <sz val="11"/>
      <color theme="1"/>
      <name val="Arial"/>
      <family val="2"/>
    </font>
    <font>
      <b/>
      <i/>
      <sz val="12"/>
      <name val="Arial"/>
      <family val="2"/>
    </font>
    <font>
      <b/>
      <i/>
      <sz val="14"/>
      <color theme="1"/>
      <name val="Calibri"/>
      <family val="2"/>
      <scheme val="minor"/>
    </font>
    <font>
      <sz val="9"/>
      <name val="Arial"/>
      <family val="2"/>
    </font>
    <font>
      <b/>
      <sz val="11"/>
      <color theme="0"/>
      <name val="Arial"/>
      <family val="2"/>
    </font>
    <font>
      <sz val="11"/>
      <name val="Arial"/>
      <family val="2"/>
    </font>
  </fonts>
  <fills count="12">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rgb="FFFF0000"/>
        <bgColor indexed="64"/>
      </patternFill>
    </fill>
    <fill>
      <patternFill patternType="solid">
        <fgColor theme="0"/>
        <bgColor indexed="64"/>
      </patternFill>
    </fill>
    <fill>
      <patternFill patternType="solid">
        <fgColor theme="1"/>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s>
  <cellStyleXfs count="3">
    <xf numFmtId="0" fontId="0" fillId="0" borderId="0"/>
    <xf numFmtId="43" fontId="2" fillId="0" borderId="0" applyFont="0" applyFill="0" applyBorder="0" applyAlignment="0" applyProtection="0"/>
    <xf numFmtId="44" fontId="2" fillId="0" borderId="0" applyFont="0" applyFill="0" applyBorder="0" applyAlignment="0" applyProtection="0"/>
  </cellStyleXfs>
  <cellXfs count="143">
    <xf numFmtId="0" fontId="0" fillId="0" borderId="0" xfId="0"/>
    <xf numFmtId="0" fontId="0" fillId="0" borderId="0" xfId="0"/>
    <xf numFmtId="0" fontId="0" fillId="0" borderId="1" xfId="0" applyBorder="1"/>
    <xf numFmtId="0" fontId="1" fillId="4" borderId="1" xfId="0" applyFont="1" applyFill="1" applyBorder="1"/>
    <xf numFmtId="0" fontId="1" fillId="0" borderId="1" xfId="0" applyFont="1" applyFill="1" applyBorder="1"/>
    <xf numFmtId="0" fontId="1" fillId="0" borderId="0" xfId="0" applyFont="1" applyFill="1"/>
    <xf numFmtId="0" fontId="1" fillId="0" borderId="1" xfId="0" applyFont="1" applyBorder="1" applyAlignment="1">
      <alignment horizontal="center"/>
    </xf>
    <xf numFmtId="0" fontId="1" fillId="0" borderId="1" xfId="0" applyFont="1" applyFill="1" applyBorder="1" applyAlignment="1">
      <alignment horizontal="center"/>
    </xf>
    <xf numFmtId="0" fontId="1" fillId="2" borderId="1" xfId="0" applyFont="1" applyFill="1" applyBorder="1" applyAlignment="1">
      <alignment horizontal="center"/>
    </xf>
    <xf numFmtId="0" fontId="1" fillId="0" borderId="0" xfId="0" applyFont="1" applyFill="1" applyBorder="1"/>
    <xf numFmtId="164" fontId="0" fillId="0" borderId="1" xfId="2" applyNumberFormat="1" applyFont="1" applyBorder="1"/>
    <xf numFmtId="164" fontId="0" fillId="0" borderId="1" xfId="0" applyNumberFormat="1" applyBorder="1"/>
    <xf numFmtId="164" fontId="0" fillId="0" borderId="0" xfId="0" applyNumberFormat="1"/>
    <xf numFmtId="165" fontId="0" fillId="0" borderId="0" xfId="1" applyNumberFormat="1" applyFont="1"/>
    <xf numFmtId="0" fontId="0" fillId="0" borderId="4" xfId="0" applyBorder="1"/>
    <xf numFmtId="0" fontId="0" fillId="0" borderId="2" xfId="0" applyBorder="1" applyAlignment="1">
      <alignment horizontal="right"/>
    </xf>
    <xf numFmtId="0" fontId="3" fillId="0" borderId="0" xfId="0" applyFont="1"/>
    <xf numFmtId="0" fontId="4" fillId="0" borderId="0" xfId="0" applyFont="1"/>
    <xf numFmtId="0" fontId="1" fillId="0" borderId="5" xfId="0" applyFont="1" applyBorder="1" applyAlignment="1"/>
    <xf numFmtId="164" fontId="0" fillId="5" borderId="1" xfId="2" applyNumberFormat="1" applyFont="1" applyFill="1" applyBorder="1"/>
    <xf numFmtId="0" fontId="4" fillId="0" borderId="0" xfId="0" applyFont="1" applyAlignment="1">
      <alignment wrapText="1"/>
    </xf>
    <xf numFmtId="166" fontId="0" fillId="5" borderId="2" xfId="0" applyNumberFormat="1" applyFill="1" applyBorder="1"/>
    <xf numFmtId="166" fontId="0" fillId="5" borderId="1" xfId="0" applyNumberFormat="1" applyFill="1" applyBorder="1"/>
    <xf numFmtId="166" fontId="0" fillId="3" borderId="1" xfId="2" applyNumberFormat="1" applyFont="1" applyFill="1" applyBorder="1"/>
    <xf numFmtId="166" fontId="0" fillId="0" borderId="3" xfId="0" applyNumberFormat="1" applyFill="1" applyBorder="1" applyAlignment="1">
      <alignment vertical="center" wrapText="1"/>
    </xf>
    <xf numFmtId="166" fontId="0" fillId="0" borderId="0" xfId="0" applyNumberFormat="1" applyFill="1" applyBorder="1"/>
    <xf numFmtId="166" fontId="0" fillId="0" borderId="0" xfId="0" applyNumberFormat="1" applyBorder="1"/>
    <xf numFmtId="166" fontId="0" fillId="0" borderId="0" xfId="2" applyNumberFormat="1" applyFont="1" applyBorder="1"/>
    <xf numFmtId="166" fontId="0" fillId="3" borderId="3" xfId="2" applyNumberFormat="1" applyFont="1" applyFill="1" applyBorder="1"/>
    <xf numFmtId="166" fontId="0" fillId="0" borderId="1" xfId="0" applyNumberFormat="1" applyFill="1" applyBorder="1" applyAlignment="1">
      <alignment vertical="center" wrapText="1"/>
    </xf>
    <xf numFmtId="166" fontId="0" fillId="0" borderId="1" xfId="2" applyNumberFormat="1" applyFont="1" applyFill="1" applyBorder="1" applyAlignment="1"/>
    <xf numFmtId="166" fontId="0" fillId="0" borderId="1" xfId="0" applyNumberFormat="1" applyFill="1" applyBorder="1" applyAlignment="1"/>
    <xf numFmtId="166" fontId="0" fillId="0" borderId="1" xfId="0" applyNumberFormat="1" applyBorder="1"/>
    <xf numFmtId="166" fontId="0" fillId="5" borderId="3" xfId="0" applyNumberFormat="1" applyFill="1" applyBorder="1"/>
    <xf numFmtId="166" fontId="0" fillId="3" borderId="1" xfId="0" applyNumberFormat="1" applyFill="1" applyBorder="1"/>
    <xf numFmtId="166" fontId="0" fillId="0" borderId="0" xfId="0" applyNumberFormat="1"/>
    <xf numFmtId="7" fontId="0" fillId="0" borderId="0" xfId="0" applyNumberFormat="1"/>
    <xf numFmtId="164" fontId="0" fillId="7" borderId="1" xfId="2" applyNumberFormat="1" applyFont="1" applyFill="1" applyBorder="1"/>
    <xf numFmtId="0" fontId="0" fillId="0" borderId="0" xfId="0" applyAlignment="1">
      <alignment wrapText="1"/>
    </xf>
    <xf numFmtId="0" fontId="1" fillId="0" borderId="0" xfId="0" applyFont="1" applyAlignment="1">
      <alignment wrapText="1"/>
    </xf>
    <xf numFmtId="166" fontId="1" fillId="0" borderId="0" xfId="0" applyNumberFormat="1" applyFont="1"/>
    <xf numFmtId="166" fontId="0" fillId="6" borderId="0" xfId="0" applyNumberFormat="1" applyFill="1"/>
    <xf numFmtId="166" fontId="0" fillId="3" borderId="0" xfId="0" applyNumberFormat="1" applyFill="1"/>
    <xf numFmtId="167" fontId="7" fillId="2" borderId="1" xfId="0" applyNumberFormat="1" applyFont="1" applyFill="1" applyBorder="1" applyAlignment="1">
      <alignment horizontal="center"/>
    </xf>
    <xf numFmtId="166" fontId="0" fillId="7" borderId="0" xfId="0" applyNumberFormat="1" applyFill="1"/>
    <xf numFmtId="0" fontId="0" fillId="0" borderId="0" xfId="0" applyAlignment="1">
      <alignment wrapText="1"/>
    </xf>
    <xf numFmtId="0" fontId="1" fillId="0" borderId="0" xfId="0" applyFont="1"/>
    <xf numFmtId="0" fontId="0" fillId="0" borderId="0" xfId="0" applyBorder="1"/>
    <xf numFmtId="164" fontId="0" fillId="0" borderId="0" xfId="0" applyNumberFormat="1" applyBorder="1"/>
    <xf numFmtId="0" fontId="1" fillId="0" borderId="4" xfId="0" applyFont="1" applyFill="1" applyBorder="1"/>
    <xf numFmtId="3" fontId="0" fillId="0" borderId="1" xfId="0" applyNumberFormat="1" applyBorder="1"/>
    <xf numFmtId="8" fontId="0" fillId="0" borderId="1" xfId="0" applyNumberFormat="1" applyBorder="1"/>
    <xf numFmtId="166" fontId="0" fillId="0" borderId="0" xfId="0" applyNumberFormat="1" applyAlignment="1">
      <alignment horizontal="right"/>
    </xf>
    <xf numFmtId="0" fontId="1" fillId="8" borderId="1" xfId="0" applyFont="1" applyFill="1" applyBorder="1"/>
    <xf numFmtId="3" fontId="1" fillId="8" borderId="1" xfId="0" applyNumberFormat="1" applyFont="1" applyFill="1" applyBorder="1"/>
    <xf numFmtId="8" fontId="1" fillId="8" borderId="1" xfId="0" applyNumberFormat="1" applyFont="1" applyFill="1" applyBorder="1"/>
    <xf numFmtId="0" fontId="1" fillId="8" borderId="2" xfId="0" applyFont="1" applyFill="1" applyBorder="1" applyAlignment="1">
      <alignment horizontal="center" wrapText="1"/>
    </xf>
    <xf numFmtId="0" fontId="1" fillId="8" borderId="1" xfId="0" applyFont="1" applyFill="1" applyBorder="1" applyAlignment="1">
      <alignment horizontal="center"/>
    </xf>
    <xf numFmtId="166" fontId="0" fillId="2" borderId="1" xfId="0" applyNumberFormat="1" applyFill="1" applyBorder="1"/>
    <xf numFmtId="166" fontId="0" fillId="2" borderId="1" xfId="2" applyNumberFormat="1" applyFont="1" applyFill="1" applyBorder="1"/>
    <xf numFmtId="10" fontId="0" fillId="0" borderId="0" xfId="0" applyNumberFormat="1"/>
    <xf numFmtId="0" fontId="0" fillId="0" borderId="0" xfId="0" applyAlignment="1">
      <alignment wrapText="1"/>
    </xf>
    <xf numFmtId="166" fontId="1" fillId="9" borderId="0" xfId="0" applyNumberFormat="1" applyFont="1" applyFill="1" applyBorder="1"/>
    <xf numFmtId="166" fontId="1" fillId="9" borderId="0" xfId="0" applyNumberFormat="1" applyFont="1" applyFill="1"/>
    <xf numFmtId="168" fontId="1" fillId="9" borderId="0" xfId="0" applyNumberFormat="1" applyFont="1" applyFill="1"/>
    <xf numFmtId="166" fontId="1" fillId="9" borderId="0" xfId="0" applyNumberFormat="1" applyFont="1" applyFill="1" applyBorder="1" applyAlignment="1">
      <alignment wrapText="1"/>
    </xf>
    <xf numFmtId="0" fontId="1" fillId="9" borderId="0" xfId="0" applyFont="1" applyFill="1"/>
    <xf numFmtId="0" fontId="0" fillId="0" borderId="1" xfId="0" applyBorder="1" applyAlignment="1">
      <alignment wrapText="1"/>
    </xf>
    <xf numFmtId="166" fontId="1" fillId="9" borderId="1" xfId="0" applyNumberFormat="1" applyFont="1" applyFill="1" applyBorder="1"/>
    <xf numFmtId="0" fontId="1" fillId="9" borderId="1" xfId="0" applyFont="1" applyFill="1" applyBorder="1"/>
    <xf numFmtId="0" fontId="1" fillId="8" borderId="1" xfId="0" applyFont="1" applyFill="1" applyBorder="1" applyAlignment="1">
      <alignment wrapText="1"/>
    </xf>
    <xf numFmtId="166" fontId="1" fillId="0" borderId="0" xfId="0" applyNumberFormat="1" applyFont="1" applyFill="1" applyBorder="1"/>
    <xf numFmtId="166" fontId="0" fillId="0" borderId="0" xfId="2" applyNumberFormat="1" applyFont="1" applyFill="1" applyBorder="1"/>
    <xf numFmtId="166" fontId="1" fillId="0" borderId="0" xfId="0" applyNumberFormat="1" applyFont="1" applyFill="1" applyBorder="1" applyAlignment="1">
      <alignment wrapText="1"/>
    </xf>
    <xf numFmtId="166" fontId="1" fillId="0" borderId="0" xfId="0" applyNumberFormat="1" applyFont="1" applyFill="1"/>
    <xf numFmtId="166" fontId="0" fillId="0" borderId="0" xfId="0" applyNumberFormat="1" applyFill="1" applyBorder="1" applyAlignment="1">
      <alignment vertical="center" wrapText="1"/>
    </xf>
    <xf numFmtId="166" fontId="1" fillId="3" borderId="1" xfId="0" applyNumberFormat="1" applyFont="1" applyFill="1" applyBorder="1"/>
    <xf numFmtId="8" fontId="1" fillId="0" borderId="0" xfId="0" applyNumberFormat="1" applyFont="1"/>
    <xf numFmtId="3" fontId="0" fillId="9" borderId="1" xfId="0" applyNumberFormat="1" applyFill="1" applyBorder="1"/>
    <xf numFmtId="3" fontId="0" fillId="0" borderId="1" xfId="0" applyNumberFormat="1" applyFill="1" applyBorder="1"/>
    <xf numFmtId="0" fontId="0" fillId="0" borderId="9" xfId="0"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3" xfId="0" applyBorder="1"/>
    <xf numFmtId="166" fontId="1" fillId="8" borderId="1" xfId="0" applyNumberFormat="1" applyFont="1" applyFill="1" applyBorder="1"/>
    <xf numFmtId="8" fontId="1" fillId="8" borderId="4" xfId="0" applyNumberFormat="1" applyFont="1" applyFill="1" applyBorder="1"/>
    <xf numFmtId="8" fontId="1" fillId="8" borderId="2" xfId="0" applyNumberFormat="1" applyFont="1" applyFill="1" applyBorder="1"/>
    <xf numFmtId="0" fontId="1" fillId="8" borderId="2" xfId="0" applyFont="1" applyFill="1" applyBorder="1"/>
    <xf numFmtId="166" fontId="1" fillId="8" borderId="1" xfId="0" applyNumberFormat="1" applyFont="1" applyFill="1" applyBorder="1" applyAlignment="1">
      <alignment wrapText="1"/>
    </xf>
    <xf numFmtId="4" fontId="0" fillId="0" borderId="15" xfId="0" applyNumberFormat="1" applyBorder="1"/>
    <xf numFmtId="4" fontId="0" fillId="0" borderId="1" xfId="0" applyNumberFormat="1" applyBorder="1"/>
    <xf numFmtId="4" fontId="0" fillId="0" borderId="16" xfId="0" applyNumberFormat="1" applyBorder="1"/>
    <xf numFmtId="0" fontId="8" fillId="10" borderId="0" xfId="0" applyFont="1" applyFill="1" applyBorder="1" applyAlignment="1">
      <alignment vertical="center"/>
    </xf>
    <xf numFmtId="0" fontId="9" fillId="10" borderId="0" xfId="0" applyFont="1" applyFill="1" applyBorder="1" applyAlignment="1">
      <alignment vertical="center"/>
    </xf>
    <xf numFmtId="0" fontId="10" fillId="10" borderId="0" xfId="0" applyFont="1" applyFill="1"/>
    <xf numFmtId="0" fontId="11" fillId="11" borderId="17" xfId="0" applyFont="1" applyFill="1" applyBorder="1" applyAlignment="1">
      <alignment horizontal="left" vertical="center" wrapText="1"/>
    </xf>
    <xf numFmtId="0" fontId="11" fillId="11" borderId="20" xfId="0" applyFont="1" applyFill="1" applyBorder="1" applyAlignment="1">
      <alignment horizontal="center" vertical="center" wrapText="1"/>
    </xf>
    <xf numFmtId="0" fontId="12" fillId="10" borderId="13" xfId="0" applyFont="1" applyFill="1" applyBorder="1" applyAlignment="1">
      <alignment horizontal="left" vertical="center" wrapText="1"/>
    </xf>
    <xf numFmtId="169" fontId="12" fillId="10" borderId="0" xfId="2" applyNumberFormat="1" applyFont="1" applyFill="1" applyBorder="1" applyAlignment="1" applyProtection="1">
      <alignment horizontal="center"/>
    </xf>
    <xf numFmtId="169" fontId="12" fillId="2" borderId="0" xfId="2" applyNumberFormat="1" applyFont="1" applyFill="1" applyBorder="1" applyAlignment="1" applyProtection="1">
      <alignment horizontal="center"/>
    </xf>
    <xf numFmtId="0" fontId="12" fillId="10" borderId="7" xfId="0" applyFont="1" applyFill="1" applyBorder="1" applyAlignment="1">
      <alignment horizontal="left" vertical="center" wrapText="1"/>
    </xf>
    <xf numFmtId="169" fontId="12" fillId="10" borderId="5" xfId="2" applyNumberFormat="1" applyFont="1" applyFill="1" applyBorder="1" applyAlignment="1" applyProtection="1">
      <alignment horizontal="center"/>
    </xf>
    <xf numFmtId="169" fontId="12" fillId="2" borderId="5" xfId="2" applyNumberFormat="1" applyFont="1" applyFill="1" applyBorder="1" applyAlignment="1" applyProtection="1">
      <alignment horizontal="center"/>
    </xf>
    <xf numFmtId="0" fontId="12" fillId="0" borderId="0" xfId="0" applyFont="1" applyFill="1" applyBorder="1" applyAlignment="1">
      <alignment horizontal="left" vertical="center" wrapText="1"/>
    </xf>
    <xf numFmtId="0" fontId="12" fillId="0" borderId="0" xfId="0" applyFont="1" applyFill="1" applyBorder="1" applyAlignment="1">
      <alignment horizontal="center"/>
    </xf>
    <xf numFmtId="169" fontId="12" fillId="0" borderId="0" xfId="2" applyNumberFormat="1" applyFont="1" applyFill="1" applyBorder="1" applyAlignment="1" applyProtection="1">
      <alignment horizontal="center"/>
    </xf>
    <xf numFmtId="4" fontId="0" fillId="0" borderId="3" xfId="0" applyNumberFormat="1" applyBorder="1"/>
    <xf numFmtId="4" fontId="0" fillId="0" borderId="21" xfId="0" applyNumberFormat="1" applyBorder="1"/>
    <xf numFmtId="0" fontId="1" fillId="8" borderId="15" xfId="0" applyFont="1" applyFill="1" applyBorder="1" applyAlignment="1">
      <alignment horizontal="center"/>
    </xf>
    <xf numFmtId="0" fontId="1" fillId="8" borderId="16" xfId="0" applyFont="1" applyFill="1" applyBorder="1" applyAlignment="1">
      <alignment horizontal="center"/>
    </xf>
    <xf numFmtId="4" fontId="0" fillId="0" borderId="29" xfId="0" applyNumberFormat="1" applyBorder="1"/>
    <xf numFmtId="0" fontId="1" fillId="0" borderId="25" xfId="0" applyFont="1" applyFill="1" applyBorder="1"/>
    <xf numFmtId="4" fontId="1" fillId="0" borderId="22" xfId="0" applyNumberFormat="1" applyFont="1" applyBorder="1"/>
    <xf numFmtId="4" fontId="1" fillId="0" borderId="23" xfId="0" applyNumberFormat="1" applyFont="1" applyBorder="1"/>
    <xf numFmtId="4" fontId="1" fillId="0" borderId="24" xfId="0" applyNumberFormat="1" applyFont="1" applyBorder="1"/>
    <xf numFmtId="4" fontId="0" fillId="0" borderId="0" xfId="0" applyNumberFormat="1"/>
    <xf numFmtId="168" fontId="1" fillId="7" borderId="0" xfId="0" applyNumberFormat="1" applyFont="1" applyFill="1"/>
    <xf numFmtId="8" fontId="0" fillId="0" borderId="0" xfId="0" applyNumberFormat="1"/>
    <xf numFmtId="0" fontId="1" fillId="0" borderId="0" xfId="0" applyFont="1" applyAlignment="1">
      <alignment horizontal="center" vertical="center" wrapText="1"/>
    </xf>
    <xf numFmtId="0" fontId="1" fillId="0" borderId="5" xfId="0" applyFont="1" applyBorder="1" applyAlignment="1">
      <alignment horizontal="center"/>
    </xf>
    <xf numFmtId="0" fontId="3" fillId="0" borderId="0" xfId="0" applyFont="1" applyFill="1" applyBorder="1" applyAlignment="1">
      <alignment wrapText="1"/>
    </xf>
    <xf numFmtId="0" fontId="0" fillId="0" borderId="0" xfId="0" applyAlignment="1">
      <alignment wrapText="1"/>
    </xf>
    <xf numFmtId="0" fontId="0" fillId="0" borderId="6" xfId="0" applyBorder="1" applyAlignment="1"/>
    <xf numFmtId="0" fontId="1" fillId="8" borderId="1" xfId="0" applyFont="1" applyFill="1" applyBorder="1" applyAlignment="1">
      <alignment wrapText="1"/>
    </xf>
    <xf numFmtId="0" fontId="0" fillId="8" borderId="1" xfId="0" applyFill="1" applyBorder="1" applyAlignment="1">
      <alignment wrapText="1"/>
    </xf>
    <xf numFmtId="0" fontId="1" fillId="8" borderId="7" xfId="0" applyFont="1" applyFill="1" applyBorder="1" applyAlignment="1">
      <alignment horizontal="center"/>
    </xf>
    <xf numFmtId="0" fontId="0" fillId="0" borderId="8" xfId="0" applyBorder="1" applyAlignment="1">
      <alignment horizontal="center"/>
    </xf>
    <xf numFmtId="168" fontId="1" fillId="0" borderId="0" xfId="0" applyNumberFormat="1" applyFont="1" applyFill="1" applyAlignment="1">
      <alignment wrapText="1"/>
    </xf>
    <xf numFmtId="0" fontId="0" fillId="0" borderId="3" xfId="0" applyBorder="1" applyAlignment="1">
      <alignment wrapText="1"/>
    </xf>
    <xf numFmtId="0" fontId="0" fillId="0" borderId="9" xfId="0" applyBorder="1" applyAlignment="1">
      <alignment wrapText="1"/>
    </xf>
    <xf numFmtId="0" fontId="0" fillId="0" borderId="10" xfId="0" applyBorder="1" applyAlignment="1">
      <alignment wrapText="1"/>
    </xf>
    <xf numFmtId="0" fontId="1" fillId="8" borderId="26" xfId="0" applyFont="1" applyFill="1" applyBorder="1" applyAlignment="1">
      <alignment horizontal="center"/>
    </xf>
    <xf numFmtId="0" fontId="1" fillId="8" borderId="27" xfId="0" applyFont="1" applyFill="1" applyBorder="1" applyAlignment="1">
      <alignment horizontal="center"/>
    </xf>
    <xf numFmtId="0" fontId="1" fillId="8" borderId="28" xfId="0" applyFont="1" applyFill="1" applyBorder="1" applyAlignment="1">
      <alignment horizontal="center"/>
    </xf>
    <xf numFmtId="43" fontId="12" fillId="10" borderId="0" xfId="1" applyFont="1" applyFill="1" applyBorder="1" applyAlignment="1">
      <alignment horizontal="center"/>
    </xf>
    <xf numFmtId="0" fontId="12" fillId="10" borderId="0" xfId="0" applyFont="1" applyFill="1" applyBorder="1" applyAlignment="1">
      <alignment horizontal="center"/>
    </xf>
    <xf numFmtId="0" fontId="1" fillId="8" borderId="4" xfId="0" applyFont="1" applyFill="1" applyBorder="1" applyAlignment="1">
      <alignment horizontal="center" vertical="center"/>
    </xf>
    <xf numFmtId="0" fontId="11" fillId="11" borderId="18" xfId="0" applyFont="1" applyFill="1" applyBorder="1" applyAlignment="1">
      <alignment horizontal="center" vertical="center" wrapText="1"/>
    </xf>
    <xf numFmtId="0" fontId="11" fillId="11" borderId="19" xfId="0" applyFont="1" applyFill="1" applyBorder="1" applyAlignment="1">
      <alignment horizontal="center" vertical="center" wrapText="1"/>
    </xf>
    <xf numFmtId="0" fontId="12" fillId="10" borderId="5" xfId="0" applyFont="1" applyFill="1" applyBorder="1" applyAlignment="1">
      <alignment horizontal="center"/>
    </xf>
    <xf numFmtId="0" fontId="0" fillId="0" borderId="0" xfId="0" applyAlignment="1">
      <alignment vertical="top"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Guelph_2017IRM_Generic_LRAMVA_Work_Form_updated%20201610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pdated_Guelph%20LRAM%20Summary_201610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ate%20Submissions/2017/Interrogatories/Guelph%20Responses%20to%20IRs/Guelph_2017IRM_Generic_LRAMVA_Work_Form_updated%202016092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Rate%20Submissions/2017/Interrogatories/Guelph%20Responses%20to%20IRs/Proof/Proof_Guelph_2017IRM_Generic_LRAMVA_Work_Form_updated%202016093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Rate%20Submissions/2016%20Rate%20-%20Rebasing%20Process/LRAMVA/2012%20Actual%20CDM%20adjustments%20at%20customer%20class.mdw.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Rate%20Submissions/2017/Matt%20Input/Q5ADJ-2011-2014%20Guelph%20Hydro%20Combined%20WORK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Navigator"/>
      <sheetName val="Input Output Flow Chart"/>
      <sheetName val="1.  LRAMVA Summary"/>
      <sheetName val="2.  CDM Allocation"/>
      <sheetName val="3.  Distribution Rates"/>
      <sheetName val="4.  2011-14 LRAM"/>
      <sheetName val="5.  2015 LRAM"/>
      <sheetName val="5-b. 2016 LRAM"/>
      <sheetName val="5-c.  2017 LRAM"/>
      <sheetName val="5-d.  2018 LRAM"/>
      <sheetName val="5-e.  2019 LRAM"/>
      <sheetName val="5-f.  2020 LRAM"/>
      <sheetName val="6.  Persistence Rates"/>
      <sheetName val="7.  Carrying Charges"/>
      <sheetName val="8. Guelph_Approved CDM adj"/>
      <sheetName val="9. Guelph_Lost Revenue"/>
      <sheetName val="10. Guelph_CDM Prgs"/>
      <sheetName val="11. Guelph_Continuity Schedule"/>
      <sheetName val="12. Guelph_Proposed Rate Riders"/>
    </sheetNames>
    <sheetDataSet>
      <sheetData sheetId="0"/>
      <sheetData sheetId="1"/>
      <sheetData sheetId="2">
        <row r="39">
          <cell r="L39">
            <v>12770.556413586646</v>
          </cell>
        </row>
        <row r="40">
          <cell r="K40">
            <v>1191745.1082130556</v>
          </cell>
        </row>
      </sheetData>
      <sheetData sheetId="3"/>
      <sheetData sheetId="4">
        <row r="30">
          <cell r="B30" t="str">
            <v>Table 6.  Summary Table: Average Distribution Volumetric Rates by Year for LRAM Calculation</v>
          </cell>
        </row>
        <row r="32">
          <cell r="B32" t="str">
            <v>Rate Class</v>
          </cell>
          <cell r="C32" t="str">
            <v>Billing Unit</v>
          </cell>
          <cell r="E32">
            <v>2011</v>
          </cell>
          <cell r="F32">
            <v>2012</v>
          </cell>
          <cell r="G32">
            <v>2013</v>
          </cell>
          <cell r="H32">
            <v>2014</v>
          </cell>
          <cell r="I32">
            <v>2015</v>
          </cell>
        </row>
        <row r="33">
          <cell r="B33" t="str">
            <v>Residential</v>
          </cell>
          <cell r="C33" t="str">
            <v>kWh</v>
          </cell>
          <cell r="E33">
            <v>1.5966666666666667E-2</v>
          </cell>
          <cell r="F33">
            <v>1.6674999999999999E-2</v>
          </cell>
          <cell r="G33">
            <v>1.72E-2</v>
          </cell>
          <cell r="H33">
            <v>1.7399999999999999E-2</v>
          </cell>
          <cell r="I33">
            <v>1.7600000000000001E-2</v>
          </cell>
        </row>
        <row r="34">
          <cell r="B34" t="str">
            <v>General Service &lt;50 kW</v>
          </cell>
          <cell r="C34" t="str">
            <v>kWh</v>
          </cell>
          <cell r="E34">
            <v>1.5333333333333332E-2</v>
          </cell>
          <cell r="F34">
            <v>1.315E-2</v>
          </cell>
          <cell r="G34">
            <v>1.2699999999999999E-2</v>
          </cell>
          <cell r="H34">
            <v>1.29E-2</v>
          </cell>
          <cell r="I34">
            <v>1.3100000000000001E-2</v>
          </cell>
        </row>
        <row r="35">
          <cell r="B35" t="str">
            <v>General Service 50 - 999 kW</v>
          </cell>
          <cell r="C35" t="str">
            <v>kW</v>
          </cell>
          <cell r="E35">
            <v>2.7141333333333333</v>
          </cell>
          <cell r="F35">
            <v>2.52075</v>
          </cell>
          <cell r="G35">
            <v>2.5038</v>
          </cell>
          <cell r="H35">
            <v>2.5388999999999999</v>
          </cell>
          <cell r="I35">
            <v>2.5719000000000003</v>
          </cell>
        </row>
        <row r="36">
          <cell r="B36" t="str">
            <v>General Service 1,000 - 4,999 kW</v>
          </cell>
          <cell r="C36" t="str">
            <v>kW</v>
          </cell>
          <cell r="E36">
            <v>1.9520666666666668</v>
          </cell>
          <cell r="F36">
            <v>3.0064833333333336</v>
          </cell>
          <cell r="G36">
            <v>3.3479000000000001</v>
          </cell>
          <cell r="H36">
            <v>3.3948</v>
          </cell>
          <cell r="I36">
            <v>3.4390000000000001</v>
          </cell>
        </row>
        <row r="37">
          <cell r="B37" t="str">
            <v>Sentinel Lighting</v>
          </cell>
          <cell r="C37" t="str">
            <v>kW</v>
          </cell>
          <cell r="E37">
            <v>7.0455333333333323</v>
          </cell>
          <cell r="F37">
            <v>7.3749666666666664</v>
          </cell>
          <cell r="G37">
            <v>7.5833000000000004</v>
          </cell>
          <cell r="H37">
            <v>7.6897000000000002</v>
          </cell>
          <cell r="I37">
            <v>7.7897999999999996</v>
          </cell>
        </row>
        <row r="38">
          <cell r="B38" t="str">
            <v>Street Lighting</v>
          </cell>
          <cell r="C38" t="str">
            <v>kW</v>
          </cell>
          <cell r="E38">
            <v>5.4669999999999996</v>
          </cell>
          <cell r="F38">
            <v>8.3635083333333338</v>
          </cell>
          <cell r="G38">
            <v>9.3044000000000011</v>
          </cell>
          <cell r="H38">
            <v>9.434800000000001</v>
          </cell>
          <cell r="I38">
            <v>9.5576000000000008</v>
          </cell>
        </row>
        <row r="39">
          <cell r="B39" t="str">
            <v>Unmetered Scattered Load</v>
          </cell>
          <cell r="C39" t="str">
            <v>kWh</v>
          </cell>
          <cell r="E39">
            <v>2.4500000000000004E-2</v>
          </cell>
          <cell r="F39">
            <v>2.555E-2</v>
          </cell>
          <cell r="G39">
            <v>2.63E-2</v>
          </cell>
          <cell r="H39">
            <v>2.6700000000000002E-2</v>
          </cell>
          <cell r="I39">
            <v>2.7E-2</v>
          </cell>
        </row>
        <row r="40">
          <cell r="B40" t="str">
            <v>Large Use</v>
          </cell>
          <cell r="C40" t="str">
            <v>kW</v>
          </cell>
          <cell r="E40">
            <v>2.1473999999999998</v>
          </cell>
          <cell r="F40">
            <v>2.2354249999999998</v>
          </cell>
          <cell r="G40">
            <v>2.2904</v>
          </cell>
          <cell r="H40">
            <v>2.3225000000000002</v>
          </cell>
          <cell r="I40">
            <v>2.3527</v>
          </cell>
        </row>
        <row r="51">
          <cell r="F51">
            <v>75268.106668217195</v>
          </cell>
          <cell r="G51">
            <v>79576.098902407335</v>
          </cell>
          <cell r="H51">
            <v>172724.63635449199</v>
          </cell>
        </row>
        <row r="52">
          <cell r="I52">
            <v>8197.9129662101841</v>
          </cell>
        </row>
        <row r="57">
          <cell r="F57">
            <v>8194.4244031420149</v>
          </cell>
          <cell r="G57">
            <v>8180.7029959029933</v>
          </cell>
          <cell r="H57">
            <v>26050.948957158082</v>
          </cell>
        </row>
        <row r="58">
          <cell r="F58">
            <v>12103.016246621823</v>
          </cell>
          <cell r="G58">
            <v>12082.749976952324</v>
          </cell>
          <cell r="H58">
            <v>13391.170682865601</v>
          </cell>
        </row>
        <row r="59">
          <cell r="F59">
            <v>8152.5860744448564</v>
          </cell>
          <cell r="G59">
            <v>8138.9347246885827</v>
          </cell>
          <cell r="H59">
            <v>27360.273326228536</v>
          </cell>
        </row>
      </sheetData>
      <sheetData sheetId="5">
        <row r="312">
          <cell r="P312">
            <v>116197.84917114869</v>
          </cell>
        </row>
        <row r="313">
          <cell r="P313">
            <v>200312.543291693</v>
          </cell>
        </row>
        <row r="314">
          <cell r="P314">
            <v>67170.753394492029</v>
          </cell>
        </row>
        <row r="315">
          <cell r="P315">
            <v>116892.86534935409</v>
          </cell>
        </row>
      </sheetData>
      <sheetData sheetId="6">
        <row r="119">
          <cell r="P119">
            <v>127555.34708077094</v>
          </cell>
        </row>
        <row r="120">
          <cell r="P120">
            <v>100450.48999889518</v>
          </cell>
        </row>
        <row r="121">
          <cell r="P121">
            <v>67817.550506223008</v>
          </cell>
        </row>
        <row r="122">
          <cell r="P122">
            <v>87878.335288603907</v>
          </cell>
        </row>
        <row r="123">
          <cell r="P123">
            <v>403417.62458000006</v>
          </cell>
        </row>
      </sheetData>
      <sheetData sheetId="7"/>
      <sheetData sheetId="8"/>
      <sheetData sheetId="9"/>
      <sheetData sheetId="10"/>
      <sheetData sheetId="11"/>
      <sheetData sheetId="12"/>
      <sheetData sheetId="13">
        <row r="88">
          <cell r="Q88">
            <v>18014.877837046708</v>
          </cell>
        </row>
      </sheetData>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elph Summary"/>
      <sheetName val="Guelph Adjs"/>
    </sheetNames>
    <sheetDataSet>
      <sheetData sheetId="0">
        <row r="9">
          <cell r="F9">
            <v>957200.59726353141</v>
          </cell>
        </row>
      </sheetData>
      <sheetData sheetId="1">
        <row r="6">
          <cell r="C6">
            <v>456626.58605684352</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Navigator"/>
      <sheetName val="Input Output Flow Chart"/>
      <sheetName val="1.  LRAMVA Summary"/>
      <sheetName val="2.  CDM Allocation"/>
      <sheetName val="3.  Distribution Rates"/>
      <sheetName val="4.  2011-14 LRAM"/>
      <sheetName val="5.  2015 LRAM"/>
      <sheetName val="5-b. 2016 LRAM"/>
      <sheetName val="5-c.  2017 LRAM"/>
      <sheetName val="5-d.  2018 LRAM"/>
      <sheetName val="5-e.  2019 LRAM"/>
      <sheetName val="5-f.  2020 LRAM"/>
      <sheetName val="6.  Persistence Rates"/>
      <sheetName val="7.  Carrying Charges"/>
      <sheetName val="8. Guelph_Approved CDM adj"/>
      <sheetName val="9. Guelph_Lost Revenue"/>
      <sheetName val="10. Guelph_CDM Prgs"/>
      <sheetName val="11. Guelph_Continuity Schedule"/>
      <sheetName val="12. Guelph_Proposed Rate Riders"/>
    </sheetNames>
    <sheetDataSet>
      <sheetData sheetId="0"/>
      <sheetData sheetId="1"/>
      <sheetData sheetId="2">
        <row r="9">
          <cell r="H9">
            <v>302621.07616299344</v>
          </cell>
        </row>
      </sheetData>
      <sheetData sheetId="3"/>
      <sheetData sheetId="4">
        <row r="51">
          <cell r="F51">
            <v>75268.106668217195</v>
          </cell>
        </row>
        <row r="52">
          <cell r="F52">
            <v>37116.119507496871</v>
          </cell>
          <cell r="G52">
            <v>37580.831389629318</v>
          </cell>
          <cell r="H52">
            <v>26403.829886593536</v>
          </cell>
        </row>
      </sheetData>
      <sheetData sheetId="5">
        <row r="73">
          <cell r="P73">
            <v>109824.54622382467</v>
          </cell>
        </row>
        <row r="316">
          <cell r="P316">
            <v>500574.01120668784</v>
          </cell>
        </row>
      </sheetData>
      <sheetData sheetId="6">
        <row r="119">
          <cell r="P119">
            <v>127555.34708077094</v>
          </cell>
        </row>
      </sheetData>
      <sheetData sheetId="7"/>
      <sheetData sheetId="8"/>
      <sheetData sheetId="9"/>
      <sheetData sheetId="10"/>
      <sheetData sheetId="11"/>
      <sheetData sheetId="12"/>
      <sheetData sheetId="13"/>
      <sheetData sheetId="14"/>
      <sheetData sheetId="15">
        <row r="66">
          <cell r="N66">
            <v>288940.88767139864</v>
          </cell>
          <cell r="O66">
            <v>10234.568406113398</v>
          </cell>
          <cell r="Q66">
            <v>3445.6200854814279</v>
          </cell>
        </row>
      </sheetData>
      <sheetData sheetId="16"/>
      <sheetData sheetId="17"/>
      <sheetData sheetId="1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Navigator"/>
      <sheetName val="Input Output Flow Chart"/>
      <sheetName val="1.  LRAMVA Summary"/>
      <sheetName val="2.  CDM Allocation"/>
      <sheetName val="3.  Distribution Rates"/>
      <sheetName val="4.  2011-14 LRAM"/>
      <sheetName val="5.  2015 LRAM"/>
      <sheetName val="5-b. 2016 LRAM"/>
      <sheetName val="5-c.  2017 LRAM"/>
      <sheetName val="5-d.  2018 LRAM"/>
      <sheetName val="5-e.  2019 LRAM"/>
      <sheetName val="5-f.  2020 LRAM"/>
      <sheetName val="6.  Persistence Rates"/>
      <sheetName val="7.  Carrying Charges"/>
      <sheetName val="8. Guelph_Approved CDM adj"/>
      <sheetName val="9. Guelph_Lost Revenue"/>
      <sheetName val="10. Guelph_CDM Prgs"/>
      <sheetName val="11. Guelph_Continuity Schedule"/>
      <sheetName val="12. Guelph_Proposed Rate Riders"/>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5">
          <cell r="F25">
            <v>0.99833402748854638</v>
          </cell>
        </row>
      </sheetData>
      <sheetData sheetId="13"/>
      <sheetData sheetId="14"/>
      <sheetData sheetId="15"/>
      <sheetData sheetId="16"/>
      <sheetData sheetId="17"/>
      <sheetData sheetId="1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j Allocation"/>
      <sheetName val="Lost revenue"/>
      <sheetName val="CDM Prgs"/>
      <sheetName val="Continuity Schedule"/>
    </sheetNames>
    <sheetDataSet>
      <sheetData sheetId="0">
        <row r="56">
          <cell r="F56">
            <v>123312.65503919848</v>
          </cell>
        </row>
      </sheetData>
      <sheetData sheetId="1">
        <row r="58">
          <cell r="D58">
            <v>2864.1073881087505</v>
          </cell>
        </row>
      </sheetData>
      <sheetData sheetId="2">
        <row r="5">
          <cell r="T5">
            <v>1612046.0683048728</v>
          </cell>
        </row>
      </sheetData>
      <sheetData sheetId="3">
        <row r="32">
          <cell r="Q32">
            <v>103692.79669333334</v>
          </cell>
          <cell r="AD32">
            <v>294449.38199004158</v>
          </cell>
          <cell r="AQ32">
            <v>537705.4992082743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Q5Adj2011-2014"/>
      <sheetName val="2-RemoveDR&amp;Allocate"/>
    </sheetNames>
    <sheetDataSet>
      <sheetData sheetId="0"/>
      <sheetData sheetId="1">
        <row r="43">
          <cell r="V43">
            <v>-111988.23634201314</v>
          </cell>
          <cell r="W43">
            <v>92923.840698511136</v>
          </cell>
        </row>
        <row r="44">
          <cell r="X44">
            <v>44.132036010191548</v>
          </cell>
          <cell r="Y44">
            <v>164.59036763218984</v>
          </cell>
          <cell r="Z44">
            <v>45.115367632189852</v>
          </cell>
        </row>
        <row r="46">
          <cell r="V46">
            <v>14802.99078865722</v>
          </cell>
          <cell r="W46">
            <v>78090.942675689002</v>
          </cell>
        </row>
        <row r="47">
          <cell r="X47">
            <v>15.274303478666667</v>
          </cell>
          <cell r="Y47">
            <v>1331.9148431176668</v>
          </cell>
          <cell r="Z47">
            <v>1331.9148431176668</v>
          </cell>
        </row>
        <row r="49">
          <cell r="V49">
            <v>27298.628815599997</v>
          </cell>
          <cell r="W49">
            <v>244.13509489999998</v>
          </cell>
        </row>
        <row r="50">
          <cell r="X50">
            <v>95.85132956033334</v>
          </cell>
          <cell r="Y50">
            <v>94.332698933333347</v>
          </cell>
          <cell r="Z50">
            <v>1134.7407559333335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27"/>
  <sheetViews>
    <sheetView showGridLines="0" topLeftCell="A7" zoomScaleNormal="100" workbookViewId="0">
      <selection activeCell="G11" sqref="G11"/>
    </sheetView>
  </sheetViews>
  <sheetFormatPr defaultRowHeight="14.5" x14ac:dyDescent="0.35"/>
  <cols>
    <col min="2" max="2" width="14.453125" customWidth="1"/>
    <col min="3" max="3" width="13.26953125" bestFit="1" customWidth="1"/>
    <col min="4" max="4" width="14" bestFit="1" customWidth="1"/>
    <col min="5" max="5" width="13.81640625" bestFit="1" customWidth="1"/>
    <col min="6" max="6" width="15.54296875" customWidth="1"/>
    <col min="7" max="7" width="13.26953125" bestFit="1" customWidth="1"/>
    <col min="8" max="8" width="29.7265625" customWidth="1"/>
    <col min="9" max="9" width="52.81640625" customWidth="1"/>
    <col min="10" max="10" width="6" customWidth="1"/>
  </cols>
  <sheetData>
    <row r="1" spans="1:9" s="1" customFormat="1" x14ac:dyDescent="0.35">
      <c r="A1" s="1" t="s">
        <v>3</v>
      </c>
    </row>
    <row r="2" spans="1:9" x14ac:dyDescent="0.35">
      <c r="A2" s="1"/>
      <c r="B2" s="1"/>
      <c r="C2" s="121" t="s">
        <v>0</v>
      </c>
      <c r="D2" s="121"/>
      <c r="E2" s="121"/>
      <c r="F2" s="121"/>
      <c r="G2" s="121"/>
      <c r="H2" s="18"/>
      <c r="I2" s="1"/>
    </row>
    <row r="3" spans="1:9" x14ac:dyDescent="0.35">
      <c r="A3" s="1"/>
      <c r="B3" s="1"/>
      <c r="C3" s="6">
        <v>2011</v>
      </c>
      <c r="D3" s="7">
        <v>2012</v>
      </c>
      <c r="E3" s="6">
        <v>2013</v>
      </c>
      <c r="F3" s="6">
        <v>2014</v>
      </c>
      <c r="G3" s="6">
        <v>2015</v>
      </c>
      <c r="H3" s="2" t="s">
        <v>6</v>
      </c>
      <c r="I3" s="5"/>
    </row>
    <row r="4" spans="1:9" ht="15" customHeight="1" x14ac:dyDescent="0.35">
      <c r="A4" s="120" t="s">
        <v>2</v>
      </c>
      <c r="B4" s="4" t="s">
        <v>11</v>
      </c>
      <c r="C4" s="21">
        <v>103692.79669333334</v>
      </c>
      <c r="D4" s="58">
        <v>37116.119507496871</v>
      </c>
      <c r="E4" s="58">
        <v>37580.831389629318</v>
      </c>
      <c r="F4" s="59">
        <v>275648.39672743343</v>
      </c>
      <c r="G4" s="23">
        <v>127555.34708077094</v>
      </c>
      <c r="H4" s="24">
        <f>SUM(F4:G4)</f>
        <v>403203.74380820437</v>
      </c>
      <c r="I4" s="1"/>
    </row>
    <row r="5" spans="1:9" x14ac:dyDescent="0.35">
      <c r="A5" s="120"/>
      <c r="B5" s="4" t="s">
        <v>12</v>
      </c>
      <c r="C5" s="25"/>
      <c r="D5" s="58">
        <v>153640.46578921139</v>
      </c>
      <c r="E5" s="58">
        <v>26403.829886593536</v>
      </c>
      <c r="F5" s="59">
        <v>458469.31425465486</v>
      </c>
      <c r="G5" s="23">
        <v>100450.48999889518</v>
      </c>
      <c r="H5" s="24">
        <f t="shared" ref="H5:H7" si="0">SUM(F5:G5)</f>
        <v>558919.80425355001</v>
      </c>
      <c r="I5" s="1"/>
    </row>
    <row r="6" spans="1:9" x14ac:dyDescent="0.35">
      <c r="A6" s="120"/>
      <c r="B6" s="4" t="s">
        <v>13</v>
      </c>
      <c r="C6" s="25"/>
      <c r="D6" s="25"/>
      <c r="E6" s="58">
        <v>179271.45594200987</v>
      </c>
      <c r="F6" s="59">
        <v>106190.02093208901</v>
      </c>
      <c r="G6" s="23">
        <v>67817.550506223008</v>
      </c>
      <c r="H6" s="24">
        <f t="shared" si="0"/>
        <v>174007.57143831201</v>
      </c>
      <c r="I6" s="1"/>
    </row>
    <row r="7" spans="1:9" x14ac:dyDescent="0.35">
      <c r="A7" s="120"/>
      <c r="B7" s="4" t="s">
        <v>14</v>
      </c>
      <c r="C7" s="26"/>
      <c r="D7" s="26"/>
      <c r="E7" s="26"/>
      <c r="F7" s="23">
        <v>116892.86534935409</v>
      </c>
      <c r="G7" s="23">
        <v>87878.335288603907</v>
      </c>
      <c r="H7" s="24">
        <f t="shared" si="0"/>
        <v>204771.20063795801</v>
      </c>
      <c r="I7" s="1"/>
    </row>
    <row r="8" spans="1:9" x14ac:dyDescent="0.35">
      <c r="A8" s="120"/>
      <c r="B8" s="4" t="s">
        <v>15</v>
      </c>
      <c r="C8" s="26"/>
      <c r="D8" s="26"/>
      <c r="E8" s="26"/>
      <c r="F8" s="27"/>
      <c r="G8" s="28">
        <v>403417.62458000006</v>
      </c>
      <c r="H8" s="29">
        <f>G8</f>
        <v>403417.62458000006</v>
      </c>
      <c r="I8" s="1"/>
    </row>
    <row r="9" spans="1:9" x14ac:dyDescent="0.35">
      <c r="A9" s="1"/>
      <c r="B9" s="3" t="s">
        <v>1</v>
      </c>
      <c r="C9" s="30">
        <f>C4</f>
        <v>103692.79669333334</v>
      </c>
      <c r="D9" s="30">
        <f>D4+D5</f>
        <v>190756.58529670828</v>
      </c>
      <c r="E9" s="30">
        <f>E4+E5+E6</f>
        <v>243256.11721823271</v>
      </c>
      <c r="F9" s="31">
        <f>SUM(F4:F7)</f>
        <v>957200.59726353141</v>
      </c>
      <c r="G9" s="31">
        <f>SUM(G4:G8)</f>
        <v>787119.34745449317</v>
      </c>
      <c r="H9" s="32">
        <f>SUM(F9:G9)</f>
        <v>1744319.9447180247</v>
      </c>
      <c r="I9" s="1"/>
    </row>
    <row r="10" spans="1:9" x14ac:dyDescent="0.35">
      <c r="C10" s="14"/>
      <c r="D10" s="15" t="s">
        <v>17</v>
      </c>
      <c r="E10" s="33">
        <v>13680.188491594825</v>
      </c>
    </row>
    <row r="11" spans="1:9" s="1" customFormat="1" x14ac:dyDescent="0.35">
      <c r="E11" s="14"/>
      <c r="F11" s="15" t="s">
        <v>18</v>
      </c>
      <c r="G11" s="34">
        <v>28102.691134021763</v>
      </c>
      <c r="H11" s="35">
        <f>H9+E10+G11</f>
        <v>1786102.8243436413</v>
      </c>
    </row>
    <row r="12" spans="1:9" s="1" customFormat="1" x14ac:dyDescent="0.35">
      <c r="E12" s="124" t="s">
        <v>24</v>
      </c>
      <c r="F12" s="124"/>
      <c r="G12" s="35">
        <v>16223.331601355385</v>
      </c>
    </row>
    <row r="13" spans="1:9" s="1" customFormat="1" ht="60.65" customHeight="1" x14ac:dyDescent="0.35">
      <c r="B13" s="122" t="s">
        <v>16</v>
      </c>
      <c r="C13" s="123"/>
      <c r="D13" s="123"/>
      <c r="E13" s="123"/>
      <c r="F13" s="123"/>
      <c r="G13" s="123"/>
      <c r="H13" s="123"/>
    </row>
    <row r="14" spans="1:9" s="1" customFormat="1" x14ac:dyDescent="0.35"/>
    <row r="15" spans="1:9" x14ac:dyDescent="0.35">
      <c r="B15" s="41">
        <v>302621.07616299344</v>
      </c>
      <c r="C15" s="16" t="s">
        <v>4</v>
      </c>
      <c r="D15" s="16"/>
      <c r="F15" t="s">
        <v>21</v>
      </c>
      <c r="G15" s="35">
        <f>+C9+D9+E9-D22-E22</f>
        <v>288940.88767139835</v>
      </c>
      <c r="H15" s="35">
        <v>0</v>
      </c>
    </row>
    <row r="16" spans="1:9" ht="43.5" x14ac:dyDescent="0.35">
      <c r="B16" s="42">
        <f>+H9-H22+G11+G12-C17</f>
        <v>1531954.8986229168</v>
      </c>
      <c r="C16" s="16" t="s">
        <v>5</v>
      </c>
      <c r="D16" s="16"/>
      <c r="F16" s="38" t="s">
        <v>22</v>
      </c>
      <c r="G16" s="35">
        <f>+E10</f>
        <v>13680.188491594825</v>
      </c>
    </row>
    <row r="17" spans="2:9" ht="29" x14ac:dyDescent="0.35">
      <c r="B17" s="43">
        <v>1532854.5386229157</v>
      </c>
      <c r="C17" s="44">
        <v>899.64</v>
      </c>
      <c r="D17" t="s">
        <v>25</v>
      </c>
      <c r="F17" s="39" t="s">
        <v>23</v>
      </c>
      <c r="G17" s="40">
        <f>SUM(G15:G16)</f>
        <v>302621.07616299315</v>
      </c>
    </row>
    <row r="19" spans="2:9" x14ac:dyDescent="0.35">
      <c r="B19" t="s">
        <v>7</v>
      </c>
    </row>
    <row r="20" spans="2:9" x14ac:dyDescent="0.35">
      <c r="C20" s="6">
        <v>2011</v>
      </c>
      <c r="D20" s="8" t="s">
        <v>8</v>
      </c>
      <c r="E20" s="6">
        <v>2013</v>
      </c>
      <c r="F20" s="6">
        <v>2014</v>
      </c>
      <c r="G20" s="6">
        <v>2015</v>
      </c>
      <c r="H20" s="2" t="s">
        <v>9</v>
      </c>
      <c r="I20" t="s">
        <v>10</v>
      </c>
    </row>
    <row r="21" spans="2:9" ht="52.5" customHeight="1" x14ac:dyDescent="0.35">
      <c r="B21" s="4">
        <v>2011</v>
      </c>
      <c r="C21" s="2">
        <v>0</v>
      </c>
      <c r="D21" s="2">
        <v>0</v>
      </c>
      <c r="E21" s="2">
        <v>0</v>
      </c>
      <c r="F21" s="2">
        <v>0</v>
      </c>
      <c r="G21" s="2">
        <v>0</v>
      </c>
      <c r="H21" s="2"/>
      <c r="I21" s="20" t="s">
        <v>19</v>
      </c>
    </row>
    <row r="22" spans="2:9" x14ac:dyDescent="0.35">
      <c r="B22" s="4">
        <v>2012</v>
      </c>
      <c r="C22" s="2"/>
      <c r="D22" s="37">
        <v>123312.65503919848</v>
      </c>
      <c r="E22" s="19">
        <v>125451.95649767747</v>
      </c>
      <c r="F22" s="10">
        <v>127094.33105033751</v>
      </c>
      <c r="G22" s="10">
        <v>128697.09778014783</v>
      </c>
      <c r="H22" s="11">
        <f>SUM(F22:G22)</f>
        <v>255791.42883048533</v>
      </c>
      <c r="I22" s="17" t="s">
        <v>20</v>
      </c>
    </row>
    <row r="23" spans="2:9" x14ac:dyDescent="0.35">
      <c r="B23" s="9"/>
      <c r="D23" s="36">
        <v>0</v>
      </c>
    </row>
    <row r="24" spans="2:9" x14ac:dyDescent="0.35">
      <c r="B24" s="9"/>
      <c r="H24" s="12"/>
    </row>
    <row r="25" spans="2:9" x14ac:dyDescent="0.35">
      <c r="B25" s="9" t="s">
        <v>26</v>
      </c>
      <c r="H25" s="13"/>
    </row>
    <row r="26" spans="2:9" s="1" customFormat="1" x14ac:dyDescent="0.35">
      <c r="B26" s="9"/>
      <c r="H26" s="13"/>
    </row>
    <row r="27" spans="2:9" x14ac:dyDescent="0.35">
      <c r="H27" s="12"/>
    </row>
  </sheetData>
  <mergeCells count="4">
    <mergeCell ref="A4:A8"/>
    <mergeCell ref="C2:G2"/>
    <mergeCell ref="B13:H13"/>
    <mergeCell ref="E12:F12"/>
  </mergeCells>
  <pageMargins left="0.70866141732283472" right="0.70866141732283472" top="0.74803149606299213" bottom="0.74803149606299213" header="0.31496062992125984" footer="0.31496062992125984"/>
  <pageSetup paperSize="5" scale="9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37"/>
  <sheetViews>
    <sheetView workbookViewId="0">
      <selection activeCell="B27" sqref="B27"/>
    </sheetView>
  </sheetViews>
  <sheetFormatPr defaultRowHeight="14.5" x14ac:dyDescent="0.35"/>
  <cols>
    <col min="1" max="1" width="37.54296875" customWidth="1"/>
    <col min="2" max="2" width="12.26953125" style="1" customWidth="1"/>
    <col min="3" max="4" width="10.81640625" bestFit="1" customWidth="1"/>
    <col min="5" max="5" width="19.81640625" customWidth="1"/>
    <col min="6" max="6" width="10.81640625" bestFit="1" customWidth="1"/>
    <col min="7" max="7" width="14.26953125" customWidth="1"/>
  </cols>
  <sheetData>
    <row r="1" spans="1:7" x14ac:dyDescent="0.35">
      <c r="A1" s="125" t="s">
        <v>29</v>
      </c>
      <c r="B1" s="127" t="s">
        <v>31</v>
      </c>
      <c r="C1" s="128"/>
    </row>
    <row r="2" spans="1:7" x14ac:dyDescent="0.35">
      <c r="A2" s="126"/>
      <c r="B2" s="56" t="s">
        <v>27</v>
      </c>
      <c r="C2" s="57" t="s">
        <v>28</v>
      </c>
    </row>
    <row r="3" spans="1:7" x14ac:dyDescent="0.35">
      <c r="A3" s="49" t="s">
        <v>11</v>
      </c>
      <c r="B3" s="50">
        <f>SUM('[1]3.  Distribution Rates'!$F$57:$F$59)</f>
        <v>28450.026724208692</v>
      </c>
      <c r="C3" s="51">
        <f>'Guelph Summary'!F4-'Guelph Adjs'!E14</f>
        <v>159450.54755628476</v>
      </c>
    </row>
    <row r="4" spans="1:7" x14ac:dyDescent="0.35">
      <c r="A4" s="49" t="s">
        <v>12</v>
      </c>
      <c r="B4" s="50">
        <f>SUM('[1]3.  Distribution Rates'!$G$57:$G$59)</f>
        <v>28402.387697543898</v>
      </c>
      <c r="C4" s="51">
        <f>'Guelph Summary'!F5-'Guelph Adjs'!E15</f>
        <v>258156.77096296186</v>
      </c>
    </row>
    <row r="5" spans="1:7" x14ac:dyDescent="0.35">
      <c r="A5" s="49" t="s">
        <v>13</v>
      </c>
      <c r="B5" s="50">
        <f>SUM('[1]3.  Distribution Rates'!$H$57:$H$59)</f>
        <v>66802.392966252213</v>
      </c>
      <c r="C5" s="51">
        <f>'Guelph Summary'!F6-'Guelph Adjs'!E16</f>
        <v>39019.267537596985</v>
      </c>
    </row>
    <row r="6" spans="1:7" s="46" customFormat="1" x14ac:dyDescent="0.35">
      <c r="A6" s="53" t="s">
        <v>33</v>
      </c>
      <c r="B6" s="54">
        <f>SUM(B3:B5)</f>
        <v>123654.8073880048</v>
      </c>
      <c r="C6" s="55">
        <f>SUM(C3:C5)</f>
        <v>456626.58605684363</v>
      </c>
    </row>
    <row r="8" spans="1:7" x14ac:dyDescent="0.35">
      <c r="A8" s="52" t="s">
        <v>32</v>
      </c>
      <c r="B8" s="35"/>
    </row>
    <row r="9" spans="1:7" x14ac:dyDescent="0.35">
      <c r="A9" s="35">
        <f>+'Guelph Summary'!F9-'Guelph Adjs'!C6</f>
        <v>500574.01120668778</v>
      </c>
      <c r="B9" s="35" t="s">
        <v>30</v>
      </c>
    </row>
    <row r="10" spans="1:7" x14ac:dyDescent="0.35">
      <c r="A10" s="35">
        <v>0</v>
      </c>
      <c r="B10" s="35"/>
      <c r="E10" t="s">
        <v>35</v>
      </c>
      <c r="F10">
        <f>F14/E14</f>
        <v>1.0977427550564529</v>
      </c>
    </row>
    <row r="11" spans="1:7" x14ac:dyDescent="0.35">
      <c r="D11" s="60">
        <v>1.0782007496876302E-2</v>
      </c>
      <c r="E11" s="60">
        <v>1.4E-2</v>
      </c>
      <c r="F11" s="60">
        <v>1.2999999999999999E-2</v>
      </c>
    </row>
    <row r="12" spans="1:7" x14ac:dyDescent="0.35">
      <c r="A12" s="46" t="s">
        <v>34</v>
      </c>
    </row>
    <row r="13" spans="1:7" s="1" customFormat="1" x14ac:dyDescent="0.35">
      <c r="B13" s="6">
        <v>2011</v>
      </c>
      <c r="C13" s="7">
        <v>2012</v>
      </c>
      <c r="D13" s="6">
        <v>2013</v>
      </c>
      <c r="E13" s="6">
        <v>2014</v>
      </c>
      <c r="F13" s="6">
        <v>2015</v>
      </c>
      <c r="G13" s="2" t="s">
        <v>6</v>
      </c>
    </row>
    <row r="14" spans="1:7" x14ac:dyDescent="0.35">
      <c r="A14" s="4" t="s">
        <v>11</v>
      </c>
      <c r="B14" s="21">
        <v>103692.79669333334</v>
      </c>
      <c r="C14" s="22">
        <v>37116.119507496871</v>
      </c>
      <c r="D14" s="22">
        <v>37580.831389629318</v>
      </c>
      <c r="E14" s="23">
        <v>116197.84917114869</v>
      </c>
      <c r="F14" s="23">
        <v>127555.34708077094</v>
      </c>
      <c r="G14" s="24">
        <f>SUM(E14:F14)</f>
        <v>243753.19625191961</v>
      </c>
    </row>
    <row r="15" spans="1:7" x14ac:dyDescent="0.35">
      <c r="A15" s="4" t="s">
        <v>12</v>
      </c>
      <c r="B15" s="25"/>
      <c r="C15" s="22">
        <v>153640.46578921139</v>
      </c>
      <c r="D15" s="22">
        <v>26403.829886593536</v>
      </c>
      <c r="E15" s="23">
        <v>200312.543291693</v>
      </c>
      <c r="F15" s="23">
        <v>100450.48999889518</v>
      </c>
      <c r="G15" s="24">
        <f t="shared" ref="G15:G17" si="0">SUM(E15:F15)</f>
        <v>300763.03329058818</v>
      </c>
    </row>
    <row r="16" spans="1:7" x14ac:dyDescent="0.35">
      <c r="A16" s="4" t="s">
        <v>13</v>
      </c>
      <c r="B16" s="25"/>
      <c r="C16" s="25"/>
      <c r="D16" s="22">
        <v>179271.45594200987</v>
      </c>
      <c r="E16" s="23">
        <v>67170.753394492029</v>
      </c>
      <c r="F16" s="23">
        <v>67817.550506223008</v>
      </c>
      <c r="G16" s="24">
        <f t="shared" si="0"/>
        <v>134988.30390071502</v>
      </c>
    </row>
    <row r="17" spans="1:8" x14ac:dyDescent="0.35">
      <c r="A17" s="4" t="s">
        <v>14</v>
      </c>
      <c r="B17" s="26"/>
      <c r="C17" s="26"/>
      <c r="D17" s="26"/>
      <c r="E17" s="23">
        <v>116892.86534935409</v>
      </c>
      <c r="F17" s="23">
        <v>87878.335288603907</v>
      </c>
      <c r="G17" s="24">
        <f t="shared" si="0"/>
        <v>204771.20063795801</v>
      </c>
    </row>
    <row r="18" spans="1:8" x14ac:dyDescent="0.35">
      <c r="A18" s="4" t="s">
        <v>15</v>
      </c>
      <c r="E18" s="27"/>
      <c r="F18" s="28">
        <v>403417.62458000006</v>
      </c>
      <c r="G18" s="29">
        <f>F18</f>
        <v>403417.62458000006</v>
      </c>
    </row>
    <row r="19" spans="1:8" x14ac:dyDescent="0.35">
      <c r="A19" s="3" t="s">
        <v>1</v>
      </c>
      <c r="B19" s="30">
        <f>B14</f>
        <v>103692.79669333334</v>
      </c>
      <c r="C19" s="30">
        <f>C14+C15</f>
        <v>190756.58529670828</v>
      </c>
      <c r="D19" s="30">
        <f>D14+D15+D16</f>
        <v>243256.11721823271</v>
      </c>
      <c r="E19" s="31">
        <f>SUM(E14:E17)</f>
        <v>500574.01120668784</v>
      </c>
      <c r="F19" s="31">
        <f>SUM(F14:F18)</f>
        <v>787119.34745449317</v>
      </c>
      <c r="G19" s="32">
        <f>SUM(E19:F19)</f>
        <v>1287693.3586611811</v>
      </c>
    </row>
    <row r="20" spans="1:8" x14ac:dyDescent="0.35">
      <c r="A20" s="1"/>
      <c r="B20" s="14"/>
      <c r="C20" s="15" t="s">
        <v>17</v>
      </c>
      <c r="D20" s="33">
        <v>13680.188491594825</v>
      </c>
      <c r="E20" s="1"/>
      <c r="F20" s="1"/>
      <c r="G20" s="1"/>
    </row>
    <row r="21" spans="1:8" x14ac:dyDescent="0.35">
      <c r="A21" s="1"/>
      <c r="C21" s="1"/>
      <c r="D21" s="14"/>
      <c r="E21" s="15" t="s">
        <v>18</v>
      </c>
      <c r="F21" s="68">
        <f>+'[1]7.  Carrying Charges'!$Q$88</f>
        <v>18014.877837046708</v>
      </c>
      <c r="G21" s="35">
        <f>G19+D20+F21</f>
        <v>1319388.4249898226</v>
      </c>
    </row>
    <row r="22" spans="1:8" x14ac:dyDescent="0.35">
      <c r="A22" s="1"/>
      <c r="C22" s="1"/>
      <c r="D22" s="124" t="s">
        <v>24</v>
      </c>
      <c r="E22" s="124"/>
      <c r="F22" s="63">
        <f>+'[1]1.  LRAMVA Summary'!$L$39</f>
        <v>12770.556413586646</v>
      </c>
      <c r="G22" s="1"/>
    </row>
    <row r="23" spans="1:8" s="1" customFormat="1" x14ac:dyDescent="0.35">
      <c r="A23" s="69" t="s">
        <v>37</v>
      </c>
      <c r="B23" s="62">
        <v>109824.54622382467</v>
      </c>
      <c r="C23" s="62">
        <v>275233.6438090239</v>
      </c>
      <c r="D23" s="62">
        <v>281705.0533071527</v>
      </c>
      <c r="E23" s="27"/>
      <c r="F23" s="28"/>
      <c r="G23" s="29"/>
    </row>
    <row r="24" spans="1:8" ht="87" x14ac:dyDescent="0.35">
      <c r="A24" s="65" t="s">
        <v>62</v>
      </c>
      <c r="B24" s="62">
        <f>B23-B19</f>
        <v>6131.7495304913318</v>
      </c>
      <c r="C24" s="62">
        <f>C23-C19</f>
        <v>84477.05851231562</v>
      </c>
      <c r="D24" s="62">
        <f>D23-D19</f>
        <v>38448.936088919989</v>
      </c>
      <c r="E24" s="63">
        <f>SUM(B24:D24)</f>
        <v>129057.74413172694</v>
      </c>
    </row>
    <row r="25" spans="1:8" x14ac:dyDescent="0.35">
      <c r="A25" s="47"/>
      <c r="B25" s="47"/>
      <c r="C25" s="47"/>
    </row>
    <row r="26" spans="1:8" x14ac:dyDescent="0.35">
      <c r="A26" s="41">
        <v>302621.07616299344</v>
      </c>
      <c r="B26" s="16" t="s">
        <v>4</v>
      </c>
      <c r="C26" s="16"/>
      <c r="D26" s="1"/>
      <c r="E26" s="1" t="s">
        <v>21</v>
      </c>
      <c r="F26" s="35">
        <f>+B19+C19+D19-C33-D33</f>
        <v>288940.88767139835</v>
      </c>
      <c r="G26" s="35">
        <v>0</v>
      </c>
    </row>
    <row r="27" spans="1:8" ht="29" x14ac:dyDescent="0.35">
      <c r="A27" s="42">
        <f>+G19-G33+F21+F22-B28</f>
        <v>1061787.7240813293</v>
      </c>
      <c r="B27" s="16"/>
      <c r="C27" s="16"/>
      <c r="D27" s="1"/>
      <c r="E27" s="45" t="s">
        <v>22</v>
      </c>
      <c r="F27" s="35">
        <f>+D20</f>
        <v>13680.188491594825</v>
      </c>
      <c r="G27" s="1"/>
    </row>
    <row r="28" spans="1:8" ht="29" x14ac:dyDescent="0.35">
      <c r="A28" s="43">
        <f>+'[1]1.  LRAMVA Summary'!$K$40</f>
        <v>1191745.1082130556</v>
      </c>
      <c r="B28" s="44">
        <v>899.64</v>
      </c>
      <c r="C28" s="1" t="s">
        <v>25</v>
      </c>
      <c r="D28" s="1"/>
      <c r="E28" s="39" t="s">
        <v>23</v>
      </c>
      <c r="F28" s="40">
        <f>SUM(F26:F27)</f>
        <v>302621.07616299315</v>
      </c>
      <c r="G28" s="1"/>
    </row>
    <row r="29" spans="1:8" x14ac:dyDescent="0.35">
      <c r="A29" s="64">
        <f>A28-A27</f>
        <v>129957.38413172634</v>
      </c>
      <c r="B29" s="66" t="s">
        <v>36</v>
      </c>
      <c r="C29" s="66"/>
      <c r="D29" s="66"/>
      <c r="E29" s="66"/>
      <c r="F29" s="66"/>
      <c r="G29" s="66"/>
      <c r="H29" s="66"/>
    </row>
    <row r="30" spans="1:8" x14ac:dyDescent="0.35">
      <c r="A30" s="1" t="s">
        <v>7</v>
      </c>
      <c r="C30" s="1"/>
      <c r="D30" s="1"/>
      <c r="E30" s="1"/>
      <c r="F30" s="1"/>
      <c r="G30" s="1"/>
    </row>
    <row r="31" spans="1:8" ht="43.5" x14ac:dyDescent="0.35">
      <c r="A31" s="1"/>
      <c r="B31" s="6">
        <v>2011</v>
      </c>
      <c r="C31" s="8" t="s">
        <v>8</v>
      </c>
      <c r="D31" s="6">
        <v>2013</v>
      </c>
      <c r="E31" s="6">
        <v>2014</v>
      </c>
      <c r="F31" s="6">
        <v>2015</v>
      </c>
      <c r="G31" s="67" t="s">
        <v>9</v>
      </c>
    </row>
    <row r="32" spans="1:8" x14ac:dyDescent="0.35">
      <c r="A32" s="4">
        <v>2011</v>
      </c>
      <c r="B32" s="2">
        <v>0</v>
      </c>
      <c r="C32" s="2">
        <v>0</v>
      </c>
      <c r="D32" s="2">
        <v>0</v>
      </c>
      <c r="E32" s="2">
        <v>0</v>
      </c>
      <c r="F32" s="2">
        <v>0</v>
      </c>
      <c r="G32" s="2"/>
    </row>
    <row r="33" spans="1:7" x14ac:dyDescent="0.35">
      <c r="A33" s="4">
        <v>2012</v>
      </c>
      <c r="B33" s="2"/>
      <c r="C33" s="37">
        <v>123312.65503919848</v>
      </c>
      <c r="D33" s="19">
        <v>125451.95649767747</v>
      </c>
      <c r="E33" s="10">
        <v>127094.33105033751</v>
      </c>
      <c r="F33" s="10">
        <v>128697.09778014783</v>
      </c>
      <c r="G33" s="11">
        <f>SUM(E33:F33)</f>
        <v>255791.42883048533</v>
      </c>
    </row>
    <row r="35" spans="1:7" x14ac:dyDescent="0.35">
      <c r="A35" s="47"/>
      <c r="B35" s="47"/>
    </row>
    <row r="36" spans="1:7" x14ac:dyDescent="0.35">
      <c r="A36" s="47"/>
      <c r="B36" s="47"/>
    </row>
    <row r="37" spans="1:7" x14ac:dyDescent="0.35">
      <c r="A37" s="48"/>
      <c r="B37" s="48"/>
    </row>
  </sheetData>
  <mergeCells count="3">
    <mergeCell ref="A1:A2"/>
    <mergeCell ref="D22:E22"/>
    <mergeCell ref="B1:C1"/>
  </mergeCells>
  <pageMargins left="0.70866141732283472" right="0.70866141732283472" top="0.74803149606299213" bottom="0.74803149606299213" header="0.31496062992125984" footer="0.31496062992125984"/>
  <pageSetup paperSize="5" scale="90"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37"/>
  <sheetViews>
    <sheetView tabSelected="1" topLeftCell="A14" workbookViewId="0">
      <selection activeCell="D29" sqref="D29"/>
    </sheetView>
  </sheetViews>
  <sheetFormatPr defaultColWidth="8.7265625" defaultRowHeight="14.5" x14ac:dyDescent="0.35"/>
  <cols>
    <col min="1" max="1" width="37.54296875" style="1" customWidth="1"/>
    <col min="2" max="2" width="12.26953125" style="1" customWidth="1"/>
    <col min="3" max="3" width="10.81640625" style="1" bestFit="1" customWidth="1"/>
    <col min="4" max="4" width="12.6328125" style="1" customWidth="1"/>
    <col min="5" max="5" width="19.81640625" style="1" customWidth="1"/>
    <col min="6" max="6" width="10.81640625" style="1" bestFit="1" customWidth="1"/>
    <col min="7" max="7" width="14" style="1" customWidth="1"/>
    <col min="8" max="8" width="48" style="1" customWidth="1"/>
    <col min="9" max="9" width="8.7265625" style="1"/>
    <col min="10" max="10" width="10.81640625" style="1" bestFit="1" customWidth="1"/>
    <col min="11" max="11" width="19.7265625" style="1" customWidth="1"/>
    <col min="12" max="12" width="10.81640625" style="1" bestFit="1" customWidth="1"/>
    <col min="13" max="13" width="8.81640625" style="1" bestFit="1" customWidth="1"/>
    <col min="14" max="14" width="11.453125" style="1" customWidth="1"/>
    <col min="15" max="16384" width="8.7265625" style="1"/>
  </cols>
  <sheetData>
    <row r="1" spans="1:14" ht="72.5" x14ac:dyDescent="0.35">
      <c r="A1" s="125" t="s">
        <v>29</v>
      </c>
      <c r="B1" s="127" t="s">
        <v>31</v>
      </c>
      <c r="C1" s="128"/>
      <c r="H1" s="125" t="s">
        <v>29</v>
      </c>
      <c r="I1" s="127" t="s">
        <v>31</v>
      </c>
      <c r="J1" s="128"/>
      <c r="K1" s="70" t="s">
        <v>41</v>
      </c>
      <c r="L1" s="89" t="s">
        <v>42</v>
      </c>
      <c r="M1" s="70" t="s">
        <v>45</v>
      </c>
      <c r="N1" s="90" t="s">
        <v>43</v>
      </c>
    </row>
    <row r="2" spans="1:14" x14ac:dyDescent="0.35">
      <c r="A2" s="126"/>
      <c r="B2" s="56" t="s">
        <v>27</v>
      </c>
      <c r="C2" s="57" t="s">
        <v>28</v>
      </c>
      <c r="H2" s="126"/>
      <c r="I2" s="56" t="s">
        <v>27</v>
      </c>
      <c r="J2" s="57" t="s">
        <v>28</v>
      </c>
      <c r="K2" s="130" t="s">
        <v>44</v>
      </c>
      <c r="L2" s="81"/>
      <c r="M2" s="85"/>
      <c r="N2" s="82"/>
    </row>
    <row r="3" spans="1:14" x14ac:dyDescent="0.35">
      <c r="A3" s="49" t="s">
        <v>11</v>
      </c>
      <c r="B3" s="78">
        <f>SUM('[1]3.  Distribution Rates'!$F$57:$F$59)</f>
        <v>28450.026724208692</v>
      </c>
      <c r="C3" s="51">
        <f>'Guelph Summary'!F4-'Guelph Adjs'!E14</f>
        <v>159450.54755628476</v>
      </c>
      <c r="H3" s="49" t="s">
        <v>38</v>
      </c>
      <c r="I3" s="79">
        <f>SUM('[1]3.  Distribution Rates'!$F$57:$F$59)</f>
        <v>28450.026724208692</v>
      </c>
      <c r="J3" s="51">
        <f>+'[1]3.  Distribution Rates'!$F$51</f>
        <v>75268.106668217195</v>
      </c>
      <c r="K3" s="131"/>
      <c r="L3" s="83"/>
      <c r="M3" s="80"/>
      <c r="N3" s="84"/>
    </row>
    <row r="4" spans="1:14" x14ac:dyDescent="0.35">
      <c r="A4" s="49" t="s">
        <v>12</v>
      </c>
      <c r="B4" s="78">
        <f>SUM('[1]3.  Distribution Rates'!$G$57:$G$59)</f>
        <v>28402.387697543898</v>
      </c>
      <c r="C4" s="51">
        <f>'Guelph Summary'!F5-'Guelph Adjs'!E15</f>
        <v>258156.77096296186</v>
      </c>
      <c r="H4" s="49" t="s">
        <v>39</v>
      </c>
      <c r="I4" s="79">
        <f>SUM('[1]3.  Distribution Rates'!$G$57:$G$59)</f>
        <v>28402.387697543898</v>
      </c>
      <c r="J4" s="51">
        <f>+'[1]3.  Distribution Rates'!$G$51</f>
        <v>79576.098902407335</v>
      </c>
      <c r="K4" s="131"/>
      <c r="L4" s="83"/>
      <c r="M4" s="80"/>
      <c r="N4" s="84"/>
    </row>
    <row r="5" spans="1:14" x14ac:dyDescent="0.35">
      <c r="A5" s="49" t="s">
        <v>13</v>
      </c>
      <c r="B5" s="78">
        <f>SUM('[1]3.  Distribution Rates'!$H$57:$H$59)</f>
        <v>66802.392966252213</v>
      </c>
      <c r="C5" s="51">
        <f>'Guelph Summary'!F6-'Guelph Adjs'!E16</f>
        <v>39019.267537596985</v>
      </c>
      <c r="H5" s="49" t="s">
        <v>40</v>
      </c>
      <c r="I5" s="79">
        <f>SUM('[1]3.  Distribution Rates'!$H$57:$H$59)</f>
        <v>66802.392966252213</v>
      </c>
      <c r="J5" s="51">
        <f>+'[1]3.  Distribution Rates'!$H$51</f>
        <v>172724.63635449199</v>
      </c>
      <c r="K5" s="132"/>
      <c r="L5" s="83"/>
      <c r="M5" s="80"/>
      <c r="N5" s="84"/>
    </row>
    <row r="6" spans="1:14" s="46" customFormat="1" x14ac:dyDescent="0.35">
      <c r="A6" s="53" t="s">
        <v>33</v>
      </c>
      <c r="B6" s="54">
        <f>SUM(B3:B5)</f>
        <v>123654.8073880048</v>
      </c>
      <c r="C6" s="55">
        <f>SUM(C3:C5)</f>
        <v>456626.58605684363</v>
      </c>
      <c r="D6" s="77"/>
      <c r="H6" s="53" t="s">
        <v>33</v>
      </c>
      <c r="I6" s="54">
        <f>SUM(I3:I5)</f>
        <v>123654.8073880048</v>
      </c>
      <c r="J6" s="55">
        <f>SUM(J3:J5)</f>
        <v>327568.84192511649</v>
      </c>
      <c r="K6" s="86">
        <f>+'Guelph Adjs'!E24</f>
        <v>129057.74413172694</v>
      </c>
      <c r="L6" s="87">
        <f>J6+K6</f>
        <v>456626.5860568434</v>
      </c>
      <c r="M6" s="86">
        <f>+'[1]3.  Distribution Rates'!$I$52</f>
        <v>8197.9129662101841</v>
      </c>
      <c r="N6" s="88">
        <f>L6+M6</f>
        <v>464824.49902305356</v>
      </c>
    </row>
    <row r="8" spans="1:14" x14ac:dyDescent="0.35">
      <c r="A8" s="52" t="s">
        <v>32</v>
      </c>
      <c r="B8" s="35"/>
    </row>
    <row r="9" spans="1:14" x14ac:dyDescent="0.35">
      <c r="A9" s="35">
        <f>+'[2]Guelph Summary'!F9-'[2]Guelph Adjs'!C6</f>
        <v>500574.01120668789</v>
      </c>
      <c r="B9" s="35" t="s">
        <v>30</v>
      </c>
    </row>
    <row r="10" spans="1:14" x14ac:dyDescent="0.35">
      <c r="A10" s="35">
        <f>+A9-'[3]4.  2011-14 LRAM'!$P$316</f>
        <v>0</v>
      </c>
      <c r="B10" s="35"/>
      <c r="E10" s="1" t="s">
        <v>35</v>
      </c>
      <c r="F10" s="1">
        <f>F14/E14</f>
        <v>1.0977427550564529</v>
      </c>
    </row>
    <row r="11" spans="1:14" x14ac:dyDescent="0.35">
      <c r="D11" s="60">
        <f>1.08%*'[4]6.  Persistence Rates'!$F$25</f>
        <v>1.0782007496876302E-2</v>
      </c>
      <c r="E11" s="60">
        <v>1.4E-2</v>
      </c>
      <c r="F11" s="60">
        <v>1.2999999999999999E-2</v>
      </c>
    </row>
    <row r="12" spans="1:14" x14ac:dyDescent="0.35">
      <c r="A12" s="46" t="s">
        <v>34</v>
      </c>
    </row>
    <row r="13" spans="1:14" x14ac:dyDescent="0.35">
      <c r="B13" s="6">
        <v>2011</v>
      </c>
      <c r="C13" s="7">
        <v>2012</v>
      </c>
      <c r="D13" s="6">
        <v>2013</v>
      </c>
      <c r="E13" s="6">
        <v>2014</v>
      </c>
      <c r="F13" s="6">
        <v>2015</v>
      </c>
      <c r="G13" s="2" t="s">
        <v>6</v>
      </c>
    </row>
    <row r="14" spans="1:14" x14ac:dyDescent="0.35">
      <c r="A14" s="4" t="s">
        <v>11</v>
      </c>
      <c r="B14" s="21">
        <f>'[5]Continuity Schedule'!$Q$32</f>
        <v>103692.79669333334</v>
      </c>
      <c r="C14" s="22">
        <f>+'[3]3.  Distribution Rates'!$F$52</f>
        <v>37116.119507496871</v>
      </c>
      <c r="D14" s="22">
        <f>+'[3]3.  Distribution Rates'!$G$52</f>
        <v>37580.831389629318</v>
      </c>
      <c r="E14" s="23">
        <f>+'[1]4.  2011-14 LRAM'!$P$312</f>
        <v>116197.84917114869</v>
      </c>
      <c r="F14" s="23">
        <f>+'[1]5.  2015 LRAM'!$P$119</f>
        <v>127555.34708077094</v>
      </c>
      <c r="G14" s="24">
        <f>SUM(E14:F14)</f>
        <v>243753.19625191961</v>
      </c>
    </row>
    <row r="15" spans="1:14" x14ac:dyDescent="0.35">
      <c r="A15" s="4" t="s">
        <v>12</v>
      </c>
      <c r="B15" s="25"/>
      <c r="C15" s="22">
        <f>+'[5]Continuity Schedule'!$AD$32-'[5]Continuity Schedule'!$Q$32-C14</f>
        <v>153640.46578921139</v>
      </c>
      <c r="D15" s="22">
        <f>+'[3]3.  Distribution Rates'!$H$52</f>
        <v>26403.829886593536</v>
      </c>
      <c r="E15" s="23">
        <f>+'[1]4.  2011-14 LRAM'!$P$313</f>
        <v>200312.543291693</v>
      </c>
      <c r="F15" s="23">
        <f>+'[1]5.  2015 LRAM'!$P$120</f>
        <v>100450.48999889518</v>
      </c>
      <c r="G15" s="24">
        <f t="shared" ref="G15:G17" si="0">SUM(E15:F15)</f>
        <v>300763.03329058818</v>
      </c>
    </row>
    <row r="16" spans="1:14" x14ac:dyDescent="0.35">
      <c r="A16" s="4" t="s">
        <v>13</v>
      </c>
      <c r="B16" s="25"/>
      <c r="C16" s="25"/>
      <c r="D16" s="22">
        <f>+'[5]Continuity Schedule'!$AQ$32-'[5]Continuity Schedule'!$AD$32-D15-D14</f>
        <v>179271.45594200987</v>
      </c>
      <c r="E16" s="23">
        <f>+'[1]4.  2011-14 LRAM'!$P$314</f>
        <v>67170.753394492029</v>
      </c>
      <c r="F16" s="23">
        <f>+'[1]5.  2015 LRAM'!$P$121</f>
        <v>67817.550506223008</v>
      </c>
      <c r="G16" s="24">
        <f t="shared" si="0"/>
        <v>134988.30390071502</v>
      </c>
    </row>
    <row r="17" spans="1:8" x14ac:dyDescent="0.35">
      <c r="A17" s="4" t="s">
        <v>14</v>
      </c>
      <c r="B17" s="26"/>
      <c r="C17" s="26"/>
      <c r="D17" s="26"/>
      <c r="E17" s="23">
        <f>+'[1]4.  2011-14 LRAM'!$P$315</f>
        <v>116892.86534935409</v>
      </c>
      <c r="F17" s="23">
        <f>+'[1]5.  2015 LRAM'!$P$122</f>
        <v>87878.335288603907</v>
      </c>
      <c r="G17" s="24">
        <f t="shared" si="0"/>
        <v>204771.20063795801</v>
      </c>
    </row>
    <row r="18" spans="1:8" x14ac:dyDescent="0.35">
      <c r="A18" s="4" t="s">
        <v>15</v>
      </c>
      <c r="E18" s="27"/>
      <c r="F18" s="28">
        <f>+'[1]5.  2015 LRAM'!$P$123</f>
        <v>403417.62458000006</v>
      </c>
      <c r="G18" s="29">
        <f>F18</f>
        <v>403417.62458000006</v>
      </c>
    </row>
    <row r="19" spans="1:8" x14ac:dyDescent="0.35">
      <c r="A19" s="3" t="s">
        <v>1</v>
      </c>
      <c r="B19" s="30">
        <f>B14</f>
        <v>103692.79669333334</v>
      </c>
      <c r="C19" s="30">
        <f>C14+C15</f>
        <v>190756.58529670828</v>
      </c>
      <c r="D19" s="30">
        <f>D14+D15+D16</f>
        <v>243256.11721823271</v>
      </c>
      <c r="E19" s="31">
        <f>SUM(E14:E17)</f>
        <v>500574.01120668784</v>
      </c>
      <c r="F19" s="31">
        <f>SUM(F14:F18)</f>
        <v>787119.34745449317</v>
      </c>
      <c r="G19" s="32">
        <f>SUM(E19:F19)</f>
        <v>1287693.3586611811</v>
      </c>
    </row>
    <row r="20" spans="1:8" x14ac:dyDescent="0.35">
      <c r="B20" s="14"/>
      <c r="C20" s="15" t="s">
        <v>17</v>
      </c>
      <c r="D20" s="33">
        <f>+'[3]9. Guelph_Lost Revenue'!$O$66+'[3]9. Guelph_Lost Revenue'!$Q$66</f>
        <v>13680.188491594825</v>
      </c>
    </row>
    <row r="21" spans="1:8" x14ac:dyDescent="0.35">
      <c r="D21" s="14"/>
      <c r="E21" s="15" t="s">
        <v>18</v>
      </c>
      <c r="F21" s="76">
        <f>+'[1]7.  Carrying Charges'!$Q$88</f>
        <v>18014.877837046708</v>
      </c>
      <c r="G21" s="35">
        <f>G19+D20+F21</f>
        <v>1319388.4249898226</v>
      </c>
    </row>
    <row r="22" spans="1:8" x14ac:dyDescent="0.35">
      <c r="D22" s="124" t="s">
        <v>24</v>
      </c>
      <c r="E22" s="124"/>
      <c r="F22" s="74">
        <f>+'[1]1.  LRAMVA Summary'!$L$39</f>
        <v>12770.556413586646</v>
      </c>
    </row>
    <row r="23" spans="1:8" x14ac:dyDescent="0.35">
      <c r="A23" s="4"/>
      <c r="B23" s="71"/>
      <c r="C23" s="71"/>
      <c r="D23" s="71"/>
      <c r="E23" s="72"/>
      <c r="F23" s="72"/>
      <c r="G23" s="75"/>
    </row>
    <row r="24" spans="1:8" x14ac:dyDescent="0.35">
      <c r="A24" s="73"/>
      <c r="B24" s="71"/>
      <c r="C24" s="71"/>
      <c r="D24" s="71"/>
      <c r="E24" s="74"/>
    </row>
    <row r="25" spans="1:8" x14ac:dyDescent="0.35">
      <c r="A25" s="47"/>
      <c r="B25" s="47"/>
      <c r="C25" s="47"/>
    </row>
    <row r="26" spans="1:8" x14ac:dyDescent="0.35">
      <c r="A26" s="41">
        <f>+'[3]1.  LRAMVA Summary'!$H$9</f>
        <v>302621.07616299344</v>
      </c>
      <c r="B26" s="16" t="s">
        <v>4</v>
      </c>
      <c r="C26" s="16"/>
      <c r="E26" s="1" t="s">
        <v>21</v>
      </c>
      <c r="F26" s="35">
        <f>+B19+C19+D19-C33-D33</f>
        <v>288940.88767139835</v>
      </c>
      <c r="G26" s="35">
        <f>'[3]9. Guelph_Lost Revenue'!$N$66-F26</f>
        <v>0</v>
      </c>
    </row>
    <row r="27" spans="1:8" ht="29" x14ac:dyDescent="0.35">
      <c r="A27" s="42">
        <f>+G19-G33+F21+F22-B28</f>
        <v>1061787.7240813293</v>
      </c>
      <c r="B27" s="16"/>
      <c r="C27" s="16"/>
      <c r="E27" s="61" t="s">
        <v>22</v>
      </c>
      <c r="F27" s="35">
        <f>+D20</f>
        <v>13680.188491594825</v>
      </c>
    </row>
    <row r="28" spans="1:8" ht="49" customHeight="1" x14ac:dyDescent="0.35">
      <c r="A28" s="43">
        <f>+'[1]1.  LRAMVA Summary'!$K$40</f>
        <v>1191745.1082130556</v>
      </c>
      <c r="B28" s="44">
        <v>899.64</v>
      </c>
      <c r="C28" s="142" t="s">
        <v>66</v>
      </c>
      <c r="D28" s="142"/>
      <c r="E28" s="39" t="s">
        <v>23</v>
      </c>
      <c r="F28" s="40">
        <f>SUM(F26:F27)</f>
        <v>302621.07616299315</v>
      </c>
    </row>
    <row r="29" spans="1:8" ht="42" customHeight="1" x14ac:dyDescent="0.35">
      <c r="A29" s="129" t="s">
        <v>63</v>
      </c>
      <c r="B29" s="123"/>
      <c r="C29" s="118">
        <f>B29-'Guelph Adjs'!E24</f>
        <v>-129057.74413172694</v>
      </c>
      <c r="D29" s="5"/>
      <c r="E29" s="5"/>
      <c r="F29" s="5"/>
      <c r="G29" s="5"/>
      <c r="H29" s="5"/>
    </row>
    <row r="30" spans="1:8" x14ac:dyDescent="0.35">
      <c r="A30" s="1" t="s">
        <v>7</v>
      </c>
    </row>
    <row r="31" spans="1:8" ht="43.5" x14ac:dyDescent="0.35">
      <c r="B31" s="6">
        <v>2011</v>
      </c>
      <c r="C31" s="8" t="s">
        <v>8</v>
      </c>
      <c r="D31" s="6">
        <v>2013</v>
      </c>
      <c r="E31" s="6">
        <v>2014</v>
      </c>
      <c r="F31" s="6">
        <v>2015</v>
      </c>
      <c r="G31" s="67" t="s">
        <v>9</v>
      </c>
    </row>
    <row r="32" spans="1:8" x14ac:dyDescent="0.35">
      <c r="A32" s="4">
        <v>2011</v>
      </c>
      <c r="B32" s="2">
        <v>0</v>
      </c>
      <c r="C32" s="2">
        <v>0</v>
      </c>
      <c r="D32" s="2">
        <v>0</v>
      </c>
      <c r="E32" s="2">
        <v>0</v>
      </c>
      <c r="F32" s="2">
        <v>0</v>
      </c>
      <c r="G32" s="2"/>
    </row>
    <row r="33" spans="1:7" x14ac:dyDescent="0.35">
      <c r="A33" s="4">
        <v>2012</v>
      </c>
      <c r="B33" s="2"/>
      <c r="C33" s="37">
        <f>+'[5]Adj Allocation'!$F$56</f>
        <v>123312.65503919848</v>
      </c>
      <c r="D33" s="19">
        <v>125451.95649767747</v>
      </c>
      <c r="E33" s="10">
        <v>127094.33105033751</v>
      </c>
      <c r="F33" s="10">
        <v>128697.09778014783</v>
      </c>
      <c r="G33" s="11">
        <f>SUM(E33:F33)</f>
        <v>255791.42883048533</v>
      </c>
    </row>
    <row r="35" spans="1:7" x14ac:dyDescent="0.35">
      <c r="A35" s="47"/>
      <c r="B35" s="47"/>
    </row>
    <row r="36" spans="1:7" x14ac:dyDescent="0.35">
      <c r="A36" s="47"/>
      <c r="B36" s="47"/>
    </row>
    <row r="37" spans="1:7" x14ac:dyDescent="0.35">
      <c r="A37" s="48"/>
      <c r="B37" s="48"/>
    </row>
  </sheetData>
  <mergeCells count="8">
    <mergeCell ref="A29:B29"/>
    <mergeCell ref="K2:K5"/>
    <mergeCell ref="A1:A2"/>
    <mergeCell ref="D22:E22"/>
    <mergeCell ref="B1:C1"/>
    <mergeCell ref="H1:H2"/>
    <mergeCell ref="I1:J1"/>
    <mergeCell ref="C28:D28"/>
  </mergeCells>
  <pageMargins left="0.70866141732283472" right="0.70866141732283472" top="0.74803149606299213" bottom="0.74803149606299213" header="0.31496062992125984" footer="0.31496062992125984"/>
  <pageSetup paperSize="5" scale="67"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25"/>
  <sheetViews>
    <sheetView workbookViewId="0">
      <selection activeCell="J17" sqref="J17"/>
    </sheetView>
  </sheetViews>
  <sheetFormatPr defaultRowHeight="14.5" x14ac:dyDescent="0.35"/>
  <cols>
    <col min="1" max="1" width="32.54296875" customWidth="1"/>
    <col min="2" max="2" width="8.81640625" bestFit="1" customWidth="1"/>
    <col min="3" max="3" width="10.81640625" bestFit="1" customWidth="1"/>
    <col min="4" max="8" width="9.81640625" bestFit="1" customWidth="1"/>
    <col min="9" max="9" width="8.81640625" bestFit="1" customWidth="1"/>
    <col min="11" max="12" width="9.81640625" bestFit="1" customWidth="1"/>
    <col min="13" max="13" width="10.81640625" bestFit="1" customWidth="1"/>
  </cols>
  <sheetData>
    <row r="2" spans="1:14" ht="15" thickBot="1" x14ac:dyDescent="0.4"/>
    <row r="3" spans="1:14" x14ac:dyDescent="0.35">
      <c r="A3" s="138" t="s">
        <v>46</v>
      </c>
      <c r="B3" s="133" t="s">
        <v>47</v>
      </c>
      <c r="C3" s="134"/>
      <c r="D3" s="135"/>
      <c r="E3" s="133" t="s">
        <v>49</v>
      </c>
      <c r="F3" s="134"/>
      <c r="G3" s="135"/>
      <c r="H3" s="133" t="s">
        <v>50</v>
      </c>
      <c r="I3" s="134"/>
      <c r="J3" s="135"/>
      <c r="K3" s="133" t="s">
        <v>60</v>
      </c>
      <c r="L3" s="134"/>
      <c r="M3" s="135"/>
    </row>
    <row r="4" spans="1:14" x14ac:dyDescent="0.35">
      <c r="A4" s="138"/>
      <c r="B4" s="110" t="s">
        <v>61</v>
      </c>
      <c r="C4" s="57" t="s">
        <v>48</v>
      </c>
      <c r="D4" s="111" t="s">
        <v>28</v>
      </c>
      <c r="E4" s="110" t="s">
        <v>61</v>
      </c>
      <c r="F4" s="57" t="s">
        <v>48</v>
      </c>
      <c r="G4" s="111" t="s">
        <v>28</v>
      </c>
      <c r="H4" s="110" t="s">
        <v>61</v>
      </c>
      <c r="I4" s="57" t="s">
        <v>48</v>
      </c>
      <c r="J4" s="111" t="s">
        <v>28</v>
      </c>
      <c r="K4" s="110" t="s">
        <v>61</v>
      </c>
      <c r="L4" s="57" t="s">
        <v>48</v>
      </c>
      <c r="M4" s="111" t="s">
        <v>28</v>
      </c>
    </row>
    <row r="5" spans="1:14" x14ac:dyDescent="0.35">
      <c r="A5" s="14" t="s">
        <v>51</v>
      </c>
      <c r="B5" s="91"/>
      <c r="C5" s="92">
        <f>'[6]2-RemoveDR&amp;Allocate'!$V$43</f>
        <v>-111988.23634201314</v>
      </c>
      <c r="D5" s="93">
        <f>+C5*D17</f>
        <v>-1788.07884026081</v>
      </c>
      <c r="E5" s="91"/>
      <c r="F5" s="92">
        <f>'[6]2-RemoveDR&amp;Allocate'!$V$46</f>
        <v>14802.99078865722</v>
      </c>
      <c r="G5" s="93">
        <f>+F5*E17</f>
        <v>246.83987140085912</v>
      </c>
      <c r="H5" s="91"/>
      <c r="I5" s="92">
        <f>'[6]2-RemoveDR&amp;Allocate'!$V$49</f>
        <v>27298.628815599997</v>
      </c>
      <c r="J5" s="93">
        <f>+I5*F17</f>
        <v>469.53641562831996</v>
      </c>
      <c r="K5" s="91"/>
      <c r="L5" s="92">
        <f t="shared" ref="L5:M12" si="0">+C5+F5+I5</f>
        <v>-69886.616737755932</v>
      </c>
      <c r="M5" s="93">
        <f t="shared" si="0"/>
        <v>-1071.7025532316311</v>
      </c>
    </row>
    <row r="6" spans="1:14" x14ac:dyDescent="0.35">
      <c r="A6" s="14" t="s">
        <v>53</v>
      </c>
      <c r="B6" s="91"/>
      <c r="C6" s="92">
        <f>'[6]2-RemoveDR&amp;Allocate'!$W$43</f>
        <v>92923.840698511136</v>
      </c>
      <c r="D6" s="93">
        <f>+C6*D18</f>
        <v>1424.8322240438374</v>
      </c>
      <c r="E6" s="91"/>
      <c r="F6" s="92">
        <f>'[6]2-RemoveDR&amp;Allocate'!$W$46</f>
        <v>78090.942675689002</v>
      </c>
      <c r="G6" s="93">
        <f>+F6*E18</f>
        <v>1026.8958961853104</v>
      </c>
      <c r="H6" s="91"/>
      <c r="I6" s="92">
        <f>'[6]2-RemoveDR&amp;Allocate'!$W$49</f>
        <v>244.13509489999998</v>
      </c>
      <c r="J6" s="93">
        <f>+I6*F18</f>
        <v>3.1005157052299999</v>
      </c>
      <c r="K6" s="91"/>
      <c r="L6" s="92">
        <f t="shared" si="0"/>
        <v>171258.91846910014</v>
      </c>
      <c r="M6" s="93">
        <f t="shared" si="0"/>
        <v>2454.8286359343779</v>
      </c>
    </row>
    <row r="7" spans="1:14" x14ac:dyDescent="0.35">
      <c r="A7" s="14" t="s">
        <v>54</v>
      </c>
      <c r="B7" s="91">
        <f>('[6]2-RemoveDR&amp;Allocate'!$X$44)*12</f>
        <v>529.58443212229861</v>
      </c>
      <c r="C7" s="92"/>
      <c r="D7" s="93">
        <f>+B7*D19</f>
        <v>1437.3627600375346</v>
      </c>
      <c r="E7" s="91">
        <f>('[6]2-RemoveDR&amp;Allocate'!$X$47)*12</f>
        <v>183.291641744</v>
      </c>
      <c r="F7" s="92"/>
      <c r="G7" s="93">
        <f>+E7*E19</f>
        <v>462.03240592618801</v>
      </c>
      <c r="H7" s="91">
        <f>('[6]2-RemoveDR&amp;Allocate'!$X$50)*12</f>
        <v>1150.2159547240001</v>
      </c>
      <c r="I7" s="92"/>
      <c r="J7" s="93">
        <f>+H7*F19</f>
        <v>2879.9107074379513</v>
      </c>
      <c r="K7" s="91">
        <f t="shared" ref="K7:K12" si="1">+B7+E7+H7</f>
        <v>1863.0920285902987</v>
      </c>
      <c r="L7" s="92"/>
      <c r="M7" s="93">
        <f t="shared" si="0"/>
        <v>4779.305873401674</v>
      </c>
    </row>
    <row r="8" spans="1:14" x14ac:dyDescent="0.35">
      <c r="A8" s="14" t="s">
        <v>55</v>
      </c>
      <c r="B8" s="91">
        <f>('[6]2-RemoveDR&amp;Allocate'!$Y$44)*12</f>
        <v>1975.0844115862781</v>
      </c>
      <c r="C8" s="92"/>
      <c r="D8" s="93">
        <f>+B8*D20</f>
        <v>3855.4964437105209</v>
      </c>
      <c r="E8" s="91">
        <f>('[6]2-RemoveDR&amp;Allocate'!$Y$47)*12</f>
        <v>15982.978117412002</v>
      </c>
      <c r="F8" s="92"/>
      <c r="G8" s="93">
        <f>+E8*E20</f>
        <v>48052.557327030561</v>
      </c>
      <c r="H8" s="91">
        <f>('[6]2-RemoveDR&amp;Allocate'!$Y$50)*12</f>
        <v>1131.9923872000002</v>
      </c>
      <c r="I8" s="92"/>
      <c r="J8" s="93">
        <f>+H8*F20</f>
        <v>3789.7973131068807</v>
      </c>
      <c r="K8" s="91">
        <f t="shared" si="1"/>
        <v>19090.054916198278</v>
      </c>
      <c r="L8" s="92"/>
      <c r="M8" s="93">
        <f t="shared" si="0"/>
        <v>55697.851083847963</v>
      </c>
    </row>
    <row r="9" spans="1:14" x14ac:dyDescent="0.35">
      <c r="A9" s="14" t="s">
        <v>56</v>
      </c>
      <c r="B9" s="91"/>
      <c r="C9" s="92"/>
      <c r="D9" s="93"/>
      <c r="E9" s="91"/>
      <c r="F9" s="92"/>
      <c r="G9" s="93"/>
      <c r="H9" s="91"/>
      <c r="I9" s="92"/>
      <c r="J9" s="93"/>
      <c r="K9" s="91"/>
      <c r="L9" s="92"/>
      <c r="M9" s="93"/>
    </row>
    <row r="10" spans="1:14" x14ac:dyDescent="0.35">
      <c r="A10" s="14" t="s">
        <v>57</v>
      </c>
      <c r="B10" s="91"/>
      <c r="C10" s="92"/>
      <c r="D10" s="93"/>
      <c r="E10" s="91"/>
      <c r="F10" s="92"/>
      <c r="G10" s="93"/>
      <c r="H10" s="91"/>
      <c r="I10" s="92"/>
      <c r="J10" s="93"/>
      <c r="K10" s="91"/>
      <c r="L10" s="92"/>
      <c r="M10" s="93"/>
    </row>
    <row r="11" spans="1:14" x14ac:dyDescent="0.35">
      <c r="A11" s="14" t="s">
        <v>58</v>
      </c>
      <c r="B11" s="91"/>
      <c r="C11" s="92"/>
      <c r="D11" s="93"/>
      <c r="E11" s="91"/>
      <c r="F11" s="92"/>
      <c r="G11" s="93"/>
      <c r="H11" s="91"/>
      <c r="I11" s="92"/>
      <c r="J11" s="93"/>
      <c r="K11" s="91"/>
      <c r="L11" s="92"/>
      <c r="M11" s="93"/>
    </row>
    <row r="12" spans="1:14" ht="15" thickBot="1" x14ac:dyDescent="0.4">
      <c r="A12" s="81" t="s">
        <v>52</v>
      </c>
      <c r="B12" s="112">
        <f>('[6]2-RemoveDR&amp;Allocate'!$Z$44)*12</f>
        <v>541.38441158627825</v>
      </c>
      <c r="C12" s="108"/>
      <c r="D12" s="109">
        <f>+B12*D24</f>
        <v>1162.5688854403738</v>
      </c>
      <c r="E12" s="112">
        <f>('[6]2-RemoveDR&amp;Allocate'!$Z$47)*12</f>
        <v>15982.978117412002</v>
      </c>
      <c r="F12" s="108"/>
      <c r="G12" s="109">
        <f>+E12*E24</f>
        <v>35728.748858115723</v>
      </c>
      <c r="H12" s="112">
        <f>('[6]2-RemoveDR&amp;Allocate'!$Z$50)*12</f>
        <v>13616.889071200003</v>
      </c>
      <c r="I12" s="108"/>
      <c r="J12" s="109">
        <f>+H12*F24</f>
        <v>31188.122728676488</v>
      </c>
      <c r="K12" s="112">
        <f t="shared" si="1"/>
        <v>30141.251600198284</v>
      </c>
      <c r="L12" s="108"/>
      <c r="M12" s="109">
        <f t="shared" si="0"/>
        <v>68079.440472232585</v>
      </c>
    </row>
    <row r="13" spans="1:14" ht="15" thickBot="1" x14ac:dyDescent="0.4">
      <c r="A13" s="113" t="s">
        <v>42</v>
      </c>
      <c r="B13" s="114">
        <f>SUM(B5:B12)</f>
        <v>3046.0532552948553</v>
      </c>
      <c r="C13" s="115">
        <f>SUM(C5:C12)</f>
        <v>-19064.395643502008</v>
      </c>
      <c r="D13" s="116">
        <f>SUM(D5:D12)</f>
        <v>6092.181472971457</v>
      </c>
      <c r="E13" s="114">
        <f t="shared" ref="E13:F13" si="2">SUM(E5:E12)</f>
        <v>32149.247876568003</v>
      </c>
      <c r="F13" s="115">
        <f t="shared" si="2"/>
        <v>92893.933464346221</v>
      </c>
      <c r="G13" s="116">
        <f>SUM(G5:G12)</f>
        <v>85517.074358658632</v>
      </c>
      <c r="H13" s="114">
        <f t="shared" ref="H13:I13" si="3">SUM(H5:H12)</f>
        <v>15899.097413124004</v>
      </c>
      <c r="I13" s="115">
        <f t="shared" si="3"/>
        <v>27542.763910499998</v>
      </c>
      <c r="J13" s="116">
        <f>SUM(J5:J12)</f>
        <v>38330.467680554866</v>
      </c>
      <c r="K13" s="114">
        <f t="shared" ref="K13" si="4">SUM(K5:K12)</f>
        <v>51094.398544986863</v>
      </c>
      <c r="L13" s="115">
        <f t="shared" ref="L13" si="5">SUM(L5:L12)</f>
        <v>101372.30173134421</v>
      </c>
      <c r="M13" s="116">
        <f>SUM(M5:M12)</f>
        <v>129939.72351218497</v>
      </c>
      <c r="N13" s="117"/>
    </row>
    <row r="14" spans="1:14" ht="18.5" x14ac:dyDescent="0.35">
      <c r="A14" s="94" t="str">
        <f>'[1]3.  Distribution Rates'!B30</f>
        <v>Table 6.  Summary Table: Average Distribution Volumetric Rates by Year for LRAM Calculation</v>
      </c>
      <c r="B14" s="95"/>
      <c r="C14" s="95"/>
      <c r="D14" s="95"/>
      <c r="E14" s="95"/>
      <c r="F14" s="95"/>
      <c r="G14" s="95"/>
      <c r="H14" s="95"/>
      <c r="K14" t="s">
        <v>64</v>
      </c>
      <c r="M14" s="119">
        <f>+'IRR 3 a'!B28</f>
        <v>899.64</v>
      </c>
    </row>
    <row r="15" spans="1:14" x14ac:dyDescent="0.35">
      <c r="A15" s="96" t="s">
        <v>59</v>
      </c>
      <c r="B15" s="96"/>
      <c r="C15" s="96"/>
      <c r="D15" s="96"/>
      <c r="E15" s="96"/>
      <c r="F15" s="96"/>
      <c r="G15" s="96"/>
      <c r="H15" s="96"/>
      <c r="L15" t="s">
        <v>42</v>
      </c>
      <c r="M15" s="119">
        <f>+M13-M14</f>
        <v>129040.08351218497</v>
      </c>
    </row>
    <row r="16" spans="1:14" x14ac:dyDescent="0.35">
      <c r="A16" s="97" t="str">
        <f>'[1]3.  Distribution Rates'!B32</f>
        <v>Rate Class</v>
      </c>
      <c r="B16" s="139" t="str">
        <f>'[1]3.  Distribution Rates'!C32</f>
        <v>Billing Unit</v>
      </c>
      <c r="C16" s="140"/>
      <c r="D16" s="98">
        <f>'[1]3.  Distribution Rates'!E32</f>
        <v>2011</v>
      </c>
      <c r="E16" s="98">
        <f>'[1]3.  Distribution Rates'!F32</f>
        <v>2012</v>
      </c>
      <c r="F16" s="98">
        <f>'[1]3.  Distribution Rates'!G32</f>
        <v>2013</v>
      </c>
      <c r="G16" s="98">
        <f>'[1]3.  Distribution Rates'!H32</f>
        <v>2014</v>
      </c>
      <c r="H16" s="98">
        <f>'[1]3.  Distribution Rates'!I32</f>
        <v>2015</v>
      </c>
      <c r="K16" t="s">
        <v>65</v>
      </c>
      <c r="M16" s="119">
        <f>+M15+'IRR 3 a'!C29</f>
        <v>-17.660619541973574</v>
      </c>
    </row>
    <row r="17" spans="1:8" x14ac:dyDescent="0.35">
      <c r="A17" s="99" t="str">
        <f>'[1]3.  Distribution Rates'!B33</f>
        <v>Residential</v>
      </c>
      <c r="B17" s="136" t="str">
        <f>'[1]3.  Distribution Rates'!C33</f>
        <v>kWh</v>
      </c>
      <c r="C17" s="136"/>
      <c r="D17" s="100">
        <f>'[1]3.  Distribution Rates'!E33</f>
        <v>1.5966666666666667E-2</v>
      </c>
      <c r="E17" s="101">
        <f>'[1]3.  Distribution Rates'!F33</f>
        <v>1.6674999999999999E-2</v>
      </c>
      <c r="F17" s="101">
        <f>'[1]3.  Distribution Rates'!G33</f>
        <v>1.72E-2</v>
      </c>
      <c r="G17" s="101">
        <f>'[1]3.  Distribution Rates'!H33</f>
        <v>1.7399999999999999E-2</v>
      </c>
      <c r="H17" s="101">
        <f>'[1]3.  Distribution Rates'!I33</f>
        <v>1.7600000000000001E-2</v>
      </c>
    </row>
    <row r="18" spans="1:8" x14ac:dyDescent="0.35">
      <c r="A18" s="99" t="str">
        <f>'[1]3.  Distribution Rates'!B34</f>
        <v>General Service &lt;50 kW</v>
      </c>
      <c r="B18" s="137" t="str">
        <f>'[1]3.  Distribution Rates'!C34</f>
        <v>kWh</v>
      </c>
      <c r="C18" s="137"/>
      <c r="D18" s="100">
        <f>'[1]3.  Distribution Rates'!E34</f>
        <v>1.5333333333333332E-2</v>
      </c>
      <c r="E18" s="101">
        <f>'[1]3.  Distribution Rates'!F34</f>
        <v>1.315E-2</v>
      </c>
      <c r="F18" s="101">
        <f>'[1]3.  Distribution Rates'!G34</f>
        <v>1.2699999999999999E-2</v>
      </c>
      <c r="G18" s="101">
        <f>'[1]3.  Distribution Rates'!H34</f>
        <v>1.29E-2</v>
      </c>
      <c r="H18" s="101">
        <f>'[1]3.  Distribution Rates'!I34</f>
        <v>1.3100000000000001E-2</v>
      </c>
    </row>
    <row r="19" spans="1:8" x14ac:dyDescent="0.35">
      <c r="A19" s="99" t="str">
        <f>'[1]3.  Distribution Rates'!B35</f>
        <v>General Service 50 - 999 kW</v>
      </c>
      <c r="B19" s="137" t="str">
        <f>'[1]3.  Distribution Rates'!C35</f>
        <v>kW</v>
      </c>
      <c r="C19" s="137"/>
      <c r="D19" s="100">
        <f>'[1]3.  Distribution Rates'!E35</f>
        <v>2.7141333333333333</v>
      </c>
      <c r="E19" s="101">
        <f>'[1]3.  Distribution Rates'!F35</f>
        <v>2.52075</v>
      </c>
      <c r="F19" s="101">
        <f>'[1]3.  Distribution Rates'!G35</f>
        <v>2.5038</v>
      </c>
      <c r="G19" s="101">
        <f>'[1]3.  Distribution Rates'!H35</f>
        <v>2.5388999999999999</v>
      </c>
      <c r="H19" s="101">
        <f>'[1]3.  Distribution Rates'!I35</f>
        <v>2.5719000000000003</v>
      </c>
    </row>
    <row r="20" spans="1:8" x14ac:dyDescent="0.35">
      <c r="A20" s="99" t="str">
        <f>'[1]3.  Distribution Rates'!B36</f>
        <v>General Service 1,000 - 4,999 kW</v>
      </c>
      <c r="B20" s="137" t="str">
        <f>'[1]3.  Distribution Rates'!C36</f>
        <v>kW</v>
      </c>
      <c r="C20" s="137"/>
      <c r="D20" s="100">
        <f>'[1]3.  Distribution Rates'!E36</f>
        <v>1.9520666666666668</v>
      </c>
      <c r="E20" s="101">
        <f>'[1]3.  Distribution Rates'!F36</f>
        <v>3.0064833333333336</v>
      </c>
      <c r="F20" s="101">
        <f>'[1]3.  Distribution Rates'!G36</f>
        <v>3.3479000000000001</v>
      </c>
      <c r="G20" s="101">
        <f>'[1]3.  Distribution Rates'!H36</f>
        <v>3.3948</v>
      </c>
      <c r="H20" s="101">
        <f>'[1]3.  Distribution Rates'!I36</f>
        <v>3.4390000000000001</v>
      </c>
    </row>
    <row r="21" spans="1:8" x14ac:dyDescent="0.35">
      <c r="A21" s="99" t="str">
        <f>'[1]3.  Distribution Rates'!B37</f>
        <v>Sentinel Lighting</v>
      </c>
      <c r="B21" s="137" t="str">
        <f>'[1]3.  Distribution Rates'!C37</f>
        <v>kW</v>
      </c>
      <c r="C21" s="137"/>
      <c r="D21" s="100">
        <f>'[1]3.  Distribution Rates'!E37</f>
        <v>7.0455333333333323</v>
      </c>
      <c r="E21" s="101">
        <f>'[1]3.  Distribution Rates'!F37</f>
        <v>7.3749666666666664</v>
      </c>
      <c r="F21" s="101">
        <f>'[1]3.  Distribution Rates'!G37</f>
        <v>7.5833000000000004</v>
      </c>
      <c r="G21" s="101">
        <f>'[1]3.  Distribution Rates'!H37</f>
        <v>7.6897000000000002</v>
      </c>
      <c r="H21" s="101">
        <f>'[1]3.  Distribution Rates'!I37</f>
        <v>7.7897999999999996</v>
      </c>
    </row>
    <row r="22" spans="1:8" x14ac:dyDescent="0.35">
      <c r="A22" s="99" t="str">
        <f>'[1]3.  Distribution Rates'!B38</f>
        <v>Street Lighting</v>
      </c>
      <c r="B22" s="137" t="str">
        <f>'[1]3.  Distribution Rates'!C38</f>
        <v>kW</v>
      </c>
      <c r="C22" s="137"/>
      <c r="D22" s="100">
        <f>'[1]3.  Distribution Rates'!E38</f>
        <v>5.4669999999999996</v>
      </c>
      <c r="E22" s="101">
        <f>'[1]3.  Distribution Rates'!F38</f>
        <v>8.3635083333333338</v>
      </c>
      <c r="F22" s="101">
        <f>'[1]3.  Distribution Rates'!G38</f>
        <v>9.3044000000000011</v>
      </c>
      <c r="G22" s="101">
        <f>'[1]3.  Distribution Rates'!H38</f>
        <v>9.434800000000001</v>
      </c>
      <c r="H22" s="101">
        <f>'[1]3.  Distribution Rates'!I38</f>
        <v>9.5576000000000008</v>
      </c>
    </row>
    <row r="23" spans="1:8" x14ac:dyDescent="0.35">
      <c r="A23" s="99" t="str">
        <f>'[1]3.  Distribution Rates'!B39</f>
        <v>Unmetered Scattered Load</v>
      </c>
      <c r="B23" s="137" t="str">
        <f>'[1]3.  Distribution Rates'!C39</f>
        <v>kWh</v>
      </c>
      <c r="C23" s="137"/>
      <c r="D23" s="100">
        <f>'[1]3.  Distribution Rates'!E39</f>
        <v>2.4500000000000004E-2</v>
      </c>
      <c r="E23" s="101">
        <f>'[1]3.  Distribution Rates'!F39</f>
        <v>2.555E-2</v>
      </c>
      <c r="F23" s="101">
        <f>'[1]3.  Distribution Rates'!G39</f>
        <v>2.63E-2</v>
      </c>
      <c r="G23" s="101">
        <f>'[1]3.  Distribution Rates'!H39</f>
        <v>2.6700000000000002E-2</v>
      </c>
      <c r="H23" s="101">
        <f>'[1]3.  Distribution Rates'!I39</f>
        <v>2.7E-2</v>
      </c>
    </row>
    <row r="24" spans="1:8" x14ac:dyDescent="0.35">
      <c r="A24" s="102" t="str">
        <f>'[1]3.  Distribution Rates'!B40</f>
        <v>Large Use</v>
      </c>
      <c r="B24" s="141" t="str">
        <f>'[1]3.  Distribution Rates'!C40</f>
        <v>kW</v>
      </c>
      <c r="C24" s="141"/>
      <c r="D24" s="103">
        <f>'[1]3.  Distribution Rates'!E40</f>
        <v>2.1473999999999998</v>
      </c>
      <c r="E24" s="104">
        <f>'[1]3.  Distribution Rates'!F40</f>
        <v>2.2354249999999998</v>
      </c>
      <c r="F24" s="104">
        <f>'[1]3.  Distribution Rates'!G40</f>
        <v>2.2904</v>
      </c>
      <c r="G24" s="104">
        <f>'[1]3.  Distribution Rates'!H40</f>
        <v>2.3225000000000002</v>
      </c>
      <c r="H24" s="104">
        <f>'[1]3.  Distribution Rates'!I40</f>
        <v>2.3527</v>
      </c>
    </row>
    <row r="25" spans="1:8" x14ac:dyDescent="0.35">
      <c r="A25" s="105"/>
      <c r="B25" s="106"/>
      <c r="C25" s="106"/>
      <c r="D25" s="107"/>
      <c r="E25" s="107"/>
      <c r="F25" s="107"/>
      <c r="G25" s="107"/>
      <c r="H25" s="107"/>
    </row>
  </sheetData>
  <mergeCells count="14">
    <mergeCell ref="A3:A4"/>
    <mergeCell ref="B16:C16"/>
    <mergeCell ref="B22:C22"/>
    <mergeCell ref="B23:C23"/>
    <mergeCell ref="B24:C24"/>
    <mergeCell ref="B21:C21"/>
    <mergeCell ref="K3:M3"/>
    <mergeCell ref="B17:C17"/>
    <mergeCell ref="B18:C18"/>
    <mergeCell ref="B19:C19"/>
    <mergeCell ref="B20:C20"/>
    <mergeCell ref="B3:D3"/>
    <mergeCell ref="E3:G3"/>
    <mergeCell ref="H3:J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Guelph Summary</vt:lpstr>
      <vt:lpstr>Guelph Adjs</vt:lpstr>
      <vt:lpstr>IRR 3 a</vt:lpstr>
      <vt:lpstr>IRR 5 a</vt:lpstr>
    </vt:vector>
  </TitlesOfParts>
  <Company>OEB</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Cristina</cp:lastModifiedBy>
  <cp:lastPrinted>2016-10-21T13:45:35Z</cp:lastPrinted>
  <dcterms:created xsi:type="dcterms:W3CDTF">2016-09-22T15:11:54Z</dcterms:created>
  <dcterms:modified xsi:type="dcterms:W3CDTF">2016-10-21T15:16:51Z</dcterms:modified>
</cp:coreProperties>
</file>