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I:\Rate Submissions\2017\Interrogatories\Guelph Responses to IRs\LRAMVA Fourth IR\"/>
    </mc:Choice>
  </mc:AlternateContent>
  <bookViews>
    <workbookView xWindow="590" yWindow="-230" windowWidth="20610" windowHeight="11640" firstSheet="16" activeTab="18"/>
  </bookViews>
  <sheets>
    <sheet name="Contents Navigator" sheetId="62" r:id="rId1"/>
    <sheet name="Input Output Flow Chart" sheetId="63"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 name="8. Guelph_Approved CDM adj" sheetId="64" r:id="rId15"/>
    <sheet name="9. Guelph_Lost Revenue" sheetId="65" r:id="rId16"/>
    <sheet name="10. Guelph_CDM Prgs" sheetId="66" r:id="rId17"/>
    <sheet name="11. Guelph_Continuity Schedule" sheetId="67" r:id="rId18"/>
    <sheet name="12. Guelph_Proposed Rate Riders" sheetId="68"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NRESkW">'10. Guelph_CDM Prgs'!$I$28</definedName>
    <definedName name="NRESkWh">'10. Guelph_CDM Prgs'!$I$27</definedName>
    <definedName name="_xlnm.Print_Area" localSheetId="3">'2.  CDM Allocation'!$A$1:$K$98</definedName>
    <definedName name="_xlnm.Print_Area" localSheetId="6">'5.  2015 LRAM'!$A$1:$P$132</definedName>
    <definedName name="_xlnm.Print_Area" localSheetId="12">'6.  Persistence Rates'!$A$1:$W$49</definedName>
    <definedName name="_xlnm.Print_Area" localSheetId="0">'Contents Navigator'!$A$1:$H$37</definedName>
    <definedName name="_xlnm.Print_Area" localSheetId="1">'Input Output Flow Chart'!$A$1:$M$28</definedName>
    <definedName name="_xlnm.Print_Titles" localSheetId="5">'4.  2011-14 LRAM'!$C:$D</definedName>
    <definedName name="Targets">'[1]LDC Targets'!$A$3:$D$83</definedName>
  </definedNames>
  <calcPr calcId="152511"/>
</workbook>
</file>

<file path=xl/calcChain.xml><?xml version="1.0" encoding="utf-8"?>
<calcChain xmlns="http://schemas.openxmlformats.org/spreadsheetml/2006/main">
  <c r="L24" i="43" l="1"/>
  <c r="D30" i="43" l="1"/>
  <c r="E30" i="43"/>
  <c r="I30" i="43"/>
  <c r="K29" i="43"/>
  <c r="K23" i="43"/>
  <c r="K26" i="43"/>
  <c r="J30" i="43"/>
  <c r="F30" i="43"/>
  <c r="C30" i="43"/>
  <c r="K27" i="43"/>
  <c r="I27" i="43"/>
  <c r="J27" i="43"/>
  <c r="F27" i="43"/>
  <c r="E27" i="43"/>
  <c r="D27" i="43"/>
  <c r="C27" i="43"/>
  <c r="J24" i="43"/>
  <c r="F24" i="43"/>
  <c r="E24" i="43"/>
  <c r="K24" i="43" s="1"/>
  <c r="D24" i="43"/>
  <c r="C24" i="43"/>
  <c r="K30" i="43" l="1"/>
  <c r="K28" i="43"/>
  <c r="J29" i="43"/>
  <c r="I29" i="43"/>
  <c r="H29" i="43"/>
  <c r="G29" i="43"/>
  <c r="F29" i="43"/>
  <c r="E29" i="43"/>
  <c r="D29" i="43"/>
  <c r="C29" i="43"/>
  <c r="J28" i="43"/>
  <c r="I28" i="43"/>
  <c r="H28" i="43"/>
  <c r="G28" i="43"/>
  <c r="F28" i="43"/>
  <c r="E28" i="43"/>
  <c r="D28" i="43"/>
  <c r="C28" i="43"/>
  <c r="J26" i="43"/>
  <c r="I26" i="43"/>
  <c r="H26" i="43"/>
  <c r="G26" i="43"/>
  <c r="F26" i="43"/>
  <c r="E26" i="43"/>
  <c r="D26" i="43"/>
  <c r="C26" i="43"/>
  <c r="J25" i="43"/>
  <c r="I25" i="43"/>
  <c r="H25" i="43"/>
  <c r="G25" i="43"/>
  <c r="F25" i="43"/>
  <c r="E25" i="43"/>
  <c r="D25" i="43"/>
  <c r="C25" i="43"/>
  <c r="J23" i="43"/>
  <c r="I23" i="43"/>
  <c r="H23" i="43"/>
  <c r="G23" i="43"/>
  <c r="F23" i="43"/>
  <c r="E23" i="43"/>
  <c r="D23" i="43"/>
  <c r="C23" i="43"/>
  <c r="K25" i="43" l="1"/>
  <c r="H225" i="46" l="1"/>
  <c r="K52" i="45" l="1"/>
  <c r="H60" i="45" l="1"/>
  <c r="H61" i="45"/>
  <c r="H62" i="45"/>
  <c r="H56" i="45" l="1"/>
  <c r="H55" i="45"/>
  <c r="K309" i="46" l="1"/>
  <c r="O308" i="46"/>
  <c r="O309" i="46" s="1"/>
  <c r="J308" i="46"/>
  <c r="J309" i="46" s="1"/>
  <c r="F280" i="46" l="1"/>
  <c r="F74" i="66" l="1"/>
  <c r="V44" i="3" l="1"/>
  <c r="U44" i="3"/>
  <c r="T44" i="3"/>
  <c r="S44" i="3"/>
  <c r="R44" i="3"/>
  <c r="Y21" i="3"/>
  <c r="X21" i="3"/>
  <c r="W21" i="3"/>
  <c r="V21" i="3"/>
  <c r="U21" i="3"/>
  <c r="Y20" i="3"/>
  <c r="X20" i="3"/>
  <c r="W20" i="3"/>
  <c r="V20" i="3"/>
  <c r="U20" i="3"/>
  <c r="Y19" i="3"/>
  <c r="X19" i="3"/>
  <c r="W19" i="3"/>
  <c r="V19" i="3"/>
  <c r="U19" i="3"/>
  <c r="Y28" i="3"/>
  <c r="X28" i="3"/>
  <c r="W28" i="3"/>
  <c r="V28" i="3"/>
  <c r="U28" i="3"/>
  <c r="Y27" i="3"/>
  <c r="X27" i="3"/>
  <c r="W27" i="3"/>
  <c r="V27" i="3"/>
  <c r="U27" i="3"/>
  <c r="Y26" i="3"/>
  <c r="X26" i="3"/>
  <c r="W26" i="3"/>
  <c r="V26" i="3"/>
  <c r="U26" i="3"/>
  <c r="Y25" i="3"/>
  <c r="X25" i="3"/>
  <c r="W25" i="3"/>
  <c r="V25" i="3"/>
  <c r="U25" i="3"/>
  <c r="T21" i="3" l="1"/>
  <c r="T20" i="3"/>
  <c r="T19" i="3"/>
  <c r="S20" i="3"/>
  <c r="S19" i="3"/>
  <c r="R19" i="3"/>
  <c r="I44" i="3" l="1"/>
  <c r="H44" i="3"/>
  <c r="G44" i="3"/>
  <c r="F44" i="3"/>
  <c r="E44" i="3"/>
  <c r="M28" i="3"/>
  <c r="L28" i="3"/>
  <c r="K28" i="3"/>
  <c r="J28" i="3"/>
  <c r="I28" i="3"/>
  <c r="M27" i="3"/>
  <c r="L27" i="3"/>
  <c r="K27" i="3"/>
  <c r="J27" i="3"/>
  <c r="I27" i="3"/>
  <c r="M26" i="3"/>
  <c r="L26" i="3"/>
  <c r="K26" i="3"/>
  <c r="J26" i="3"/>
  <c r="I26" i="3"/>
  <c r="M25" i="3"/>
  <c r="L25" i="3"/>
  <c r="K25" i="3"/>
  <c r="J25" i="3"/>
  <c r="I25" i="3"/>
  <c r="O272" i="46"/>
  <c r="K272" i="46"/>
  <c r="J272" i="46"/>
  <c r="O202" i="46"/>
  <c r="K202" i="46"/>
  <c r="J202" i="46"/>
  <c r="O192" i="46"/>
  <c r="K192" i="46"/>
  <c r="J192" i="46"/>
  <c r="O136" i="46"/>
  <c r="K136" i="46"/>
  <c r="P20" i="46"/>
  <c r="N20" i="46"/>
  <c r="M20" i="46"/>
  <c r="L20" i="46"/>
  <c r="K20" i="46"/>
  <c r="J20" i="46"/>
  <c r="I20" i="46"/>
  <c r="H20" i="46"/>
  <c r="O114" i="54" l="1"/>
  <c r="O115" i="54" s="1"/>
  <c r="K114" i="54"/>
  <c r="K115" i="54" s="1"/>
  <c r="J114" i="54"/>
  <c r="P114" i="54" s="1"/>
  <c r="I113" i="54"/>
  <c r="H113" i="54"/>
  <c r="P108" i="54"/>
  <c r="P107" i="54"/>
  <c r="P106" i="54"/>
  <c r="P105" i="54"/>
  <c r="P104" i="54"/>
  <c r="P103" i="54"/>
  <c r="P102" i="54"/>
  <c r="P101" i="54"/>
  <c r="P100" i="54"/>
  <c r="P99" i="54"/>
  <c r="P98" i="54"/>
  <c r="P97" i="54"/>
  <c r="P96" i="54"/>
  <c r="P95" i="54"/>
  <c r="G91" i="54"/>
  <c r="F91" i="54"/>
  <c r="P89" i="54"/>
  <c r="P88" i="54"/>
  <c r="P87" i="54"/>
  <c r="G83" i="54"/>
  <c r="F83" i="54"/>
  <c r="P81" i="54"/>
  <c r="P80" i="54"/>
  <c r="P79" i="54"/>
  <c r="P78" i="54"/>
  <c r="P77" i="54"/>
  <c r="P76" i="54"/>
  <c r="P75" i="54"/>
  <c r="P74" i="54"/>
  <c r="G70" i="54"/>
  <c r="F70" i="54"/>
  <c r="P68" i="54"/>
  <c r="P67" i="54"/>
  <c r="P66" i="54"/>
  <c r="P65" i="54"/>
  <c r="G59" i="54"/>
  <c r="F59" i="54"/>
  <c r="P58" i="54"/>
  <c r="P57" i="54"/>
  <c r="P56" i="54"/>
  <c r="P55" i="54"/>
  <c r="P54" i="54"/>
  <c r="P52" i="54"/>
  <c r="G50" i="54"/>
  <c r="F50" i="54"/>
  <c r="P49" i="54"/>
  <c r="P48" i="54"/>
  <c r="G44" i="54"/>
  <c r="F44" i="54"/>
  <c r="P42" i="54"/>
  <c r="P41" i="54"/>
  <c r="P40" i="54"/>
  <c r="G36" i="54"/>
  <c r="F36" i="54"/>
  <c r="P34" i="54"/>
  <c r="P33" i="54"/>
  <c r="P32" i="54"/>
  <c r="P31" i="54"/>
  <c r="P30" i="54"/>
  <c r="G26" i="54"/>
  <c r="F26" i="54"/>
  <c r="P24" i="54"/>
  <c r="P23" i="54"/>
  <c r="P22" i="54"/>
  <c r="P21" i="54"/>
  <c r="P20" i="54"/>
  <c r="P19" i="54"/>
  <c r="M309" i="46"/>
  <c r="L309" i="46"/>
  <c r="N307" i="46"/>
  <c r="P304" i="46"/>
  <c r="G304" i="46"/>
  <c r="F304" i="46"/>
  <c r="P302" i="46"/>
  <c r="P301" i="46"/>
  <c r="P295" i="46"/>
  <c r="P294" i="46"/>
  <c r="P293" i="46"/>
  <c r="P292" i="46"/>
  <c r="P291" i="46"/>
  <c r="P288" i="46"/>
  <c r="G288" i="46"/>
  <c r="F288" i="46"/>
  <c r="P286" i="46"/>
  <c r="P282" i="46"/>
  <c r="G282" i="46"/>
  <c r="F282" i="46"/>
  <c r="P280" i="46"/>
  <c r="P279" i="46"/>
  <c r="P278" i="46"/>
  <c r="P277" i="46"/>
  <c r="P276" i="46"/>
  <c r="G272" i="46"/>
  <c r="F272" i="46"/>
  <c r="P270" i="46"/>
  <c r="P269" i="46"/>
  <c r="P268" i="46"/>
  <c r="P267" i="46"/>
  <c r="P266" i="46"/>
  <c r="P265" i="46"/>
  <c r="P264" i="46"/>
  <c r="P263" i="46"/>
  <c r="P259" i="46"/>
  <c r="G259" i="46"/>
  <c r="H306" i="46" s="1"/>
  <c r="F259" i="46"/>
  <c r="P257" i="46"/>
  <c r="P256" i="46"/>
  <c r="P255" i="46"/>
  <c r="P254" i="46"/>
  <c r="P253" i="46"/>
  <c r="P252" i="46"/>
  <c r="P251" i="46"/>
  <c r="P250" i="46"/>
  <c r="P249" i="46"/>
  <c r="P223" i="46"/>
  <c r="G223" i="46"/>
  <c r="F223" i="46"/>
  <c r="K227" i="46" s="1"/>
  <c r="P221" i="46"/>
  <c r="P220" i="46"/>
  <c r="P215" i="46"/>
  <c r="P214" i="46"/>
  <c r="P213" i="46"/>
  <c r="P212" i="46"/>
  <c r="P211" i="46"/>
  <c r="P208" i="46"/>
  <c r="G208" i="46"/>
  <c r="F208" i="46"/>
  <c r="P206" i="46"/>
  <c r="P202" i="46"/>
  <c r="G202" i="46"/>
  <c r="F202" i="46"/>
  <c r="P201" i="46"/>
  <c r="P200" i="46"/>
  <c r="P199" i="46"/>
  <c r="P198" i="46"/>
  <c r="P197" i="46"/>
  <c r="P196" i="46"/>
  <c r="G192" i="46"/>
  <c r="F192" i="46"/>
  <c r="P191" i="46"/>
  <c r="P190" i="46"/>
  <c r="P189" i="46"/>
  <c r="P188" i="46"/>
  <c r="P187" i="46"/>
  <c r="P186" i="46"/>
  <c r="P185" i="46"/>
  <c r="P184" i="46"/>
  <c r="P183" i="46"/>
  <c r="P179" i="46"/>
  <c r="G179" i="46"/>
  <c r="F179" i="46"/>
  <c r="P178" i="46"/>
  <c r="P177" i="46"/>
  <c r="P176" i="46"/>
  <c r="P175" i="46"/>
  <c r="P174" i="46"/>
  <c r="P173" i="46"/>
  <c r="P172" i="46"/>
  <c r="P171" i="46"/>
  <c r="P170" i="46"/>
  <c r="P169" i="46"/>
  <c r="P143" i="46"/>
  <c r="G143" i="46"/>
  <c r="F143" i="46"/>
  <c r="P142" i="46"/>
  <c r="P141" i="46"/>
  <c r="P140" i="46"/>
  <c r="P136" i="46"/>
  <c r="G136" i="46"/>
  <c r="F136" i="46"/>
  <c r="P134" i="46"/>
  <c r="P133" i="46"/>
  <c r="P132" i="46"/>
  <c r="P131" i="46"/>
  <c r="P130" i="46"/>
  <c r="P127" i="46"/>
  <c r="G127" i="46"/>
  <c r="F127" i="46"/>
  <c r="P125" i="46"/>
  <c r="P121" i="46"/>
  <c r="G121" i="46"/>
  <c r="F121" i="46"/>
  <c r="P119" i="46"/>
  <c r="P118" i="46"/>
  <c r="P117" i="46"/>
  <c r="P116" i="46"/>
  <c r="P115" i="46"/>
  <c r="G112" i="46"/>
  <c r="F112" i="46"/>
  <c r="L147" i="46" s="1"/>
  <c r="P111" i="46"/>
  <c r="P110" i="46"/>
  <c r="P109" i="46"/>
  <c r="P108" i="46"/>
  <c r="P107" i="46"/>
  <c r="P106" i="46"/>
  <c r="P105" i="46"/>
  <c r="P104" i="46"/>
  <c r="P103" i="46"/>
  <c r="P100" i="46"/>
  <c r="G100" i="46"/>
  <c r="N145" i="46" s="1"/>
  <c r="F100" i="46"/>
  <c r="P99" i="46"/>
  <c r="P98" i="46"/>
  <c r="P97" i="46"/>
  <c r="P96" i="46"/>
  <c r="P95" i="46"/>
  <c r="P94" i="46"/>
  <c r="P93" i="46"/>
  <c r="P92" i="46"/>
  <c r="P91" i="46"/>
  <c r="P90" i="46"/>
  <c r="P65" i="46"/>
  <c r="G64" i="46"/>
  <c r="F64" i="46"/>
  <c r="P63" i="46"/>
  <c r="P62" i="46"/>
  <c r="P61" i="46"/>
  <c r="P60" i="46"/>
  <c r="P59" i="46"/>
  <c r="P56" i="46"/>
  <c r="G56" i="46"/>
  <c r="F56" i="46"/>
  <c r="P54" i="46"/>
  <c r="G51" i="46"/>
  <c r="F51" i="46"/>
  <c r="P49" i="46"/>
  <c r="P48" i="46"/>
  <c r="P47" i="46"/>
  <c r="P46" i="46"/>
  <c r="P45" i="46"/>
  <c r="G42" i="46"/>
  <c r="F42" i="46"/>
  <c r="P41" i="46"/>
  <c r="P40" i="46"/>
  <c r="P39" i="46"/>
  <c r="P38" i="46"/>
  <c r="P37" i="46"/>
  <c r="P36" i="46"/>
  <c r="P35" i="46"/>
  <c r="P34" i="46"/>
  <c r="P31" i="46"/>
  <c r="G31" i="46"/>
  <c r="H67" i="46" s="1"/>
  <c r="F31" i="46"/>
  <c r="P30" i="46"/>
  <c r="P29" i="46"/>
  <c r="P28" i="46"/>
  <c r="P27" i="46"/>
  <c r="P26" i="46"/>
  <c r="P25" i="46"/>
  <c r="P24" i="46"/>
  <c r="P23" i="46"/>
  <c r="P22" i="46"/>
  <c r="E106" i="66"/>
  <c r="E104" i="66"/>
  <c r="D104" i="66"/>
  <c r="E102" i="66"/>
  <c r="D102" i="66"/>
  <c r="C102" i="66"/>
  <c r="E100" i="66"/>
  <c r="D100" i="66"/>
  <c r="C100" i="66"/>
  <c r="B100" i="66"/>
  <c r="E95" i="66"/>
  <c r="E93" i="66"/>
  <c r="D93" i="66"/>
  <c r="E91" i="66"/>
  <c r="D91" i="66"/>
  <c r="C91" i="66"/>
  <c r="E89" i="66"/>
  <c r="D89" i="66"/>
  <c r="C89" i="66"/>
  <c r="B89" i="66"/>
  <c r="G74" i="66"/>
  <c r="G75" i="66" s="1"/>
  <c r="F75" i="66"/>
  <c r="E74" i="66"/>
  <c r="E75" i="66" s="1"/>
  <c r="D74" i="66"/>
  <c r="D75" i="66" s="1"/>
  <c r="C74" i="66"/>
  <c r="C75" i="66" s="1"/>
  <c r="B74" i="66"/>
  <c r="B75" i="66" s="1"/>
  <c r="G68" i="66"/>
  <c r="F68" i="66"/>
  <c r="E68" i="66"/>
  <c r="D68" i="66"/>
  <c r="C68" i="66"/>
  <c r="B68" i="66"/>
  <c r="G65" i="66"/>
  <c r="F65" i="66"/>
  <c r="E65" i="66"/>
  <c r="D65" i="66"/>
  <c r="C65" i="66"/>
  <c r="B65" i="66"/>
  <c r="BC5" i="66"/>
  <c r="BC6" i="66"/>
  <c r="BC7" i="66"/>
  <c r="BC8" i="66"/>
  <c r="BC9" i="66"/>
  <c r="BC10" i="66"/>
  <c r="BC11" i="66"/>
  <c r="BC12" i="66"/>
  <c r="O322" i="46" l="1"/>
  <c r="L158" i="46"/>
  <c r="L159" i="46"/>
  <c r="L157" i="46"/>
  <c r="L161" i="46"/>
  <c r="L160" i="46"/>
  <c r="L319" i="46"/>
  <c r="L318" i="46"/>
  <c r="L321" i="46"/>
  <c r="L320" i="46"/>
  <c r="L322" i="46"/>
  <c r="M318" i="46"/>
  <c r="M321" i="46"/>
  <c r="M320" i="46"/>
  <c r="M319" i="46"/>
  <c r="M322" i="46"/>
  <c r="M69" i="46"/>
  <c r="N160" i="46"/>
  <c r="N158" i="46"/>
  <c r="N159" i="46"/>
  <c r="N157" i="46"/>
  <c r="N161" i="46"/>
  <c r="N225" i="46"/>
  <c r="N226" i="46" s="1"/>
  <c r="K308" i="46"/>
  <c r="K319" i="46" s="1"/>
  <c r="N320" i="46"/>
  <c r="N319" i="46"/>
  <c r="N322" i="46"/>
  <c r="N321" i="46"/>
  <c r="N318" i="46"/>
  <c r="P113" i="54"/>
  <c r="J115" i="54"/>
  <c r="K228" i="46"/>
  <c r="H68" i="46"/>
  <c r="M70" i="46"/>
  <c r="N67" i="46"/>
  <c r="L148" i="46"/>
  <c r="J227" i="46"/>
  <c r="N146" i="46"/>
  <c r="H145" i="46"/>
  <c r="M147" i="46"/>
  <c r="L69" i="46"/>
  <c r="H307" i="46"/>
  <c r="M227" i="46"/>
  <c r="L227" i="46"/>
  <c r="O227" i="46"/>
  <c r="O319" i="46" l="1"/>
  <c r="O320" i="46"/>
  <c r="O321" i="46"/>
  <c r="O318" i="46"/>
  <c r="K320" i="46"/>
  <c r="K321" i="46"/>
  <c r="K318" i="46"/>
  <c r="K322" i="46"/>
  <c r="H81" i="46"/>
  <c r="H79" i="46"/>
  <c r="H78" i="46"/>
  <c r="H80" i="46"/>
  <c r="H82" i="46"/>
  <c r="H322" i="46"/>
  <c r="H319" i="46"/>
  <c r="H318" i="46"/>
  <c r="H321" i="46"/>
  <c r="H320" i="46"/>
  <c r="M78" i="46"/>
  <c r="M82" i="46"/>
  <c r="M79" i="46"/>
  <c r="M81" i="46"/>
  <c r="M80" i="46"/>
  <c r="N81" i="46"/>
  <c r="N79" i="46"/>
  <c r="N82" i="46"/>
  <c r="N78" i="46"/>
  <c r="N80" i="46"/>
  <c r="L80" i="46"/>
  <c r="L78" i="46"/>
  <c r="L81" i="46"/>
  <c r="L79" i="46"/>
  <c r="L82" i="46"/>
  <c r="M157" i="46"/>
  <c r="M161" i="46"/>
  <c r="M160" i="46"/>
  <c r="M158" i="46"/>
  <c r="M159" i="46"/>
  <c r="N239" i="46"/>
  <c r="N238" i="46"/>
  <c r="N241" i="46"/>
  <c r="N240" i="46"/>
  <c r="N237" i="46"/>
  <c r="K241" i="46"/>
  <c r="K240" i="46"/>
  <c r="K239" i="46"/>
  <c r="K238" i="46"/>
  <c r="K237" i="46"/>
  <c r="P115" i="54"/>
  <c r="M148" i="46"/>
  <c r="N68" i="46"/>
  <c r="H226" i="46"/>
  <c r="L70" i="46"/>
  <c r="H146" i="46"/>
  <c r="P227" i="46"/>
  <c r="J228" i="46"/>
  <c r="P308" i="46"/>
  <c r="L228" i="46"/>
  <c r="O228" i="46"/>
  <c r="M228" i="46"/>
  <c r="M240" i="46" l="1"/>
  <c r="M237" i="46"/>
  <c r="M241" i="46"/>
  <c r="M238" i="46"/>
  <c r="M239" i="46"/>
  <c r="L239" i="46"/>
  <c r="L238" i="46"/>
  <c r="L237" i="46"/>
  <c r="L240" i="46"/>
  <c r="L241" i="46"/>
  <c r="H241" i="46"/>
  <c r="H237" i="46"/>
  <c r="H238" i="46"/>
  <c r="H240" i="46"/>
  <c r="H239" i="46"/>
  <c r="H160" i="46"/>
  <c r="H158" i="46"/>
  <c r="H159" i="46"/>
  <c r="H161" i="46"/>
  <c r="H157" i="46"/>
  <c r="O241" i="46"/>
  <c r="O240" i="46"/>
  <c r="O239" i="46"/>
  <c r="O238" i="46"/>
  <c r="O237" i="46"/>
  <c r="J322" i="46"/>
  <c r="J321" i="46"/>
  <c r="J320" i="46"/>
  <c r="J319" i="46"/>
  <c r="J318" i="46"/>
  <c r="J241" i="46"/>
  <c r="J240" i="46"/>
  <c r="J239" i="46"/>
  <c r="J238" i="46"/>
  <c r="J237" i="46"/>
  <c r="P228" i="46"/>
  <c r="P309" i="46"/>
  <c r="D13" i="68" l="1"/>
  <c r="C13" i="68"/>
  <c r="J69" i="44" l="1"/>
  <c r="H69" i="44"/>
  <c r="G69" i="44"/>
  <c r="F69" i="44"/>
  <c r="E69" i="44"/>
  <c r="J56" i="44"/>
  <c r="H56" i="44"/>
  <c r="G56" i="44"/>
  <c r="F56" i="44"/>
  <c r="E56" i="44"/>
  <c r="E39" i="67"/>
  <c r="E40" i="67" s="1"/>
  <c r="P17" i="67"/>
  <c r="O17" i="67"/>
  <c r="N17" i="67"/>
  <c r="M17" i="67"/>
  <c r="L17" i="67"/>
  <c r="K17" i="67"/>
  <c r="J17" i="67"/>
  <c r="I17" i="67"/>
  <c r="H17" i="67"/>
  <c r="G17" i="67"/>
  <c r="F17" i="67"/>
  <c r="E17" i="67"/>
  <c r="D17" i="67"/>
  <c r="D32" i="67" s="1"/>
  <c r="BR15" i="67"/>
  <c r="Q15" i="67"/>
  <c r="BR14" i="67"/>
  <c r="Q14" i="67"/>
  <c r="BR13" i="67"/>
  <c r="BR12" i="67"/>
  <c r="BR11" i="67"/>
  <c r="BR10" i="67"/>
  <c r="BR9" i="67"/>
  <c r="BR8" i="67"/>
  <c r="Q8" i="67"/>
  <c r="AS27" i="66"/>
  <c r="AF27" i="66"/>
  <c r="AT14" i="66"/>
  <c r="BH27" i="66"/>
  <c r="BG27" i="66"/>
  <c r="BF27" i="66"/>
  <c r="BE27" i="66"/>
  <c r="AT27" i="66"/>
  <c r="AR27" i="66"/>
  <c r="AG27" i="66"/>
  <c r="T27" i="66"/>
  <c r="BB26" i="66"/>
  <c r="BA26" i="66"/>
  <c r="AZ26" i="66"/>
  <c r="AY26" i="66"/>
  <c r="AX26" i="66"/>
  <c r="AW26" i="66"/>
  <c r="AO26" i="66"/>
  <c r="AN26" i="66"/>
  <c r="AM26" i="66"/>
  <c r="AL26" i="66"/>
  <c r="AK26" i="66"/>
  <c r="AJ26" i="66"/>
  <c r="AC26" i="66"/>
  <c r="AB26" i="66"/>
  <c r="AA26" i="66"/>
  <c r="Z26" i="66"/>
  <c r="Y26" i="66"/>
  <c r="X26" i="66"/>
  <c r="W26" i="66"/>
  <c r="Q26" i="66"/>
  <c r="P26" i="66"/>
  <c r="O26" i="66"/>
  <c r="N26" i="66"/>
  <c r="M26" i="66"/>
  <c r="L26" i="66"/>
  <c r="K26" i="66"/>
  <c r="F26" i="66"/>
  <c r="E26" i="66"/>
  <c r="D26" i="66"/>
  <c r="C26" i="66"/>
  <c r="B26" i="66"/>
  <c r="A26" i="66"/>
  <c r="BC25" i="66"/>
  <c r="AP25" i="66"/>
  <c r="BH25" i="66" s="1"/>
  <c r="AD25" i="66"/>
  <c r="R25" i="66"/>
  <c r="G25" i="66"/>
  <c r="BC24" i="66"/>
  <c r="AP24" i="66"/>
  <c r="BH24" i="66" s="1"/>
  <c r="AD24" i="66"/>
  <c r="R24" i="66"/>
  <c r="G24" i="66"/>
  <c r="BC23" i="66"/>
  <c r="AP23" i="66"/>
  <c r="BH23" i="66" s="1"/>
  <c r="AD23" i="66"/>
  <c r="R23" i="66"/>
  <c r="G23" i="66"/>
  <c r="BC22" i="66"/>
  <c r="AP22" i="66"/>
  <c r="BH22" i="66" s="1"/>
  <c r="AD22" i="66"/>
  <c r="R22" i="66"/>
  <c r="G22" i="66"/>
  <c r="F22" i="66"/>
  <c r="D22" i="66"/>
  <c r="C22" i="66"/>
  <c r="BC21" i="66"/>
  <c r="AP21" i="66"/>
  <c r="BH21" i="66" s="1"/>
  <c r="AD21" i="66"/>
  <c r="R21" i="66"/>
  <c r="G21" i="66"/>
  <c r="F21" i="66"/>
  <c r="D21" i="66"/>
  <c r="C21" i="66"/>
  <c r="BC20" i="66"/>
  <c r="AP20" i="66"/>
  <c r="BH20" i="66" s="1"/>
  <c r="AD20" i="66"/>
  <c r="R20" i="66"/>
  <c r="G20" i="66"/>
  <c r="F20" i="66"/>
  <c r="D20" i="66"/>
  <c r="C20" i="66"/>
  <c r="BC19" i="66"/>
  <c r="AP19" i="66"/>
  <c r="BH19" i="66" s="1"/>
  <c r="AD19" i="66"/>
  <c r="R19" i="66"/>
  <c r="G19" i="66"/>
  <c r="F19" i="66"/>
  <c r="C19" i="66"/>
  <c r="BC18" i="66"/>
  <c r="AP18" i="66"/>
  <c r="BH18" i="66" s="1"/>
  <c r="AD18" i="66"/>
  <c r="R18" i="66"/>
  <c r="G18" i="66"/>
  <c r="F18" i="66"/>
  <c r="B18" i="66"/>
  <c r="AT17" i="66"/>
  <c r="AS17" i="66"/>
  <c r="AR17" i="66"/>
  <c r="AG17" i="66"/>
  <c r="AF17" i="66"/>
  <c r="U17" i="66"/>
  <c r="AH17" i="66" s="1"/>
  <c r="AU17" i="66" s="1"/>
  <c r="BI17" i="66" s="1"/>
  <c r="T17" i="66"/>
  <c r="O17" i="66"/>
  <c r="N17" i="66"/>
  <c r="Z17" i="66" s="1"/>
  <c r="AM17" i="66" s="1"/>
  <c r="M17" i="66"/>
  <c r="Y17" i="66" s="1"/>
  <c r="AL17" i="66" s="1"/>
  <c r="L17" i="66"/>
  <c r="X17" i="66" s="1"/>
  <c r="AK17" i="66" s="1"/>
  <c r="K17" i="66"/>
  <c r="W17" i="66" s="1"/>
  <c r="AJ17" i="66" s="1"/>
  <c r="G17" i="66"/>
  <c r="F17" i="66"/>
  <c r="E17" i="66"/>
  <c r="D17" i="66"/>
  <c r="C17" i="66"/>
  <c r="B17" i="66"/>
  <c r="A17" i="66"/>
  <c r="BH14" i="66"/>
  <c r="BG14" i="66"/>
  <c r="BF14" i="66"/>
  <c r="BE14" i="66"/>
  <c r="AS14" i="66"/>
  <c r="AR14" i="66"/>
  <c r="AG14" i="66"/>
  <c r="AF14" i="66"/>
  <c r="T14" i="66"/>
  <c r="BB13" i="66"/>
  <c r="BA13" i="66"/>
  <c r="AZ13" i="66"/>
  <c r="AY13" i="66"/>
  <c r="AX13" i="66"/>
  <c r="AW13" i="66"/>
  <c r="AM13" i="66"/>
  <c r="AL13" i="66"/>
  <c r="AK13" i="66"/>
  <c r="I272" i="46" s="1"/>
  <c r="AJ13" i="66"/>
  <c r="AC13" i="66"/>
  <c r="AB13" i="66"/>
  <c r="AA13" i="66"/>
  <c r="Z13" i="66"/>
  <c r="Y13" i="66"/>
  <c r="X13" i="66"/>
  <c r="W13" i="66"/>
  <c r="Q13" i="66"/>
  <c r="P13" i="66"/>
  <c r="O13" i="66"/>
  <c r="N13" i="66"/>
  <c r="M13" i="66"/>
  <c r="L13" i="66"/>
  <c r="I112" i="46" s="1"/>
  <c r="K13" i="66"/>
  <c r="G13" i="66"/>
  <c r="D18" i="3" s="1"/>
  <c r="F13" i="66"/>
  <c r="E13" i="66"/>
  <c r="D13" i="66"/>
  <c r="C13" i="66"/>
  <c r="B13" i="66"/>
  <c r="A13" i="66"/>
  <c r="AP12" i="66"/>
  <c r="BH12" i="66" s="1"/>
  <c r="AD12" i="66"/>
  <c r="R12" i="66"/>
  <c r="G12" i="66"/>
  <c r="AP11" i="66"/>
  <c r="BH11" i="66" s="1"/>
  <c r="AD11" i="66"/>
  <c r="R11" i="66"/>
  <c r="G11" i="66"/>
  <c r="AP10" i="66"/>
  <c r="BH10" i="66" s="1"/>
  <c r="AD10" i="66"/>
  <c r="R10" i="66"/>
  <c r="G10" i="66"/>
  <c r="AP9" i="66"/>
  <c r="BH9" i="66" s="1"/>
  <c r="AD9" i="66"/>
  <c r="R9" i="66"/>
  <c r="G9" i="66"/>
  <c r="F9" i="66"/>
  <c r="D9" i="66"/>
  <c r="C9" i="66"/>
  <c r="AP8" i="66"/>
  <c r="BH8" i="66" s="1"/>
  <c r="AD8" i="66"/>
  <c r="R8" i="66"/>
  <c r="G8" i="66"/>
  <c r="F8" i="66"/>
  <c r="D8" i="66"/>
  <c r="C8" i="66"/>
  <c r="AP7" i="66"/>
  <c r="BH7" i="66" s="1"/>
  <c r="AD7" i="66"/>
  <c r="R7" i="66"/>
  <c r="G7" i="66"/>
  <c r="F7" i="66"/>
  <c r="D7" i="66"/>
  <c r="C7" i="66"/>
  <c r="AP6" i="66"/>
  <c r="BH6" i="66" s="1"/>
  <c r="AG6" i="66"/>
  <c r="AD6" i="66"/>
  <c r="R6" i="66"/>
  <c r="G6" i="66"/>
  <c r="C6" i="66"/>
  <c r="AP5" i="66"/>
  <c r="BH5" i="66" s="1"/>
  <c r="AD5" i="66"/>
  <c r="R5" i="66"/>
  <c r="G5" i="66"/>
  <c r="B5" i="66"/>
  <c r="U4" i="66"/>
  <c r="AH4" i="66" s="1"/>
  <c r="AU4" i="66" s="1"/>
  <c r="BI4" i="66" s="1"/>
  <c r="O4" i="66"/>
  <c r="N4" i="66"/>
  <c r="Z4" i="66" s="1"/>
  <c r="AM4" i="66" s="1"/>
  <c r="M4" i="66"/>
  <c r="Y4" i="66" s="1"/>
  <c r="AL4" i="66" s="1"/>
  <c r="L4" i="66"/>
  <c r="X4" i="66" s="1"/>
  <c r="AK4" i="66" s="1"/>
  <c r="K4" i="66"/>
  <c r="W4" i="66" s="1"/>
  <c r="AJ4" i="66" s="1"/>
  <c r="G4" i="66"/>
  <c r="F4" i="66"/>
  <c r="E4" i="66"/>
  <c r="D4" i="66"/>
  <c r="C4" i="66"/>
  <c r="B4" i="66"/>
  <c r="A4" i="66"/>
  <c r="A1" i="66"/>
  <c r="Q66" i="65"/>
  <c r="AH12" i="65"/>
  <c r="K25" i="45" s="1"/>
  <c r="AD12" i="65"/>
  <c r="J25" i="45" s="1"/>
  <c r="Z12" i="65"/>
  <c r="I25" i="45" s="1"/>
  <c r="V12" i="65"/>
  <c r="H25" i="45" s="1"/>
  <c r="S12" i="65"/>
  <c r="G25" i="45" s="1"/>
  <c r="N12" i="65"/>
  <c r="F25" i="45" s="1"/>
  <c r="J12" i="65"/>
  <c r="E25" i="45" s="1"/>
  <c r="F12" i="65"/>
  <c r="D25" i="45" s="1"/>
  <c r="AH11" i="65"/>
  <c r="K24" i="45" s="1"/>
  <c r="AD11" i="65"/>
  <c r="J24" i="45" s="1"/>
  <c r="Z11" i="65"/>
  <c r="I24" i="45" s="1"/>
  <c r="V11" i="65"/>
  <c r="H24" i="45" s="1"/>
  <c r="S11" i="65"/>
  <c r="G24" i="45" s="1"/>
  <c r="N11" i="65"/>
  <c r="F24" i="45" s="1"/>
  <c r="J11" i="65"/>
  <c r="E24" i="45" s="1"/>
  <c r="F11" i="65"/>
  <c r="D24" i="45" s="1"/>
  <c r="AH10" i="65"/>
  <c r="K26" i="45" s="1"/>
  <c r="AD10" i="65"/>
  <c r="J26" i="45" s="1"/>
  <c r="Z10" i="65"/>
  <c r="I26" i="45" s="1"/>
  <c r="V10" i="65"/>
  <c r="H26" i="45" s="1"/>
  <c r="S10" i="65"/>
  <c r="G26" i="45" s="1"/>
  <c r="N10" i="65"/>
  <c r="F26" i="45" s="1"/>
  <c r="J10" i="65"/>
  <c r="E26" i="45" s="1"/>
  <c r="F10" i="65"/>
  <c r="D26" i="45" s="1"/>
  <c r="AH9" i="65"/>
  <c r="K27" i="45" s="1"/>
  <c r="AD9" i="65"/>
  <c r="J27" i="45" s="1"/>
  <c r="Z9" i="65"/>
  <c r="I27" i="45" s="1"/>
  <c r="V9" i="65"/>
  <c r="H27" i="45" s="1"/>
  <c r="S9" i="65"/>
  <c r="G27" i="45" s="1"/>
  <c r="N9" i="65"/>
  <c r="F27" i="45" s="1"/>
  <c r="J9" i="65"/>
  <c r="E27" i="45" s="1"/>
  <c r="F9" i="65"/>
  <c r="D27" i="45" s="1"/>
  <c r="AH8" i="65"/>
  <c r="K23" i="45" s="1"/>
  <c r="AD8" i="65"/>
  <c r="J23" i="45" s="1"/>
  <c r="Z8" i="65"/>
  <c r="I23" i="45" s="1"/>
  <c r="V8" i="65"/>
  <c r="H23" i="45" s="1"/>
  <c r="S8" i="65"/>
  <c r="G23" i="45" s="1"/>
  <c r="N8" i="65"/>
  <c r="F23" i="45" s="1"/>
  <c r="J8" i="65"/>
  <c r="E23" i="45" s="1"/>
  <c r="F8" i="65"/>
  <c r="D23" i="45" s="1"/>
  <c r="AH7" i="65"/>
  <c r="K22" i="45" s="1"/>
  <c r="AD7" i="65"/>
  <c r="J22" i="45" s="1"/>
  <c r="Z7" i="65"/>
  <c r="I22" i="45" s="1"/>
  <c r="V7" i="65"/>
  <c r="H22" i="45" s="1"/>
  <c r="S7" i="65"/>
  <c r="G22" i="45" s="1"/>
  <c r="N7" i="65"/>
  <c r="F22" i="45" s="1"/>
  <c r="J7" i="65"/>
  <c r="E22" i="45" s="1"/>
  <c r="F7" i="65"/>
  <c r="D22" i="45" s="1"/>
  <c r="AH6" i="65"/>
  <c r="K21" i="45" s="1"/>
  <c r="AD6" i="65"/>
  <c r="J21" i="45" s="1"/>
  <c r="Z6" i="65"/>
  <c r="I21" i="45" s="1"/>
  <c r="V6" i="65"/>
  <c r="H21" i="45" s="1"/>
  <c r="S6" i="65"/>
  <c r="G21" i="45" s="1"/>
  <c r="N6" i="65"/>
  <c r="F21" i="45" s="1"/>
  <c r="J6" i="65"/>
  <c r="E21" i="45" s="1"/>
  <c r="F6" i="65"/>
  <c r="D21" i="45" s="1"/>
  <c r="AH5" i="65"/>
  <c r="K20" i="45" s="1"/>
  <c r="AD5" i="65"/>
  <c r="J20" i="45" s="1"/>
  <c r="Z5" i="65"/>
  <c r="I20" i="45" s="1"/>
  <c r="V5" i="65"/>
  <c r="H20" i="45" s="1"/>
  <c r="S5" i="65"/>
  <c r="G20" i="45" s="1"/>
  <c r="N5" i="65"/>
  <c r="F20" i="45" s="1"/>
  <c r="J5" i="65"/>
  <c r="E20" i="45" s="1"/>
  <c r="F5" i="65"/>
  <c r="D20" i="45" s="1"/>
  <c r="I54" i="64"/>
  <c r="U14" i="67" s="1"/>
  <c r="H54" i="64"/>
  <c r="R14" i="67" s="1"/>
  <c r="S14" i="67" s="1"/>
  <c r="T14" i="67" s="1"/>
  <c r="Z43" i="64"/>
  <c r="V43" i="64"/>
  <c r="R43" i="64"/>
  <c r="N43" i="64"/>
  <c r="K43" i="64"/>
  <c r="F43" i="64"/>
  <c r="Z42" i="64"/>
  <c r="V42" i="64"/>
  <c r="R42" i="64"/>
  <c r="N42" i="64"/>
  <c r="K42" i="64"/>
  <c r="F42" i="64"/>
  <c r="Z41" i="64"/>
  <c r="V41" i="64"/>
  <c r="R41" i="64"/>
  <c r="N41" i="64"/>
  <c r="K41" i="64"/>
  <c r="F41" i="64"/>
  <c r="Z40" i="64"/>
  <c r="V40" i="64"/>
  <c r="R40" i="64"/>
  <c r="N40" i="64"/>
  <c r="K40" i="64"/>
  <c r="F40" i="64"/>
  <c r="Z39" i="64"/>
  <c r="V39" i="64"/>
  <c r="R39" i="64"/>
  <c r="N39" i="64"/>
  <c r="K39" i="64"/>
  <c r="F39" i="64"/>
  <c r="Z38" i="64"/>
  <c r="V38" i="64"/>
  <c r="R38" i="64"/>
  <c r="N38" i="64"/>
  <c r="K38" i="64"/>
  <c r="F38" i="64"/>
  <c r="Z37" i="64"/>
  <c r="V37" i="64"/>
  <c r="R37" i="64"/>
  <c r="N37" i="64"/>
  <c r="K37" i="64"/>
  <c r="F37" i="64"/>
  <c r="Z36" i="64"/>
  <c r="V36" i="64"/>
  <c r="R36" i="64"/>
  <c r="N36" i="64"/>
  <c r="K36" i="64"/>
  <c r="F36" i="64"/>
  <c r="C29" i="64"/>
  <c r="C28" i="64"/>
  <c r="C26" i="64"/>
  <c r="C25" i="64"/>
  <c r="C24" i="64"/>
  <c r="C16" i="64"/>
  <c r="G51" i="44" s="1"/>
  <c r="C15" i="64"/>
  <c r="H51" i="44" s="1"/>
  <c r="C14" i="64"/>
  <c r="I51" i="44" s="1"/>
  <c r="C13" i="64"/>
  <c r="J51" i="44" s="1"/>
  <c r="C12" i="64"/>
  <c r="F51" i="44" s="1"/>
  <c r="C11" i="64"/>
  <c r="C10" i="64"/>
  <c r="D51" i="44" s="1"/>
  <c r="C9" i="64"/>
  <c r="C51" i="44" s="1"/>
  <c r="C5" i="64"/>
  <c r="B5" i="64"/>
  <c r="C4" i="64"/>
  <c r="C15" i="44" s="1"/>
  <c r="C18" i="44" s="1"/>
  <c r="B4" i="64"/>
  <c r="O51" i="46" l="1"/>
  <c r="O42" i="46"/>
  <c r="AS5" i="66"/>
  <c r="BF5" i="66"/>
  <c r="AT18" i="66"/>
  <c r="AT26" i="66" s="1"/>
  <c r="BG18" i="66"/>
  <c r="AD13" i="66"/>
  <c r="BG5" i="66"/>
  <c r="BG13" i="66" s="1"/>
  <c r="H20" i="3" s="1"/>
  <c r="AT5" i="66"/>
  <c r="AS6" i="66"/>
  <c r="BF6" i="66"/>
  <c r="BF9" i="66"/>
  <c r="AS9" i="66"/>
  <c r="AS10" i="66"/>
  <c r="BF10" i="66"/>
  <c r="BF11" i="66"/>
  <c r="AS11" i="66"/>
  <c r="AS12" i="66"/>
  <c r="BF12" i="66"/>
  <c r="AG11" i="66"/>
  <c r="BG21" i="66"/>
  <c r="AT21" i="66"/>
  <c r="BF22" i="66"/>
  <c r="AS22" i="66"/>
  <c r="AT23" i="66"/>
  <c r="BG23" i="66"/>
  <c r="AT6" i="66"/>
  <c r="BG6" i="66"/>
  <c r="BF7" i="66"/>
  <c r="AS7" i="66"/>
  <c r="AS8" i="66"/>
  <c r="BF8" i="66"/>
  <c r="AT9" i="66"/>
  <c r="BG9" i="66"/>
  <c r="AT10" i="66"/>
  <c r="BG10" i="66"/>
  <c r="BG11" i="66"/>
  <c r="AT11" i="66"/>
  <c r="BG12" i="66"/>
  <c r="AT12" i="66"/>
  <c r="P272" i="46"/>
  <c r="I306" i="46"/>
  <c r="R26" i="66"/>
  <c r="BF18" i="66"/>
  <c r="AS18" i="66"/>
  <c r="AS19" i="66"/>
  <c r="BF19" i="66"/>
  <c r="BG22" i="66"/>
  <c r="AT22" i="66"/>
  <c r="BF24" i="66"/>
  <c r="AS24" i="66"/>
  <c r="BG25" i="66"/>
  <c r="AT25" i="66"/>
  <c r="J112" i="46"/>
  <c r="J147" i="46" s="1"/>
  <c r="O112" i="46"/>
  <c r="O147" i="46" s="1"/>
  <c r="K112" i="46"/>
  <c r="K147" i="46" s="1"/>
  <c r="I145" i="46"/>
  <c r="BG20" i="66"/>
  <c r="AT20" i="66"/>
  <c r="AS21" i="66"/>
  <c r="BF21" i="66"/>
  <c r="AS25" i="66"/>
  <c r="BF25" i="66"/>
  <c r="E55" i="64"/>
  <c r="J55" i="64" s="1"/>
  <c r="V15" i="67" s="1"/>
  <c r="W15" i="67" s="1"/>
  <c r="X15" i="67" s="1"/>
  <c r="Y15" i="67" s="1"/>
  <c r="Z15" i="67" s="1"/>
  <c r="AA15" i="67" s="1"/>
  <c r="AB15" i="67" s="1"/>
  <c r="AC15" i="67" s="1"/>
  <c r="AE6" i="66"/>
  <c r="BG7" i="66"/>
  <c r="AT7" i="66"/>
  <c r="BG8" i="66"/>
  <c r="AT8" i="66"/>
  <c r="I192" i="46"/>
  <c r="AT19" i="66"/>
  <c r="BG19" i="66"/>
  <c r="BF20" i="66"/>
  <c r="AS20" i="66"/>
  <c r="AS23" i="66"/>
  <c r="BF23" i="66"/>
  <c r="BG24" i="66"/>
  <c r="AT24" i="66"/>
  <c r="AG25" i="66"/>
  <c r="K42" i="46"/>
  <c r="J42" i="46"/>
  <c r="I42" i="46"/>
  <c r="I67" i="46" s="1"/>
  <c r="J51" i="46"/>
  <c r="K51" i="46"/>
  <c r="D50" i="64"/>
  <c r="I50" i="64" s="1"/>
  <c r="U10" i="67" s="1"/>
  <c r="E50" i="64"/>
  <c r="J50" i="64" s="1"/>
  <c r="V10" i="67" s="1"/>
  <c r="W10" i="67" s="1"/>
  <c r="X10" i="67" s="1"/>
  <c r="Y10" i="67" s="1"/>
  <c r="Z10" i="67" s="1"/>
  <c r="AA10" i="67" s="1"/>
  <c r="AB10" i="67" s="1"/>
  <c r="AC10" i="67" s="1"/>
  <c r="E52" i="64"/>
  <c r="J52" i="64" s="1"/>
  <c r="V12" i="67" s="1"/>
  <c r="W12" i="67" s="1"/>
  <c r="X12" i="67" s="1"/>
  <c r="Y12" i="67" s="1"/>
  <c r="Z12" i="67" s="1"/>
  <c r="AA12" i="67" s="1"/>
  <c r="AB12" i="67" s="1"/>
  <c r="AC12" i="67" s="1"/>
  <c r="C94" i="64"/>
  <c r="D94" i="64" s="1"/>
  <c r="BE14" i="67" s="1"/>
  <c r="BF14" i="67" s="1"/>
  <c r="BG14" i="67" s="1"/>
  <c r="BH14" i="67" s="1"/>
  <c r="BI14" i="67" s="1"/>
  <c r="BJ14" i="67" s="1"/>
  <c r="BK14" i="67" s="1"/>
  <c r="BL14" i="67" s="1"/>
  <c r="BM14" i="67" s="1"/>
  <c r="BN14" i="67" s="1"/>
  <c r="BO14" i="67" s="1"/>
  <c r="BP14" i="67" s="1"/>
  <c r="E54" i="64"/>
  <c r="C78" i="64"/>
  <c r="D78" i="64" s="1"/>
  <c r="AR11" i="67" s="1"/>
  <c r="BB11" i="67" s="1"/>
  <c r="E51" i="64"/>
  <c r="J51" i="64" s="1"/>
  <c r="V11" i="67" s="1"/>
  <c r="W11" i="67" s="1"/>
  <c r="X11" i="67" s="1"/>
  <c r="Y11" i="67" s="1"/>
  <c r="Z11" i="67" s="1"/>
  <c r="AA11" i="67" s="1"/>
  <c r="AB11" i="67" s="1"/>
  <c r="AC11" i="67" s="1"/>
  <c r="BE5" i="66"/>
  <c r="AR5" i="66"/>
  <c r="BE21" i="66"/>
  <c r="BI21" i="66" s="1"/>
  <c r="AR21" i="66"/>
  <c r="AU21" i="66" s="1"/>
  <c r="O73" i="65" s="1"/>
  <c r="N34" i="65" s="1"/>
  <c r="P73" i="65" s="1"/>
  <c r="Q73" i="65" s="1"/>
  <c r="O64" i="46"/>
  <c r="D25" i="65"/>
  <c r="D38" i="65" s="1"/>
  <c r="D51" i="65" s="1"/>
  <c r="E30" i="67" s="1"/>
  <c r="F30" i="67" s="1"/>
  <c r="G30" i="67" s="1"/>
  <c r="H30" i="67" s="1"/>
  <c r="AR25" i="66"/>
  <c r="AU25" i="66" s="1"/>
  <c r="O77" i="65" s="1"/>
  <c r="N38" i="65" s="1"/>
  <c r="P77" i="65" s="1"/>
  <c r="Q77" i="65" s="1"/>
  <c r="BE25" i="66"/>
  <c r="BI25" i="66" s="1"/>
  <c r="E77" i="65" s="1"/>
  <c r="F77" i="65" s="1"/>
  <c r="H77" i="65" s="1"/>
  <c r="BE30" i="67" s="1"/>
  <c r="BF30" i="67" s="1"/>
  <c r="BG30" i="67" s="1"/>
  <c r="BH30" i="67" s="1"/>
  <c r="BI30" i="67" s="1"/>
  <c r="BJ30" i="67" s="1"/>
  <c r="BK30" i="67" s="1"/>
  <c r="BL30" i="67" s="1"/>
  <c r="BM30" i="67" s="1"/>
  <c r="BN30" i="67" s="1"/>
  <c r="BO30" i="67" s="1"/>
  <c r="BP30" i="67" s="1"/>
  <c r="C19" i="65"/>
  <c r="D32" i="65" s="1"/>
  <c r="D45" i="65" s="1"/>
  <c r="E24" i="67" s="1"/>
  <c r="F24" i="67" s="1"/>
  <c r="G24" i="67" s="1"/>
  <c r="H24" i="67" s="1"/>
  <c r="AR6" i="66"/>
  <c r="BE6" i="66"/>
  <c r="BI6" i="66" s="1"/>
  <c r="D71" i="65" s="1"/>
  <c r="F71" i="65" s="1"/>
  <c r="H71" i="65" s="1"/>
  <c r="BE24" i="67" s="1"/>
  <c r="BF24" i="67" s="1"/>
  <c r="BG24" i="67" s="1"/>
  <c r="BH24" i="67" s="1"/>
  <c r="BI24" i="67" s="1"/>
  <c r="BJ24" i="67" s="1"/>
  <c r="BK24" i="67" s="1"/>
  <c r="BL24" i="67" s="1"/>
  <c r="BM24" i="67" s="1"/>
  <c r="BN24" i="67" s="1"/>
  <c r="BO24" i="67" s="1"/>
  <c r="BP24" i="67" s="1"/>
  <c r="BE9" i="66"/>
  <c r="AR9" i="66"/>
  <c r="C23" i="65"/>
  <c r="E36" i="65" s="1"/>
  <c r="E49" i="65" s="1"/>
  <c r="I28" i="67" s="1"/>
  <c r="J28" i="67" s="1"/>
  <c r="K28" i="67" s="1"/>
  <c r="L28" i="67" s="1"/>
  <c r="M28" i="67" s="1"/>
  <c r="N28" i="67" s="1"/>
  <c r="O28" i="67" s="1"/>
  <c r="P28" i="67" s="1"/>
  <c r="AR10" i="66"/>
  <c r="BE10" i="66"/>
  <c r="BE11" i="66"/>
  <c r="BI11" i="66" s="1"/>
  <c r="D76" i="65" s="1"/>
  <c r="AR11" i="66"/>
  <c r="T12" i="66"/>
  <c r="U12" i="66" s="1"/>
  <c r="E25" i="65" s="1"/>
  <c r="BE12" i="66"/>
  <c r="AR12" i="66"/>
  <c r="AU12" i="66" s="1"/>
  <c r="N77" i="65" s="1"/>
  <c r="BE22" i="66"/>
  <c r="BI22" i="66" s="1"/>
  <c r="AR22" i="66"/>
  <c r="AU22" i="66" s="1"/>
  <c r="O74" i="65" s="1"/>
  <c r="N35" i="65" s="1"/>
  <c r="P74" i="65" s="1"/>
  <c r="Q74" i="65" s="1"/>
  <c r="BE7" i="66"/>
  <c r="AR7" i="66"/>
  <c r="C21" i="65"/>
  <c r="BE8" i="66"/>
  <c r="BI8" i="66" s="1"/>
  <c r="D73" i="65" s="1"/>
  <c r="AR8" i="66"/>
  <c r="AU8" i="66" s="1"/>
  <c r="N73" i="65" s="1"/>
  <c r="D18" i="65"/>
  <c r="BE18" i="66"/>
  <c r="BI18" i="66" s="1"/>
  <c r="E70" i="65" s="1"/>
  <c r="AR18" i="66"/>
  <c r="AU18" i="66" s="1"/>
  <c r="AR19" i="66"/>
  <c r="AU19" i="66" s="1"/>
  <c r="O71" i="65" s="1"/>
  <c r="BE19" i="66"/>
  <c r="BI19" i="66" s="1"/>
  <c r="E71" i="65" s="1"/>
  <c r="J64" i="46"/>
  <c r="D24" i="65"/>
  <c r="E37" i="65" s="1"/>
  <c r="E50" i="65" s="1"/>
  <c r="I29" i="67" s="1"/>
  <c r="J29" i="67" s="1"/>
  <c r="K29" i="67" s="1"/>
  <c r="L29" i="67" s="1"/>
  <c r="M29" i="67" s="1"/>
  <c r="N29" i="67" s="1"/>
  <c r="O29" i="67" s="1"/>
  <c r="P29" i="67" s="1"/>
  <c r="BE24" i="66"/>
  <c r="BI24" i="66" s="1"/>
  <c r="E76" i="65" s="1"/>
  <c r="F76" i="65" s="1"/>
  <c r="H76" i="65" s="1"/>
  <c r="BE29" i="67" s="1"/>
  <c r="BF29" i="67" s="1"/>
  <c r="BG29" i="67" s="1"/>
  <c r="BH29" i="67" s="1"/>
  <c r="BI29" i="67" s="1"/>
  <c r="BJ29" i="67" s="1"/>
  <c r="BK29" i="67" s="1"/>
  <c r="BL29" i="67" s="1"/>
  <c r="BM29" i="67" s="1"/>
  <c r="BN29" i="67" s="1"/>
  <c r="BO29" i="67" s="1"/>
  <c r="BP29" i="67" s="1"/>
  <c r="AR24" i="66"/>
  <c r="AU24" i="66" s="1"/>
  <c r="O76" i="65" s="1"/>
  <c r="N37" i="65" s="1"/>
  <c r="L18" i="3"/>
  <c r="K18" i="3"/>
  <c r="I18" i="3"/>
  <c r="J18" i="3"/>
  <c r="M18" i="3"/>
  <c r="D20" i="65"/>
  <c r="E33" i="65" s="1"/>
  <c r="E46" i="65" s="1"/>
  <c r="I25" i="67" s="1"/>
  <c r="J25" i="67" s="1"/>
  <c r="K25" i="67" s="1"/>
  <c r="L25" i="67" s="1"/>
  <c r="M25" i="67" s="1"/>
  <c r="N25" i="67" s="1"/>
  <c r="O25" i="67" s="1"/>
  <c r="P25" i="67" s="1"/>
  <c r="AR20" i="66"/>
  <c r="AU20" i="66" s="1"/>
  <c r="O72" i="65" s="1"/>
  <c r="N33" i="65" s="1"/>
  <c r="BE20" i="66"/>
  <c r="BI20" i="66" s="1"/>
  <c r="K64" i="46"/>
  <c r="D23" i="65"/>
  <c r="AR23" i="66"/>
  <c r="AU23" i="66" s="1"/>
  <c r="O75" i="65" s="1"/>
  <c r="BE23" i="66"/>
  <c r="BI23" i="66" s="1"/>
  <c r="E75" i="65" s="1"/>
  <c r="AG5" i="66"/>
  <c r="AG7" i="66"/>
  <c r="AG8" i="66"/>
  <c r="BI5" i="66"/>
  <c r="D70" i="65" s="1"/>
  <c r="F70" i="65" s="1"/>
  <c r="H70" i="65" s="1"/>
  <c r="BE23" i="67" s="1"/>
  <c r="BF23" i="67" s="1"/>
  <c r="BG23" i="67" s="1"/>
  <c r="BH23" i="67" s="1"/>
  <c r="BI23" i="67" s="1"/>
  <c r="BC26" i="66"/>
  <c r="Q35" i="3" s="1"/>
  <c r="AF5" i="66"/>
  <c r="AH5" i="66" s="1"/>
  <c r="H18" i="65" s="1"/>
  <c r="C18" i="65"/>
  <c r="E31" i="65" s="1"/>
  <c r="E44" i="65" s="1"/>
  <c r="I23" i="67" s="1"/>
  <c r="J23" i="67" s="1"/>
  <c r="K23" i="67" s="1"/>
  <c r="L23" i="67" s="1"/>
  <c r="C20" i="65"/>
  <c r="T19" i="66"/>
  <c r="U19" i="66" s="1"/>
  <c r="F19" i="65" s="1"/>
  <c r="D19" i="65"/>
  <c r="D21" i="65"/>
  <c r="E34" i="65" s="1"/>
  <c r="E47" i="65" s="1"/>
  <c r="I26" i="67" s="1"/>
  <c r="J26" i="67" s="1"/>
  <c r="K26" i="67" s="1"/>
  <c r="L26" i="67" s="1"/>
  <c r="M26" i="67" s="1"/>
  <c r="N26" i="67" s="1"/>
  <c r="O26" i="67" s="1"/>
  <c r="P26" i="67" s="1"/>
  <c r="D22" i="65"/>
  <c r="E35" i="65" s="1"/>
  <c r="E48" i="65" s="1"/>
  <c r="I27" i="67" s="1"/>
  <c r="J27" i="67" s="1"/>
  <c r="K27" i="67" s="1"/>
  <c r="L27" i="67" s="1"/>
  <c r="M27" i="67" s="1"/>
  <c r="N27" i="67" s="1"/>
  <c r="O27" i="67" s="1"/>
  <c r="P27" i="67" s="1"/>
  <c r="C22" i="65"/>
  <c r="C24" i="65"/>
  <c r="C25" i="65"/>
  <c r="T22" i="66"/>
  <c r="H5" i="66"/>
  <c r="D51" i="64"/>
  <c r="I51" i="64" s="1"/>
  <c r="U11" i="67" s="1"/>
  <c r="T11" i="66"/>
  <c r="U11" i="66" s="1"/>
  <c r="E24" i="65" s="1"/>
  <c r="C91" i="64"/>
  <c r="D91" i="64" s="1"/>
  <c r="BE11" i="67" s="1"/>
  <c r="BF11" i="67" s="1"/>
  <c r="BG11" i="67" s="1"/>
  <c r="BH11" i="67" s="1"/>
  <c r="BI11" i="67" s="1"/>
  <c r="BJ11" i="67" s="1"/>
  <c r="BK11" i="67" s="1"/>
  <c r="BL11" i="67" s="1"/>
  <c r="BM11" i="67" s="1"/>
  <c r="BN11" i="67" s="1"/>
  <c r="BO11" i="67" s="1"/>
  <c r="BP11" i="67" s="1"/>
  <c r="C81" i="64"/>
  <c r="D81" i="64" s="1"/>
  <c r="AR14" i="67" s="1"/>
  <c r="BB14" i="67" s="1"/>
  <c r="T20" i="66"/>
  <c r="T10" i="66"/>
  <c r="U10" i="66" s="1"/>
  <c r="E23" i="65" s="1"/>
  <c r="H36" i="65" s="1"/>
  <c r="H10" i="66"/>
  <c r="G26" i="66"/>
  <c r="T25" i="66"/>
  <c r="U25" i="66" s="1"/>
  <c r="F25" i="65" s="1"/>
  <c r="T24" i="66"/>
  <c r="U24" i="66" s="1"/>
  <c r="F24" i="65" s="1"/>
  <c r="C50" i="64"/>
  <c r="H50" i="64" s="1"/>
  <c r="R10" i="67" s="1"/>
  <c r="S10" i="67" s="1"/>
  <c r="T10" i="67" s="1"/>
  <c r="I27" i="66"/>
  <c r="I10" i="66" s="1"/>
  <c r="H11" i="66"/>
  <c r="H12" i="66"/>
  <c r="AF12" i="66"/>
  <c r="C65" i="64"/>
  <c r="D65" i="64" s="1"/>
  <c r="AE11" i="67" s="1"/>
  <c r="AF11" i="67" s="1"/>
  <c r="AG11" i="67" s="1"/>
  <c r="AH11" i="67" s="1"/>
  <c r="AI11" i="67" s="1"/>
  <c r="AJ11" i="67" s="1"/>
  <c r="AK11" i="67" s="1"/>
  <c r="AL11" i="67" s="1"/>
  <c r="AM11" i="67" s="1"/>
  <c r="AN11" i="67" s="1"/>
  <c r="AO11" i="67" s="1"/>
  <c r="AP11" i="67" s="1"/>
  <c r="I28" i="66"/>
  <c r="I24" i="66" s="1"/>
  <c r="T21" i="66"/>
  <c r="C16" i="44"/>
  <c r="C17" i="44"/>
  <c r="Q17" i="67"/>
  <c r="BR17" i="67"/>
  <c r="AE12" i="66"/>
  <c r="AE11" i="66"/>
  <c r="H6" i="66"/>
  <c r="T6" i="66"/>
  <c r="U6" i="66" s="1"/>
  <c r="E19" i="65" s="1"/>
  <c r="H32" i="65" s="1"/>
  <c r="AF6" i="66"/>
  <c r="AH6" i="66" s="1"/>
  <c r="H19" i="65" s="1"/>
  <c r="M32" i="65" s="1"/>
  <c r="M45" i="65" s="1"/>
  <c r="AE24" i="67" s="1"/>
  <c r="AF24" i="67" s="1"/>
  <c r="AG24" i="67" s="1"/>
  <c r="AH24" i="67" s="1"/>
  <c r="AI24" i="67" s="1"/>
  <c r="AJ24" i="67" s="1"/>
  <c r="AK24" i="67" s="1"/>
  <c r="AL24" i="67" s="1"/>
  <c r="AM24" i="67" s="1"/>
  <c r="AN24" i="67" s="1"/>
  <c r="AO24" i="67" s="1"/>
  <c r="AP24" i="67" s="1"/>
  <c r="H7" i="66"/>
  <c r="T7" i="66"/>
  <c r="U7" i="66" s="1"/>
  <c r="E20" i="65" s="1"/>
  <c r="AF7" i="66"/>
  <c r="AH7" i="66" s="1"/>
  <c r="H20" i="65" s="1"/>
  <c r="H8" i="66"/>
  <c r="R13" i="66"/>
  <c r="E19" i="3" s="1"/>
  <c r="AF11" i="66"/>
  <c r="AF10" i="66"/>
  <c r="BD23" i="66"/>
  <c r="BD18" i="66"/>
  <c r="BD22" i="66"/>
  <c r="BD21" i="66"/>
  <c r="BD20" i="66"/>
  <c r="BD19" i="66"/>
  <c r="AG10" i="66"/>
  <c r="AF25" i="66"/>
  <c r="AF24" i="66"/>
  <c r="AE5" i="66"/>
  <c r="AF9" i="66"/>
  <c r="T9" i="66"/>
  <c r="U9" i="66" s="1"/>
  <c r="E22" i="65" s="1"/>
  <c r="H9" i="66"/>
  <c r="AE9" i="66"/>
  <c r="AE10" i="66"/>
  <c r="AP13" i="66"/>
  <c r="G21" i="3" s="1"/>
  <c r="AG24" i="66"/>
  <c r="S24" i="66"/>
  <c r="BD24" i="66"/>
  <c r="AF8" i="66"/>
  <c r="AH8" i="66" s="1"/>
  <c r="H21" i="65" s="1"/>
  <c r="T8" i="66"/>
  <c r="U8" i="66" s="1"/>
  <c r="E21" i="65" s="1"/>
  <c r="AQ23" i="66"/>
  <c r="T5" i="66"/>
  <c r="AE8" i="66"/>
  <c r="AG9" i="66"/>
  <c r="S22" i="66"/>
  <c r="S21" i="66"/>
  <c r="S20" i="66"/>
  <c r="S19" i="66"/>
  <c r="S25" i="66"/>
  <c r="BH26" i="66"/>
  <c r="AP26" i="66"/>
  <c r="S21" i="3" s="1"/>
  <c r="AQ18" i="66"/>
  <c r="AF19" i="66"/>
  <c r="AH19" i="66" s="1"/>
  <c r="I19" i="65" s="1"/>
  <c r="AF20" i="66"/>
  <c r="AF21" i="66"/>
  <c r="AF22" i="66"/>
  <c r="AF23" i="66"/>
  <c r="T23" i="66"/>
  <c r="AG12" i="66"/>
  <c r="T18" i="66"/>
  <c r="U18" i="66" s="1"/>
  <c r="AF18" i="66"/>
  <c r="AH18" i="66" s="1"/>
  <c r="I18" i="65" s="1"/>
  <c r="AG19" i="66"/>
  <c r="AG20" i="66"/>
  <c r="AG21" i="66"/>
  <c r="AG22" i="66"/>
  <c r="AG18" i="66"/>
  <c r="AG23" i="66"/>
  <c r="AD26" i="66"/>
  <c r="R20" i="3" s="1"/>
  <c r="C82" i="64"/>
  <c r="D82" i="64" s="1"/>
  <c r="AR15" i="67" s="1"/>
  <c r="AV15" i="67" s="1"/>
  <c r="C95" i="64"/>
  <c r="D95" i="64" s="1"/>
  <c r="BE15" i="67" s="1"/>
  <c r="BF15" i="67" s="1"/>
  <c r="BG15" i="67" s="1"/>
  <c r="BH15" i="67" s="1"/>
  <c r="BI15" i="67" s="1"/>
  <c r="BJ15" i="67" s="1"/>
  <c r="BK15" i="67" s="1"/>
  <c r="BL15" i="67" s="1"/>
  <c r="BM15" i="67" s="1"/>
  <c r="BN15" i="67" s="1"/>
  <c r="BO15" i="67" s="1"/>
  <c r="BP15" i="67" s="1"/>
  <c r="C69" i="64"/>
  <c r="D69" i="64" s="1"/>
  <c r="AE15" i="67" s="1"/>
  <c r="AF15" i="67" s="1"/>
  <c r="AG15" i="67" s="1"/>
  <c r="AH15" i="67" s="1"/>
  <c r="AI15" i="67" s="1"/>
  <c r="AJ15" i="67" s="1"/>
  <c r="AK15" i="67" s="1"/>
  <c r="AL15" i="67" s="1"/>
  <c r="AM15" i="67" s="1"/>
  <c r="AN15" i="67" s="1"/>
  <c r="AO15" i="67" s="1"/>
  <c r="AP15" i="67" s="1"/>
  <c r="D55" i="64"/>
  <c r="I55" i="64" s="1"/>
  <c r="U15" i="67" s="1"/>
  <c r="C30" i="64"/>
  <c r="C55" i="64"/>
  <c r="C92" i="64"/>
  <c r="D92" i="64" s="1"/>
  <c r="BE12" i="67" s="1"/>
  <c r="BF12" i="67" s="1"/>
  <c r="BG12" i="67" s="1"/>
  <c r="BH12" i="67" s="1"/>
  <c r="BI12" i="67" s="1"/>
  <c r="BJ12" i="67" s="1"/>
  <c r="BK12" i="67" s="1"/>
  <c r="BL12" i="67" s="1"/>
  <c r="BM12" i="67" s="1"/>
  <c r="BN12" i="67" s="1"/>
  <c r="BO12" i="67" s="1"/>
  <c r="BP12" i="67" s="1"/>
  <c r="C66" i="64"/>
  <c r="D66" i="64" s="1"/>
  <c r="AE12" i="67" s="1"/>
  <c r="AF12" i="67" s="1"/>
  <c r="AG12" i="67" s="1"/>
  <c r="AH12" i="67" s="1"/>
  <c r="AI12" i="67" s="1"/>
  <c r="AJ12" i="67" s="1"/>
  <c r="AK12" i="67" s="1"/>
  <c r="AL12" i="67" s="1"/>
  <c r="AM12" i="67" s="1"/>
  <c r="AN12" i="67" s="1"/>
  <c r="AO12" i="67" s="1"/>
  <c r="AP12" i="67" s="1"/>
  <c r="D52" i="64"/>
  <c r="I52" i="64" s="1"/>
  <c r="U12" i="67" s="1"/>
  <c r="C52" i="64"/>
  <c r="C79" i="64"/>
  <c r="D79" i="64" s="1"/>
  <c r="AR12" i="67" s="1"/>
  <c r="BA12" i="67" s="1"/>
  <c r="C90" i="64"/>
  <c r="D90" i="64" s="1"/>
  <c r="BE10" i="67" s="1"/>
  <c r="BF10" i="67" s="1"/>
  <c r="BG10" i="67" s="1"/>
  <c r="BH10" i="67" s="1"/>
  <c r="BI10" i="67" s="1"/>
  <c r="BJ10" i="67" s="1"/>
  <c r="BK10" i="67" s="1"/>
  <c r="BL10" i="67" s="1"/>
  <c r="BM10" i="67" s="1"/>
  <c r="BN10" i="67" s="1"/>
  <c r="BO10" i="67" s="1"/>
  <c r="BP10" i="67" s="1"/>
  <c r="C64" i="64"/>
  <c r="D64" i="64" s="1"/>
  <c r="AE10" i="67" s="1"/>
  <c r="AF10" i="67" s="1"/>
  <c r="AG10" i="67" s="1"/>
  <c r="AH10" i="67" s="1"/>
  <c r="AI10" i="67" s="1"/>
  <c r="AJ10" i="67" s="1"/>
  <c r="AK10" i="67" s="1"/>
  <c r="AL10" i="67" s="1"/>
  <c r="AM10" i="67" s="1"/>
  <c r="AN10" i="67" s="1"/>
  <c r="AO10" i="67" s="1"/>
  <c r="AP10" i="67" s="1"/>
  <c r="C77" i="64"/>
  <c r="D77" i="64" s="1"/>
  <c r="AR10" i="67" s="1"/>
  <c r="AY10" i="67" s="1"/>
  <c r="C17" i="64"/>
  <c r="D14" i="64" s="1"/>
  <c r="E14" i="64" s="1"/>
  <c r="E53" i="64" s="1"/>
  <c r="C51" i="64"/>
  <c r="C68" i="64"/>
  <c r="D68" i="64" s="1"/>
  <c r="AE14" i="67" s="1"/>
  <c r="AF14" i="67" s="1"/>
  <c r="AG14" i="67" s="1"/>
  <c r="AH14" i="67" s="1"/>
  <c r="AI14" i="67" s="1"/>
  <c r="AJ14" i="67" s="1"/>
  <c r="AK14" i="67" s="1"/>
  <c r="AL14" i="67" s="1"/>
  <c r="AM14" i="67" s="1"/>
  <c r="AN14" i="67" s="1"/>
  <c r="AO14" i="67" s="1"/>
  <c r="AP14" i="67" s="1"/>
  <c r="J139" i="44"/>
  <c r="J138" i="44"/>
  <c r="I40" i="45"/>
  <c r="O118" i="54" s="1"/>
  <c r="O123" i="54" s="1"/>
  <c r="H40" i="45"/>
  <c r="O311" i="46" s="1"/>
  <c r="O315" i="46" s="1"/>
  <c r="G40" i="45"/>
  <c r="H50" i="45" s="1"/>
  <c r="I39" i="45"/>
  <c r="N118" i="54" s="1"/>
  <c r="H39" i="45"/>
  <c r="N311" i="46" s="1"/>
  <c r="N315" i="46" s="1"/>
  <c r="G39" i="45"/>
  <c r="N230" i="46" s="1"/>
  <c r="N233" i="46" s="1"/>
  <c r="I38" i="45"/>
  <c r="M118" i="54" s="1"/>
  <c r="M123" i="54" s="1"/>
  <c r="H38" i="45"/>
  <c r="M311" i="46" s="1"/>
  <c r="M315" i="46" s="1"/>
  <c r="G38" i="45"/>
  <c r="M230" i="46" s="1"/>
  <c r="M233" i="46" s="1"/>
  <c r="I37" i="45"/>
  <c r="L118" i="54" s="1"/>
  <c r="L123" i="54" s="1"/>
  <c r="H37" i="45"/>
  <c r="L311" i="46" s="1"/>
  <c r="L315" i="46" s="1"/>
  <c r="G37" i="45"/>
  <c r="L230" i="46" s="1"/>
  <c r="L233" i="46" s="1"/>
  <c r="F37" i="45"/>
  <c r="L150" i="46" s="1"/>
  <c r="L152" i="46" s="1"/>
  <c r="I36" i="45"/>
  <c r="K118" i="54" s="1"/>
  <c r="K123" i="54" s="1"/>
  <c r="H36" i="45"/>
  <c r="K311" i="46" s="1"/>
  <c r="K315" i="46" s="1"/>
  <c r="G36" i="45"/>
  <c r="H46" i="45" s="1"/>
  <c r="I35" i="45"/>
  <c r="J118" i="54" s="1"/>
  <c r="J123" i="54" s="1"/>
  <c r="H35" i="45"/>
  <c r="J311" i="46" s="1"/>
  <c r="J315" i="46" s="1"/>
  <c r="G35" i="45"/>
  <c r="H45" i="45" s="1"/>
  <c r="I34" i="45"/>
  <c r="I118" i="54" s="1"/>
  <c r="I123" i="54" s="1"/>
  <c r="H34" i="45"/>
  <c r="I311" i="46" s="1"/>
  <c r="G34" i="45"/>
  <c r="I33" i="45"/>
  <c r="H118" i="54" s="1"/>
  <c r="H33" i="45"/>
  <c r="H311" i="46" s="1"/>
  <c r="H315" i="46" s="1"/>
  <c r="G33" i="45"/>
  <c r="F33" i="45"/>
  <c r="K19" i="45"/>
  <c r="J19" i="45"/>
  <c r="I19" i="45"/>
  <c r="H19" i="45"/>
  <c r="G19" i="45"/>
  <c r="F19" i="45"/>
  <c r="F40" i="45" s="1"/>
  <c r="E19" i="45"/>
  <c r="E37" i="45" s="1"/>
  <c r="L72" i="46" s="1"/>
  <c r="L73" i="46" s="1"/>
  <c r="D19" i="45"/>
  <c r="J26" i="44"/>
  <c r="K94" i="44"/>
  <c r="AS14" i="67" l="1"/>
  <c r="AZ14" i="67"/>
  <c r="AV14" i="67"/>
  <c r="H51" i="45"/>
  <c r="AT11" i="67"/>
  <c r="AX11" i="67"/>
  <c r="AU11" i="67"/>
  <c r="AW10" i="67"/>
  <c r="AT10" i="67"/>
  <c r="AZ11" i="67"/>
  <c r="BC10" i="67"/>
  <c r="U22" i="66"/>
  <c r="F22" i="65" s="1"/>
  <c r="I35" i="65" s="1"/>
  <c r="I48" i="65" s="1"/>
  <c r="U27" i="67" s="1"/>
  <c r="F50" i="45"/>
  <c r="AH25" i="66"/>
  <c r="I25" i="65" s="1"/>
  <c r="M38" i="65" s="1"/>
  <c r="M51" i="65" s="1"/>
  <c r="AE30" i="67" s="1"/>
  <c r="AF30" i="67" s="1"/>
  <c r="AG30" i="67" s="1"/>
  <c r="AH30" i="67" s="1"/>
  <c r="AI30" i="67" s="1"/>
  <c r="AJ30" i="67" s="1"/>
  <c r="AK30" i="67" s="1"/>
  <c r="AL30" i="67" s="1"/>
  <c r="AM30" i="67" s="1"/>
  <c r="AN30" i="67" s="1"/>
  <c r="AO30" i="67" s="1"/>
  <c r="AP30" i="67" s="1"/>
  <c r="G62" i="45"/>
  <c r="AH20" i="66"/>
  <c r="I20" i="65" s="1"/>
  <c r="M33" i="65" s="1"/>
  <c r="M46" i="65" s="1"/>
  <c r="AE25" i="67" s="1"/>
  <c r="AF25" i="67" s="1"/>
  <c r="AG25" i="67" s="1"/>
  <c r="AH25" i="67" s="1"/>
  <c r="AI25" i="67" s="1"/>
  <c r="AJ25" i="67" s="1"/>
  <c r="AK25" i="67" s="1"/>
  <c r="AL25" i="67" s="1"/>
  <c r="AM25" i="67" s="1"/>
  <c r="AN25" i="67" s="1"/>
  <c r="AO25" i="67" s="1"/>
  <c r="AP25" i="67" s="1"/>
  <c r="G45" i="45"/>
  <c r="AZ10" i="67"/>
  <c r="U20" i="66"/>
  <c r="F20" i="65" s="1"/>
  <c r="I33" i="65" s="1"/>
  <c r="I46" i="65" s="1"/>
  <c r="U25" i="67" s="1"/>
  <c r="AH22" i="66"/>
  <c r="I22" i="65" s="1"/>
  <c r="M35" i="65" s="1"/>
  <c r="M48" i="65" s="1"/>
  <c r="AE27" i="67" s="1"/>
  <c r="AF27" i="67" s="1"/>
  <c r="AG27" i="67" s="1"/>
  <c r="AH27" i="67" s="1"/>
  <c r="AI27" i="67" s="1"/>
  <c r="AJ27" i="67" s="1"/>
  <c r="AK27" i="67" s="1"/>
  <c r="AL27" i="67" s="1"/>
  <c r="AM27" i="67" s="1"/>
  <c r="AN27" i="67" s="1"/>
  <c r="AO27" i="67" s="1"/>
  <c r="AP27" i="67" s="1"/>
  <c r="G50" i="45"/>
  <c r="AH24" i="66"/>
  <c r="I24" i="65" s="1"/>
  <c r="M37" i="65" s="1"/>
  <c r="M50" i="65" s="1"/>
  <c r="AE29" i="67" s="1"/>
  <c r="AF29" i="67" s="1"/>
  <c r="AG29" i="67" s="1"/>
  <c r="AH29" i="67" s="1"/>
  <c r="AI29" i="67" s="1"/>
  <c r="AJ29" i="67" s="1"/>
  <c r="AK29" i="67" s="1"/>
  <c r="AL29" i="67" s="1"/>
  <c r="AM29" i="67" s="1"/>
  <c r="AN29" i="67" s="1"/>
  <c r="AO29" i="67" s="1"/>
  <c r="AP29" i="67" s="1"/>
  <c r="G61" i="45"/>
  <c r="AH21" i="66"/>
  <c r="I21" i="65" s="1"/>
  <c r="M34" i="65" s="1"/>
  <c r="M47" i="65" s="1"/>
  <c r="AE26" i="67" s="1"/>
  <c r="AF26" i="67" s="1"/>
  <c r="AG26" i="67" s="1"/>
  <c r="AH26" i="67" s="1"/>
  <c r="AI26" i="67" s="1"/>
  <c r="AJ26" i="67" s="1"/>
  <c r="AK26" i="67" s="1"/>
  <c r="AL26" i="67" s="1"/>
  <c r="AM26" i="67" s="1"/>
  <c r="AN26" i="67" s="1"/>
  <c r="AO26" i="67" s="1"/>
  <c r="AP26" i="67" s="1"/>
  <c r="G46" i="45"/>
  <c r="U23" i="66"/>
  <c r="F23" i="65" s="1"/>
  <c r="F60" i="45"/>
  <c r="AH23" i="66"/>
  <c r="I23" i="65" s="1"/>
  <c r="G60" i="45"/>
  <c r="BB10" i="67"/>
  <c r="U21" i="66"/>
  <c r="F21" i="65" s="1"/>
  <c r="I34" i="65" s="1"/>
  <c r="I47" i="65" s="1"/>
  <c r="U26" i="67" s="1"/>
  <c r="AY15" i="67"/>
  <c r="AX15" i="67"/>
  <c r="BB12" i="67"/>
  <c r="BC12" i="67"/>
  <c r="BC15" i="67"/>
  <c r="AW14" i="67"/>
  <c r="AU15" i="67"/>
  <c r="BB15" i="67"/>
  <c r="AW12" i="67"/>
  <c r="AX10" i="67"/>
  <c r="AU10" i="67"/>
  <c r="AS10" i="67"/>
  <c r="AS15" i="67"/>
  <c r="BC14" i="67"/>
  <c r="AX14" i="67"/>
  <c r="AW11" i="67"/>
  <c r="AS11" i="67"/>
  <c r="AY11" i="67"/>
  <c r="AV12" i="67"/>
  <c r="AW15" i="67"/>
  <c r="AZ15" i="67"/>
  <c r="AX12" i="67"/>
  <c r="AU12" i="67"/>
  <c r="AT14" i="67"/>
  <c r="AU14" i="67"/>
  <c r="AT12" i="67"/>
  <c r="AV11" i="67"/>
  <c r="AT15" i="67"/>
  <c r="AS12" i="67"/>
  <c r="AY12" i="67"/>
  <c r="AV10" i="67"/>
  <c r="BA10" i="67"/>
  <c r="BA15" i="67"/>
  <c r="AY14" i="67"/>
  <c r="BA14" i="67"/>
  <c r="BC11" i="67"/>
  <c r="BA11" i="67"/>
  <c r="AZ12" i="67"/>
  <c r="D37" i="65"/>
  <c r="D50" i="65" s="1"/>
  <c r="E29" i="67" s="1"/>
  <c r="O69" i="46"/>
  <c r="O70" i="46" s="1"/>
  <c r="I230" i="46"/>
  <c r="H44" i="45"/>
  <c r="H230" i="46"/>
  <c r="H233" i="46" s="1"/>
  <c r="H43" i="45"/>
  <c r="K230" i="46"/>
  <c r="K233" i="46" s="1"/>
  <c r="J230" i="46"/>
  <c r="J233" i="46" s="1"/>
  <c r="O230" i="46"/>
  <c r="O233" i="46" s="1"/>
  <c r="O150" i="46"/>
  <c r="H150" i="46"/>
  <c r="H152" i="46" s="1"/>
  <c r="D31" i="65"/>
  <c r="F31" i="65" s="1"/>
  <c r="N48" i="65"/>
  <c r="AR27" i="67" s="1"/>
  <c r="BA27" i="67" s="1"/>
  <c r="N46" i="65"/>
  <c r="AR25" i="67" s="1"/>
  <c r="BC25" i="67" s="1"/>
  <c r="P72" i="65"/>
  <c r="Q72" i="65" s="1"/>
  <c r="E74" i="65"/>
  <c r="F74" i="65" s="1"/>
  <c r="H74" i="65" s="1"/>
  <c r="BE27" i="67" s="1"/>
  <c r="BF27" i="67" s="1"/>
  <c r="BG27" i="67" s="1"/>
  <c r="BH27" i="67" s="1"/>
  <c r="BI27" i="67" s="1"/>
  <c r="BJ27" i="67" s="1"/>
  <c r="BK27" i="67" s="1"/>
  <c r="BL27" i="67" s="1"/>
  <c r="BM27" i="67" s="1"/>
  <c r="BN27" i="67" s="1"/>
  <c r="BO27" i="67" s="1"/>
  <c r="BP27" i="67" s="1"/>
  <c r="D35" i="65"/>
  <c r="F35" i="65" s="1"/>
  <c r="E72" i="65"/>
  <c r="F72" i="65" s="1"/>
  <c r="H72" i="65" s="1"/>
  <c r="BE25" i="67" s="1"/>
  <c r="BF25" i="67" s="1"/>
  <c r="BG25" i="67" s="1"/>
  <c r="BH25" i="67" s="1"/>
  <c r="BI25" i="67" s="1"/>
  <c r="BJ25" i="67" s="1"/>
  <c r="BK25" i="67" s="1"/>
  <c r="BL25" i="67" s="1"/>
  <c r="BM25" i="67" s="1"/>
  <c r="BN25" i="67" s="1"/>
  <c r="BO25" i="67" s="1"/>
  <c r="BP25" i="67" s="1"/>
  <c r="D36" i="65"/>
  <c r="D49" i="65" s="1"/>
  <c r="E28" i="67" s="1"/>
  <c r="E73" i="65"/>
  <c r="F73" i="65" s="1"/>
  <c r="H73" i="65" s="1"/>
  <c r="BE26" i="67" s="1"/>
  <c r="BF26" i="67" s="1"/>
  <c r="BG26" i="67" s="1"/>
  <c r="BH26" i="67" s="1"/>
  <c r="BI26" i="67" s="1"/>
  <c r="BJ26" i="67" s="1"/>
  <c r="BK26" i="67" s="1"/>
  <c r="BL26" i="67" s="1"/>
  <c r="BM26" i="67" s="1"/>
  <c r="BN26" i="67" s="1"/>
  <c r="BO26" i="67" s="1"/>
  <c r="BP26" i="67" s="1"/>
  <c r="N50" i="65"/>
  <c r="AR29" i="67" s="1"/>
  <c r="AZ29" i="67" s="1"/>
  <c r="P76" i="65"/>
  <c r="Q76" i="65" s="1"/>
  <c r="H38" i="65"/>
  <c r="H51" i="65" s="1"/>
  <c r="R30" i="67" s="1"/>
  <c r="S30" i="67" s="1"/>
  <c r="T30" i="67" s="1"/>
  <c r="I38" i="65"/>
  <c r="I51" i="65" s="1"/>
  <c r="U30" i="67" s="1"/>
  <c r="J38" i="65"/>
  <c r="J51" i="65" s="1"/>
  <c r="W30" i="67" s="1"/>
  <c r="X30" i="67" s="1"/>
  <c r="Y30" i="67" s="1"/>
  <c r="Z30" i="67" s="1"/>
  <c r="AA30" i="67" s="1"/>
  <c r="AB30" i="67" s="1"/>
  <c r="AC30" i="67" s="1"/>
  <c r="H37" i="65"/>
  <c r="H50" i="65" s="1"/>
  <c r="R29" i="67" s="1"/>
  <c r="S29" i="67" s="1"/>
  <c r="T29" i="67" s="1"/>
  <c r="J37" i="65"/>
  <c r="J50" i="65" s="1"/>
  <c r="V29" i="67" s="1"/>
  <c r="I37" i="65"/>
  <c r="I50" i="65" s="1"/>
  <c r="U29" i="67" s="1"/>
  <c r="I225" i="46"/>
  <c r="P192" i="46"/>
  <c r="F34" i="45"/>
  <c r="E35" i="45"/>
  <c r="J72" i="46" s="1"/>
  <c r="F38" i="45"/>
  <c r="M150" i="46" s="1"/>
  <c r="M152" i="46" s="1"/>
  <c r="E39" i="45"/>
  <c r="N72" i="46" s="1"/>
  <c r="N73" i="46" s="1"/>
  <c r="N123" i="54"/>
  <c r="F18" i="65"/>
  <c r="AQ5" i="66"/>
  <c r="AH11" i="66"/>
  <c r="H24" i="65" s="1"/>
  <c r="BI7" i="66"/>
  <c r="D72" i="65" s="1"/>
  <c r="O152" i="46"/>
  <c r="O148" i="46"/>
  <c r="F20" i="3"/>
  <c r="AE7" i="66"/>
  <c r="E34" i="45"/>
  <c r="I72" i="46" s="1"/>
  <c r="I73" i="46" s="1"/>
  <c r="K148" i="46"/>
  <c r="I307" i="46"/>
  <c r="P306" i="46"/>
  <c r="F35" i="45"/>
  <c r="E36" i="45"/>
  <c r="K72" i="46" s="1"/>
  <c r="F39" i="45"/>
  <c r="N150" i="46" s="1"/>
  <c r="N152" i="46" s="1"/>
  <c r="E40" i="45"/>
  <c r="N47" i="65"/>
  <c r="AR26" i="67" s="1"/>
  <c r="AU26" i="66"/>
  <c r="O70" i="65"/>
  <c r="O78" i="65" s="1"/>
  <c r="AQ9" i="66"/>
  <c r="BD25" i="66"/>
  <c r="M19" i="3"/>
  <c r="I19" i="3"/>
  <c r="K19" i="3"/>
  <c r="L19" i="3"/>
  <c r="J19" i="3"/>
  <c r="E32" i="65"/>
  <c r="E45" i="65" s="1"/>
  <c r="I24" i="67" s="1"/>
  <c r="J24" i="67" s="1"/>
  <c r="K24" i="67" s="1"/>
  <c r="L24" i="67" s="1"/>
  <c r="M24" i="67" s="1"/>
  <c r="N24" i="67" s="1"/>
  <c r="O24" i="67" s="1"/>
  <c r="P24" i="67" s="1"/>
  <c r="S35" i="3"/>
  <c r="V35" i="3"/>
  <c r="T35" i="3"/>
  <c r="R35" i="3"/>
  <c r="U35" i="3"/>
  <c r="I146" i="46"/>
  <c r="P145" i="46"/>
  <c r="P147" i="46"/>
  <c r="J148" i="46"/>
  <c r="E38" i="45"/>
  <c r="M72" i="46" s="1"/>
  <c r="M73" i="46" s="1"/>
  <c r="K21" i="3"/>
  <c r="I21" i="3"/>
  <c r="J21" i="3"/>
  <c r="M21" i="3"/>
  <c r="L21" i="3"/>
  <c r="E33" i="45"/>
  <c r="H72" i="46" s="1"/>
  <c r="H73" i="46" s="1"/>
  <c r="H123" i="54"/>
  <c r="F36" i="45"/>
  <c r="K69" i="46"/>
  <c r="K73" i="46" s="1"/>
  <c r="P42" i="46"/>
  <c r="P112" i="46"/>
  <c r="S18" i="66"/>
  <c r="S26" i="66" s="1"/>
  <c r="S23" i="66"/>
  <c r="Q19" i="3"/>
  <c r="AD10" i="67"/>
  <c r="AQ10" i="67" s="1"/>
  <c r="E38" i="65"/>
  <c r="E51" i="65" s="1"/>
  <c r="I30" i="67" s="1"/>
  <c r="J30" i="67" s="1"/>
  <c r="K30" i="67" s="1"/>
  <c r="L30" i="67" s="1"/>
  <c r="M30" i="67" s="1"/>
  <c r="N30" i="67" s="1"/>
  <c r="O30" i="67" s="1"/>
  <c r="P30" i="67" s="1"/>
  <c r="P51" i="46"/>
  <c r="F54" i="64"/>
  <c r="J54" i="64"/>
  <c r="V14" i="67" s="1"/>
  <c r="H24" i="66"/>
  <c r="P18" i="3"/>
  <c r="D33" i="65"/>
  <c r="F33" i="65" s="1"/>
  <c r="I68" i="46"/>
  <c r="P67" i="46"/>
  <c r="P64" i="46"/>
  <c r="J69" i="46"/>
  <c r="AH9" i="66"/>
  <c r="H22" i="65" s="1"/>
  <c r="AU11" i="66"/>
  <c r="N76" i="65" s="1"/>
  <c r="AH10" i="66"/>
  <c r="H23" i="65" s="1"/>
  <c r="M36" i="65" s="1"/>
  <c r="M49" i="65" s="1"/>
  <c r="AE28" i="67" s="1"/>
  <c r="AF28" i="67" s="1"/>
  <c r="AG28" i="67" s="1"/>
  <c r="AH28" i="67" s="1"/>
  <c r="AI28" i="67" s="1"/>
  <c r="AJ28" i="67" s="1"/>
  <c r="AK28" i="67" s="1"/>
  <c r="AL28" i="67" s="1"/>
  <c r="AM28" i="67" s="1"/>
  <c r="AN28" i="67" s="1"/>
  <c r="AO28" i="67" s="1"/>
  <c r="AP28" i="67" s="1"/>
  <c r="AS26" i="66"/>
  <c r="AG13" i="66"/>
  <c r="F19" i="3" s="1"/>
  <c r="AU10" i="66"/>
  <c r="N75" i="65" s="1"/>
  <c r="N36" i="65" s="1"/>
  <c r="N49" i="65" s="1"/>
  <c r="AR28" i="67" s="1"/>
  <c r="AZ28" i="67" s="1"/>
  <c r="AU9" i="66"/>
  <c r="N74" i="65" s="1"/>
  <c r="AU7" i="66"/>
  <c r="N72" i="65" s="1"/>
  <c r="BI26" i="66"/>
  <c r="BC13" i="66"/>
  <c r="D35" i="3" s="1"/>
  <c r="I7" i="66"/>
  <c r="C26" i="65"/>
  <c r="H23" i="66"/>
  <c r="J36" i="65"/>
  <c r="J49" i="65" s="1"/>
  <c r="I8" i="66"/>
  <c r="J32" i="65"/>
  <c r="J45" i="65" s="1"/>
  <c r="AH12" i="66"/>
  <c r="H25" i="65" s="1"/>
  <c r="D34" i="65"/>
  <c r="I36" i="65"/>
  <c r="I49" i="65" s="1"/>
  <c r="U28" i="67" s="1"/>
  <c r="D26" i="65"/>
  <c r="I32" i="65"/>
  <c r="I45" i="65" s="1"/>
  <c r="U24" i="67" s="1"/>
  <c r="M31" i="65"/>
  <c r="I9" i="66"/>
  <c r="I6" i="66"/>
  <c r="I11" i="66"/>
  <c r="BI12" i="66"/>
  <c r="D77" i="65" s="1"/>
  <c r="I12" i="66"/>
  <c r="BI9" i="66"/>
  <c r="D74" i="65" s="1"/>
  <c r="N51" i="65"/>
  <c r="AR30" i="67" s="1"/>
  <c r="I21" i="66"/>
  <c r="BI10" i="66"/>
  <c r="D75" i="65" s="1"/>
  <c r="F75" i="65" s="1"/>
  <c r="H75" i="65" s="1"/>
  <c r="H19" i="66"/>
  <c r="I22" i="66"/>
  <c r="H21" i="66"/>
  <c r="H25" i="66"/>
  <c r="H13" i="66"/>
  <c r="I25" i="66"/>
  <c r="D9" i="64"/>
  <c r="E9" i="64" s="1"/>
  <c r="E48" i="64" s="1"/>
  <c r="D11" i="64"/>
  <c r="E11" i="64" s="1"/>
  <c r="D24" i="64" s="1"/>
  <c r="E59" i="44" s="1"/>
  <c r="BE26" i="66"/>
  <c r="T18" i="3" s="1"/>
  <c r="I20" i="66"/>
  <c r="H22" i="66"/>
  <c r="H20" i="66"/>
  <c r="H18" i="66"/>
  <c r="AR13" i="66"/>
  <c r="G18" i="3" s="1"/>
  <c r="AF26" i="66"/>
  <c r="R18" i="3" s="1"/>
  <c r="I19" i="66"/>
  <c r="I23" i="66"/>
  <c r="M23" i="67"/>
  <c r="BJ23" i="67"/>
  <c r="BE13" i="66"/>
  <c r="H18" i="3" s="1"/>
  <c r="AF13" i="66"/>
  <c r="F18" i="3" s="1"/>
  <c r="T26" i="66"/>
  <c r="Q18" i="3" s="1"/>
  <c r="AQ11" i="66"/>
  <c r="AQ10" i="66"/>
  <c r="AQ12" i="66"/>
  <c r="AT13" i="66"/>
  <c r="G20" i="3" s="1"/>
  <c r="BD26" i="66"/>
  <c r="AS13" i="66"/>
  <c r="G19" i="3" s="1"/>
  <c r="AU5" i="66"/>
  <c r="N70" i="65" s="1"/>
  <c r="AE22" i="66"/>
  <c r="AE21" i="66"/>
  <c r="AE20" i="66"/>
  <c r="AE19" i="66"/>
  <c r="AE25" i="66"/>
  <c r="AE23" i="66"/>
  <c r="AE18" i="66"/>
  <c r="BG26" i="66"/>
  <c r="T13" i="66"/>
  <c r="E18" i="3" s="1"/>
  <c r="U5" i="66"/>
  <c r="AQ8" i="66"/>
  <c r="AE13" i="66"/>
  <c r="S12" i="66"/>
  <c r="S11" i="66"/>
  <c r="S7" i="66"/>
  <c r="S6" i="66"/>
  <c r="S9" i="66"/>
  <c r="S8" i="66"/>
  <c r="AQ7" i="66"/>
  <c r="AU6" i="66"/>
  <c r="N71" i="65" s="1"/>
  <c r="N32" i="65" s="1"/>
  <c r="P71" i="65" s="1"/>
  <c r="Q71" i="65" s="1"/>
  <c r="AG26" i="66"/>
  <c r="BF26" i="66"/>
  <c r="AR26" i="66"/>
  <c r="S18" i="3" s="1"/>
  <c r="AQ25" i="66"/>
  <c r="AQ24" i="66"/>
  <c r="AQ22" i="66"/>
  <c r="AQ21" i="66"/>
  <c r="AQ20" i="66"/>
  <c r="AQ26" i="66" s="1"/>
  <c r="AQ19" i="66"/>
  <c r="AE24" i="66"/>
  <c r="S5" i="66"/>
  <c r="S10" i="66"/>
  <c r="AQ6" i="66"/>
  <c r="BH13" i="66"/>
  <c r="H21" i="3" s="1"/>
  <c r="BF13" i="66"/>
  <c r="H19" i="3" s="1"/>
  <c r="H49" i="65"/>
  <c r="R28" i="67" s="1"/>
  <c r="S28" i="67" s="1"/>
  <c r="T28" i="67" s="1"/>
  <c r="H45" i="65"/>
  <c r="R24" i="67" s="1"/>
  <c r="S24" i="67" s="1"/>
  <c r="T24" i="67" s="1"/>
  <c r="H51" i="64"/>
  <c r="R11" i="67" s="1"/>
  <c r="S11" i="67" s="1"/>
  <c r="T11" i="67" s="1"/>
  <c r="F51" i="64"/>
  <c r="F55" i="64"/>
  <c r="H55" i="64"/>
  <c r="R15" i="67" s="1"/>
  <c r="C80" i="64"/>
  <c r="D80" i="64" s="1"/>
  <c r="AR13" i="67" s="1"/>
  <c r="J53" i="64"/>
  <c r="V13" i="67" s="1"/>
  <c r="W13" i="67" s="1"/>
  <c r="X13" i="67" s="1"/>
  <c r="Y13" i="67" s="1"/>
  <c r="Z13" i="67" s="1"/>
  <c r="AA13" i="67" s="1"/>
  <c r="AB13" i="67" s="1"/>
  <c r="AC13" i="67" s="1"/>
  <c r="D53" i="64"/>
  <c r="I53" i="64" s="1"/>
  <c r="U13" i="67" s="1"/>
  <c r="C93" i="64"/>
  <c r="D93" i="64" s="1"/>
  <c r="BE13" i="67" s="1"/>
  <c r="BF13" i="67" s="1"/>
  <c r="BG13" i="67" s="1"/>
  <c r="BH13" i="67" s="1"/>
  <c r="BI13" i="67" s="1"/>
  <c r="BJ13" i="67" s="1"/>
  <c r="BK13" i="67" s="1"/>
  <c r="BL13" i="67" s="1"/>
  <c r="BM13" i="67" s="1"/>
  <c r="BN13" i="67" s="1"/>
  <c r="BO13" i="67" s="1"/>
  <c r="BP13" i="67" s="1"/>
  <c r="C67" i="64"/>
  <c r="D67" i="64" s="1"/>
  <c r="AE13" i="67" s="1"/>
  <c r="AF13" i="67" s="1"/>
  <c r="AG13" i="67" s="1"/>
  <c r="AH13" i="67" s="1"/>
  <c r="AI13" i="67" s="1"/>
  <c r="AJ13" i="67" s="1"/>
  <c r="AK13" i="67" s="1"/>
  <c r="AL13" i="67" s="1"/>
  <c r="AM13" i="67" s="1"/>
  <c r="AN13" i="67" s="1"/>
  <c r="AO13" i="67" s="1"/>
  <c r="AP13" i="67" s="1"/>
  <c r="C53" i="64"/>
  <c r="D16" i="64"/>
  <c r="E16" i="64" s="1"/>
  <c r="D12" i="64"/>
  <c r="E12" i="64" s="1"/>
  <c r="D25" i="64" s="1"/>
  <c r="F59" i="44" s="1"/>
  <c r="D10" i="64"/>
  <c r="E10" i="64" s="1"/>
  <c r="E49" i="64" s="1"/>
  <c r="H52" i="64"/>
  <c r="R12" i="67" s="1"/>
  <c r="F52" i="64"/>
  <c r="D13" i="64"/>
  <c r="E13" i="64" s="1"/>
  <c r="D26" i="64" s="1"/>
  <c r="J59" i="44" s="1"/>
  <c r="F50" i="64"/>
  <c r="D15" i="64"/>
  <c r="E15" i="64" s="1"/>
  <c r="BA25" i="67" l="1"/>
  <c r="J34" i="65"/>
  <c r="J47" i="65" s="1"/>
  <c r="V26" i="67" s="1"/>
  <c r="J35" i="65"/>
  <c r="J48" i="65" s="1"/>
  <c r="V27" i="67" s="1"/>
  <c r="H53" i="45"/>
  <c r="G51" i="45"/>
  <c r="F46" i="45"/>
  <c r="F45" i="45"/>
  <c r="BD10" i="67"/>
  <c r="BQ10" i="67" s="1"/>
  <c r="AY29" i="67"/>
  <c r="H33" i="65"/>
  <c r="H46" i="65" s="1"/>
  <c r="R25" i="67" s="1"/>
  <c r="S25" i="67" s="1"/>
  <c r="T25" i="67" s="1"/>
  <c r="U26" i="66"/>
  <c r="H34" i="65"/>
  <c r="H47" i="65" s="1"/>
  <c r="R26" i="67" s="1"/>
  <c r="S26" i="67" s="1"/>
  <c r="T26" i="67" s="1"/>
  <c r="F26" i="65"/>
  <c r="H35" i="65"/>
  <c r="H48" i="65" s="1"/>
  <c r="R27" i="67" s="1"/>
  <c r="S27" i="67" s="1"/>
  <c r="T27" i="67" s="1"/>
  <c r="J33" i="65"/>
  <c r="J46" i="65" s="1"/>
  <c r="V25" i="67" s="1"/>
  <c r="AH26" i="66"/>
  <c r="AT13" i="67"/>
  <c r="AU13" i="67"/>
  <c r="AS13" i="67"/>
  <c r="AW13" i="67"/>
  <c r="BA13" i="67"/>
  <c r="BC13" i="67"/>
  <c r="BB13" i="67"/>
  <c r="AV13" i="67"/>
  <c r="AX13" i="67"/>
  <c r="AZ13" i="67"/>
  <c r="AY13" i="67"/>
  <c r="D44" i="65"/>
  <c r="E23" i="67" s="1"/>
  <c r="F23" i="67" s="1"/>
  <c r="F37" i="65"/>
  <c r="Q24" i="67"/>
  <c r="AW27" i="67"/>
  <c r="AS27" i="67"/>
  <c r="J150" i="46"/>
  <c r="J152" i="46" s="1"/>
  <c r="I150" i="46"/>
  <c r="I152" i="46" s="1"/>
  <c r="K150" i="46"/>
  <c r="K152" i="46" s="1"/>
  <c r="AT27" i="67"/>
  <c r="BB27" i="67"/>
  <c r="AZ27" i="67"/>
  <c r="AU27" i="67"/>
  <c r="AX27" i="67"/>
  <c r="D48" i="65"/>
  <c r="E27" i="67" s="1"/>
  <c r="F27" i="67" s="1"/>
  <c r="G27" i="67" s="1"/>
  <c r="H27" i="67" s="1"/>
  <c r="AV27" i="67"/>
  <c r="BC27" i="67"/>
  <c r="AY27" i="67"/>
  <c r="W29" i="67"/>
  <c r="X29" i="67" s="1"/>
  <c r="Y29" i="67" s="1"/>
  <c r="Z29" i="67" s="1"/>
  <c r="AA29" i="67" s="1"/>
  <c r="AB29" i="67" s="1"/>
  <c r="AC29" i="67" s="1"/>
  <c r="BB25" i="67"/>
  <c r="AX25" i="67"/>
  <c r="AS25" i="67"/>
  <c r="AY25" i="67"/>
  <c r="AU25" i="67"/>
  <c r="F32" i="65"/>
  <c r="AW25" i="67"/>
  <c r="W26" i="67"/>
  <c r="X26" i="67" s="1"/>
  <c r="Y26" i="67" s="1"/>
  <c r="Z26" i="67" s="1"/>
  <c r="AA26" i="67" s="1"/>
  <c r="AB26" i="67" s="1"/>
  <c r="AC26" i="67" s="1"/>
  <c r="AZ25" i="67"/>
  <c r="AT25" i="67"/>
  <c r="AV25" i="67"/>
  <c r="D46" i="65"/>
  <c r="E25" i="67" s="1"/>
  <c r="F25" i="67" s="1"/>
  <c r="G25" i="67" s="1"/>
  <c r="H25" i="67" s="1"/>
  <c r="E52" i="65"/>
  <c r="E78" i="65"/>
  <c r="F36" i="65"/>
  <c r="V18" i="3"/>
  <c r="Y18" i="3"/>
  <c r="U18" i="3"/>
  <c r="X18" i="3"/>
  <c r="W18" i="3"/>
  <c r="K32" i="67"/>
  <c r="K35" i="67" s="1"/>
  <c r="D39" i="65"/>
  <c r="I32" i="67"/>
  <c r="I35" i="67" s="1"/>
  <c r="AW29" i="67"/>
  <c r="AV29" i="67"/>
  <c r="AS29" i="67"/>
  <c r="L37" i="65"/>
  <c r="L38" i="65"/>
  <c r="BA29" i="67"/>
  <c r="V30" i="67"/>
  <c r="BB29" i="67"/>
  <c r="AX29" i="67"/>
  <c r="AT29" i="67"/>
  <c r="K70" i="46"/>
  <c r="K81" i="46" s="1"/>
  <c r="BC29" i="67"/>
  <c r="AU29" i="67"/>
  <c r="AQ13" i="66"/>
  <c r="P123" i="54"/>
  <c r="J133" i="44"/>
  <c r="O72" i="46"/>
  <c r="O73" i="46" s="1"/>
  <c r="L20" i="3"/>
  <c r="M20" i="3"/>
  <c r="K20" i="3"/>
  <c r="J20" i="3"/>
  <c r="I20" i="3"/>
  <c r="J158" i="46"/>
  <c r="J161" i="46"/>
  <c r="J157" i="46"/>
  <c r="P148" i="46"/>
  <c r="J159" i="46"/>
  <c r="J160" i="46"/>
  <c r="I159" i="46"/>
  <c r="I158" i="46"/>
  <c r="I161" i="46"/>
  <c r="I157" i="46"/>
  <c r="I160" i="46"/>
  <c r="O159" i="46"/>
  <c r="O160" i="46"/>
  <c r="O158" i="46"/>
  <c r="O161" i="46"/>
  <c r="O157" i="46"/>
  <c r="I233" i="46"/>
  <c r="P233" i="46" s="1"/>
  <c r="I226" i="46"/>
  <c r="P225" i="46"/>
  <c r="E39" i="65"/>
  <c r="S13" i="66"/>
  <c r="J32" i="67"/>
  <c r="J35" i="67" s="1"/>
  <c r="F38" i="65"/>
  <c r="AW26" i="67"/>
  <c r="BB26" i="67"/>
  <c r="AV26" i="67"/>
  <c r="BA26" i="67"/>
  <c r="AZ26" i="67"/>
  <c r="BC26" i="67"/>
  <c r="AX26" i="67"/>
  <c r="AY26" i="67"/>
  <c r="AT26" i="67"/>
  <c r="AS26" i="67"/>
  <c r="AU26" i="67"/>
  <c r="I320" i="46"/>
  <c r="I315" i="46"/>
  <c r="P315" i="46" s="1"/>
  <c r="I319" i="46"/>
  <c r="I322" i="46"/>
  <c r="I318" i="46"/>
  <c r="I321" i="46"/>
  <c r="L32" i="67"/>
  <c r="L35" i="67" s="1"/>
  <c r="AU30" i="67"/>
  <c r="AT30" i="67"/>
  <c r="AW30" i="67"/>
  <c r="BB30" i="67"/>
  <c r="BA30" i="67"/>
  <c r="AY30" i="67"/>
  <c r="BC30" i="67"/>
  <c r="AS30" i="67"/>
  <c r="AV30" i="67"/>
  <c r="AZ30" i="67"/>
  <c r="AX30" i="67"/>
  <c r="Q30" i="67"/>
  <c r="F35" i="3"/>
  <c r="I35" i="3"/>
  <c r="G35" i="3"/>
  <c r="H35" i="3"/>
  <c r="E35" i="3"/>
  <c r="K160" i="46"/>
  <c r="K161" i="46"/>
  <c r="K159" i="46"/>
  <c r="K157" i="46"/>
  <c r="K158" i="46"/>
  <c r="I26" i="65"/>
  <c r="AD11" i="67"/>
  <c r="AQ11" i="67" s="1"/>
  <c r="BD11" i="67" s="1"/>
  <c r="BQ11" i="67" s="1"/>
  <c r="S12" i="67"/>
  <c r="T12" i="67" s="1"/>
  <c r="W14" i="67"/>
  <c r="X14" i="67" s="1"/>
  <c r="Y14" i="67" s="1"/>
  <c r="Z14" i="67" s="1"/>
  <c r="AA14" i="67" s="1"/>
  <c r="AB14" i="67" s="1"/>
  <c r="AC14" i="67" s="1"/>
  <c r="S15" i="67"/>
  <c r="T15" i="67" s="1"/>
  <c r="M39" i="65"/>
  <c r="I82" i="46"/>
  <c r="I80" i="46"/>
  <c r="I81" i="46"/>
  <c r="I79" i="46"/>
  <c r="I78" i="46"/>
  <c r="H26" i="65"/>
  <c r="J73" i="46"/>
  <c r="J70" i="46"/>
  <c r="P69" i="46"/>
  <c r="P75" i="65"/>
  <c r="Q75" i="65" s="1"/>
  <c r="AW28" i="67"/>
  <c r="AT28" i="67"/>
  <c r="AY28" i="67"/>
  <c r="AV28" i="67"/>
  <c r="AU28" i="67"/>
  <c r="BB28" i="67"/>
  <c r="AS28" i="67"/>
  <c r="AX28" i="67"/>
  <c r="BC28" i="67"/>
  <c r="BA28" i="67"/>
  <c r="BD6" i="66"/>
  <c r="BD10" i="66"/>
  <c r="BD7" i="66"/>
  <c r="BD11" i="66"/>
  <c r="BD12" i="66"/>
  <c r="BD8" i="66"/>
  <c r="BD5" i="66"/>
  <c r="BD9" i="66"/>
  <c r="W24" i="67"/>
  <c r="X24" i="67" s="1"/>
  <c r="Y24" i="67" s="1"/>
  <c r="Z24" i="67" s="1"/>
  <c r="AA24" i="67" s="1"/>
  <c r="AB24" i="67" s="1"/>
  <c r="AC24" i="67" s="1"/>
  <c r="V24" i="67"/>
  <c r="H78" i="65"/>
  <c r="BE28" i="67"/>
  <c r="W28" i="67"/>
  <c r="X28" i="67" s="1"/>
  <c r="Y28" i="67" s="1"/>
  <c r="Z28" i="67" s="1"/>
  <c r="AA28" i="67" s="1"/>
  <c r="AB28" i="67" s="1"/>
  <c r="AC28" i="67" s="1"/>
  <c r="V28" i="67"/>
  <c r="F28" i="67"/>
  <c r="G28" i="67" s="1"/>
  <c r="H28" i="67" s="1"/>
  <c r="F29" i="67"/>
  <c r="G29" i="67" s="1"/>
  <c r="H29" i="67" s="1"/>
  <c r="M44" i="65"/>
  <c r="L32" i="65"/>
  <c r="L36" i="65"/>
  <c r="AH13" i="66"/>
  <c r="I13" i="66"/>
  <c r="D78" i="65"/>
  <c r="D47" i="65"/>
  <c r="F34" i="65"/>
  <c r="F78" i="65"/>
  <c r="BI13" i="66"/>
  <c r="N45" i="65"/>
  <c r="AR24" i="67" s="1"/>
  <c r="U13" i="66"/>
  <c r="E18" i="65"/>
  <c r="N31" i="65"/>
  <c r="N78" i="65"/>
  <c r="H26" i="66"/>
  <c r="AU13" i="66"/>
  <c r="I26" i="66"/>
  <c r="BK23" i="67"/>
  <c r="M32" i="67"/>
  <c r="M35" i="67" s="1"/>
  <c r="N23" i="67"/>
  <c r="AE26" i="66"/>
  <c r="D17" i="64"/>
  <c r="H53" i="64"/>
  <c r="R13" i="67" s="1"/>
  <c r="F53" i="64"/>
  <c r="C76" i="64"/>
  <c r="D76" i="64" s="1"/>
  <c r="AR9" i="67" s="1"/>
  <c r="J49" i="64"/>
  <c r="V9" i="67" s="1"/>
  <c r="W9" i="67" s="1"/>
  <c r="X9" i="67" s="1"/>
  <c r="Y9" i="67" s="1"/>
  <c r="Z9" i="67" s="1"/>
  <c r="AA9" i="67" s="1"/>
  <c r="AB9" i="67" s="1"/>
  <c r="AC9" i="67" s="1"/>
  <c r="D49" i="64"/>
  <c r="I49" i="64" s="1"/>
  <c r="U9" i="67" s="1"/>
  <c r="C89" i="64"/>
  <c r="D89" i="64" s="1"/>
  <c r="BE9" i="67" s="1"/>
  <c r="BF9" i="67" s="1"/>
  <c r="BG9" i="67" s="1"/>
  <c r="BH9" i="67" s="1"/>
  <c r="BI9" i="67" s="1"/>
  <c r="BJ9" i="67" s="1"/>
  <c r="BK9" i="67" s="1"/>
  <c r="BL9" i="67" s="1"/>
  <c r="BM9" i="67" s="1"/>
  <c r="BN9" i="67" s="1"/>
  <c r="BO9" i="67" s="1"/>
  <c r="BP9" i="67" s="1"/>
  <c r="C63" i="64"/>
  <c r="D63" i="64" s="1"/>
  <c r="AE9" i="67" s="1"/>
  <c r="AF9" i="67" s="1"/>
  <c r="AG9" i="67" s="1"/>
  <c r="AH9" i="67" s="1"/>
  <c r="AI9" i="67" s="1"/>
  <c r="AJ9" i="67" s="1"/>
  <c r="AK9" i="67" s="1"/>
  <c r="AL9" i="67" s="1"/>
  <c r="AM9" i="67" s="1"/>
  <c r="AN9" i="67" s="1"/>
  <c r="AO9" i="67" s="1"/>
  <c r="AP9" i="67" s="1"/>
  <c r="C49" i="64"/>
  <c r="C88" i="64"/>
  <c r="C62" i="64"/>
  <c r="D48" i="64"/>
  <c r="C48" i="64"/>
  <c r="C75" i="64"/>
  <c r="E17" i="64"/>
  <c r="K81" i="44"/>
  <c r="G72" i="44"/>
  <c r="G85" i="44" s="1"/>
  <c r="G98" i="44" s="1"/>
  <c r="H72" i="44"/>
  <c r="H85" i="44" s="1"/>
  <c r="H98" i="44" s="1"/>
  <c r="I72" i="44"/>
  <c r="I85" i="44" s="1"/>
  <c r="I98" i="44" s="1"/>
  <c r="K68" i="44"/>
  <c r="W27" i="67" l="1"/>
  <c r="X27" i="67" s="1"/>
  <c r="Y27" i="67" s="1"/>
  <c r="Z27" i="67" s="1"/>
  <c r="AA27" i="67" s="1"/>
  <c r="AB27" i="67" s="1"/>
  <c r="AC27" i="67" s="1"/>
  <c r="L34" i="65"/>
  <c r="L33" i="65"/>
  <c r="P33" i="65" s="1"/>
  <c r="F51" i="45"/>
  <c r="W25" i="67"/>
  <c r="X25" i="67" s="1"/>
  <c r="Y25" i="67" s="1"/>
  <c r="Z25" i="67" s="1"/>
  <c r="AA25" i="67" s="1"/>
  <c r="AB25" i="67" s="1"/>
  <c r="AC25" i="67" s="1"/>
  <c r="K78" i="46"/>
  <c r="L35" i="65"/>
  <c r="P35" i="65" s="1"/>
  <c r="K80" i="46"/>
  <c r="BA9" i="67"/>
  <c r="BB9" i="67"/>
  <c r="AT9" i="67"/>
  <c r="AX9" i="67"/>
  <c r="BC9" i="67"/>
  <c r="AY9" i="67"/>
  <c r="AV9" i="67"/>
  <c r="AZ9" i="67"/>
  <c r="AS9" i="67"/>
  <c r="AU9" i="67"/>
  <c r="AW9" i="67"/>
  <c r="P34" i="65"/>
  <c r="P37" i="65"/>
  <c r="P152" i="46"/>
  <c r="K79" i="46"/>
  <c r="Q25" i="67"/>
  <c r="P32" i="65"/>
  <c r="K82" i="46"/>
  <c r="F39" i="65"/>
  <c r="P38" i="65"/>
  <c r="AD12" i="67"/>
  <c r="AQ12" i="67" s="1"/>
  <c r="BD12" i="67" s="1"/>
  <c r="BQ12" i="67" s="1"/>
  <c r="AD30" i="67"/>
  <c r="AQ30" i="67" s="1"/>
  <c r="BD30" i="67" s="1"/>
  <c r="BQ30" i="67" s="1"/>
  <c r="P36" i="65"/>
  <c r="AD15" i="67"/>
  <c r="AQ15" i="67" s="1"/>
  <c r="BD15" i="67" s="1"/>
  <c r="BQ15" i="67" s="1"/>
  <c r="BD13" i="66"/>
  <c r="I240" i="46"/>
  <c r="I237" i="46"/>
  <c r="I239" i="46"/>
  <c r="I241" i="46"/>
  <c r="I238" i="46"/>
  <c r="M42" i="67"/>
  <c r="AD24" i="67"/>
  <c r="AQ24" i="67" s="1"/>
  <c r="AD14" i="67"/>
  <c r="AQ14" i="67" s="1"/>
  <c r="BD14" i="67" s="1"/>
  <c r="BQ14" i="67" s="1"/>
  <c r="S13" i="67"/>
  <c r="T13" i="67" s="1"/>
  <c r="Q27" i="67"/>
  <c r="P73" i="46"/>
  <c r="Q28" i="67"/>
  <c r="AD28" i="67" s="1"/>
  <c r="J82" i="46"/>
  <c r="J78" i="46"/>
  <c r="O81" i="46"/>
  <c r="O78" i="46"/>
  <c r="J80" i="46"/>
  <c r="O82" i="46"/>
  <c r="O80" i="46"/>
  <c r="J79" i="46"/>
  <c r="O79" i="46"/>
  <c r="J81" i="46"/>
  <c r="P70" i="46"/>
  <c r="AZ24" i="67"/>
  <c r="AX24" i="67"/>
  <c r="BB24" i="67"/>
  <c r="AT24" i="67"/>
  <c r="AS24" i="67"/>
  <c r="AY24" i="67"/>
  <c r="BA24" i="67"/>
  <c r="AU24" i="67"/>
  <c r="BC24" i="67"/>
  <c r="AV24" i="67"/>
  <c r="AW24" i="67"/>
  <c r="G23" i="67"/>
  <c r="BF28" i="67"/>
  <c r="BE32" i="67"/>
  <c r="M52" i="65"/>
  <c r="AE23" i="67"/>
  <c r="D52" i="65"/>
  <c r="E26" i="67"/>
  <c r="Q29" i="67"/>
  <c r="N44" i="65"/>
  <c r="P70" i="65"/>
  <c r="N39" i="65"/>
  <c r="I31" i="65"/>
  <c r="H31" i="65"/>
  <c r="E26" i="65"/>
  <c r="J31" i="65"/>
  <c r="BL23" i="67"/>
  <c r="N32" i="67"/>
  <c r="O23" i="67"/>
  <c r="I48" i="64"/>
  <c r="U8" i="67" s="1"/>
  <c r="U17" i="67" s="1"/>
  <c r="D56" i="64"/>
  <c r="I56" i="64" s="1"/>
  <c r="E56" i="64"/>
  <c r="J56" i="64" s="1"/>
  <c r="J48" i="64"/>
  <c r="V8" i="67" s="1"/>
  <c r="C70" i="64"/>
  <c r="D70" i="64" s="1"/>
  <c r="D62" i="64"/>
  <c r="AE8" i="67" s="1"/>
  <c r="D75" i="64"/>
  <c r="AR8" i="67" s="1"/>
  <c r="C83" i="64"/>
  <c r="D83" i="64" s="1"/>
  <c r="C96" i="64"/>
  <c r="D96" i="64" s="1"/>
  <c r="D88" i="64"/>
  <c r="BE8" i="67" s="1"/>
  <c r="C56" i="64"/>
  <c r="H48" i="64"/>
  <c r="R8" i="67" s="1"/>
  <c r="F48" i="64"/>
  <c r="H49" i="64"/>
  <c r="R9" i="67" s="1"/>
  <c r="F49" i="64"/>
  <c r="K55" i="44"/>
  <c r="E51" i="44"/>
  <c r="E64" i="44" s="1"/>
  <c r="E77" i="44" s="1"/>
  <c r="E90" i="44" s="1"/>
  <c r="J43" i="44"/>
  <c r="J45" i="44" s="1"/>
  <c r="J38" i="44"/>
  <c r="J41" i="44" s="1"/>
  <c r="I38" i="44"/>
  <c r="H38" i="44"/>
  <c r="G38" i="44"/>
  <c r="F38" i="44"/>
  <c r="E38" i="44"/>
  <c r="D38" i="44"/>
  <c r="C38" i="44"/>
  <c r="AD27" i="67" l="1"/>
  <c r="AQ27" i="67" s="1"/>
  <c r="I51" i="45"/>
  <c r="H52" i="45"/>
  <c r="F52" i="45"/>
  <c r="G52" i="45"/>
  <c r="AD25" i="67"/>
  <c r="AQ25" i="67" s="1"/>
  <c r="BD25" i="67" s="1"/>
  <c r="BQ25" i="67" s="1"/>
  <c r="D60" i="65" s="1"/>
  <c r="BE17" i="67"/>
  <c r="BE35" i="67" s="1"/>
  <c r="BF8" i="67"/>
  <c r="AF8" i="67"/>
  <c r="AE17" i="67"/>
  <c r="AX8" i="67"/>
  <c r="AX17" i="67" s="1"/>
  <c r="AS8" i="67"/>
  <c r="AS17" i="67" s="1"/>
  <c r="AT8" i="67"/>
  <c r="AT17" i="67" s="1"/>
  <c r="AZ8" i="67"/>
  <c r="AZ17" i="67" s="1"/>
  <c r="AY8" i="67"/>
  <c r="AY17" i="67" s="1"/>
  <c r="AR17" i="67"/>
  <c r="BA8" i="67"/>
  <c r="BA17" i="67" s="1"/>
  <c r="AU8" i="67"/>
  <c r="AU17" i="67" s="1"/>
  <c r="AV8" i="67"/>
  <c r="AV17" i="67" s="1"/>
  <c r="BB8" i="67"/>
  <c r="BB17" i="67" s="1"/>
  <c r="AW8" i="67"/>
  <c r="AW17" i="67" s="1"/>
  <c r="BC8" i="67"/>
  <c r="BC17" i="67" s="1"/>
  <c r="AD13" i="67"/>
  <c r="AQ13" i="67" s="1"/>
  <c r="BD13" i="67" s="1"/>
  <c r="BQ13" i="67" s="1"/>
  <c r="S8" i="67"/>
  <c r="R17" i="67"/>
  <c r="W8" i="67"/>
  <c r="V17" i="67"/>
  <c r="S9" i="67"/>
  <c r="T9" i="67" s="1"/>
  <c r="BD24" i="67"/>
  <c r="BQ24" i="67" s="1"/>
  <c r="AQ28" i="67"/>
  <c r="N52" i="65"/>
  <c r="AR23" i="67"/>
  <c r="AD29" i="67"/>
  <c r="AQ29" i="67" s="1"/>
  <c r="BD29" i="67" s="1"/>
  <c r="BQ29" i="67" s="1"/>
  <c r="D64" i="65" s="1"/>
  <c r="BG28" i="67"/>
  <c r="BF32" i="67"/>
  <c r="H23" i="67"/>
  <c r="F26" i="67"/>
  <c r="E32" i="67"/>
  <c r="E35" i="67" s="1"/>
  <c r="E37" i="67" s="1"/>
  <c r="AF23" i="67"/>
  <c r="AE32" i="67"/>
  <c r="H39" i="65"/>
  <c r="H44" i="65"/>
  <c r="L31" i="65"/>
  <c r="J44" i="65"/>
  <c r="J39" i="65"/>
  <c r="Q70" i="65"/>
  <c r="Q78" i="65" s="1"/>
  <c r="P78" i="65"/>
  <c r="D65" i="65"/>
  <c r="K38" i="44"/>
  <c r="J39" i="44" s="1"/>
  <c r="I44" i="65"/>
  <c r="I39" i="65"/>
  <c r="F56" i="64"/>
  <c r="D99" i="64" s="1"/>
  <c r="K141" i="44" s="1"/>
  <c r="O32" i="67"/>
  <c r="O35" i="67" s="1"/>
  <c r="P23" i="67"/>
  <c r="P32" i="67" s="1"/>
  <c r="P35" i="67" s="1"/>
  <c r="N35" i="67"/>
  <c r="BM23" i="67"/>
  <c r="H56" i="64"/>
  <c r="C57" i="64"/>
  <c r="I52" i="45" l="1"/>
  <c r="AE35" i="67"/>
  <c r="AG8" i="67"/>
  <c r="AF17" i="67"/>
  <c r="BF17" i="67"/>
  <c r="BF35" i="67" s="1"/>
  <c r="BG8" i="67"/>
  <c r="AD9" i="67"/>
  <c r="AQ9" i="67" s="1"/>
  <c r="BD9" i="67" s="1"/>
  <c r="BQ9" i="67" s="1"/>
  <c r="D59" i="65" s="1"/>
  <c r="X8" i="67"/>
  <c r="W17" i="67"/>
  <c r="T8" i="67"/>
  <c r="T17" i="67" s="1"/>
  <c r="S17" i="67"/>
  <c r="I52" i="65"/>
  <c r="U23" i="67"/>
  <c r="U32" i="67" s="1"/>
  <c r="U35" i="67" s="1"/>
  <c r="J52" i="65"/>
  <c r="V23" i="67"/>
  <c r="V32" i="67" s="1"/>
  <c r="V35" i="67" s="1"/>
  <c r="W23" i="67"/>
  <c r="G26" i="67"/>
  <c r="F32" i="67"/>
  <c r="F35" i="67" s="1"/>
  <c r="AG23" i="67"/>
  <c r="AF32" i="67"/>
  <c r="AF35" i="67" s="1"/>
  <c r="BH28" i="67"/>
  <c r="BG32" i="67"/>
  <c r="H52" i="65"/>
  <c r="R23" i="67"/>
  <c r="F39" i="67"/>
  <c r="F40" i="67" s="1"/>
  <c r="BD27" i="67"/>
  <c r="BQ27" i="67" s="1"/>
  <c r="AY23" i="67"/>
  <c r="AY32" i="67" s="1"/>
  <c r="AY35" i="67" s="1"/>
  <c r="BB23" i="67"/>
  <c r="BB32" i="67" s="1"/>
  <c r="BB35" i="67" s="1"/>
  <c r="AU23" i="67"/>
  <c r="AU32" i="67" s="1"/>
  <c r="AU35" i="67" s="1"/>
  <c r="AW23" i="67"/>
  <c r="AW32" i="67" s="1"/>
  <c r="AW35" i="67" s="1"/>
  <c r="AT23" i="67"/>
  <c r="AT32" i="67" s="1"/>
  <c r="AT35" i="67" s="1"/>
  <c r="AS23" i="67"/>
  <c r="AS32" i="67" s="1"/>
  <c r="AS35" i="67" s="1"/>
  <c r="BA23" i="67"/>
  <c r="BA32" i="67" s="1"/>
  <c r="BA35" i="67" s="1"/>
  <c r="AV23" i="67"/>
  <c r="AV32" i="67" s="1"/>
  <c r="AV35" i="67" s="1"/>
  <c r="AZ23" i="67"/>
  <c r="AZ32" i="67" s="1"/>
  <c r="AZ35" i="67" s="1"/>
  <c r="AR32" i="67"/>
  <c r="AR35" i="67" s="1"/>
  <c r="BC23" i="67"/>
  <c r="BC32" i="67" s="1"/>
  <c r="BC35" i="67" s="1"/>
  <c r="AX23" i="67"/>
  <c r="AX32" i="67" s="1"/>
  <c r="AX35" i="67" s="1"/>
  <c r="BD28" i="67"/>
  <c r="P31" i="65"/>
  <c r="P39" i="65" s="1"/>
  <c r="L39" i="65"/>
  <c r="P42" i="67"/>
  <c r="BN23" i="67"/>
  <c r="Q23" i="67"/>
  <c r="J52" i="45" l="1"/>
  <c r="L52" i="45" s="1"/>
  <c r="AT42" i="67"/>
  <c r="AG17" i="67"/>
  <c r="AH8" i="67"/>
  <c r="BG17" i="67"/>
  <c r="BG35" i="67" s="1"/>
  <c r="BG42" i="67" s="1"/>
  <c r="BH8" i="67"/>
  <c r="AZ42" i="67"/>
  <c r="X17" i="67"/>
  <c r="Y8" i="67"/>
  <c r="BC42" i="67"/>
  <c r="AW42" i="67"/>
  <c r="D62" i="65"/>
  <c r="S23" i="67"/>
  <c r="R32" i="67"/>
  <c r="R35" i="67" s="1"/>
  <c r="H26" i="67"/>
  <c r="H32" i="67" s="1"/>
  <c r="H35" i="67" s="1"/>
  <c r="J42" i="67" s="1"/>
  <c r="G32" i="67"/>
  <c r="G35" i="67" s="1"/>
  <c r="G42" i="67" s="1"/>
  <c r="AG32" i="67"/>
  <c r="AH23" i="67"/>
  <c r="W32" i="67"/>
  <c r="W35" i="67" s="1"/>
  <c r="W42" i="67" s="1"/>
  <c r="X23" i="67"/>
  <c r="F37" i="67"/>
  <c r="BI28" i="67"/>
  <c r="BH32" i="67"/>
  <c r="BO23" i="67"/>
  <c r="AI8" i="67" l="1"/>
  <c r="AH17" i="67"/>
  <c r="BH17" i="67"/>
  <c r="BH35" i="67" s="1"/>
  <c r="BI8" i="67"/>
  <c r="AG35" i="67"/>
  <c r="AG42" i="67" s="1"/>
  <c r="Q26" i="67"/>
  <c r="AD26" i="67" s="1"/>
  <c r="AQ26" i="67" s="1"/>
  <c r="Z8" i="67"/>
  <c r="Y17" i="67"/>
  <c r="BJ28" i="67"/>
  <c r="BI32" i="67"/>
  <c r="AH32" i="67"/>
  <c r="AI23" i="67"/>
  <c r="T23" i="67"/>
  <c r="S32" i="67"/>
  <c r="S35" i="67" s="1"/>
  <c r="X32" i="67"/>
  <c r="X35" i="67" s="1"/>
  <c r="Y23" i="67"/>
  <c r="G39" i="67"/>
  <c r="G37" i="67"/>
  <c r="BP23" i="67"/>
  <c r="AH35" i="67" l="1"/>
  <c r="Q32" i="67"/>
  <c r="AI17" i="67"/>
  <c r="AJ8" i="67"/>
  <c r="BI17" i="67"/>
  <c r="BI35" i="67" s="1"/>
  <c r="BJ8" i="67"/>
  <c r="Z17" i="67"/>
  <c r="AA8" i="67"/>
  <c r="AI32" i="67"/>
  <c r="AJ23" i="67"/>
  <c r="BD26" i="67"/>
  <c r="BQ26" i="67" s="1"/>
  <c r="H39" i="67"/>
  <c r="H37" i="67"/>
  <c r="G43" i="67"/>
  <c r="G40" i="67"/>
  <c r="Y32" i="67"/>
  <c r="Y35" i="67" s="1"/>
  <c r="Z23" i="67"/>
  <c r="T32" i="67"/>
  <c r="T35" i="67" s="1"/>
  <c r="T42" i="67" s="1"/>
  <c r="BK28" i="67"/>
  <c r="BJ32" i="67"/>
  <c r="AI35" i="67" l="1"/>
  <c r="R37" i="67"/>
  <c r="Q33" i="67"/>
  <c r="AJ17" i="67"/>
  <c r="AK8" i="67"/>
  <c r="BJ17" i="67"/>
  <c r="BJ35" i="67" s="1"/>
  <c r="BJ42" i="67" s="1"/>
  <c r="BK8" i="67"/>
  <c r="H40" i="67"/>
  <c r="AA17" i="67"/>
  <c r="AB8" i="67"/>
  <c r="BL28" i="67"/>
  <c r="BK32" i="67"/>
  <c r="I39" i="67"/>
  <c r="I37" i="67"/>
  <c r="AK23" i="67"/>
  <c r="AJ32" i="67"/>
  <c r="AJ35" i="67" s="1"/>
  <c r="Z32" i="67"/>
  <c r="Z35" i="67" s="1"/>
  <c r="Z42" i="67" s="1"/>
  <c r="AA23" i="67"/>
  <c r="D61" i="65"/>
  <c r="AJ42" i="67" l="1"/>
  <c r="S39" i="67"/>
  <c r="S37" i="67"/>
  <c r="AK17" i="67"/>
  <c r="AL8" i="67"/>
  <c r="BK17" i="67"/>
  <c r="BK35" i="67" s="1"/>
  <c r="BL8" i="67"/>
  <c r="I40" i="67"/>
  <c r="AC8" i="67"/>
  <c r="AB17" i="67"/>
  <c r="AB23" i="67"/>
  <c r="AA32" i="67"/>
  <c r="AA35" i="67" s="1"/>
  <c r="AK32" i="67"/>
  <c r="AL23" i="67"/>
  <c r="BM28" i="67"/>
  <c r="BL32" i="67"/>
  <c r="J39" i="67"/>
  <c r="J43" i="67" s="1"/>
  <c r="J37" i="67"/>
  <c r="AK35" i="67" l="1"/>
  <c r="T37" i="67"/>
  <c r="T39" i="67"/>
  <c r="AM8" i="67"/>
  <c r="AL17" i="67"/>
  <c r="BL17" i="67"/>
  <c r="BL35" i="67" s="1"/>
  <c r="BM8" i="67"/>
  <c r="AC17" i="67"/>
  <c r="AD8" i="67"/>
  <c r="J40" i="67"/>
  <c r="AM23" i="67"/>
  <c r="AL32" i="67"/>
  <c r="K39" i="67"/>
  <c r="K37" i="67"/>
  <c r="BN28" i="67"/>
  <c r="BM32" i="67"/>
  <c r="AB32" i="67"/>
  <c r="AB35" i="67" s="1"/>
  <c r="AC23" i="67"/>
  <c r="G64" i="44"/>
  <c r="G77" i="44" s="1"/>
  <c r="G90" i="44" s="1"/>
  <c r="C64" i="44"/>
  <c r="J64" i="44"/>
  <c r="F64" i="44"/>
  <c r="F77" i="44" s="1"/>
  <c r="F90" i="44" s="1"/>
  <c r="I64" i="44"/>
  <c r="I77" i="44" s="1"/>
  <c r="I90" i="44" s="1"/>
  <c r="D64" i="44"/>
  <c r="D77" i="44" s="1"/>
  <c r="D90" i="44" s="1"/>
  <c r="H64" i="44"/>
  <c r="H77" i="44" s="1"/>
  <c r="H90" i="44" s="1"/>
  <c r="AL35" i="67" l="1"/>
  <c r="U39" i="67"/>
  <c r="U37" i="67"/>
  <c r="AM17" i="67"/>
  <c r="AN8" i="67"/>
  <c r="BM17" i="67"/>
  <c r="BM35" i="67" s="1"/>
  <c r="BM42" i="67" s="1"/>
  <c r="BN8" i="67"/>
  <c r="AD17" i="67"/>
  <c r="AM32" i="67"/>
  <c r="AN23" i="67"/>
  <c r="K40" i="67"/>
  <c r="L37" i="67"/>
  <c r="L39" i="67"/>
  <c r="AC32" i="67"/>
  <c r="AC35" i="67" s="1"/>
  <c r="AC42" i="67" s="1"/>
  <c r="AD23" i="67"/>
  <c r="BO28" i="67"/>
  <c r="BN32" i="67"/>
  <c r="J77" i="44"/>
  <c r="J90" i="44" s="1"/>
  <c r="C77" i="44"/>
  <c r="K64" i="44"/>
  <c r="J65" i="44" s="1"/>
  <c r="K51" i="44"/>
  <c r="J52" i="44" s="1"/>
  <c r="J72" i="44"/>
  <c r="J85" i="44" s="1"/>
  <c r="J98" i="44" s="1"/>
  <c r="F72" i="44"/>
  <c r="F85" i="44" s="1"/>
  <c r="F98" i="44" s="1"/>
  <c r="V39" i="67" l="1"/>
  <c r="V37" i="67"/>
  <c r="AM35" i="67"/>
  <c r="AM42" i="67" s="1"/>
  <c r="AO8" i="67"/>
  <c r="AN17" i="67"/>
  <c r="BN17" i="67"/>
  <c r="BN35" i="67" s="1"/>
  <c r="BO8" i="67"/>
  <c r="L40" i="67"/>
  <c r="AO23" i="67"/>
  <c r="AN32" i="67"/>
  <c r="AD32" i="67"/>
  <c r="AD33" i="67" s="1"/>
  <c r="BP28" i="67"/>
  <c r="BP32" i="67" s="1"/>
  <c r="BO32" i="67"/>
  <c r="M37" i="67"/>
  <c r="M39" i="67"/>
  <c r="M43" i="67" s="1"/>
  <c r="K77" i="44"/>
  <c r="J78" i="44" s="1"/>
  <c r="C90" i="44"/>
  <c r="K90" i="44" s="1"/>
  <c r="J91" i="44" s="1"/>
  <c r="E72" i="44"/>
  <c r="E85" i="44" s="1"/>
  <c r="E98" i="44" s="1"/>
  <c r="W37" i="67" l="1"/>
  <c r="W39" i="67"/>
  <c r="W43" i="67" s="1"/>
  <c r="BO17" i="67"/>
  <c r="BO35" i="67" s="1"/>
  <c r="BP8" i="67"/>
  <c r="BP17" i="67" s="1"/>
  <c r="BP35" i="67" s="1"/>
  <c r="AP8" i="67"/>
  <c r="AP17" i="67" s="1"/>
  <c r="AO17" i="67"/>
  <c r="AN35" i="67"/>
  <c r="N37" i="67"/>
  <c r="N39" i="67"/>
  <c r="M40" i="67"/>
  <c r="BQ28" i="67"/>
  <c r="AO32" i="67"/>
  <c r="AP23" i="67"/>
  <c r="AQ8" i="67" l="1"/>
  <c r="BD8" i="67" s="1"/>
  <c r="BQ8" i="67" s="1"/>
  <c r="AO35" i="67"/>
  <c r="AQ17" i="67"/>
  <c r="BD17" i="67" s="1"/>
  <c r="BQ17" i="67" s="1"/>
  <c r="X37" i="67"/>
  <c r="X39" i="67"/>
  <c r="BP42" i="67"/>
  <c r="N40" i="67"/>
  <c r="AP32" i="67"/>
  <c r="AQ23" i="67"/>
  <c r="D63" i="65"/>
  <c r="O37" i="67"/>
  <c r="O39" i="67"/>
  <c r="Y37" i="67" l="1"/>
  <c r="Y39" i="67"/>
  <c r="O40" i="67"/>
  <c r="P39" i="67"/>
  <c r="P43" i="67" s="1"/>
  <c r="P37" i="67"/>
  <c r="Q37" i="67" s="1"/>
  <c r="AQ32" i="67"/>
  <c r="AP35" i="67"/>
  <c r="AP42" i="67" s="1"/>
  <c r="BD23" i="67"/>
  <c r="Z37" i="67" l="1"/>
  <c r="Z39" i="67"/>
  <c r="Z43" i="67" s="1"/>
  <c r="AQ33" i="67"/>
  <c r="BD32" i="67"/>
  <c r="BQ23" i="67"/>
  <c r="R39" i="67"/>
  <c r="T43" i="67" s="1"/>
  <c r="P40" i="67"/>
  <c r="Q40" i="67" s="1"/>
  <c r="AA39" i="67" l="1"/>
  <c r="AA37" i="67"/>
  <c r="R40" i="67"/>
  <c r="S40" i="67" s="1"/>
  <c r="T40" i="67" s="1"/>
  <c r="U40" i="67" s="1"/>
  <c r="V40" i="67" s="1"/>
  <c r="W40" i="67" s="1"/>
  <c r="X40" i="67" s="1"/>
  <c r="Y40" i="67" s="1"/>
  <c r="Z40" i="67" s="1"/>
  <c r="BQ32" i="67"/>
  <c r="BQ33" i="67" s="1"/>
  <c r="BD33" i="67"/>
  <c r="D58" i="65"/>
  <c r="BT23" i="67"/>
  <c r="Q42" i="67"/>
  <c r="AA40" i="67" l="1"/>
  <c r="AB37" i="67"/>
  <c r="AB39" i="67"/>
  <c r="D66" i="65"/>
  <c r="AB40" i="67" l="1"/>
  <c r="AC39" i="67"/>
  <c r="AC43" i="67" s="1"/>
  <c r="AC37" i="67"/>
  <c r="AD37" i="67" s="1"/>
  <c r="AE37" i="67" l="1"/>
  <c r="AE39" i="67"/>
  <c r="AC40" i="67"/>
  <c r="AD40" i="67" s="1"/>
  <c r="AE40" i="67" l="1"/>
  <c r="AD42" i="67"/>
  <c r="AF37" i="67"/>
  <c r="AF39" i="67"/>
  <c r="AF40" i="67" s="1"/>
  <c r="AG39" i="67" l="1"/>
  <c r="AG43" i="67" s="1"/>
  <c r="AG37" i="67"/>
  <c r="AG40" i="67" l="1"/>
  <c r="AH39" i="67"/>
  <c r="AH37" i="67"/>
  <c r="AH40" i="67" l="1"/>
  <c r="AI39" i="67"/>
  <c r="AI37" i="67"/>
  <c r="AI40" i="67" l="1"/>
  <c r="AJ39" i="67"/>
  <c r="AJ43" i="67" s="1"/>
  <c r="AJ37" i="67"/>
  <c r="AK37" i="67" l="1"/>
  <c r="AK39" i="67"/>
  <c r="AJ40" i="67"/>
  <c r="AK40" i="67" l="1"/>
  <c r="AL37" i="67"/>
  <c r="AL39" i="67"/>
  <c r="AL40" i="67" l="1"/>
  <c r="AM39" i="67"/>
  <c r="AM43" i="67" s="1"/>
  <c r="AM37" i="67"/>
  <c r="AN39" i="67" l="1"/>
  <c r="AN37" i="67"/>
  <c r="AM40" i="67"/>
  <c r="AN40" i="67" l="1"/>
  <c r="AO39" i="67"/>
  <c r="AO37" i="67"/>
  <c r="AO40" i="67" l="1"/>
  <c r="AP37" i="67"/>
  <c r="AQ37" i="67" s="1"/>
  <c r="AP39" i="67"/>
  <c r="AP40" i="67" l="1"/>
  <c r="AQ40" i="67" s="1"/>
  <c r="AQ42" i="67" s="1"/>
  <c r="AP43" i="67"/>
  <c r="AR39" i="67"/>
  <c r="AR37" i="67"/>
  <c r="AR40" i="67" l="1"/>
  <c r="AS39" i="67"/>
  <c r="AS37" i="67"/>
  <c r="AS40" i="67" l="1"/>
  <c r="AT37" i="67"/>
  <c r="AT39" i="67"/>
  <c r="AT43" i="67" s="1"/>
  <c r="AT40" i="67" l="1"/>
  <c r="AU39" i="67"/>
  <c r="AU37" i="67"/>
  <c r="AU40" i="67" l="1"/>
  <c r="AV37" i="67"/>
  <c r="AV39" i="67"/>
  <c r="AV40" i="67" l="1"/>
  <c r="AW37" i="67"/>
  <c r="AW39" i="67"/>
  <c r="AW43" i="67" s="1"/>
  <c r="AX39" i="67" l="1"/>
  <c r="AX37" i="67"/>
  <c r="AW40" i="67"/>
  <c r="AX40" i="67" l="1"/>
  <c r="AY37" i="67"/>
  <c r="AY39" i="67"/>
  <c r="AY40" i="67" l="1"/>
  <c r="AZ39" i="67"/>
  <c r="AZ43" i="67" s="1"/>
  <c r="AZ37" i="67"/>
  <c r="AZ40" i="67" l="1"/>
  <c r="BA37" i="67"/>
  <c r="BA39" i="67"/>
  <c r="BA40" i="67" l="1"/>
  <c r="BB39" i="67"/>
  <c r="BB37" i="67"/>
  <c r="BB40" i="67" l="1"/>
  <c r="BC39" i="67"/>
  <c r="BC43" i="67" s="1"/>
  <c r="BC37" i="67"/>
  <c r="BD37" i="67" s="1"/>
  <c r="BE39" i="67" l="1"/>
  <c r="BE37" i="67"/>
  <c r="BC40" i="67"/>
  <c r="BD40" i="67" s="1"/>
  <c r="BD42" i="67" s="1"/>
  <c r="BE40" i="67" l="1"/>
  <c r="BF39" i="67"/>
  <c r="BF37" i="67"/>
  <c r="BF40" i="67" l="1"/>
  <c r="BG39" i="67"/>
  <c r="BG43" i="67" s="1"/>
  <c r="BG37" i="67"/>
  <c r="BG40" i="67" l="1"/>
  <c r="BH37" i="67"/>
  <c r="BH39" i="67"/>
  <c r="BH40" i="67" l="1"/>
  <c r="BI37" i="67"/>
  <c r="BI39" i="67"/>
  <c r="BI40" i="67" l="1"/>
  <c r="BJ39" i="67"/>
  <c r="BJ37" i="67"/>
  <c r="BK39" i="67" l="1"/>
  <c r="BK37" i="67"/>
  <c r="BJ43" i="67"/>
  <c r="BJ40" i="67"/>
  <c r="BK40" i="67" l="1"/>
  <c r="BL37" i="67"/>
  <c r="BL39" i="67"/>
  <c r="BL40" i="67" l="1"/>
  <c r="BM39" i="67"/>
  <c r="BM43" i="67" s="1"/>
  <c r="BM37" i="67"/>
  <c r="BM40" i="67" l="1"/>
  <c r="BN39" i="67"/>
  <c r="BN37" i="67"/>
  <c r="BN40" i="67" l="1"/>
  <c r="BO39" i="67"/>
  <c r="BO37" i="67"/>
  <c r="BO40" i="67" l="1"/>
  <c r="BP37" i="67"/>
  <c r="BQ37" i="67" s="1"/>
  <c r="BP39" i="67"/>
  <c r="BP43" i="67" l="1"/>
  <c r="BP40" i="67"/>
  <c r="BQ40" i="67" s="1"/>
  <c r="G25" i="3"/>
  <c r="T27" i="3"/>
  <c r="S27" i="3"/>
  <c r="T26" i="3"/>
  <c r="T28" i="3"/>
  <c r="E62" i="65" l="1"/>
  <c r="F62" i="65" s="1"/>
  <c r="E63" i="65"/>
  <c r="F63" i="65" s="1"/>
  <c r="E60" i="65"/>
  <c r="F60" i="65" s="1"/>
  <c r="E61" i="65"/>
  <c r="F61" i="65" s="1"/>
  <c r="BQ42" i="67"/>
  <c r="E58" i="65"/>
  <c r="E59" i="65"/>
  <c r="F59" i="65" s="1"/>
  <c r="E64" i="65"/>
  <c r="F64" i="65" s="1"/>
  <c r="E65" i="65"/>
  <c r="F65" i="65" s="1"/>
  <c r="L317" i="46"/>
  <c r="L122" i="54" s="1"/>
  <c r="M317" i="46"/>
  <c r="M122" i="54" s="1"/>
  <c r="O317" i="46"/>
  <c r="O122" i="54" s="1"/>
  <c r="K317" i="46"/>
  <c r="K122" i="54" s="1"/>
  <c r="J317" i="46"/>
  <c r="J122" i="54" s="1"/>
  <c r="M235" i="46"/>
  <c r="M314" i="46" s="1"/>
  <c r="L235" i="46"/>
  <c r="L314" i="46" s="1"/>
  <c r="K235" i="46"/>
  <c r="K314" i="46" s="1"/>
  <c r="O235" i="46"/>
  <c r="O314" i="46" s="1"/>
  <c r="J235" i="46"/>
  <c r="J314" i="46" s="1"/>
  <c r="M236" i="46"/>
  <c r="M121" i="54" s="1"/>
  <c r="L236" i="46"/>
  <c r="L121" i="54" s="1"/>
  <c r="K236" i="46"/>
  <c r="K121" i="54" s="1"/>
  <c r="O236" i="46"/>
  <c r="O121" i="54" s="1"/>
  <c r="J236" i="46"/>
  <c r="J121" i="54" s="1"/>
  <c r="M156" i="46"/>
  <c r="M120" i="54" s="1"/>
  <c r="L156" i="46"/>
  <c r="L120" i="54" s="1"/>
  <c r="K156" i="46"/>
  <c r="K120" i="54" s="1"/>
  <c r="J156" i="46"/>
  <c r="J120" i="54" s="1"/>
  <c r="O156" i="46"/>
  <c r="O120" i="54" s="1"/>
  <c r="N76" i="46"/>
  <c r="N312" i="46" s="1"/>
  <c r="H76" i="46"/>
  <c r="H312" i="46" s="1"/>
  <c r="I76" i="46"/>
  <c r="I312" i="46" s="1"/>
  <c r="V48" i="3"/>
  <c r="E66" i="65" l="1"/>
  <c r="F66" i="65" s="1"/>
  <c r="F58" i="65"/>
  <c r="F25" i="3"/>
  <c r="E25" i="3"/>
  <c r="H75" i="46" l="1"/>
  <c r="H231" i="46" s="1"/>
  <c r="N75" i="46"/>
  <c r="N231" i="46" s="1"/>
  <c r="I75" i="46"/>
  <c r="I231" i="46" s="1"/>
  <c r="N74" i="46"/>
  <c r="N151" i="46" s="1"/>
  <c r="N153" i="46" s="1"/>
  <c r="H74" i="46"/>
  <c r="H151" i="46" s="1"/>
  <c r="H153" i="46" s="1"/>
  <c r="I74" i="46"/>
  <c r="I151" i="46" s="1"/>
  <c r="I153" i="46" s="1"/>
  <c r="V47" i="3"/>
  <c r="V46" i="3"/>
  <c r="S26" i="3"/>
  <c r="M154" i="46" l="1"/>
  <c r="M232" i="46" s="1"/>
  <c r="L154" i="46"/>
  <c r="L232" i="46" s="1"/>
  <c r="K154" i="46"/>
  <c r="K232" i="46" s="1"/>
  <c r="O154" i="46"/>
  <c r="O232" i="46" s="1"/>
  <c r="J154" i="46"/>
  <c r="J232" i="46" s="1"/>
  <c r="M155" i="46"/>
  <c r="M313" i="46" s="1"/>
  <c r="L155" i="46"/>
  <c r="L313" i="46" s="1"/>
  <c r="K155" i="46"/>
  <c r="K313" i="46" s="1"/>
  <c r="O155" i="46"/>
  <c r="O313" i="46" s="1"/>
  <c r="J155" i="46"/>
  <c r="J313" i="46" s="1"/>
  <c r="C52" i="44"/>
  <c r="K103" i="44"/>
  <c r="F104" i="44" l="1"/>
  <c r="F105" i="44" s="1"/>
  <c r="C104" i="44"/>
  <c r="C105" i="44" s="1"/>
  <c r="E104" i="44"/>
  <c r="E105" i="44" s="1"/>
  <c r="D104" i="44"/>
  <c r="D105" i="44" s="1"/>
  <c r="I104" i="44"/>
  <c r="I105" i="44" s="1"/>
  <c r="H104" i="44"/>
  <c r="H105" i="44" s="1"/>
  <c r="G104" i="44"/>
  <c r="G105" i="44" s="1"/>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P26" i="47" s="1"/>
  <c r="H27" i="47"/>
  <c r="P27" i="47" s="1"/>
  <c r="H25" i="47"/>
  <c r="P25" i="47" s="1"/>
  <c r="H23" i="47"/>
  <c r="P23" i="47" s="1"/>
  <c r="H24" i="47"/>
  <c r="P24" i="47" s="1"/>
  <c r="H22" i="47"/>
  <c r="P22" i="47" s="1"/>
  <c r="H20" i="47"/>
  <c r="P20" i="47" s="1"/>
  <c r="H21" i="47"/>
  <c r="P21" i="47" s="1"/>
  <c r="H19" i="47"/>
  <c r="P19" i="47" s="1"/>
  <c r="K104" i="44" l="1"/>
  <c r="E91" i="44"/>
  <c r="D91" i="44"/>
  <c r="C91" i="44"/>
  <c r="F91" i="44"/>
  <c r="G91" i="44"/>
  <c r="H91" i="44"/>
  <c r="I91" i="44"/>
  <c r="C39" i="44"/>
  <c r="H39" i="44"/>
  <c r="G39" i="44"/>
  <c r="D39" i="44"/>
  <c r="F39" i="44"/>
  <c r="E39" i="44"/>
  <c r="I39" i="44"/>
  <c r="K39" i="44" l="1"/>
  <c r="K91" i="44"/>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P85" i="61" l="1"/>
  <c r="P86" i="61"/>
  <c r="P87" i="61"/>
  <c r="P91" i="61"/>
  <c r="P63" i="61"/>
  <c r="P64" i="61"/>
  <c r="P65" i="61"/>
  <c r="P66" i="61"/>
  <c r="P70" i="61"/>
  <c r="P46" i="60"/>
  <c r="P47" i="60"/>
  <c r="P48" i="60"/>
  <c r="P50" i="60"/>
  <c r="H111" i="57"/>
  <c r="H121" i="44" l="1"/>
  <c r="G121" i="44"/>
  <c r="F121" i="44"/>
  <c r="E121" i="44"/>
  <c r="K116" i="44"/>
  <c r="H108" i="44"/>
  <c r="G108" i="44"/>
  <c r="F108" i="44"/>
  <c r="E108" i="44"/>
  <c r="D117" i="44" l="1"/>
  <c r="D118" i="44" s="1"/>
  <c r="E117" i="44"/>
  <c r="E118" i="44" s="1"/>
  <c r="F117" i="44"/>
  <c r="F118" i="44" s="1"/>
  <c r="G117" i="44"/>
  <c r="G118" i="44" s="1"/>
  <c r="H117" i="44"/>
  <c r="H118" i="44" s="1"/>
  <c r="I117" i="44"/>
  <c r="I118" i="44" s="1"/>
  <c r="C117" i="44"/>
  <c r="K108" i="44"/>
  <c r="K121" i="44"/>
  <c r="K117" i="44" l="1"/>
  <c r="C118" i="44"/>
  <c r="H116" i="47"/>
  <c r="H117" i="47"/>
  <c r="H115" i="47"/>
  <c r="H113" i="47"/>
  <c r="H114" i="47"/>
  <c r="H112" i="47"/>
  <c r="H110" i="47"/>
  <c r="H111" i="47"/>
  <c r="H109" i="47"/>
  <c r="H107" i="47"/>
  <c r="H108" i="47"/>
  <c r="H106" i="47"/>
  <c r="H98" i="47"/>
  <c r="H99" i="47"/>
  <c r="H97" i="47"/>
  <c r="H95" i="47"/>
  <c r="H96" i="47"/>
  <c r="H94" i="47"/>
  <c r="H92" i="47"/>
  <c r="H93" i="47"/>
  <c r="H91" i="47"/>
  <c r="C119" i="44" l="1"/>
  <c r="K118" i="44"/>
  <c r="H32" i="47"/>
  <c r="H33" i="47"/>
  <c r="H31" i="47"/>
  <c r="H17" i="47"/>
  <c r="P17" i="47" s="1"/>
  <c r="H18" i="47"/>
  <c r="P18" i="47" s="1"/>
  <c r="H16" i="47"/>
  <c r="P16" i="47" s="1"/>
  <c r="P28" i="47" l="1"/>
  <c r="P30" i="47" s="1"/>
  <c r="J116" i="59"/>
  <c r="T46" i="3"/>
  <c r="D119" i="44"/>
  <c r="H116" i="57"/>
  <c r="I116" i="57"/>
  <c r="I111" i="57"/>
  <c r="P111" i="57" s="1"/>
  <c r="J116" i="57"/>
  <c r="J112" i="57"/>
  <c r="K116" i="57"/>
  <c r="K112" i="57"/>
  <c r="K113" i="57" s="1"/>
  <c r="L116" i="57"/>
  <c r="L122" i="57" s="1"/>
  <c r="M116" i="57"/>
  <c r="N116" i="57"/>
  <c r="N122" i="57" s="1"/>
  <c r="H117" i="58"/>
  <c r="F45" i="3"/>
  <c r="N125" i="57" s="1"/>
  <c r="H112" i="58"/>
  <c r="I117" i="58"/>
  <c r="I112" i="58"/>
  <c r="J117" i="58"/>
  <c r="J113" i="58"/>
  <c r="K117" i="58"/>
  <c r="K113" i="58"/>
  <c r="P113" i="58" s="1"/>
  <c r="L117" i="58"/>
  <c r="M117" i="58"/>
  <c r="N117" i="58"/>
  <c r="N124" i="58" s="1"/>
  <c r="H116" i="59"/>
  <c r="G45" i="3"/>
  <c r="G46" i="3"/>
  <c r="N127" i="58" s="1"/>
  <c r="H111" i="59"/>
  <c r="I116" i="59"/>
  <c r="I111" i="59"/>
  <c r="J112" i="59"/>
  <c r="J113" i="59" s="1"/>
  <c r="K116" i="59"/>
  <c r="K112" i="59"/>
  <c r="L116" i="59"/>
  <c r="M116" i="59"/>
  <c r="N116" i="59"/>
  <c r="N124" i="59" s="1"/>
  <c r="H116" i="60"/>
  <c r="H45" i="3"/>
  <c r="H46" i="3"/>
  <c r="H47" i="3"/>
  <c r="H111" i="60"/>
  <c r="I116" i="60"/>
  <c r="I111" i="60"/>
  <c r="J116" i="60"/>
  <c r="U46" i="3"/>
  <c r="J114" i="58"/>
  <c r="U47" i="3"/>
  <c r="J112" i="60"/>
  <c r="J113" i="60" s="1"/>
  <c r="K116" i="60"/>
  <c r="K114" i="58"/>
  <c r="K112" i="60"/>
  <c r="L116" i="60"/>
  <c r="M116" i="60"/>
  <c r="N116" i="60"/>
  <c r="N125" i="60" s="1"/>
  <c r="H116" i="61"/>
  <c r="I45" i="3"/>
  <c r="H128" i="57" s="1"/>
  <c r="I46" i="3"/>
  <c r="N129" i="58" s="1"/>
  <c r="I47" i="3"/>
  <c r="N128" i="59" s="1"/>
  <c r="I48" i="3"/>
  <c r="H111" i="61"/>
  <c r="I116" i="61"/>
  <c r="I111" i="61"/>
  <c r="J116" i="61"/>
  <c r="L128" i="60"/>
  <c r="J112" i="61"/>
  <c r="J113" i="61" s="1"/>
  <c r="K116" i="61"/>
  <c r="K112" i="61"/>
  <c r="K113" i="61" s="1"/>
  <c r="L116" i="61"/>
  <c r="M116" i="61"/>
  <c r="M122" i="61" s="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Q15" i="47"/>
  <c r="J15" i="47"/>
  <c r="K15" i="47"/>
  <c r="L15" i="47"/>
  <c r="M15" i="47"/>
  <c r="N15" i="47"/>
  <c r="O15" i="47"/>
  <c r="I15" i="47"/>
  <c r="C26" i="45"/>
  <c r="C25" i="45"/>
  <c r="C24" i="45"/>
  <c r="C23" i="45"/>
  <c r="C21" i="45"/>
  <c r="C22" i="45"/>
  <c r="C20" i="45"/>
  <c r="D24" i="44"/>
  <c r="B21" i="45" s="1"/>
  <c r="E24" i="44"/>
  <c r="B22" i="45" s="1"/>
  <c r="F24" i="44"/>
  <c r="F131" i="44" s="1"/>
  <c r="G24" i="44"/>
  <c r="B24" i="45" s="1"/>
  <c r="H24" i="44"/>
  <c r="B25" i="45" s="1"/>
  <c r="I24" i="44"/>
  <c r="I131" i="44" s="1"/>
  <c r="C24" i="44"/>
  <c r="C131" i="44" s="1"/>
  <c r="J131" i="44"/>
  <c r="H124" i="59" l="1"/>
  <c r="J127" i="58"/>
  <c r="I129" i="58"/>
  <c r="I123" i="61" s="1"/>
  <c r="C78" i="44"/>
  <c r="I78" i="44"/>
  <c r="F78" i="44"/>
  <c r="D78" i="44"/>
  <c r="E78" i="44"/>
  <c r="G78" i="44"/>
  <c r="H78" i="44"/>
  <c r="C65" i="44"/>
  <c r="G65" i="44"/>
  <c r="H65" i="44"/>
  <c r="I65" i="44"/>
  <c r="E65" i="44"/>
  <c r="D65" i="44"/>
  <c r="F65" i="44"/>
  <c r="I128" i="60"/>
  <c r="I125" i="61" s="1"/>
  <c r="H129" i="58"/>
  <c r="H123" i="61" s="1"/>
  <c r="I127" i="59"/>
  <c r="P112" i="60"/>
  <c r="P111" i="60"/>
  <c r="H127" i="59"/>
  <c r="H124" i="60" s="1"/>
  <c r="P111" i="59"/>
  <c r="P112" i="61"/>
  <c r="P111" i="61"/>
  <c r="K113" i="60"/>
  <c r="H128" i="60"/>
  <c r="H125" i="61" s="1"/>
  <c r="I125" i="60"/>
  <c r="K124" i="58"/>
  <c r="I127" i="58"/>
  <c r="I123" i="59" s="1"/>
  <c r="H128" i="58"/>
  <c r="H123" i="60" s="1"/>
  <c r="J129" i="58"/>
  <c r="J123" i="61" s="1"/>
  <c r="P112" i="58"/>
  <c r="P112" i="59"/>
  <c r="J127" i="59"/>
  <c r="J124" i="60" s="1"/>
  <c r="J122" i="57"/>
  <c r="H127" i="57"/>
  <c r="H122" i="60" s="1"/>
  <c r="I128" i="57"/>
  <c r="I122" i="61" s="1"/>
  <c r="I126" i="57"/>
  <c r="I122" i="59" s="1"/>
  <c r="I122" i="57"/>
  <c r="K105" i="44"/>
  <c r="E19" i="44" s="1"/>
  <c r="E122" i="44"/>
  <c r="E20" i="44"/>
  <c r="F52" i="44"/>
  <c r="I52" i="44"/>
  <c r="D52" i="44"/>
  <c r="G52" i="44"/>
  <c r="H52" i="44"/>
  <c r="E52" i="44"/>
  <c r="N123" i="58"/>
  <c r="K127" i="58"/>
  <c r="K123" i="59" s="1"/>
  <c r="I128" i="59"/>
  <c r="I124" i="61" s="1"/>
  <c r="H128" i="59"/>
  <c r="H124" i="61" s="1"/>
  <c r="I127" i="57"/>
  <c r="I122" i="60" s="1"/>
  <c r="N128" i="60"/>
  <c r="N125" i="61" s="1"/>
  <c r="K128" i="60"/>
  <c r="K125" i="61" s="1"/>
  <c r="H125" i="57"/>
  <c r="H123" i="58" s="1"/>
  <c r="N128" i="58"/>
  <c r="N123" i="60" s="1"/>
  <c r="K129" i="58"/>
  <c r="K123" i="61" s="1"/>
  <c r="K127" i="59"/>
  <c r="K124" i="60" s="1"/>
  <c r="J128" i="59"/>
  <c r="J124" i="61" s="1"/>
  <c r="J128" i="58"/>
  <c r="J123" i="60" s="1"/>
  <c r="I128" i="58"/>
  <c r="I123" i="60" s="1"/>
  <c r="I125" i="57"/>
  <c r="I123" i="58" s="1"/>
  <c r="L122" i="60"/>
  <c r="L123" i="60"/>
  <c r="I126" i="61"/>
  <c r="L124" i="58"/>
  <c r="I124" i="60"/>
  <c r="H126" i="61"/>
  <c r="J128" i="60"/>
  <c r="J125" i="61" s="1"/>
  <c r="K113" i="59"/>
  <c r="K128" i="59" s="1"/>
  <c r="K124" i="61" s="1"/>
  <c r="H127" i="58"/>
  <c r="H123" i="59" s="1"/>
  <c r="K128" i="58"/>
  <c r="K123" i="60" s="1"/>
  <c r="P112" i="57"/>
  <c r="J113" i="57"/>
  <c r="H126" i="57"/>
  <c r="H122" i="59" s="1"/>
  <c r="K122" i="57"/>
  <c r="B20" i="45"/>
  <c r="G131" i="44"/>
  <c r="B26" i="45"/>
  <c r="E131" i="44"/>
  <c r="H131" i="44"/>
  <c r="B23" i="45"/>
  <c r="D131" i="44"/>
  <c r="I124" i="58"/>
  <c r="K126" i="61"/>
  <c r="N122" i="61"/>
  <c r="N124" i="61"/>
  <c r="N123" i="61"/>
  <c r="N126" i="61"/>
  <c r="L124" i="61"/>
  <c r="L122" i="61"/>
  <c r="L123" i="61"/>
  <c r="K125" i="60"/>
  <c r="L122" i="59"/>
  <c r="L124" i="59"/>
  <c r="L123" i="59"/>
  <c r="M123" i="61"/>
  <c r="M124" i="61"/>
  <c r="M122" i="60"/>
  <c r="M123" i="60"/>
  <c r="M125" i="60"/>
  <c r="N123" i="59"/>
  <c r="N122" i="59"/>
  <c r="K124" i="59"/>
  <c r="H122" i="57"/>
  <c r="J125" i="60"/>
  <c r="M125" i="61"/>
  <c r="M126" i="61"/>
  <c r="J124" i="58"/>
  <c r="L126" i="61"/>
  <c r="I124" i="59"/>
  <c r="M122" i="57"/>
  <c r="N122" i="60"/>
  <c r="L125" i="61"/>
  <c r="H125" i="60"/>
  <c r="M122" i="59"/>
  <c r="M123" i="59"/>
  <c r="M124" i="59"/>
  <c r="M124" i="58"/>
  <c r="H124" i="58"/>
  <c r="J126" i="61"/>
  <c r="J123" i="59"/>
  <c r="H122" i="61"/>
  <c r="L125" i="60"/>
  <c r="J124" i="59"/>
  <c r="K78" i="44" l="1"/>
  <c r="K65" i="44"/>
  <c r="K52" i="44"/>
  <c r="E123" i="44"/>
  <c r="D106" i="44"/>
  <c r="D31" i="44"/>
  <c r="D138" i="44" s="1"/>
  <c r="E109" i="44"/>
  <c r="E106" i="44"/>
  <c r="F109" i="44"/>
  <c r="F106" i="44"/>
  <c r="E119" i="44"/>
  <c r="E32" i="44"/>
  <c r="E139" i="44" s="1"/>
  <c r="C32" i="44"/>
  <c r="C139" i="44" s="1"/>
  <c r="I119" i="44"/>
  <c r="I32" i="44"/>
  <c r="I139" i="44" s="1"/>
  <c r="F122" i="44"/>
  <c r="F119" i="44"/>
  <c r="H106" i="44"/>
  <c r="H109" i="44"/>
  <c r="G109" i="44"/>
  <c r="G106" i="44"/>
  <c r="C31" i="44"/>
  <c r="C138" i="44" s="1"/>
  <c r="C106" i="44"/>
  <c r="H122" i="44"/>
  <c r="H119" i="44"/>
  <c r="I106" i="44"/>
  <c r="I31" i="44"/>
  <c r="I138" i="44" s="1"/>
  <c r="G122" i="44"/>
  <c r="G119" i="44"/>
  <c r="P126" i="61"/>
  <c r="P123" i="61"/>
  <c r="P124" i="61"/>
  <c r="P124" i="59"/>
  <c r="P122" i="57"/>
  <c r="P124" i="58"/>
  <c r="P123" i="58"/>
  <c r="P125" i="60"/>
  <c r="P125" i="61"/>
  <c r="P123" i="60"/>
  <c r="P124" i="60"/>
  <c r="P123" i="59"/>
  <c r="K119" i="44" l="1"/>
  <c r="K122" i="44"/>
  <c r="D20" i="44" s="1"/>
  <c r="K106" i="44"/>
  <c r="E31" i="44"/>
  <c r="E138" i="44" s="1"/>
  <c r="K109" i="44"/>
  <c r="D19" i="44" s="1"/>
  <c r="G123" i="44"/>
  <c r="G32" i="44"/>
  <c r="G139" i="44" s="1"/>
  <c r="H110" i="44"/>
  <c r="H31" i="44"/>
  <c r="H138" i="44" s="1"/>
  <c r="F110" i="44"/>
  <c r="F31" i="44"/>
  <c r="F138" i="44" s="1"/>
  <c r="G110" i="44"/>
  <c r="G31" i="44"/>
  <c r="G138" i="44" s="1"/>
  <c r="F123" i="44"/>
  <c r="F32" i="44"/>
  <c r="F139" i="44" s="1"/>
  <c r="H123" i="44"/>
  <c r="H32" i="44"/>
  <c r="H139" i="44" s="1"/>
  <c r="D32" i="44"/>
  <c r="D139" i="44" s="1"/>
  <c r="E110" i="44"/>
  <c r="P122" i="61"/>
  <c r="P122" i="60"/>
  <c r="K123" i="44" l="1"/>
  <c r="K110" i="44"/>
  <c r="F43" i="44" l="1"/>
  <c r="G43" i="44"/>
  <c r="H43" i="44"/>
  <c r="E43" i="44"/>
  <c r="K43" i="44" l="1"/>
  <c r="I53" i="44" l="1"/>
  <c r="I54" i="44" s="1"/>
  <c r="D66" i="44"/>
  <c r="D67" i="44" s="1"/>
  <c r="G66" i="44"/>
  <c r="G67" i="44" s="1"/>
  <c r="D79" i="44"/>
  <c r="I79" i="44"/>
  <c r="D53" i="44"/>
  <c r="D92" i="44"/>
  <c r="D93" i="44" s="1"/>
  <c r="I92" i="44"/>
  <c r="I93" i="44" s="1"/>
  <c r="F92" i="44"/>
  <c r="F93" i="44" s="1"/>
  <c r="H79" i="44"/>
  <c r="H80" i="44" s="1"/>
  <c r="H92" i="44"/>
  <c r="H96" i="44" s="1"/>
  <c r="G92" i="44"/>
  <c r="G93" i="44" s="1"/>
  <c r="F79" i="44"/>
  <c r="F80" i="44" s="1"/>
  <c r="G79" i="44"/>
  <c r="G53" i="44"/>
  <c r="G54" i="44" s="1"/>
  <c r="J66" i="44"/>
  <c r="J67" i="44" s="1"/>
  <c r="H66" i="44"/>
  <c r="H70" i="44" s="1"/>
  <c r="F66" i="44"/>
  <c r="F67" i="44" s="1"/>
  <c r="E79" i="44"/>
  <c r="F53" i="44"/>
  <c r="F54" i="44" s="1"/>
  <c r="I66" i="44"/>
  <c r="I67" i="44" s="1"/>
  <c r="E66" i="44"/>
  <c r="E67" i="44" s="1"/>
  <c r="H53" i="44"/>
  <c r="H57" i="44" s="1"/>
  <c r="J79" i="44"/>
  <c r="J83" i="44" s="1"/>
  <c r="E92" i="44"/>
  <c r="E93" i="44" s="1"/>
  <c r="C92" i="44"/>
  <c r="C30" i="44" s="1"/>
  <c r="C137" i="44" s="1"/>
  <c r="C34" i="43" s="1"/>
  <c r="C66" i="44"/>
  <c r="C28" i="44" s="1"/>
  <c r="C135" i="44" s="1"/>
  <c r="E53" i="44"/>
  <c r="C79" i="44"/>
  <c r="C29" i="44" s="1"/>
  <c r="C136" i="44" s="1"/>
  <c r="C31" i="43" s="1"/>
  <c r="C53" i="44"/>
  <c r="C27" i="44" s="1"/>
  <c r="C134" i="44" s="1"/>
  <c r="J92" i="44"/>
  <c r="J93" i="44" s="1"/>
  <c r="J53" i="44"/>
  <c r="E70" i="44" l="1"/>
  <c r="E28" i="44" s="1"/>
  <c r="E135" i="44" s="1"/>
  <c r="J70" i="44"/>
  <c r="J28" i="44" s="1"/>
  <c r="J135" i="44" s="1"/>
  <c r="D30" i="44"/>
  <c r="D137" i="44" s="1"/>
  <c r="D34" i="43" s="1"/>
  <c r="J96" i="44"/>
  <c r="G27" i="44"/>
  <c r="G134" i="44" s="1"/>
  <c r="I28" i="44"/>
  <c r="I135" i="44" s="1"/>
  <c r="F70" i="44"/>
  <c r="G28" i="44"/>
  <c r="G135" i="44" s="1"/>
  <c r="G57" i="44"/>
  <c r="H27" i="44" s="1"/>
  <c r="H134" i="44" s="1"/>
  <c r="H83" i="44"/>
  <c r="F57" i="44"/>
  <c r="F83" i="44"/>
  <c r="F29" i="44" s="1"/>
  <c r="F136" i="44" s="1"/>
  <c r="F31" i="43" s="1"/>
  <c r="F96" i="44"/>
  <c r="I30" i="44"/>
  <c r="I137" i="44" s="1"/>
  <c r="I34" i="43" s="1"/>
  <c r="H30" i="44"/>
  <c r="H137" i="44" s="1"/>
  <c r="H34" i="43" s="1"/>
  <c r="J80" i="44"/>
  <c r="I27" i="44"/>
  <c r="I134" i="44" s="1"/>
  <c r="K92" i="44"/>
  <c r="E18" i="44" s="1"/>
  <c r="H93" i="44"/>
  <c r="E96" i="44"/>
  <c r="J29" i="44"/>
  <c r="J136" i="44" s="1"/>
  <c r="J31" i="43" s="1"/>
  <c r="C93" i="44"/>
  <c r="G96" i="44"/>
  <c r="G30" i="44" s="1"/>
  <c r="G137" i="44" s="1"/>
  <c r="G34" i="43" s="1"/>
  <c r="H67" i="44"/>
  <c r="H54" i="44"/>
  <c r="G70" i="44"/>
  <c r="H28" i="44" s="1"/>
  <c r="H135" i="44" s="1"/>
  <c r="E54" i="44"/>
  <c r="E57" i="44"/>
  <c r="G83" i="44"/>
  <c r="G80" i="44"/>
  <c r="K79" i="44"/>
  <c r="E17" i="44" s="1"/>
  <c r="J57" i="44"/>
  <c r="J54" i="44"/>
  <c r="D27" i="44"/>
  <c r="D134" i="44" s="1"/>
  <c r="D54" i="44"/>
  <c r="E80" i="44"/>
  <c r="E83" i="44"/>
  <c r="C80" i="44"/>
  <c r="I80" i="44"/>
  <c r="I29" i="44"/>
  <c r="I136" i="44" s="1"/>
  <c r="I31" i="43" s="1"/>
  <c r="K53" i="44"/>
  <c r="E15" i="44" s="1"/>
  <c r="D80" i="44"/>
  <c r="D29" i="44"/>
  <c r="D136" i="44" s="1"/>
  <c r="D31" i="43" s="1"/>
  <c r="C54" i="44"/>
  <c r="D28" i="44"/>
  <c r="D135" i="44" s="1"/>
  <c r="K66" i="44"/>
  <c r="E16" i="44" s="1"/>
  <c r="C67" i="44"/>
  <c r="K93" i="44" l="1"/>
  <c r="F27" i="44"/>
  <c r="F134" i="44" s="1"/>
  <c r="F28" i="44"/>
  <c r="F135" i="44" s="1"/>
  <c r="G29" i="44"/>
  <c r="G136" i="44" s="1"/>
  <c r="G31" i="43" s="1"/>
  <c r="F30" i="44"/>
  <c r="F137" i="44" s="1"/>
  <c r="F34" i="43" s="1"/>
  <c r="J30" i="44"/>
  <c r="J137" i="44" s="1"/>
  <c r="J34" i="43" s="1"/>
  <c r="E30" i="44"/>
  <c r="E137" i="44" s="1"/>
  <c r="K54" i="44"/>
  <c r="K96" i="44"/>
  <c r="D18" i="44" s="1"/>
  <c r="K67" i="44"/>
  <c r="K70" i="44"/>
  <c r="D16" i="44" s="1"/>
  <c r="J27" i="44"/>
  <c r="J134" i="44" s="1"/>
  <c r="H29" i="44"/>
  <c r="H136" i="44" s="1"/>
  <c r="H31" i="43" s="1"/>
  <c r="K80" i="44"/>
  <c r="E29" i="44"/>
  <c r="E136" i="44" s="1"/>
  <c r="E31" i="43" s="1"/>
  <c r="K83" i="44"/>
  <c r="D17" i="44" s="1"/>
  <c r="E27" i="44"/>
  <c r="E134" i="44" s="1"/>
  <c r="K57" i="44"/>
  <c r="D15" i="44" s="1"/>
  <c r="K31" i="43" l="1"/>
  <c r="K135" i="44"/>
  <c r="E34" i="43"/>
  <c r="K34" i="43" s="1"/>
  <c r="K137" i="44"/>
  <c r="K134" i="44"/>
  <c r="K136" i="44"/>
  <c r="D40" i="44" l="1"/>
  <c r="D41" i="44" s="1"/>
  <c r="I40" i="44"/>
  <c r="I41" i="44" s="1"/>
  <c r="H40" i="44"/>
  <c r="G40" i="44"/>
  <c r="G41" i="44" s="1"/>
  <c r="E40" i="44"/>
  <c r="F40" i="44"/>
  <c r="F41" i="44" s="1"/>
  <c r="C40" i="44"/>
  <c r="C41" i="44" s="1"/>
  <c r="I26" i="44" l="1"/>
  <c r="I133" i="44" s="1"/>
  <c r="O23" i="47" s="1"/>
  <c r="C26" i="44"/>
  <c r="C133" i="44" s="1"/>
  <c r="I23" i="47" s="1"/>
  <c r="F26" i="44"/>
  <c r="F133" i="44" s="1"/>
  <c r="L16" i="47" s="1"/>
  <c r="F44" i="44"/>
  <c r="F45" i="44" s="1"/>
  <c r="G44" i="44"/>
  <c r="G45" i="44" s="1"/>
  <c r="G26" i="44"/>
  <c r="G133" i="44" s="1"/>
  <c r="D26" i="44"/>
  <c r="D133" i="44" s="1"/>
  <c r="J17" i="47" s="1"/>
  <c r="E41" i="44"/>
  <c r="E44" i="44"/>
  <c r="E26" i="44"/>
  <c r="E133" i="44" s="1"/>
  <c r="H44" i="44"/>
  <c r="H45" i="44" s="1"/>
  <c r="H41" i="44"/>
  <c r="H26" i="44"/>
  <c r="H133" i="44" s="1"/>
  <c r="O19" i="47"/>
  <c r="O17" i="47"/>
  <c r="K40" i="44"/>
  <c r="E14" i="44" s="1"/>
  <c r="K41" i="44" l="1"/>
  <c r="O25" i="47"/>
  <c r="O27" i="47"/>
  <c r="O16" i="47"/>
  <c r="O26" i="47"/>
  <c r="O21" i="47"/>
  <c r="O22" i="47"/>
  <c r="O42" i="47"/>
  <c r="O24" i="47"/>
  <c r="O20" i="47"/>
  <c r="O18" i="47"/>
  <c r="L26" i="47"/>
  <c r="I22" i="47"/>
  <c r="I17" i="47"/>
  <c r="I27" i="47"/>
  <c r="I16" i="47"/>
  <c r="I25" i="47"/>
  <c r="I26" i="47"/>
  <c r="I21" i="47"/>
  <c r="I18" i="47"/>
  <c r="I20" i="47"/>
  <c r="I19" i="47"/>
  <c r="I24" i="47"/>
  <c r="J22" i="47"/>
  <c r="J26" i="47"/>
  <c r="L19" i="47"/>
  <c r="L18" i="47"/>
  <c r="L20" i="47"/>
  <c r="L23" i="47"/>
  <c r="L27" i="47"/>
  <c r="L25" i="47"/>
  <c r="L17" i="47"/>
  <c r="L22" i="47"/>
  <c r="M27" i="47"/>
  <c r="L21" i="47"/>
  <c r="L24" i="47"/>
  <c r="J24" i="47"/>
  <c r="J19" i="47"/>
  <c r="O41" i="47"/>
  <c r="J20" i="47"/>
  <c r="J25" i="47"/>
  <c r="J18" i="47"/>
  <c r="J23" i="47"/>
  <c r="J16" i="47"/>
  <c r="J27" i="47"/>
  <c r="J21" i="47"/>
  <c r="M26" i="47"/>
  <c r="M19" i="47"/>
  <c r="M16" i="47"/>
  <c r="M25" i="47"/>
  <c r="M18" i="47"/>
  <c r="M24" i="47"/>
  <c r="M23" i="47"/>
  <c r="M17" i="47"/>
  <c r="M22" i="47"/>
  <c r="M21" i="47"/>
  <c r="O36" i="47"/>
  <c r="O33" i="47"/>
  <c r="O38" i="47"/>
  <c r="O37" i="47"/>
  <c r="K133" i="44"/>
  <c r="K140" i="44" s="1"/>
  <c r="K142" i="44" s="1"/>
  <c r="M20" i="47"/>
  <c r="O35" i="47"/>
  <c r="O40" i="47"/>
  <c r="O39" i="47"/>
  <c r="O32" i="47"/>
  <c r="O31" i="47"/>
  <c r="O34" i="47"/>
  <c r="N20" i="47"/>
  <c r="N17" i="47"/>
  <c r="N27" i="47"/>
  <c r="N21" i="47"/>
  <c r="N19" i="47"/>
  <c r="N25" i="47"/>
  <c r="N22" i="47"/>
  <c r="N23" i="47"/>
  <c r="N18" i="47"/>
  <c r="N24" i="47"/>
  <c r="N26" i="47"/>
  <c r="N16" i="47"/>
  <c r="K25" i="47"/>
  <c r="K23" i="47"/>
  <c r="K22" i="47"/>
  <c r="K18" i="47"/>
  <c r="K17" i="47"/>
  <c r="K26" i="47"/>
  <c r="K27" i="47"/>
  <c r="K20" i="47"/>
  <c r="K21" i="47"/>
  <c r="K24" i="47"/>
  <c r="K16" i="47"/>
  <c r="K19" i="47"/>
  <c r="K44" i="44"/>
  <c r="D14" i="44" s="1"/>
  <c r="E45" i="44"/>
  <c r="K45" i="44" s="1"/>
  <c r="O28" i="47" l="1"/>
  <c r="O30" i="47" s="1"/>
  <c r="I28" i="47"/>
  <c r="I30" i="47" s="1"/>
  <c r="L28" i="47"/>
  <c r="L30" i="47" s="1"/>
  <c r="Q21" i="47"/>
  <c r="J28" i="47"/>
  <c r="J30" i="47" s="1"/>
  <c r="Q20" i="47"/>
  <c r="Q22" i="47"/>
  <c r="M28" i="47"/>
  <c r="M30" i="47" s="1"/>
  <c r="Q16" i="47"/>
  <c r="Q18" i="47"/>
  <c r="Q23" i="47"/>
  <c r="Q19" i="47"/>
  <c r="Q27" i="47"/>
  <c r="Q26" i="47"/>
  <c r="Q17" i="47"/>
  <c r="Q24" i="47"/>
  <c r="Q25" i="47"/>
  <c r="N28" i="47"/>
  <c r="N30" i="47" s="1"/>
  <c r="O43" i="47"/>
  <c r="O45" i="47" s="1"/>
  <c r="K28" i="47"/>
  <c r="K30" i="47" s="1"/>
  <c r="Q28" i="47" l="1"/>
  <c r="Q30" i="47" s="1"/>
  <c r="J71" i="44" l="1"/>
  <c r="K69" i="44"/>
  <c r="F58" i="44"/>
  <c r="H58" i="44"/>
  <c r="H71" i="44"/>
  <c r="J82" i="44"/>
  <c r="J84" i="44" s="1"/>
  <c r="F71" i="44"/>
  <c r="J58" i="44"/>
  <c r="E58" i="44"/>
  <c r="K56" i="44"/>
  <c r="F82" i="44"/>
  <c r="F84" i="44" s="1"/>
  <c r="G82" i="44"/>
  <c r="G95" i="44" s="1"/>
  <c r="G97" i="44" s="1"/>
  <c r="G71" i="44"/>
  <c r="G58" i="44"/>
  <c r="I82" i="44"/>
  <c r="I95" i="44" s="1"/>
  <c r="E82" i="44"/>
  <c r="E84" i="44" s="1"/>
  <c r="H82" i="44"/>
  <c r="H84" i="44" s="1"/>
  <c r="E71" i="44"/>
  <c r="H95" i="44" l="1"/>
  <c r="H97" i="44" s="1"/>
  <c r="J95" i="44"/>
  <c r="J97" i="44" s="1"/>
  <c r="G84" i="44"/>
  <c r="K84" i="44" s="1"/>
  <c r="K71" i="44"/>
  <c r="K58" i="44"/>
  <c r="K82" i="44"/>
  <c r="E95" i="44"/>
  <c r="F95" i="44"/>
  <c r="F97" i="44" s="1"/>
  <c r="K95" i="44" l="1"/>
  <c r="E97" i="44"/>
  <c r="K97" i="44" s="1"/>
  <c r="F26" i="3"/>
  <c r="H28" i="3"/>
  <c r="H25" i="3"/>
  <c r="H26" i="3"/>
  <c r="G27" i="3"/>
  <c r="H27" i="3"/>
  <c r="G26" i="3"/>
  <c r="N154" i="46" l="1"/>
  <c r="N232" i="46" s="1"/>
  <c r="N234" i="46" s="1"/>
  <c r="O55" i="47" s="1"/>
  <c r="H154" i="46"/>
  <c r="H232" i="46" s="1"/>
  <c r="I154" i="46"/>
  <c r="I232" i="46" s="1"/>
  <c r="I234" i="46" s="1"/>
  <c r="N236" i="46"/>
  <c r="N121" i="54" s="1"/>
  <c r="H236" i="46"/>
  <c r="H121" i="54" s="1"/>
  <c r="I236" i="46"/>
  <c r="I121" i="54" s="1"/>
  <c r="N235" i="46"/>
  <c r="N314" i="46" s="1"/>
  <c r="H235" i="46"/>
  <c r="H314" i="46" s="1"/>
  <c r="I235" i="46"/>
  <c r="I314" i="46" s="1"/>
  <c r="N156" i="46"/>
  <c r="N120" i="54" s="1"/>
  <c r="H156" i="46"/>
  <c r="H120" i="54" s="1"/>
  <c r="I156" i="46"/>
  <c r="I120" i="54" s="1"/>
  <c r="N317" i="46"/>
  <c r="N122" i="54" s="1"/>
  <c r="H317" i="46"/>
  <c r="H122" i="54" s="1"/>
  <c r="I317" i="46"/>
  <c r="I122" i="54" s="1"/>
  <c r="N155" i="46"/>
  <c r="N313" i="46" s="1"/>
  <c r="H155" i="46"/>
  <c r="H313" i="46" s="1"/>
  <c r="I155" i="46"/>
  <c r="I313" i="46" s="1"/>
  <c r="H77" i="46"/>
  <c r="H119" i="54" s="1"/>
  <c r="N77" i="46"/>
  <c r="N119" i="54" s="1"/>
  <c r="I77" i="46"/>
  <c r="I119" i="54" s="1"/>
  <c r="O50" i="47"/>
  <c r="H124" i="54" l="1"/>
  <c r="C35" i="43" s="1"/>
  <c r="O54" i="47"/>
  <c r="O52" i="47"/>
  <c r="O53" i="47"/>
  <c r="O47" i="47"/>
  <c r="O48" i="47"/>
  <c r="O56" i="47"/>
  <c r="O57" i="47"/>
  <c r="O51" i="47"/>
  <c r="N124" i="54"/>
  <c r="I35" i="43" s="1"/>
  <c r="N316" i="46"/>
  <c r="I32" i="43" s="1"/>
  <c r="O67" i="47" s="1"/>
  <c r="P314" i="46"/>
  <c r="O46" i="47"/>
  <c r="O49" i="47"/>
  <c r="I316" i="46"/>
  <c r="D32" i="43" s="1"/>
  <c r="P120" i="54"/>
  <c r="P122" i="54"/>
  <c r="H234" i="46"/>
  <c r="P232" i="46"/>
  <c r="I124" i="54"/>
  <c r="D35" i="43" s="1"/>
  <c r="H316" i="46"/>
  <c r="C32" i="43" s="1"/>
  <c r="P313" i="46"/>
  <c r="P121" i="54"/>
  <c r="O58" i="47" l="1"/>
  <c r="O60" i="47" s="1"/>
  <c r="O83" i="47"/>
  <c r="O63" i="47"/>
  <c r="O62" i="47"/>
  <c r="O80" i="47"/>
  <c r="O78" i="47"/>
  <c r="O68" i="47"/>
  <c r="O81" i="47"/>
  <c r="O87" i="47"/>
  <c r="O85" i="47"/>
  <c r="O84" i="47"/>
  <c r="O70" i="47"/>
  <c r="O72" i="47"/>
  <c r="O71" i="47"/>
  <c r="O66" i="47"/>
  <c r="O77" i="47"/>
  <c r="O76" i="47"/>
  <c r="O69" i="47"/>
  <c r="O64" i="47"/>
  <c r="O79" i="47"/>
  <c r="O65" i="47"/>
  <c r="O61" i="47"/>
  <c r="O82" i="47"/>
  <c r="O86" i="47"/>
  <c r="O73" i="47" l="1"/>
  <c r="O75" i="47" s="1"/>
  <c r="O88" i="47" s="1"/>
  <c r="I37" i="43" l="1"/>
  <c r="T25" i="3" l="1"/>
  <c r="S25" i="3"/>
  <c r="L77" i="46" l="1"/>
  <c r="L119" i="54" s="1"/>
  <c r="L124" i="54" s="1"/>
  <c r="G35" i="43" s="1"/>
  <c r="M77" i="46"/>
  <c r="M119" i="54" s="1"/>
  <c r="M124" i="54" s="1"/>
  <c r="H35" i="43" s="1"/>
  <c r="J77" i="46"/>
  <c r="J119" i="54" s="1"/>
  <c r="O77" i="46"/>
  <c r="O119" i="54" s="1"/>
  <c r="O124" i="54" s="1"/>
  <c r="J35" i="43" s="1"/>
  <c r="K77" i="46"/>
  <c r="K119" i="54" s="1"/>
  <c r="K124" i="54" s="1"/>
  <c r="F35" i="43" s="1"/>
  <c r="L76" i="46"/>
  <c r="L312" i="46" s="1"/>
  <c r="L316" i="46" s="1"/>
  <c r="G32" i="43" s="1"/>
  <c r="M76" i="46"/>
  <c r="M312" i="46" s="1"/>
  <c r="M316" i="46" s="1"/>
  <c r="H32" i="43" s="1"/>
  <c r="J76" i="46"/>
  <c r="J312" i="46" s="1"/>
  <c r="O76" i="46"/>
  <c r="O312" i="46" s="1"/>
  <c r="O316" i="46" s="1"/>
  <c r="J32" i="43" s="1"/>
  <c r="K76" i="46"/>
  <c r="K312" i="46" s="1"/>
  <c r="K316" i="46" s="1"/>
  <c r="F32" i="43" s="1"/>
  <c r="L75" i="46"/>
  <c r="L231" i="46" s="1"/>
  <c r="L234" i="46" s="1"/>
  <c r="M75" i="46"/>
  <c r="M231" i="46" s="1"/>
  <c r="M234" i="46" s="1"/>
  <c r="J75" i="46"/>
  <c r="J231" i="46" s="1"/>
  <c r="O75" i="46"/>
  <c r="O231" i="46" s="1"/>
  <c r="O234" i="46" s="1"/>
  <c r="K75" i="46"/>
  <c r="K231" i="46" s="1"/>
  <c r="K234" i="46" s="1"/>
  <c r="L74" i="46"/>
  <c r="L151" i="46" s="1"/>
  <c r="L153" i="46" s="1"/>
  <c r="M74" i="46"/>
  <c r="M151" i="46" s="1"/>
  <c r="M153" i="46" s="1"/>
  <c r="J74" i="46"/>
  <c r="J151" i="46" s="1"/>
  <c r="K74" i="46"/>
  <c r="K151" i="46" s="1"/>
  <c r="K153" i="46" s="1"/>
  <c r="O74" i="46"/>
  <c r="O151" i="46" s="1"/>
  <c r="O153" i="46" s="1"/>
  <c r="H129" i="54"/>
  <c r="H121" i="60" s="1"/>
  <c r="N129" i="54"/>
  <c r="N121" i="60" s="1"/>
  <c r="N126" i="60" s="1"/>
  <c r="N130" i="54"/>
  <c r="N121" i="61" s="1"/>
  <c r="N127" i="61" s="1"/>
  <c r="I130" i="54"/>
  <c r="I121" i="61" s="1"/>
  <c r="I127" i="61" s="1"/>
  <c r="I129" i="54"/>
  <c r="I121" i="60" s="1"/>
  <c r="I126" i="60" s="1"/>
  <c r="I127" i="54"/>
  <c r="I122" i="58" s="1"/>
  <c r="I125" i="58" s="1"/>
  <c r="N127" i="59"/>
  <c r="N124" i="60" s="1"/>
  <c r="N128" i="54"/>
  <c r="N121" i="59" s="1"/>
  <c r="N125" i="59" s="1"/>
  <c r="H128" i="54"/>
  <c r="H121" i="59" s="1"/>
  <c r="M40" i="47" l="1"/>
  <c r="M33" i="47"/>
  <c r="M32" i="47"/>
  <c r="M49" i="47"/>
  <c r="M31" i="47"/>
  <c r="M37" i="47"/>
  <c r="M38" i="47"/>
  <c r="M36" i="47"/>
  <c r="M39" i="47"/>
  <c r="M41" i="47"/>
  <c r="M34" i="47"/>
  <c r="M35" i="47"/>
  <c r="M42" i="47"/>
  <c r="M54" i="47"/>
  <c r="M48" i="47"/>
  <c r="M52" i="47"/>
  <c r="M55" i="47"/>
  <c r="M50" i="47"/>
  <c r="M53" i="47"/>
  <c r="M56" i="47"/>
  <c r="M51" i="47"/>
  <c r="M64" i="47"/>
  <c r="M57" i="47"/>
  <c r="M47" i="47"/>
  <c r="M46" i="47"/>
  <c r="M61" i="47"/>
  <c r="M62" i="47"/>
  <c r="M72" i="47"/>
  <c r="M66" i="47"/>
  <c r="M67" i="47"/>
  <c r="M69" i="47"/>
  <c r="M71" i="47"/>
  <c r="M70" i="47"/>
  <c r="M63" i="47"/>
  <c r="M68" i="47"/>
  <c r="M65" i="47"/>
  <c r="M78" i="47"/>
  <c r="M82" i="47"/>
  <c r="M76" i="47"/>
  <c r="M80" i="47"/>
  <c r="M86" i="47"/>
  <c r="M77" i="47"/>
  <c r="M81" i="47"/>
  <c r="M83" i="47"/>
  <c r="M79" i="47"/>
  <c r="M87" i="47"/>
  <c r="M85" i="47"/>
  <c r="M84" i="47"/>
  <c r="N52" i="47"/>
  <c r="N32" i="47"/>
  <c r="N53" i="47"/>
  <c r="N42" i="47"/>
  <c r="N79" i="47"/>
  <c r="N67" i="47"/>
  <c r="N51" i="47"/>
  <c r="N56" i="47"/>
  <c r="N82" i="47"/>
  <c r="N76" i="47"/>
  <c r="N34" i="47"/>
  <c r="N61" i="47"/>
  <c r="N38" i="47"/>
  <c r="N85" i="47"/>
  <c r="N37" i="47"/>
  <c r="N83" i="47"/>
  <c r="N81" i="47"/>
  <c r="N65" i="47"/>
  <c r="N47" i="47"/>
  <c r="N46" i="47"/>
  <c r="N72" i="47"/>
  <c r="N33" i="47"/>
  <c r="N57" i="47"/>
  <c r="N48" i="47"/>
  <c r="N64" i="47"/>
  <c r="N39" i="47"/>
  <c r="N84" i="47"/>
  <c r="N41" i="47"/>
  <c r="N71" i="47"/>
  <c r="N69" i="47"/>
  <c r="N78" i="47"/>
  <c r="N70" i="47"/>
  <c r="N55" i="47"/>
  <c r="N86" i="47"/>
  <c r="N77" i="47"/>
  <c r="N68" i="47"/>
  <c r="N62" i="47"/>
  <c r="N63" i="47"/>
  <c r="N66" i="47"/>
  <c r="N80" i="47"/>
  <c r="N36" i="47"/>
  <c r="N31" i="47"/>
  <c r="N50" i="47"/>
  <c r="N35" i="47"/>
  <c r="N87" i="47"/>
  <c r="N40" i="47"/>
  <c r="N49" i="47"/>
  <c r="N54" i="47"/>
  <c r="P151" i="46"/>
  <c r="P153" i="46" s="1"/>
  <c r="J153" i="46"/>
  <c r="J234" i="46"/>
  <c r="P231" i="46"/>
  <c r="P234" i="46" s="1"/>
  <c r="P312" i="46"/>
  <c r="J316" i="46"/>
  <c r="E32" i="43" s="1"/>
  <c r="K32" i="43" s="1"/>
  <c r="P119" i="54"/>
  <c r="J124" i="54"/>
  <c r="E35" i="43" s="1"/>
  <c r="K35" i="43" s="1"/>
  <c r="H125" i="59"/>
  <c r="P121" i="59"/>
  <c r="P125" i="59" s="1"/>
  <c r="H126" i="60"/>
  <c r="P121" i="60"/>
  <c r="P126" i="60" s="1"/>
  <c r="I128" i="54"/>
  <c r="I121" i="59" s="1"/>
  <c r="I125" i="59" s="1"/>
  <c r="H127" i="54"/>
  <c r="H122" i="58" s="1"/>
  <c r="N127" i="54"/>
  <c r="N126" i="54"/>
  <c r="H126" i="54"/>
  <c r="H121" i="57" s="1"/>
  <c r="I126" i="54"/>
  <c r="I121" i="57" s="1"/>
  <c r="I123" i="57" s="1"/>
  <c r="H130" i="54"/>
  <c r="H121" i="61" s="1"/>
  <c r="P124" i="54" l="1"/>
  <c r="P316" i="46"/>
  <c r="N43" i="47"/>
  <c r="N45" i="47" s="1"/>
  <c r="N58" i="47" s="1"/>
  <c r="N60" i="47" s="1"/>
  <c r="N73" i="47" s="1"/>
  <c r="N75" i="47" s="1"/>
  <c r="N88" i="47" s="1"/>
  <c r="M43" i="47"/>
  <c r="M45" i="47" s="1"/>
  <c r="M58" i="47" s="1"/>
  <c r="M60" i="47" s="1"/>
  <c r="M73" i="47" s="1"/>
  <c r="M75" i="47" s="1"/>
  <c r="M88" i="47" s="1"/>
  <c r="N121" i="57"/>
  <c r="N123" i="57" s="1"/>
  <c r="N122" i="58"/>
  <c r="N125" i="58" s="1"/>
  <c r="H127" i="61"/>
  <c r="P121" i="61"/>
  <c r="P127" i="61" s="1"/>
  <c r="H125" i="58"/>
  <c r="H123" i="57"/>
  <c r="K127" i="54"/>
  <c r="K129" i="54"/>
  <c r="K121" i="60" s="1"/>
  <c r="K126" i="60" s="1"/>
  <c r="J129" i="54"/>
  <c r="J121" i="60" s="1"/>
  <c r="J126" i="60" s="1"/>
  <c r="M128" i="54"/>
  <c r="M121" i="59" s="1"/>
  <c r="M125" i="59" s="1"/>
  <c r="L128" i="54"/>
  <c r="L121" i="59" s="1"/>
  <c r="L125" i="59" s="1"/>
  <c r="J130" i="54"/>
  <c r="J121" i="61" s="1"/>
  <c r="J127" i="61" s="1"/>
  <c r="K130" i="54"/>
  <c r="K121" i="61" s="1"/>
  <c r="K127" i="61" s="1"/>
  <c r="M129" i="54"/>
  <c r="M121" i="60" s="1"/>
  <c r="M126" i="60" s="1"/>
  <c r="J128" i="54"/>
  <c r="J121" i="59" s="1"/>
  <c r="J125" i="59" s="1"/>
  <c r="K128" i="54"/>
  <c r="K121" i="59" s="1"/>
  <c r="K125" i="59" s="1"/>
  <c r="L127" i="59"/>
  <c r="L124" i="60" s="1"/>
  <c r="G37" i="43" l="1"/>
  <c r="H37" i="43"/>
  <c r="L127" i="54"/>
  <c r="L129" i="54"/>
  <c r="L121" i="60" s="1"/>
  <c r="L126" i="60" s="1"/>
  <c r="L130" i="54"/>
  <c r="L121" i="61" s="1"/>
  <c r="L127" i="61" s="1"/>
  <c r="J127" i="54"/>
  <c r="K126" i="54"/>
  <c r="L125" i="57"/>
  <c r="L123" i="58" s="1"/>
  <c r="J126" i="54"/>
  <c r="M125" i="57"/>
  <c r="M123" i="58" s="1"/>
  <c r="M127" i="54"/>
  <c r="M126" i="54"/>
  <c r="M130" i="54"/>
  <c r="M121" i="61" s="1"/>
  <c r="M127" i="61" s="1"/>
  <c r="L126" i="54"/>
  <c r="M127" i="59"/>
  <c r="M124" i="60" s="1"/>
  <c r="L121" i="57" l="1"/>
  <c r="L123" i="57" s="1"/>
  <c r="L122" i="58"/>
  <c r="L125" i="58" s="1"/>
  <c r="J121" i="57"/>
  <c r="J122" i="58"/>
  <c r="M121" i="57"/>
  <c r="M123" i="57" s="1"/>
  <c r="M122" i="58"/>
  <c r="M125" i="58" s="1"/>
  <c r="K122" i="58"/>
  <c r="K121" i="57"/>
  <c r="K123" i="57" s="1"/>
  <c r="J123" i="57" l="1"/>
  <c r="P121" i="57"/>
  <c r="P123" i="57" s="1"/>
  <c r="P122" i="58"/>
  <c r="P125" i="58" s="1"/>
  <c r="P122" i="59"/>
  <c r="K127" i="57"/>
  <c r="K122" i="60" s="1"/>
  <c r="U45" i="3"/>
  <c r="J127" i="57" s="1"/>
  <c r="J122" i="60" s="1"/>
  <c r="T45" i="3"/>
  <c r="K126" i="57" s="1"/>
  <c r="K122" i="59" s="1"/>
  <c r="V45" i="3"/>
  <c r="J128" i="57" s="1"/>
  <c r="J122" i="61" s="1"/>
  <c r="S45" i="3"/>
  <c r="J125" i="57" s="1"/>
  <c r="J123" i="58" s="1"/>
  <c r="J125" i="58" s="1"/>
  <c r="K125" i="57"/>
  <c r="K123" i="58" s="1"/>
  <c r="K125" i="58" s="1"/>
  <c r="K128" i="57" l="1"/>
  <c r="K122" i="61" s="1"/>
  <c r="J126" i="57"/>
  <c r="J122" i="59" s="1"/>
  <c r="G55" i="45" l="1"/>
  <c r="G43" i="45" s="1"/>
  <c r="G56" i="45"/>
  <c r="G44" i="45" s="1"/>
  <c r="F55" i="45"/>
  <c r="F43" i="45" s="1"/>
  <c r="F56" i="45"/>
  <c r="F44" i="45" s="1"/>
  <c r="G53" i="45" l="1"/>
  <c r="F53" i="45"/>
  <c r="N65" i="65"/>
  <c r="W65" i="65" s="1"/>
  <c r="N64" i="65"/>
  <c r="W64" i="65" s="1"/>
  <c r="Y64" i="65" l="1"/>
  <c r="Y65" i="65"/>
  <c r="N61" i="65"/>
  <c r="W61" i="65" s="1"/>
  <c r="Y61" i="65" l="1"/>
  <c r="N63" i="65"/>
  <c r="W63" i="65" s="1"/>
  <c r="Y63" i="65" l="1"/>
  <c r="N58" i="65" l="1"/>
  <c r="W58" i="65" s="1"/>
  <c r="Y58" i="65" l="1"/>
  <c r="N62" i="65" l="1"/>
  <c r="W62" i="65" s="1"/>
  <c r="Y62" i="65" l="1"/>
  <c r="N59" i="65" l="1"/>
  <c r="W59" i="65" s="1"/>
  <c r="Y59" i="65" l="1"/>
  <c r="N60" i="65" l="1"/>
  <c r="W60" i="65" s="1"/>
  <c r="Y60" i="65" l="1"/>
  <c r="Y66" i="65" s="1"/>
  <c r="BR43" i="67" s="1"/>
  <c r="W66" i="65"/>
  <c r="N66" i="65"/>
  <c r="O65" i="65" l="1"/>
  <c r="O59" i="65"/>
  <c r="O64" i="65"/>
  <c r="O60" i="65"/>
  <c r="O63" i="65"/>
  <c r="O61" i="65"/>
  <c r="O58" i="65"/>
  <c r="O62" i="65"/>
  <c r="P62" i="65" l="1"/>
  <c r="P58" i="65"/>
  <c r="P64" i="65"/>
  <c r="P61" i="65"/>
  <c r="P63" i="65"/>
  <c r="P59" i="65"/>
  <c r="P60" i="65"/>
  <c r="P65" i="65"/>
  <c r="O66" i="65"/>
  <c r="Q67" i="65" s="1"/>
  <c r="BR40" i="67" l="1"/>
  <c r="BR42" i="67" s="1"/>
  <c r="BR44" i="67" s="1"/>
  <c r="P66" i="65"/>
  <c r="BD46" i="67" l="1"/>
  <c r="Q62" i="65"/>
  <c r="Q65" i="65"/>
  <c r="Q61" i="65"/>
  <c r="Q64" i="65"/>
  <c r="Q60" i="65"/>
  <c r="Q63" i="65"/>
  <c r="Q58" i="65"/>
  <c r="Q59" i="65"/>
  <c r="L89" i="47" l="1"/>
  <c r="X61" i="65"/>
  <c r="J89" i="47"/>
  <c r="X59" i="65"/>
  <c r="X63" i="65"/>
  <c r="O89" i="47"/>
  <c r="O90" i="47" s="1"/>
  <c r="X65" i="65"/>
  <c r="N89" i="47"/>
  <c r="N90" i="47" s="1"/>
  <c r="M89" i="47"/>
  <c r="M90" i="47" s="1"/>
  <c r="X64" i="65"/>
  <c r="I89" i="47"/>
  <c r="X58" i="65"/>
  <c r="K89" i="47"/>
  <c r="X60" i="65"/>
  <c r="X62" i="65"/>
  <c r="P89" i="47"/>
  <c r="R60" i="65"/>
  <c r="R63" i="65"/>
  <c r="R65" i="65"/>
  <c r="R62" i="65"/>
  <c r="R59" i="65"/>
  <c r="R64" i="65"/>
  <c r="R58" i="65"/>
  <c r="R61" i="65"/>
  <c r="X66" i="65" l="1"/>
  <c r="AA66" i="65" s="1"/>
  <c r="AB58" i="65"/>
  <c r="C41" i="43"/>
  <c r="Z58" i="65"/>
  <c r="D41" i="43"/>
  <c r="Z59" i="65"/>
  <c r="AB59" i="65"/>
  <c r="N158" i="47"/>
  <c r="N98" i="47"/>
  <c r="N136" i="47"/>
  <c r="N147" i="47"/>
  <c r="N113" i="47"/>
  <c r="N124" i="47"/>
  <c r="N112" i="47"/>
  <c r="N162" i="47"/>
  <c r="N114" i="47"/>
  <c r="N141" i="47"/>
  <c r="N99" i="47"/>
  <c r="N140" i="47"/>
  <c r="N122" i="47"/>
  <c r="N138" i="47"/>
  <c r="N102" i="47"/>
  <c r="N92" i="47"/>
  <c r="N159" i="47"/>
  <c r="N132" i="47"/>
  <c r="N96" i="47"/>
  <c r="N115" i="47"/>
  <c r="N123" i="47"/>
  <c r="N101" i="47"/>
  <c r="N142" i="47"/>
  <c r="N155" i="47"/>
  <c r="N121" i="47"/>
  <c r="N97" i="47"/>
  <c r="N152" i="47"/>
  <c r="N106" i="47"/>
  <c r="N156" i="47"/>
  <c r="N116" i="47"/>
  <c r="N125" i="47"/>
  <c r="N128" i="47"/>
  <c r="N145" i="47"/>
  <c r="N107" i="47"/>
  <c r="N154" i="47"/>
  <c r="N111" i="47"/>
  <c r="N108" i="47"/>
  <c r="N117" i="47"/>
  <c r="N131" i="47"/>
  <c r="N146" i="47"/>
  <c r="N137" i="47"/>
  <c r="N93" i="47"/>
  <c r="N139" i="47"/>
  <c r="N143" i="47"/>
  <c r="N100" i="47"/>
  <c r="N91" i="47"/>
  <c r="N103" i="47" s="1"/>
  <c r="N105" i="47" s="1"/>
  <c r="N118" i="47" s="1"/>
  <c r="N120" i="47" s="1"/>
  <c r="N133" i="47" s="1"/>
  <c r="N135" i="47" s="1"/>
  <c r="N148" i="47" s="1"/>
  <c r="N150" i="47" s="1"/>
  <c r="N163" i="47" s="1"/>
  <c r="N161" i="47"/>
  <c r="N109" i="47"/>
  <c r="N127" i="47"/>
  <c r="N144" i="47"/>
  <c r="N157" i="47"/>
  <c r="N95" i="47"/>
  <c r="N151" i="47"/>
  <c r="N126" i="47"/>
  <c r="N153" i="47"/>
  <c r="N94" i="47"/>
  <c r="N129" i="47"/>
  <c r="N160" i="47"/>
  <c r="N110" i="47"/>
  <c r="N130" i="47"/>
  <c r="H39" i="43"/>
  <c r="H38" i="43" s="1"/>
  <c r="H40" i="43" s="1"/>
  <c r="B12" i="68" s="1"/>
  <c r="F12" i="68" s="1"/>
  <c r="Z62" i="65"/>
  <c r="J41" i="43"/>
  <c r="AB62" i="65"/>
  <c r="Q89" i="47"/>
  <c r="H41" i="43"/>
  <c r="AB65" i="65"/>
  <c r="Z65" i="65"/>
  <c r="K36" i="43"/>
  <c r="O139" i="47"/>
  <c r="O102" i="47"/>
  <c r="O111" i="47"/>
  <c r="O113" i="47"/>
  <c r="O124" i="47"/>
  <c r="O131" i="47"/>
  <c r="O99" i="47"/>
  <c r="O142" i="47"/>
  <c r="O97" i="47"/>
  <c r="O129" i="47"/>
  <c r="O153" i="47"/>
  <c r="O121" i="47"/>
  <c r="O107" i="47"/>
  <c r="O91" i="47"/>
  <c r="O103" i="47" s="1"/>
  <c r="O105" i="47" s="1"/>
  <c r="O118" i="47" s="1"/>
  <c r="O120" i="47" s="1"/>
  <c r="O133" i="47" s="1"/>
  <c r="O135" i="47" s="1"/>
  <c r="O148" i="47" s="1"/>
  <c r="O150" i="47" s="1"/>
  <c r="O163" i="47" s="1"/>
  <c r="O128" i="47"/>
  <c r="O143" i="47"/>
  <c r="O123" i="47"/>
  <c r="O162" i="47"/>
  <c r="O116" i="47"/>
  <c r="O136" i="47"/>
  <c r="O141" i="47"/>
  <c r="O96" i="47"/>
  <c r="O152" i="47"/>
  <c r="O155" i="47"/>
  <c r="O146" i="47"/>
  <c r="O151" i="47"/>
  <c r="O159" i="47"/>
  <c r="O115" i="47"/>
  <c r="O137" i="47"/>
  <c r="O132" i="47"/>
  <c r="O126" i="47"/>
  <c r="O125" i="47"/>
  <c r="O94" i="47"/>
  <c r="O122" i="47"/>
  <c r="O140" i="47"/>
  <c r="O110" i="47"/>
  <c r="O157" i="47"/>
  <c r="O106" i="47"/>
  <c r="O95" i="47"/>
  <c r="O93" i="47"/>
  <c r="O130" i="47"/>
  <c r="O156" i="47"/>
  <c r="O117" i="47"/>
  <c r="O145" i="47"/>
  <c r="O127" i="47"/>
  <c r="O161" i="47"/>
  <c r="O160" i="47"/>
  <c r="O114" i="47"/>
  <c r="O100" i="47"/>
  <c r="O98" i="47"/>
  <c r="O158" i="47"/>
  <c r="O154" i="47"/>
  <c r="O144" i="47"/>
  <c r="O101" i="47"/>
  <c r="O108" i="47"/>
  <c r="O147" i="47"/>
  <c r="O109" i="47"/>
  <c r="O138" i="47"/>
  <c r="O112" i="47"/>
  <c r="O92" i="47"/>
  <c r="I39" i="43"/>
  <c r="I38" i="43" s="1"/>
  <c r="I40" i="43" s="1"/>
  <c r="B9" i="68" s="1"/>
  <c r="F9" i="68" s="1"/>
  <c r="Z60" i="65"/>
  <c r="E41" i="43"/>
  <c r="AB60" i="65"/>
  <c r="G41" i="43"/>
  <c r="AB64" i="65"/>
  <c r="Z64" i="65"/>
  <c r="AB61" i="65"/>
  <c r="F41" i="43"/>
  <c r="Z61" i="65"/>
  <c r="M137" i="47"/>
  <c r="M99" i="47"/>
  <c r="M112" i="47"/>
  <c r="M140" i="47"/>
  <c r="M121" i="47"/>
  <c r="M157" i="47"/>
  <c r="M141" i="47"/>
  <c r="M142" i="47"/>
  <c r="M110" i="47"/>
  <c r="M132" i="47"/>
  <c r="M126" i="47"/>
  <c r="M139" i="47"/>
  <c r="M127" i="47"/>
  <c r="M123" i="47"/>
  <c r="M130" i="47"/>
  <c r="M111" i="47"/>
  <c r="M159" i="47"/>
  <c r="M144" i="47"/>
  <c r="M116" i="47"/>
  <c r="M128" i="47"/>
  <c r="M145" i="47"/>
  <c r="M146" i="47"/>
  <c r="M96" i="47"/>
  <c r="M106" i="47"/>
  <c r="M124" i="47"/>
  <c r="M115" i="47"/>
  <c r="M94" i="47"/>
  <c r="M155" i="47"/>
  <c r="M93" i="47"/>
  <c r="M125" i="47"/>
  <c r="M152" i="47"/>
  <c r="M113" i="47"/>
  <c r="M107" i="47"/>
  <c r="M108" i="47"/>
  <c r="M117" i="47"/>
  <c r="M109" i="47"/>
  <c r="M98" i="47"/>
  <c r="M92" i="47"/>
  <c r="M156" i="47"/>
  <c r="M129" i="47"/>
  <c r="M131" i="47"/>
  <c r="M143" i="47"/>
  <c r="M154" i="47"/>
  <c r="M122" i="47"/>
  <c r="M138" i="47"/>
  <c r="M136" i="47"/>
  <c r="M147" i="47"/>
  <c r="M162" i="47"/>
  <c r="M153" i="47"/>
  <c r="M101" i="47"/>
  <c r="M102" i="47"/>
  <c r="M158" i="47"/>
  <c r="M114" i="47"/>
  <c r="M97" i="47"/>
  <c r="M91" i="47"/>
  <c r="M103" i="47" s="1"/>
  <c r="M105" i="47" s="1"/>
  <c r="M118" i="47" s="1"/>
  <c r="M120" i="47" s="1"/>
  <c r="M133" i="47" s="1"/>
  <c r="M135" i="47" s="1"/>
  <c r="M148" i="47" s="1"/>
  <c r="M150" i="47" s="1"/>
  <c r="M163" i="47" s="1"/>
  <c r="M100" i="47"/>
  <c r="M161" i="47"/>
  <c r="M160" i="47"/>
  <c r="M95" i="47"/>
  <c r="M151" i="47"/>
  <c r="G39" i="43"/>
  <c r="G38" i="43" s="1"/>
  <c r="G40" i="43" s="1"/>
  <c r="B11" i="68" s="1"/>
  <c r="F11" i="68" s="1"/>
  <c r="AB63" i="65"/>
  <c r="I41" i="43"/>
  <c r="Z63" i="65"/>
  <c r="R66" i="65"/>
  <c r="E43" i="43" l="1"/>
  <c r="C43" i="43"/>
  <c r="K41" i="43"/>
  <c r="F43" i="43"/>
  <c r="H43" i="43"/>
  <c r="H42" i="43"/>
  <c r="J43" i="43"/>
  <c r="Z66" i="65"/>
  <c r="I43" i="43"/>
  <c r="I42" i="43"/>
  <c r="H9" i="43"/>
  <c r="S68" i="65"/>
  <c r="G43" i="43"/>
  <c r="G42" i="43"/>
  <c r="D43" i="43"/>
  <c r="K43" i="43" l="1"/>
  <c r="M52" i="45" l="1"/>
  <c r="K41" i="47" l="1"/>
  <c r="K38" i="47"/>
  <c r="K40" i="47"/>
  <c r="K42" i="47"/>
  <c r="K31" i="47"/>
  <c r="K37" i="47"/>
  <c r="K35" i="47"/>
  <c r="K36" i="47"/>
  <c r="K39" i="47"/>
  <c r="K32" i="47"/>
  <c r="K33" i="47"/>
  <c r="K34" i="47"/>
  <c r="P39" i="47"/>
  <c r="P33" i="47"/>
  <c r="P42" i="47"/>
  <c r="P38" i="47"/>
  <c r="P37" i="47"/>
  <c r="P31" i="47"/>
  <c r="P35" i="47"/>
  <c r="P40" i="47"/>
  <c r="P36" i="47"/>
  <c r="P32" i="47"/>
  <c r="P34" i="47"/>
  <c r="P41" i="47"/>
  <c r="I34" i="47"/>
  <c r="I39" i="47"/>
  <c r="I33" i="47"/>
  <c r="I35" i="47"/>
  <c r="I41" i="47"/>
  <c r="I36" i="47"/>
  <c r="I38" i="47"/>
  <c r="I37" i="47"/>
  <c r="I40" i="47"/>
  <c r="I42" i="47"/>
  <c r="I32" i="47"/>
  <c r="I31" i="47"/>
  <c r="L42" i="47" l="1"/>
  <c r="L48" i="47"/>
  <c r="L81" i="47"/>
  <c r="L33" i="47"/>
  <c r="L80" i="47"/>
  <c r="L76" i="47"/>
  <c r="L62" i="47"/>
  <c r="L36" i="47"/>
  <c r="L32" i="47"/>
  <c r="L38" i="47"/>
  <c r="L64" i="47"/>
  <c r="L71" i="47"/>
  <c r="L84" i="47"/>
  <c r="L85" i="47"/>
  <c r="L72" i="47"/>
  <c r="L63" i="47"/>
  <c r="L57" i="47"/>
  <c r="L68" i="47"/>
  <c r="L35" i="47"/>
  <c r="L39" i="47"/>
  <c r="L46" i="47"/>
  <c r="L67" i="47"/>
  <c r="L65" i="47"/>
  <c r="L53" i="47"/>
  <c r="L78" i="47"/>
  <c r="L66" i="47"/>
  <c r="L51" i="47"/>
  <c r="L69" i="47"/>
  <c r="L87" i="47"/>
  <c r="L79" i="47"/>
  <c r="L83" i="47"/>
  <c r="L31" i="47"/>
  <c r="L86" i="47"/>
  <c r="L82" i="47"/>
  <c r="L49" i="47"/>
  <c r="L56" i="47"/>
  <c r="L40" i="47"/>
  <c r="L61" i="47"/>
  <c r="L70" i="47"/>
  <c r="L34" i="47"/>
  <c r="L50" i="47"/>
  <c r="L77" i="47"/>
  <c r="L47" i="47"/>
  <c r="L52" i="47"/>
  <c r="L37" i="47"/>
  <c r="L54" i="47"/>
  <c r="L55" i="47"/>
  <c r="L41" i="47"/>
  <c r="L162" i="47"/>
  <c r="L132" i="47"/>
  <c r="L107" i="47"/>
  <c r="L102" i="47"/>
  <c r="L152" i="47"/>
  <c r="L116" i="47"/>
  <c r="L100" i="47"/>
  <c r="L111" i="47"/>
  <c r="L101" i="47"/>
  <c r="L91" i="47"/>
  <c r="L99" i="47"/>
  <c r="L109" i="47"/>
  <c r="L130" i="47"/>
  <c r="L94" i="47"/>
  <c r="L124" i="47"/>
  <c r="L160" i="47"/>
  <c r="L159" i="47"/>
  <c r="L121" i="47"/>
  <c r="L131" i="47"/>
  <c r="L139" i="47"/>
  <c r="L140" i="47"/>
  <c r="L138" i="47"/>
  <c r="L128" i="47"/>
  <c r="L110" i="47"/>
  <c r="L143" i="47"/>
  <c r="L156" i="47"/>
  <c r="L137" i="47"/>
  <c r="L123" i="47"/>
  <c r="L117" i="47"/>
  <c r="L98" i="47"/>
  <c r="L114" i="47"/>
  <c r="L125" i="47"/>
  <c r="L146" i="47"/>
  <c r="L157" i="47"/>
  <c r="L158" i="47"/>
  <c r="L151" i="47"/>
  <c r="L155" i="47"/>
  <c r="L144" i="47"/>
  <c r="L141" i="47"/>
  <c r="L154" i="47"/>
  <c r="L136" i="47"/>
  <c r="L129" i="47"/>
  <c r="L97" i="47"/>
  <c r="L126" i="47"/>
  <c r="L127" i="47"/>
  <c r="L106" i="47"/>
  <c r="L96" i="47"/>
  <c r="L93" i="47"/>
  <c r="L145" i="47"/>
  <c r="L115" i="47"/>
  <c r="L113" i="47"/>
  <c r="L122" i="47"/>
  <c r="L147" i="47"/>
  <c r="L142" i="47"/>
  <c r="L95" i="47"/>
  <c r="L108" i="47"/>
  <c r="L92" i="47"/>
  <c r="L112" i="47"/>
  <c r="L161" i="47"/>
  <c r="L153" i="47"/>
  <c r="J33" i="47"/>
  <c r="J40" i="47"/>
  <c r="Q40" i="47" s="1"/>
  <c r="J35" i="47"/>
  <c r="Q35" i="47" s="1"/>
  <c r="J32" i="47"/>
  <c r="Q32" i="47" s="1"/>
  <c r="J39" i="47"/>
  <c r="J36" i="47"/>
  <c r="J37" i="47"/>
  <c r="Q37" i="47" s="1"/>
  <c r="J38" i="47"/>
  <c r="J42" i="47"/>
  <c r="J41" i="47"/>
  <c r="J34" i="47"/>
  <c r="J31" i="47"/>
  <c r="Q31" i="47" s="1"/>
  <c r="J49" i="47"/>
  <c r="J56" i="47"/>
  <c r="J48" i="47"/>
  <c r="J54" i="47"/>
  <c r="J57" i="47"/>
  <c r="J46" i="47"/>
  <c r="J53" i="47"/>
  <c r="J51" i="47"/>
  <c r="J50" i="47"/>
  <c r="J55" i="47"/>
  <c r="J47" i="47"/>
  <c r="J52" i="47"/>
  <c r="J71" i="47"/>
  <c r="J62" i="47"/>
  <c r="J67" i="47"/>
  <c r="J69" i="47"/>
  <c r="J76" i="47"/>
  <c r="J79" i="47"/>
  <c r="J72" i="47"/>
  <c r="J63" i="47"/>
  <c r="J61" i="47"/>
  <c r="J87" i="47"/>
  <c r="J86" i="47"/>
  <c r="J82" i="47"/>
  <c r="J84" i="47"/>
  <c r="J65" i="47"/>
  <c r="J66" i="47"/>
  <c r="J70" i="47"/>
  <c r="J85" i="47"/>
  <c r="J83" i="47"/>
  <c r="J77" i="47"/>
  <c r="J68" i="47"/>
  <c r="J64" i="47"/>
  <c r="J80" i="47"/>
  <c r="J78" i="47"/>
  <c r="J81" i="47"/>
  <c r="J115" i="47"/>
  <c r="J137" i="47"/>
  <c r="J161" i="47"/>
  <c r="J156" i="47"/>
  <c r="J153" i="47"/>
  <c r="J138" i="47"/>
  <c r="J116" i="47"/>
  <c r="J136" i="47"/>
  <c r="J145" i="47"/>
  <c r="J122" i="47"/>
  <c r="J162" i="47"/>
  <c r="J141" i="47"/>
  <c r="J110" i="47"/>
  <c r="J142" i="47"/>
  <c r="J155" i="47"/>
  <c r="J147" i="47"/>
  <c r="J151" i="47"/>
  <c r="J92" i="47"/>
  <c r="J126" i="47"/>
  <c r="J91" i="47"/>
  <c r="J139" i="47"/>
  <c r="J127" i="47"/>
  <c r="J101" i="47"/>
  <c r="J124" i="47"/>
  <c r="J93" i="47"/>
  <c r="J107" i="47"/>
  <c r="J96" i="47"/>
  <c r="J125" i="47"/>
  <c r="J160" i="47"/>
  <c r="J123" i="47"/>
  <c r="J94" i="47"/>
  <c r="J99" i="47"/>
  <c r="J128" i="47"/>
  <c r="J143" i="47"/>
  <c r="J95" i="47"/>
  <c r="J102" i="47"/>
  <c r="J154" i="47"/>
  <c r="J112" i="47"/>
  <c r="J152" i="47"/>
  <c r="J106" i="47"/>
  <c r="J121" i="47"/>
  <c r="J108" i="47"/>
  <c r="J129" i="47"/>
  <c r="J98" i="47"/>
  <c r="J158" i="47"/>
  <c r="J146" i="47"/>
  <c r="J144" i="47"/>
  <c r="J113" i="47"/>
  <c r="J130" i="47"/>
  <c r="J109" i="47"/>
  <c r="J159" i="47"/>
  <c r="J97" i="47"/>
  <c r="J131" i="47"/>
  <c r="J157" i="47"/>
  <c r="J100" i="47"/>
  <c r="J114" i="47"/>
  <c r="J132" i="47"/>
  <c r="J140" i="47"/>
  <c r="J111" i="47"/>
  <c r="J117" i="47"/>
  <c r="I43" i="47"/>
  <c r="I45" i="47" s="1"/>
  <c r="P43" i="47"/>
  <c r="P45" i="47" s="1"/>
  <c r="Q42" i="47"/>
  <c r="K43" i="47"/>
  <c r="K45" i="47" s="1"/>
  <c r="Q38" i="47" l="1"/>
  <c r="Q41" i="47"/>
  <c r="Q39" i="47"/>
  <c r="Q36" i="47"/>
  <c r="Q33" i="47"/>
  <c r="Q34" i="47"/>
  <c r="L43" i="47"/>
  <c r="L45" i="47" s="1"/>
  <c r="L58" i="47" s="1"/>
  <c r="L60" i="47" s="1"/>
  <c r="L73" i="47" s="1"/>
  <c r="L75" i="47" s="1"/>
  <c r="L88" i="47" s="1"/>
  <c r="K71" i="47"/>
  <c r="K70" i="47"/>
  <c r="K76" i="47"/>
  <c r="K78" i="47"/>
  <c r="K53" i="47"/>
  <c r="K63" i="47"/>
  <c r="K66" i="47"/>
  <c r="K152" i="47"/>
  <c r="K156" i="47"/>
  <c r="K151" i="47"/>
  <c r="K146" i="47"/>
  <c r="K109" i="47"/>
  <c r="K155" i="47"/>
  <c r="K143" i="47"/>
  <c r="K140" i="47"/>
  <c r="K130" i="47"/>
  <c r="K117" i="47"/>
  <c r="K123" i="47"/>
  <c r="K145" i="47"/>
  <c r="K121" i="47"/>
  <c r="K111" i="47"/>
  <c r="K137" i="47"/>
  <c r="K64" i="47"/>
  <c r="K86" i="47"/>
  <c r="K77" i="47"/>
  <c r="K46" i="47"/>
  <c r="K69" i="47"/>
  <c r="K85" i="47"/>
  <c r="K79" i="47"/>
  <c r="K67" i="47"/>
  <c r="K56" i="47"/>
  <c r="K62" i="47"/>
  <c r="K125" i="47"/>
  <c r="K129" i="47"/>
  <c r="K102" i="47"/>
  <c r="K158" i="47"/>
  <c r="K108" i="47"/>
  <c r="K153" i="47"/>
  <c r="K161" i="47"/>
  <c r="K124" i="47"/>
  <c r="K101" i="47"/>
  <c r="K139" i="47"/>
  <c r="K110" i="47"/>
  <c r="K157" i="47"/>
  <c r="K159" i="47"/>
  <c r="K112" i="47"/>
  <c r="K80" i="47"/>
  <c r="K50" i="47"/>
  <c r="K65" i="47"/>
  <c r="K68" i="47"/>
  <c r="K81" i="47"/>
  <c r="K52" i="47"/>
  <c r="K48" i="47"/>
  <c r="K57" i="47"/>
  <c r="K49" i="47"/>
  <c r="K55" i="47"/>
  <c r="K113" i="47"/>
  <c r="K147" i="47"/>
  <c r="K122" i="47"/>
  <c r="K107" i="47"/>
  <c r="K93" i="47"/>
  <c r="K131" i="47"/>
  <c r="K128" i="47"/>
  <c r="K114" i="47"/>
  <c r="K136" i="47"/>
  <c r="K126" i="47"/>
  <c r="K144" i="47"/>
  <c r="K99" i="47"/>
  <c r="K115" i="47"/>
  <c r="K141" i="47"/>
  <c r="K100" i="47"/>
  <c r="K95" i="47"/>
  <c r="K84" i="47"/>
  <c r="K82" i="47"/>
  <c r="K51" i="47"/>
  <c r="K54" i="47"/>
  <c r="K83" i="47"/>
  <c r="K72" i="47"/>
  <c r="K47" i="47"/>
  <c r="K87" i="47"/>
  <c r="K61" i="47"/>
  <c r="K154" i="47"/>
  <c r="K116" i="47"/>
  <c r="K138" i="47"/>
  <c r="K127" i="47"/>
  <c r="K142" i="47"/>
  <c r="K97" i="47"/>
  <c r="K94" i="47"/>
  <c r="K160" i="47"/>
  <c r="K91" i="47"/>
  <c r="K132" i="47"/>
  <c r="K92" i="47"/>
  <c r="K162" i="47"/>
  <c r="K106" i="47"/>
  <c r="K96" i="47"/>
  <c r="K98" i="47"/>
  <c r="P55" i="47"/>
  <c r="P76" i="47"/>
  <c r="P68" i="47"/>
  <c r="P80" i="47"/>
  <c r="P62" i="47"/>
  <c r="P81" i="47"/>
  <c r="P63" i="47"/>
  <c r="P85" i="47"/>
  <c r="P57" i="47"/>
  <c r="P83" i="47"/>
  <c r="P61" i="47"/>
  <c r="P87" i="47"/>
  <c r="P64" i="47"/>
  <c r="P86" i="47"/>
  <c r="P46" i="47"/>
  <c r="P78" i="47"/>
  <c r="P48" i="47"/>
  <c r="P54" i="47"/>
  <c r="P84" i="47"/>
  <c r="P65" i="47"/>
  <c r="P72" i="47"/>
  <c r="P77" i="47"/>
  <c r="P52" i="47"/>
  <c r="P56" i="47"/>
  <c r="P82" i="47"/>
  <c r="P69" i="47"/>
  <c r="P67" i="47"/>
  <c r="P79" i="47"/>
  <c r="P49" i="47"/>
  <c r="P50" i="47"/>
  <c r="P53" i="47"/>
  <c r="P66" i="47"/>
  <c r="P70" i="47"/>
  <c r="P47" i="47"/>
  <c r="P51" i="47"/>
  <c r="P71" i="47"/>
  <c r="J43" i="47"/>
  <c r="J45" i="47" s="1"/>
  <c r="J58" i="47" s="1"/>
  <c r="J60" i="47" s="1"/>
  <c r="J73" i="47" s="1"/>
  <c r="J75" i="47" s="1"/>
  <c r="J88" i="47" s="1"/>
  <c r="Q43" i="47" l="1"/>
  <c r="Q45" i="47" s="1"/>
  <c r="K58" i="47"/>
  <c r="K60" i="47" s="1"/>
  <c r="K73" i="47" s="1"/>
  <c r="K75" i="47" s="1"/>
  <c r="K88" i="47" s="1"/>
  <c r="K90" i="47" s="1"/>
  <c r="K103" i="47" s="1"/>
  <c r="K105" i="47" s="1"/>
  <c r="K118" i="47" s="1"/>
  <c r="K120" i="47" s="1"/>
  <c r="K133" i="47" s="1"/>
  <c r="K135" i="47" s="1"/>
  <c r="K148" i="47" s="1"/>
  <c r="K150" i="47" s="1"/>
  <c r="K163" i="47" s="1"/>
  <c r="P58" i="47"/>
  <c r="P60" i="47" s="1"/>
  <c r="P73" i="47" s="1"/>
  <c r="P75" i="47" s="1"/>
  <c r="P88" i="47" s="1"/>
  <c r="P90" i="47" s="1"/>
  <c r="P103" i="47" s="1"/>
  <c r="P105" i="47" s="1"/>
  <c r="P118" i="47" s="1"/>
  <c r="P120" i="47" s="1"/>
  <c r="P133" i="47" s="1"/>
  <c r="P135" i="47" s="1"/>
  <c r="P148" i="47" s="1"/>
  <c r="P150" i="47" s="1"/>
  <c r="P163" i="47" s="1"/>
  <c r="D37" i="43"/>
  <c r="D39" i="43" s="1"/>
  <c r="J90" i="47"/>
  <c r="J103" i="47" s="1"/>
  <c r="J105" i="47" s="1"/>
  <c r="J118" i="47" s="1"/>
  <c r="J120" i="47" s="1"/>
  <c r="J133" i="47" s="1"/>
  <c r="J135" i="47" s="1"/>
  <c r="J148" i="47" s="1"/>
  <c r="J150" i="47" s="1"/>
  <c r="J163" i="47" s="1"/>
  <c r="F37" i="43"/>
  <c r="F39" i="43" s="1"/>
  <c r="L90" i="47"/>
  <c r="L103" i="47" s="1"/>
  <c r="L105" i="47" s="1"/>
  <c r="L118" i="47" s="1"/>
  <c r="L120" i="47" s="1"/>
  <c r="L133" i="47" s="1"/>
  <c r="L135" i="47" s="1"/>
  <c r="L148" i="47" s="1"/>
  <c r="L150" i="47" s="1"/>
  <c r="L163" i="47" s="1"/>
  <c r="I56" i="47"/>
  <c r="Q56" i="47" s="1"/>
  <c r="I61" i="47"/>
  <c r="Q61" i="47" s="1"/>
  <c r="I64" i="47"/>
  <c r="Q64" i="47" s="1"/>
  <c r="I87" i="47"/>
  <c r="Q87" i="47" s="1"/>
  <c r="I68" i="47"/>
  <c r="Q68" i="47" s="1"/>
  <c r="I54" i="47"/>
  <c r="Q54" i="47" s="1"/>
  <c r="I86" i="47"/>
  <c r="Q86" i="47" s="1"/>
  <c r="I50" i="47"/>
  <c r="Q50" i="47" s="1"/>
  <c r="I77" i="47"/>
  <c r="Q77" i="47" s="1"/>
  <c r="I100" i="47"/>
  <c r="Q100" i="47" s="1"/>
  <c r="I113" i="47"/>
  <c r="Q113" i="47" s="1"/>
  <c r="I140" i="47"/>
  <c r="Q140" i="47" s="1"/>
  <c r="I106" i="47"/>
  <c r="Q106" i="47" s="1"/>
  <c r="I114" i="47"/>
  <c r="Q114" i="47" s="1"/>
  <c r="I154" i="47"/>
  <c r="Q154" i="47" s="1"/>
  <c r="I158" i="47"/>
  <c r="Q158" i="47" s="1"/>
  <c r="I145" i="47"/>
  <c r="Q145" i="47" s="1"/>
  <c r="I115" i="47"/>
  <c r="Q115" i="47" s="1"/>
  <c r="I127" i="47"/>
  <c r="Q127" i="47" s="1"/>
  <c r="I130" i="47"/>
  <c r="Q130" i="47" s="1"/>
  <c r="I99" i="47"/>
  <c r="Q99" i="47" s="1"/>
  <c r="I128" i="47"/>
  <c r="Q128" i="47" s="1"/>
  <c r="I125" i="47"/>
  <c r="Q125" i="47" s="1"/>
  <c r="I122" i="47"/>
  <c r="Q122" i="47" s="1"/>
  <c r="I51" i="47"/>
  <c r="I66" i="47"/>
  <c r="Q66" i="47" s="1"/>
  <c r="I67" i="47"/>
  <c r="Q67" i="47" s="1"/>
  <c r="I70" i="47"/>
  <c r="Q70" i="47" s="1"/>
  <c r="I78" i="47"/>
  <c r="Q78" i="47" s="1"/>
  <c r="I76" i="47"/>
  <c r="Q76" i="47" s="1"/>
  <c r="I62" i="47"/>
  <c r="Q62" i="47" s="1"/>
  <c r="I53" i="47"/>
  <c r="Q53" i="47" s="1"/>
  <c r="I85" i="47"/>
  <c r="Q85" i="47" s="1"/>
  <c r="I98" i="47"/>
  <c r="Q98" i="47" s="1"/>
  <c r="I144" i="47"/>
  <c r="Q144" i="47" s="1"/>
  <c r="I153" i="47"/>
  <c r="Q153" i="47" s="1"/>
  <c r="I124" i="47"/>
  <c r="Q124" i="47" s="1"/>
  <c r="I138" i="47"/>
  <c r="Q138" i="47" s="1"/>
  <c r="I132" i="47"/>
  <c r="Q132" i="47" s="1"/>
  <c r="I161" i="47"/>
  <c r="Q161" i="47" s="1"/>
  <c r="I112" i="47"/>
  <c r="Q112" i="47" s="1"/>
  <c r="I137" i="47"/>
  <c r="Q137" i="47" s="1"/>
  <c r="I97" i="47"/>
  <c r="Q97" i="47" s="1"/>
  <c r="I107" i="47"/>
  <c r="Q107" i="47" s="1"/>
  <c r="I123" i="47"/>
  <c r="Q123" i="47" s="1"/>
  <c r="I116" i="47"/>
  <c r="Q116" i="47" s="1"/>
  <c r="I157" i="47"/>
  <c r="Q157" i="47" s="1"/>
  <c r="I143" i="47"/>
  <c r="Q143" i="47" s="1"/>
  <c r="I55" i="47"/>
  <c r="Q55" i="47" s="1"/>
  <c r="I63" i="47"/>
  <c r="Q63" i="47" s="1"/>
  <c r="I57" i="47"/>
  <c r="Q57" i="47" s="1"/>
  <c r="I71" i="47"/>
  <c r="Q71" i="47" s="1"/>
  <c r="I52" i="47"/>
  <c r="Q52" i="47" s="1"/>
  <c r="I80" i="47"/>
  <c r="Q80" i="47" s="1"/>
  <c r="I83" i="47"/>
  <c r="Q83" i="47" s="1"/>
  <c r="I84" i="47"/>
  <c r="Q84" i="47" s="1"/>
  <c r="I65" i="47"/>
  <c r="Q65" i="47" s="1"/>
  <c r="I141" i="47"/>
  <c r="Q141" i="47" s="1"/>
  <c r="I111" i="47"/>
  <c r="Q111" i="47" s="1"/>
  <c r="I159" i="47"/>
  <c r="Q159" i="47" s="1"/>
  <c r="I156" i="47"/>
  <c r="Q156" i="47" s="1"/>
  <c r="I95" i="47"/>
  <c r="Q95" i="47" s="1"/>
  <c r="I102" i="47"/>
  <c r="Q102" i="47" s="1"/>
  <c r="I93" i="47"/>
  <c r="Q93" i="47" s="1"/>
  <c r="I151" i="47"/>
  <c r="Q151" i="47" s="1"/>
  <c r="I136" i="47"/>
  <c r="Q136" i="47" s="1"/>
  <c r="I96" i="47"/>
  <c r="Q96" i="47" s="1"/>
  <c r="I160" i="47"/>
  <c r="Q160" i="47" s="1"/>
  <c r="I94" i="47"/>
  <c r="Q94" i="47" s="1"/>
  <c r="I142" i="47"/>
  <c r="Q142" i="47" s="1"/>
  <c r="I117" i="47"/>
  <c r="Q117" i="47" s="1"/>
  <c r="I129" i="47"/>
  <c r="Q129" i="47" s="1"/>
  <c r="I46" i="47"/>
  <c r="Q46" i="47" s="1"/>
  <c r="I82" i="47"/>
  <c r="Q82" i="47" s="1"/>
  <c r="I81" i="47"/>
  <c r="Q81" i="47" s="1"/>
  <c r="I131" i="47"/>
  <c r="Q131" i="47" s="1"/>
  <c r="I108" i="47"/>
  <c r="Q108" i="47" s="1"/>
  <c r="I162" i="47"/>
  <c r="Q162" i="47" s="1"/>
  <c r="I69" i="47"/>
  <c r="Q69" i="47" s="1"/>
  <c r="I48" i="47"/>
  <c r="Q48" i="47" s="1"/>
  <c r="I121" i="47"/>
  <c r="Q121" i="47" s="1"/>
  <c r="I147" i="47"/>
  <c r="Q147" i="47" s="1"/>
  <c r="I155" i="47"/>
  <c r="Q155" i="47" s="1"/>
  <c r="I92" i="47"/>
  <c r="Q92" i="47" s="1"/>
  <c r="I79" i="47"/>
  <c r="Q79" i="47" s="1"/>
  <c r="I72" i="47"/>
  <c r="Q72" i="47" s="1"/>
  <c r="I126" i="47"/>
  <c r="Q126" i="47" s="1"/>
  <c r="I101" i="47"/>
  <c r="Q101" i="47" s="1"/>
  <c r="I152" i="47"/>
  <c r="Q152" i="47" s="1"/>
  <c r="I139" i="47"/>
  <c r="Q139" i="47" s="1"/>
  <c r="I47" i="47"/>
  <c r="Q47" i="47" s="1"/>
  <c r="I49" i="47"/>
  <c r="Q49" i="47" s="1"/>
  <c r="I109" i="47"/>
  <c r="Q109" i="47" s="1"/>
  <c r="I146" i="47"/>
  <c r="Q146" i="47" s="1"/>
  <c r="I91" i="47"/>
  <c r="Q91" i="47" s="1"/>
  <c r="I110" i="47"/>
  <c r="Q110" i="47" s="1"/>
  <c r="Q51" i="47"/>
  <c r="E37" i="43" l="1"/>
  <c r="E39" i="43" s="1"/>
  <c r="E42" i="43" s="1"/>
  <c r="J37" i="43"/>
  <c r="J39" i="43" s="1"/>
  <c r="J38" i="43" s="1"/>
  <c r="J40" i="43" s="1"/>
  <c r="B8" i="68" s="1"/>
  <c r="F8" i="68" s="1"/>
  <c r="Q58" i="47"/>
  <c r="Q60" i="47" s="1"/>
  <c r="Q73" i="47" s="1"/>
  <c r="Q75" i="47" s="1"/>
  <c r="Q88" i="47" s="1"/>
  <c r="Q90" i="47" s="1"/>
  <c r="Q103" i="47" s="1"/>
  <c r="Q105" i="47" s="1"/>
  <c r="Q118" i="47" s="1"/>
  <c r="Q120" i="47" s="1"/>
  <c r="Q133" i="47" s="1"/>
  <c r="Q135" i="47" s="1"/>
  <c r="Q148" i="47" s="1"/>
  <c r="Q150" i="47" s="1"/>
  <c r="Q163" i="47" s="1"/>
  <c r="I58" i="47"/>
  <c r="I60" i="47" s="1"/>
  <c r="I73" i="47" s="1"/>
  <c r="I75" i="47" s="1"/>
  <c r="I88" i="47" s="1"/>
  <c r="F38" i="43"/>
  <c r="F40" i="43" s="1"/>
  <c r="B7" i="68" s="1"/>
  <c r="F7" i="68" s="1"/>
  <c r="F42" i="43"/>
  <c r="D38" i="43"/>
  <c r="D40" i="43" s="1"/>
  <c r="B5" i="68" s="1"/>
  <c r="F5" i="68" s="1"/>
  <c r="D42" i="43"/>
  <c r="E38" i="43" l="1"/>
  <c r="E40" i="43" s="1"/>
  <c r="B6" i="68" s="1"/>
  <c r="F6" i="68" s="1"/>
  <c r="J42" i="43"/>
  <c r="C37" i="43"/>
  <c r="I90" i="47"/>
  <c r="I103" i="47" s="1"/>
  <c r="I105" i="47" s="1"/>
  <c r="I118" i="47" s="1"/>
  <c r="I120" i="47" s="1"/>
  <c r="I133" i="47" s="1"/>
  <c r="I135" i="47" s="1"/>
  <c r="I148" i="47" s="1"/>
  <c r="I150" i="47" s="1"/>
  <c r="I163" i="47" s="1"/>
  <c r="K37" i="43" l="1"/>
  <c r="C39" i="43"/>
  <c r="K39" i="43" l="1"/>
  <c r="K42" i="43" s="1"/>
  <c r="C38" i="43"/>
  <c r="C42" i="43"/>
  <c r="L39" i="43" l="1"/>
  <c r="H14" i="43"/>
  <c r="C40" i="43"/>
  <c r="K38" i="43"/>
  <c r="K40" i="43" s="1"/>
  <c r="L40" i="43" l="1"/>
  <c r="M39" i="43"/>
  <c r="B4" i="68"/>
  <c r="F4" i="68" l="1"/>
  <c r="B13" i="68"/>
</calcChain>
</file>

<file path=xl/comments1.xml><?xml version="1.0" encoding="utf-8"?>
<comments xmlns="http://schemas.openxmlformats.org/spreadsheetml/2006/main">
  <authors>
    <author>Keith Ritchie</author>
  </authors>
  <commentList>
    <comment ref="E19" authorId="0" shape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Matt Weninger</author>
    <author>Josh Wasylyk</author>
  </authors>
  <commentList>
    <comment ref="M17" authorId="0" shapeId="0">
      <text>
        <r>
          <rPr>
            <b/>
            <sz val="9"/>
            <color indexed="81"/>
            <rFont val="Tahoma"/>
            <family val="2"/>
          </rPr>
          <t>Matt Weninger:</t>
        </r>
        <r>
          <rPr>
            <sz val="9"/>
            <color indexed="81"/>
            <rFont val="Tahoma"/>
            <family val="2"/>
          </rPr>
          <t xml:space="preserve">
Future persistence savings calculated using IESO final verified results persistence data located in tab 10. Guelph _CDM Prgs data area A108-M132.
</t>
        </r>
      </text>
    </comment>
    <comment ref="Y17" authorId="0" shapeId="0">
      <text>
        <r>
          <rPr>
            <b/>
            <sz val="9"/>
            <color indexed="81"/>
            <rFont val="Tahoma"/>
            <family val="2"/>
          </rPr>
          <t>Matt Weninger:</t>
        </r>
        <r>
          <rPr>
            <sz val="9"/>
            <color indexed="81"/>
            <rFont val="Tahoma"/>
            <family val="2"/>
          </rPr>
          <t xml:space="preserve">
Future persistence savings calculated using IESO final verified results persistence data located in tab 10. Guelph _CDM Prgs data area A108-M132.
</t>
        </r>
      </text>
    </comment>
    <comment ref="D23" authorId="1" shapeId="0">
      <text>
        <r>
          <rPr>
            <sz val="9"/>
            <color indexed="81"/>
            <rFont val="Tahoma"/>
            <family val="2"/>
          </rPr>
          <t xml:space="preserve">The persistence factor tables shows the level of savings from one year that will carry forward (or persist) into subsequent years.
</t>
        </r>
      </text>
    </comment>
    <comment ref="M24" authorId="0" shapeId="0">
      <text>
        <r>
          <rPr>
            <b/>
            <sz val="9"/>
            <color indexed="81"/>
            <rFont val="Tahoma"/>
            <family val="2"/>
          </rPr>
          <t>Matt Weninger:</t>
        </r>
        <r>
          <rPr>
            <sz val="9"/>
            <color indexed="81"/>
            <rFont val="Tahoma"/>
            <family val="2"/>
          </rPr>
          <t xml:space="preserve">
From IESO final verified results persistence data located in tab 10. Guelph _CDM Prgs data area A108-M132.
</t>
        </r>
      </text>
    </comment>
    <comment ref="Y24" authorId="0" shapeId="0">
      <text>
        <r>
          <rPr>
            <b/>
            <sz val="9"/>
            <color indexed="81"/>
            <rFont val="Tahoma"/>
            <family val="2"/>
          </rPr>
          <t>Matt Weninger:</t>
        </r>
        <r>
          <rPr>
            <sz val="9"/>
            <color indexed="81"/>
            <rFont val="Tahoma"/>
            <family val="2"/>
          </rPr>
          <t xml:space="preserve">
From IESO final verified results persistence data located in tab 10. Guelph _CDM Prgs data area A108-M132.
</t>
        </r>
      </text>
    </comment>
    <comment ref="I34" authorId="0" shapeId="0">
      <text>
        <r>
          <rPr>
            <b/>
            <sz val="9"/>
            <color indexed="81"/>
            <rFont val="Tahoma"/>
            <family val="2"/>
          </rPr>
          <t>Matt Weninger:</t>
        </r>
        <r>
          <rPr>
            <sz val="9"/>
            <color indexed="81"/>
            <rFont val="Tahoma"/>
            <family val="2"/>
          </rPr>
          <t xml:space="preserve">
Future persistence savings calculated using 
IESO final verified results persistence data located in tab 10. Guelph _CDM Prgs data area A108-M132.
</t>
        </r>
      </text>
    </comment>
    <comment ref="V34" authorId="0" shapeId="0">
      <text>
        <r>
          <rPr>
            <b/>
            <sz val="9"/>
            <color indexed="81"/>
            <rFont val="Tahoma"/>
            <family val="2"/>
          </rPr>
          <t>Matt Weninger:</t>
        </r>
        <r>
          <rPr>
            <sz val="9"/>
            <color indexed="81"/>
            <rFont val="Tahoma"/>
            <family val="2"/>
          </rPr>
          <t xml:space="preserve">
Future persistence savings calculated using IESO final verified results persistence data located in tab 10. Guelph _CDM Prgs data area A108-M132.
</t>
        </r>
      </text>
    </comment>
    <comment ref="D35" authorId="0" shapeId="0">
      <text>
        <r>
          <rPr>
            <b/>
            <sz val="9"/>
            <color indexed="81"/>
            <rFont val="Tahoma"/>
            <family val="2"/>
          </rPr>
          <t>Matt Weninger:</t>
        </r>
        <r>
          <rPr>
            <sz val="9"/>
            <color indexed="81"/>
            <rFont val="Tahoma"/>
            <family val="2"/>
          </rPr>
          <t xml:space="preserve">
From the IESO's June 30, 2016 Guelph Hydro 2015 Annual Final Verified Results Report
</t>
        </r>
      </text>
    </comment>
    <comment ref="Q35" authorId="0" shapeId="0">
      <text>
        <r>
          <rPr>
            <b/>
            <sz val="9"/>
            <color indexed="81"/>
            <rFont val="Tahoma"/>
            <family val="2"/>
          </rPr>
          <t>Matt Weninger:</t>
        </r>
        <r>
          <rPr>
            <sz val="9"/>
            <color indexed="81"/>
            <rFont val="Tahoma"/>
            <family val="2"/>
          </rPr>
          <t xml:space="preserve">
From the IESO's June 30, 2016 Guelph Hydro 2015 Annual Final Verified Results Report
</t>
        </r>
      </text>
    </comment>
    <comment ref="I43" authorId="0" shapeId="0">
      <text>
        <r>
          <rPr>
            <b/>
            <sz val="9"/>
            <color indexed="81"/>
            <rFont val="Tahoma"/>
            <family val="2"/>
          </rPr>
          <t>Matt Weninger:</t>
        </r>
        <r>
          <rPr>
            <sz val="9"/>
            <color indexed="81"/>
            <rFont val="Tahoma"/>
            <family val="2"/>
          </rPr>
          <t xml:space="preserve">
From IESO final verified results persistence data located in tab 10. Guelph _CDM Prgs data area A108-M132.
</t>
        </r>
      </text>
    </comment>
    <comment ref="V43" authorId="0" shapeId="0">
      <text>
        <r>
          <rPr>
            <b/>
            <sz val="9"/>
            <color indexed="81"/>
            <rFont val="Tahoma"/>
            <family val="2"/>
          </rPr>
          <t>Matt Weninger:</t>
        </r>
        <r>
          <rPr>
            <sz val="9"/>
            <color indexed="81"/>
            <rFont val="Tahoma"/>
            <family val="2"/>
          </rPr>
          <t xml:space="preserve">
From IESO final verified results persistence data located in tab 10. Guelph _CDM Prgs data area A108-M132.
</t>
        </r>
      </text>
    </comment>
  </commentList>
</comments>
</file>

<file path=xl/comments13.xml><?xml version="1.0" encoding="utf-8"?>
<comments xmlns="http://schemas.openxmlformats.org/spreadsheetml/2006/main">
  <authors>
    <author>Judy But</author>
    <author>Keith Ritchie</author>
  </authors>
  <commentList>
    <comment ref="P15" authorId="0" shapeId="0">
      <text>
        <r>
          <rPr>
            <b/>
            <sz val="9"/>
            <color indexed="81"/>
            <rFont val="Tahoma"/>
            <family val="2"/>
          </rPr>
          <t>OEB Staff:</t>
        </r>
        <r>
          <rPr>
            <sz val="9"/>
            <color indexed="81"/>
            <rFont val="Tahoma"/>
            <family val="2"/>
          </rPr>
          <t xml:space="preserve">
LDCs are to update the billing classifications as needed.
</t>
        </r>
      </text>
    </comment>
    <comment ref="H106" authorId="1"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14.xml><?xml version="1.0" encoding="utf-8"?>
<comments xmlns="http://schemas.openxmlformats.org/spreadsheetml/2006/main">
  <authors>
    <author>Cristina</author>
  </authors>
  <commentList>
    <comment ref="Y58" authorId="0" shapeId="0">
      <text>
        <r>
          <rPr>
            <b/>
            <sz val="9"/>
            <color indexed="81"/>
            <rFont val="Tahoma"/>
            <family val="2"/>
          </rPr>
          <t>Cristina:</t>
        </r>
        <r>
          <rPr>
            <sz val="9"/>
            <color indexed="81"/>
            <rFont val="Tahoma"/>
            <family val="2"/>
          </rPr>
          <t xml:space="preserve">
EDVAR 2016 Interest; adjust 2016 with the approved for disposition 
2013 LRAMVA balance</t>
        </r>
      </text>
    </comment>
  </commentList>
</comments>
</file>

<file path=xl/comments15.xml><?xml version="1.0" encoding="utf-8"?>
<comments xmlns="http://schemas.openxmlformats.org/spreadsheetml/2006/main">
  <authors>
    <author>Cristina</author>
    <author>birceanu</author>
  </authors>
  <commentList>
    <comment ref="AP14" authorId="0" shapeId="0">
      <text>
        <r>
          <rPr>
            <b/>
            <sz val="9"/>
            <color indexed="81"/>
            <rFont val="Tahoma"/>
            <family val="2"/>
          </rPr>
          <t>Cristina:</t>
        </r>
        <r>
          <rPr>
            <sz val="9"/>
            <color indexed="81"/>
            <rFont val="Tahoma"/>
            <family val="2"/>
          </rPr>
          <t xml:space="preserve">
Matt final 2014 CDM results</t>
        </r>
      </text>
    </comment>
    <comment ref="K16" authorId="1" shapeId="0">
      <text>
        <r>
          <rPr>
            <b/>
            <sz val="9"/>
            <color indexed="81"/>
            <rFont val="Tahoma"/>
            <family val="2"/>
          </rPr>
          <t>birceanu:</t>
        </r>
        <r>
          <rPr>
            <sz val="9"/>
            <color indexed="81"/>
            <rFont val="Tahoma"/>
            <family val="2"/>
          </rPr>
          <t xml:space="preserve">
TO COMPLETE WITH Matt's final results for demand
</t>
        </r>
      </text>
    </comment>
    <comment ref="W16" authorId="1" shapeId="0">
      <text>
        <r>
          <rPr>
            <b/>
            <sz val="9"/>
            <color indexed="81"/>
            <rFont val="Tahoma"/>
            <family val="2"/>
          </rPr>
          <t>birceanu:</t>
        </r>
        <r>
          <rPr>
            <sz val="9"/>
            <color indexed="81"/>
            <rFont val="Tahoma"/>
            <family val="2"/>
          </rPr>
          <t xml:space="preserve">
TO COMPLETE WITH Matt's final results for demand</t>
        </r>
      </text>
    </comment>
    <comment ref="AJ16" authorId="1" shapeId="0">
      <text>
        <r>
          <rPr>
            <b/>
            <sz val="9"/>
            <color indexed="81"/>
            <rFont val="Tahoma"/>
            <family val="2"/>
          </rPr>
          <t>birceanu:</t>
        </r>
        <r>
          <rPr>
            <sz val="9"/>
            <color indexed="81"/>
            <rFont val="Tahoma"/>
            <family val="2"/>
          </rPr>
          <t xml:space="preserve">
TO COMPLETE WITH Matt's final results for demand</t>
        </r>
      </text>
    </comment>
    <comment ref="AP27" authorId="0" shapeId="0">
      <text>
        <r>
          <rPr>
            <b/>
            <sz val="9"/>
            <color indexed="81"/>
            <rFont val="Tahoma"/>
            <family val="2"/>
          </rPr>
          <t>Cristina:</t>
        </r>
        <r>
          <rPr>
            <sz val="9"/>
            <color indexed="81"/>
            <rFont val="Tahoma"/>
            <family val="2"/>
          </rPr>
          <t xml:space="preserve">
Matt final 2014 CDM results</t>
        </r>
      </text>
    </comment>
  </commentList>
</comments>
</file>

<file path=xl/comments2.xml><?xml version="1.0" encoding="utf-8"?>
<comments xmlns="http://schemas.openxmlformats.org/spreadsheetml/2006/main">
  <authors>
    <author>Judy But</author>
    <author>Cristina</author>
  </authors>
  <commentList>
    <comment ref="D8" authorId="0" shape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shape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shape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shape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L24" authorId="1" shapeId="0">
      <text>
        <r>
          <rPr>
            <b/>
            <sz val="9"/>
            <color indexed="81"/>
            <rFont val="Tahoma"/>
            <family val="2"/>
          </rPr>
          <t>Cristina:</t>
        </r>
        <r>
          <rPr>
            <sz val="9"/>
            <color indexed="81"/>
            <rFont val="Tahoma"/>
            <family val="2"/>
          </rPr>
          <t xml:space="preserve">
It reconciles with Tab. 9 Guelph_Loss Revenue cell N66</t>
        </r>
      </text>
    </comment>
    <comment ref="B37" authorId="0" shape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Cristina</author>
  </authors>
  <commentList>
    <comment ref="B11" authorId="0" shape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shapeId="0">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shapeId="0">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B38" authorId="2" shapeId="0">
      <text>
        <r>
          <rPr>
            <sz val="9"/>
            <color indexed="81"/>
            <rFont val="Tahoma"/>
            <family val="2"/>
          </rPr>
          <t>OEB Staff:
Table 3-A includes a placeholder for LDCs to insert the year(s) in which the load forecast was approved and is used to determine the billing determinant to allocate CDM savings by rate class.   
For example, if you rebased in 2010, you would include (2010) into the (insert year) place of the Weather Normalized Billed kWh cell.  The weather normalized data that was used as part of your 2010 COS application should continue to be used in subsequent years during the IRM years, until a new load forecast is available at the next rebasing.</t>
        </r>
      </text>
    </comment>
  </commentList>
</comments>
</file>

<file path=xl/comments4.xml><?xml version="1.0" encoding="utf-8"?>
<comments xmlns="http://schemas.openxmlformats.org/spreadsheetml/2006/main">
  <authors>
    <author>Judy But</author>
  </authors>
  <commentList>
    <comment ref="D16" authorId="0" shape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Matt Weninger</author>
    <author>Josh Wasylyk</author>
  </authors>
  <commentList>
    <comment ref="F19" authorId="0" shapeId="0">
      <text>
        <r>
          <rPr>
            <b/>
            <sz val="9"/>
            <color indexed="81"/>
            <rFont val="Tahoma"/>
            <family val="2"/>
          </rPr>
          <t>OEB Staff:</t>
        </r>
        <r>
          <rPr>
            <sz val="9"/>
            <color indexed="81"/>
            <rFont val="Tahoma"/>
            <family val="2"/>
          </rPr>
          <t xml:space="preserve">
LDCs to update the IESO approved savings by program as appropriate.</t>
        </r>
      </text>
    </comment>
    <comment ref="F20" authorId="1" shapeId="0">
      <text>
        <r>
          <rPr>
            <b/>
            <sz val="9"/>
            <color indexed="81"/>
            <rFont val="Tahoma"/>
            <family val="2"/>
          </rPr>
          <t>Matt Weninger:</t>
        </r>
        <r>
          <rPr>
            <sz val="9"/>
            <color indexed="81"/>
            <rFont val="Tahoma"/>
            <family val="2"/>
          </rPr>
          <t xml:space="preserve">
Guelph Hydro's 2011, 2012 and 2013 LRAM submission had been approved by the OEB prior to the 2016 OEB  LRAM policy related to peak demand savings EB-2016-0182.  This model attempts to replicate Guelph Hydro's approved 2011, 2012 and 2013 claim which included DR resource demand, but follows the 2016 EB-2016-0182 calculation methodogy for the 2014 LRAM claim.</t>
        </r>
      </text>
    </comment>
    <comment ref="O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P20" authorId="0" shape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shape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F35" authorId="1" shapeId="0">
      <text>
        <r>
          <rPr>
            <b/>
            <sz val="9"/>
            <color indexed="81"/>
            <rFont val="Tahoma"/>
            <family val="2"/>
          </rPr>
          <t>Matt Weninger:</t>
        </r>
        <r>
          <rPr>
            <sz val="9"/>
            <color indexed="81"/>
            <rFont val="Tahoma"/>
            <family val="2"/>
          </rPr>
          <t xml:space="preserve">
By definition only GS&lt;50 customers can participate in DIL.  As such we claim only kWh savings, not 12 months of demand savings.</t>
        </r>
      </text>
    </comment>
    <comment ref="P41" authorId="1" shapeId="0">
      <text>
        <r>
          <rPr>
            <b/>
            <sz val="9"/>
            <color indexed="81"/>
            <rFont val="Tahoma"/>
            <family val="2"/>
          </rPr>
          <t>Matt Weninger:</t>
        </r>
        <r>
          <rPr>
            <sz val="9"/>
            <color indexed="81"/>
            <rFont val="Tahoma"/>
            <family val="2"/>
          </rPr>
          <t xml:space="preserve">
Will not add to 100% due to mix of LRAM settlement calcs</t>
        </r>
      </text>
    </comment>
    <comment ref="P42" authorId="1" shapeId="0">
      <text>
        <r>
          <rPr>
            <b/>
            <sz val="9"/>
            <color indexed="81"/>
            <rFont val="Tahoma"/>
            <family val="2"/>
          </rPr>
          <t>Matt Weninger:</t>
        </r>
        <r>
          <rPr>
            <sz val="9"/>
            <color indexed="81"/>
            <rFont val="Tahoma"/>
            <family val="2"/>
          </rPr>
          <t xml:space="preserve">
Total will not add to 100% as the
model row mixes energy (RES, GS&lt;50) and Non-RES (GS&gt;50) LRAM settlement calculations.
</t>
        </r>
      </text>
    </comment>
    <comment ref="C67" authorId="2" shapeId="0">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H68" authorId="1" shapeId="0">
      <text>
        <r>
          <rPr>
            <b/>
            <sz val="9"/>
            <color indexed="81"/>
            <rFont val="Tahoma"/>
            <family val="2"/>
          </rPr>
          <t>Matt Weninger:</t>
        </r>
        <r>
          <rPr>
            <sz val="9"/>
            <color indexed="81"/>
            <rFont val="Tahoma"/>
            <family val="2"/>
          </rPr>
          <t xml:space="preserve">
Guelph Hydro's 2011, 2012 and 2013 LRAM submission had been approved by the OEB prior to the 2016 OEB  LRAM policy related to peak demand savings EB-2016-0182.  This model attempts to replicate Guelph Hydro's approved 2011, 2012 and 2013 claim which included DR resource demand, but follows the 2016 EB-2016-0182 calculation methodogy for the 2014 LRAM claim.</t>
        </r>
      </text>
    </comment>
    <comment ref="J69" authorId="0" shapeId="0">
      <text>
        <r>
          <rPr>
            <b/>
            <sz val="9"/>
            <color indexed="81"/>
            <rFont val="Tahoma"/>
            <family val="2"/>
          </rPr>
          <t>OEB Staff:</t>
        </r>
        <r>
          <rPr>
            <sz val="9"/>
            <color indexed="81"/>
            <rFont val="Tahoma"/>
            <family val="2"/>
          </rPr>
          <t xml:space="preserve">
Excludes demand response</t>
        </r>
      </text>
    </comment>
    <comment ref="C74" authorId="0" shape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2" shapeId="0">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H82" authorId="1" shapeId="0">
      <text>
        <r>
          <rPr>
            <b/>
            <sz val="9"/>
            <color indexed="81"/>
            <rFont val="Tahoma"/>
            <family val="2"/>
          </rPr>
          <t>Matt Weninger:</t>
        </r>
        <r>
          <rPr>
            <sz val="9"/>
            <color indexed="81"/>
            <rFont val="Tahoma"/>
            <family val="2"/>
          </rPr>
          <t xml:space="preserve">
Savings Persistence cell references have been modified to accommodate 2015-2020 future years, see Tab 10-Guelph_CDM Prgs data area A108-M132.</t>
        </r>
      </text>
    </comment>
    <comment ref="F88" authorId="1" shapeId="0">
      <text>
        <r>
          <rPr>
            <b/>
            <sz val="9"/>
            <color indexed="81"/>
            <rFont val="Tahoma"/>
            <family val="2"/>
          </rPr>
          <t>Matt Weninger:</t>
        </r>
        <r>
          <rPr>
            <sz val="9"/>
            <color indexed="81"/>
            <rFont val="Tahoma"/>
            <family val="2"/>
          </rPr>
          <t xml:space="preserve">
Guelph Hydro's 2011, 2012 and 2013 LRAM submission had been approved by the OEB prior to the 2016 OEB  LRAM policy related to peak demand savings EB-2016-0182.  This model attempts to replicate Guelph Hydro's approved 2011, 2012 and 2013 claim which included DR resource demand, but follows the 2016 EB-2016-0182 calculation methodogy for the 2014 LRAM claim.</t>
        </r>
      </text>
    </comment>
    <comment ref="O88"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F104" authorId="1" shapeId="0">
      <text>
        <r>
          <rPr>
            <b/>
            <sz val="9"/>
            <color indexed="81"/>
            <rFont val="Tahoma"/>
            <family val="2"/>
          </rPr>
          <t>Matt Weninger:</t>
        </r>
        <r>
          <rPr>
            <sz val="9"/>
            <color indexed="81"/>
            <rFont val="Tahoma"/>
            <family val="2"/>
          </rPr>
          <t xml:space="preserve">
By definition only GS&lt;50 customers can participate in DIL.  As such we claim only kWh savings, not 12 months of demand savings.</t>
        </r>
      </text>
    </comment>
    <comment ref="P112" authorId="1" shapeId="0">
      <text>
        <r>
          <rPr>
            <b/>
            <sz val="9"/>
            <color indexed="81"/>
            <rFont val="Tahoma"/>
            <family val="2"/>
          </rPr>
          <t>Matt Weninger:</t>
        </r>
        <r>
          <rPr>
            <sz val="9"/>
            <color indexed="81"/>
            <rFont val="Tahoma"/>
            <family val="2"/>
          </rPr>
          <t xml:space="preserve">
Total will not add to 100% as the
model row mixes energy (RES, GS&lt;50) and Non-RES (GS&gt;50) LRAM settlement calculations.
</t>
        </r>
      </text>
    </comment>
    <comment ref="C145" authorId="0" shape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J147" authorId="0" shapeId="0">
      <text>
        <r>
          <rPr>
            <b/>
            <sz val="9"/>
            <color indexed="81"/>
            <rFont val="Tahoma"/>
            <family val="2"/>
          </rPr>
          <t>OEB Staff:</t>
        </r>
        <r>
          <rPr>
            <sz val="9"/>
            <color indexed="81"/>
            <rFont val="Tahoma"/>
            <family val="2"/>
          </rPr>
          <t xml:space="preserve">
Excludes demand response savings</t>
        </r>
      </text>
    </comment>
    <comment ref="H161" authorId="1" shapeId="0">
      <text>
        <r>
          <rPr>
            <b/>
            <sz val="9"/>
            <color indexed="81"/>
            <rFont val="Tahoma"/>
            <family val="2"/>
          </rPr>
          <t>Matt Weninger:</t>
        </r>
        <r>
          <rPr>
            <sz val="9"/>
            <color indexed="81"/>
            <rFont val="Tahoma"/>
            <family val="2"/>
          </rPr>
          <t xml:space="preserve">
Savings Persistence cell references have been modified to accommodate 2015-2020 future years, see Tab 10-Guelph_CDM Prgs data area A108-M132.</t>
        </r>
      </text>
    </comment>
    <comment ref="F167" authorId="1" shapeId="0">
      <text>
        <r>
          <rPr>
            <b/>
            <sz val="9"/>
            <color indexed="81"/>
            <rFont val="Tahoma"/>
            <family val="2"/>
          </rPr>
          <t>Matt Weninger:</t>
        </r>
        <r>
          <rPr>
            <sz val="9"/>
            <color indexed="81"/>
            <rFont val="Tahoma"/>
            <family val="2"/>
          </rPr>
          <t xml:space="preserve">
Guelph Hydro's 2011, 2012 and 2013 LRAM submission had been approved by the OEB prior to the 2016 OEB  LRAM policy related to peak demand savings EB-2016-0182.  This model attempts to replicate Guelph Hydro's approved 2011, 2012 and 2013 claim which included DR resource demand, but follows the 2016 EB-2016-0182 calculation methodogy for the 2014 LRAM claim.</t>
        </r>
      </text>
    </comment>
    <comment ref="O167"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F184" authorId="1" shapeId="0">
      <text>
        <r>
          <rPr>
            <b/>
            <sz val="9"/>
            <color indexed="81"/>
            <rFont val="Tahoma"/>
            <family val="2"/>
          </rPr>
          <t>Matt Weninger:</t>
        </r>
        <r>
          <rPr>
            <sz val="9"/>
            <color indexed="81"/>
            <rFont val="Tahoma"/>
            <family val="2"/>
          </rPr>
          <t xml:space="preserve">
By definition only GS&lt;50 customers can participate in DIL.  As such we claim only kWh savings, not 12 months of demand savings.</t>
        </r>
      </text>
    </comment>
    <comment ref="P192" authorId="1" shapeId="0">
      <text>
        <r>
          <rPr>
            <b/>
            <sz val="9"/>
            <color indexed="81"/>
            <rFont val="Tahoma"/>
            <family val="2"/>
          </rPr>
          <t>Matt Weninger:</t>
        </r>
        <r>
          <rPr>
            <sz val="9"/>
            <color indexed="81"/>
            <rFont val="Tahoma"/>
            <family val="2"/>
          </rPr>
          <t xml:space="preserve">
Total will not add to 100% as the
model row mixes energy (RES, GS&lt;50) and Non-RES (GS&gt;50) LRAM settlement calculations.
</t>
        </r>
      </text>
    </comment>
    <comment ref="P202" authorId="1" shapeId="0">
      <text>
        <r>
          <rPr>
            <b/>
            <sz val="9"/>
            <color indexed="81"/>
            <rFont val="Tahoma"/>
            <family val="2"/>
          </rPr>
          <t>Matt Weninger:</t>
        </r>
        <r>
          <rPr>
            <sz val="9"/>
            <color indexed="81"/>
            <rFont val="Tahoma"/>
            <family val="2"/>
          </rPr>
          <t xml:space="preserve">
The demand savings allocation for the 2013 GS&gt;50kW Business and Industrial is based on a % allocation of the combined Business &amp; Industrial 5,588 kW (all programs excluding Direct Install Lighting), as the allocation process was focussed on appropriate customer rate class assignment, not OPA program classification.  The percent allocation is driven by Tab 10 Guelph_CDM Prgs cells (X20..Y22) percentages of total. 
 </t>
        </r>
      </text>
    </comment>
    <comment ref="C225"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27" authorId="0" shapeId="0">
      <text>
        <r>
          <rPr>
            <b/>
            <sz val="9"/>
            <color indexed="81"/>
            <rFont val="Tahoma"/>
            <family val="2"/>
          </rPr>
          <t>OEB Staff:</t>
        </r>
        <r>
          <rPr>
            <sz val="9"/>
            <color indexed="81"/>
            <rFont val="Tahoma"/>
            <family val="2"/>
          </rPr>
          <t xml:space="preserve">
Excludes demand response savings</t>
        </r>
      </text>
    </comment>
    <comment ref="H241" authorId="1" shapeId="0">
      <text>
        <r>
          <rPr>
            <b/>
            <sz val="9"/>
            <color indexed="81"/>
            <rFont val="Tahoma"/>
            <family val="2"/>
          </rPr>
          <t>Matt Weninger:</t>
        </r>
        <r>
          <rPr>
            <sz val="9"/>
            <color indexed="81"/>
            <rFont val="Tahoma"/>
            <family val="2"/>
          </rPr>
          <t xml:space="preserve">
Savings Persistence cell references have been modified to accommodate 2015-2020 future years, see Tab 10-Guelph_CDM Prgs data area A108-M132.</t>
        </r>
      </text>
    </comment>
    <comment ref="F247" authorId="1" shapeId="0">
      <text>
        <r>
          <rPr>
            <b/>
            <sz val="9"/>
            <color indexed="81"/>
            <rFont val="Tahoma"/>
            <family val="2"/>
          </rPr>
          <t>Matt Weninger:</t>
        </r>
        <r>
          <rPr>
            <sz val="9"/>
            <color indexed="81"/>
            <rFont val="Tahoma"/>
            <family val="2"/>
          </rPr>
          <t xml:space="preserve">
Guelph Hydro's 2011, 2012 and 2013 LRAM submission had been approved by the OEB prior to the 2016 OEB  LRAM policy related to peak demand savings EB-2016-0182.  This model attempts to replicate Guelph Hydro's approved 2011, 2012 and 2013 claim which included DR resource demand, but follows the 2016 EB-2016-0182 calculation methodogy for the 2014 LRAM claim.</t>
        </r>
      </text>
    </comment>
    <comment ref="F264" authorId="1" shapeId="0">
      <text>
        <r>
          <rPr>
            <b/>
            <sz val="9"/>
            <color indexed="81"/>
            <rFont val="Tahoma"/>
            <family val="2"/>
          </rPr>
          <t>Matt Weninger:</t>
        </r>
        <r>
          <rPr>
            <sz val="9"/>
            <color indexed="81"/>
            <rFont val="Tahoma"/>
            <family val="2"/>
          </rPr>
          <t xml:space="preserve">
By definition only GS&lt;50 customers can participate in DIL.  As such we claim only kWh savings, not 12 months of demand savings.</t>
        </r>
      </text>
    </comment>
    <comment ref="P272" authorId="1" shapeId="0">
      <text>
        <r>
          <rPr>
            <b/>
            <sz val="9"/>
            <color indexed="81"/>
            <rFont val="Tahoma"/>
            <family val="2"/>
          </rPr>
          <t>Matt Weninger:</t>
        </r>
        <r>
          <rPr>
            <sz val="9"/>
            <color indexed="81"/>
            <rFont val="Tahoma"/>
            <family val="2"/>
          </rPr>
          <t xml:space="preserve">
Total will not add to 100% as the
model row mixes energy (RES, GS&lt;50) and Non-RES (GS&gt;50) LRAM settlement calculations.
The demand savings allocation for the 2014 GS&gt;50kW Business and Industrial is based on a % allocation of the Business programs, excluding DR3, driven by Tab 10 Guelph_CDM Prgs column AK percentages of total.  The allocation process was focussed on customer rate class assignment, not OPA program classification.  
 </t>
        </r>
      </text>
    </comment>
    <comment ref="C306"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308" authorId="0" shapeId="0">
      <text>
        <r>
          <rPr>
            <b/>
            <sz val="9"/>
            <color indexed="81"/>
            <rFont val="Tahoma"/>
            <family val="2"/>
          </rPr>
          <t>OEB Staff:</t>
        </r>
        <r>
          <rPr>
            <sz val="9"/>
            <color indexed="81"/>
            <rFont val="Tahoma"/>
            <family val="2"/>
          </rPr>
          <t xml:space="preserve">
Adjust formulas as needed.</t>
        </r>
      </text>
    </comment>
    <comment ref="H322" authorId="1" shapeId="0">
      <text>
        <r>
          <rPr>
            <b/>
            <sz val="9"/>
            <color indexed="81"/>
            <rFont val="Tahoma"/>
            <family val="2"/>
          </rPr>
          <t>Matt Weninger:</t>
        </r>
        <r>
          <rPr>
            <sz val="9"/>
            <color indexed="81"/>
            <rFont val="Tahoma"/>
            <family val="2"/>
          </rPr>
          <t xml:space="preserve">
Savings Persistence cell references have been modified to accommodate 2015-2020 future years, see Tab 10-Guelph_CDM Prgs data area A108-M132.</t>
        </r>
      </text>
    </comment>
  </commentList>
</comments>
</file>

<file path=xl/comments6.xml><?xml version="1.0" encoding="utf-8"?>
<comments xmlns="http://schemas.openxmlformats.org/spreadsheetml/2006/main">
  <authors>
    <author>Judy But</author>
    <author>Matt Weninger</author>
    <author>Josh Wasylyk</author>
  </authors>
  <commentList>
    <comment ref="I16" authorId="0" shape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5" authorId="0" shape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F25" authorId="1" shapeId="0">
      <text>
        <r>
          <rPr>
            <b/>
            <sz val="9"/>
            <color indexed="81"/>
            <rFont val="Tahoma"/>
            <family val="2"/>
          </rPr>
          <t>Matt Weninger:</t>
        </r>
        <r>
          <rPr>
            <sz val="9"/>
            <color indexed="81"/>
            <rFont val="Tahoma"/>
            <family val="2"/>
          </rPr>
          <t xml:space="preserve">
There will be adjustments to 2015 final verified results in future years, as not all projects were finalized in time for the 2015 reporting deadlines.
</t>
        </r>
      </text>
    </comment>
    <comment ref="P31" authorId="1" shapeId="0">
      <text>
        <r>
          <rPr>
            <b/>
            <sz val="9"/>
            <color indexed="81"/>
            <rFont val="Tahoma"/>
            <family val="2"/>
          </rPr>
          <t>Matt Weninger:</t>
        </r>
        <r>
          <rPr>
            <sz val="9"/>
            <color indexed="81"/>
            <rFont val="Tahoma"/>
            <family val="2"/>
          </rPr>
          <t xml:space="preserve">
Total will not add to 100% as the
model row mixes energy (RES, GS&lt;50) and Non-RES (GS&gt;50) LRAM settlement calculations.</t>
        </r>
      </text>
    </comment>
    <comment ref="C109" authorId="2" shapeId="0">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F109" authorId="1" shapeId="0">
      <text>
        <r>
          <rPr>
            <b/>
            <sz val="9"/>
            <color indexed="81"/>
            <rFont val="Tahoma"/>
            <family val="2"/>
          </rPr>
          <t>Matt Weninger:</t>
        </r>
        <r>
          <rPr>
            <sz val="9"/>
            <color indexed="81"/>
            <rFont val="Tahoma"/>
            <family val="2"/>
          </rPr>
          <t xml:space="preserve">
There will be adjustments to 2015 final verified results in future years, as not all projects were finalized in time for the 2015 reporting deadlines.
</t>
        </r>
      </text>
    </comment>
    <comment ref="C113"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4" authorId="0" shapeId="0">
      <text>
        <r>
          <rPr>
            <b/>
            <sz val="9"/>
            <color indexed="81"/>
            <rFont val="Tahoma"/>
            <family val="2"/>
          </rPr>
          <t>OEB Staff:</t>
        </r>
        <r>
          <rPr>
            <sz val="9"/>
            <color indexed="81"/>
            <rFont val="Tahoma"/>
            <family val="2"/>
          </rPr>
          <t xml:space="preserve">
Adjust formulas as needed.</t>
        </r>
      </text>
    </comment>
    <comment ref="C115" authorId="0" shape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9" authorId="0" shape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shapeId="0">
      <text>
        <r>
          <rPr>
            <sz val="9"/>
            <color indexed="81"/>
            <rFont val="Tahoma"/>
            <family val="2"/>
          </rPr>
          <t>Adjust formulas as needed.</t>
        </r>
      </text>
    </comment>
    <comment ref="I112" authorId="1" shapeId="0">
      <text>
        <r>
          <rPr>
            <sz val="9"/>
            <color indexed="81"/>
            <rFont val="Tahoma"/>
            <family val="2"/>
          </rPr>
          <t>Adjust formulas as needed.</t>
        </r>
      </text>
    </comment>
    <comment ref="N112" authorId="2" shapeId="0">
      <text>
        <r>
          <rPr>
            <b/>
            <sz val="9"/>
            <color indexed="81"/>
            <rFont val="Tahoma"/>
            <family val="2"/>
          </rPr>
          <t>Keith Ritchie:</t>
        </r>
        <r>
          <rPr>
            <sz val="9"/>
            <color indexed="81"/>
            <rFont val="Tahoma"/>
            <family val="2"/>
          </rPr>
          <t xml:space="preserve">
Ibid, regarding colours.</t>
        </r>
      </text>
    </comment>
    <comment ref="J113" authorId="1" shapeId="0">
      <text>
        <r>
          <rPr>
            <sz val="9"/>
            <color indexed="81"/>
            <rFont val="Tahoma"/>
            <family val="2"/>
          </rPr>
          <t>Adjust formulas as needed.</t>
        </r>
      </text>
    </comment>
    <comment ref="C114"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shapeId="0">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<sst xmlns="http://schemas.openxmlformats.org/spreadsheetml/2006/main" count="3089" uniqueCount="810">
  <si>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</si>
  <si>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</si>
  <si>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</si>
  <si>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</si>
  <si>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</si>
  <si>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</si>
  <si>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</si>
  <si>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</si>
  <si>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</si>
  <si>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</si>
  <si>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</si>
  <si>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</si>
  <si>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</si>
  <si>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</si>
  <si>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</si>
  <si>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</si>
  <si>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</si>
  <si>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</si>
  <si>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</si>
  <si>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</si>
  <si>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</si>
  <si>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</si>
  <si>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</si>
  <si>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</si>
  <si>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  </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</si>
  <si>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</si>
  <si>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</si>
  <si>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</si>
  <si>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</si>
  <si>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</si>
  <si>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</si>
  <si>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</si>
  <si>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</si>
  <si>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</si>
  <si>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</si>
  <si>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</si>
  <si>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</si>
  <si>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</si>
  <si>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</si>
  <si>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</si>
  <si>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</si>
  <si>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</si>
  <si>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</si>
  <si>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</si>
  <si>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</si>
  <si>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</si>
  <si>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</si>
  <si>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</si>
  <si>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</si>
  <si>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</si>
  <si>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</si>
  <si>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</si>
  <si>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</si>
  <si>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</si>
  <si>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</si>
  <si>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</si>
  <si>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</si>
  <si>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</si>
  <si>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</si>
  <si>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</si>
  <si>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</si>
  <si>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</si>
  <si>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</si>
  <si>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</si>
  <si>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</si>
  <si>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</si>
  <si>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</si>
  <si>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</si>
  <si>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</si>
  <si>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</si>
  <si>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</si>
  <si>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</si>
  <si>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</si>
  <si>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</si>
  <si>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</si>
  <si>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</si>
  <si>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</si>
  <si>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</si>
  <si>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</si>
  <si>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</si>
  <si>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</si>
  <si>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</si>
  <si>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</si>
  <si>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</si>
  <si>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</si>
  <si>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</si>
  <si>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</si>
  <si>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</si>
  <si>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</si>
  <si>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</si>
  <si>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</si>
  <si>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</si>
  <si>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</si>
  <si>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</si>
  <si>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</si>
  <si>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</si>
  <si>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</si>
  <si>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</si>
  <si>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</si>
  <si>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</si>
  <si>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</si>
  <si>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</si>
  <si>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</si>
  <si>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</si>
  <si>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</si>
  <si>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</si>
  <si>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</si>
  <si>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</si>
  <si>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</si>
  <si>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</si>
  <si>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</si>
  <si>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Pro-ratio of Rates (months) - Period 1</t>
  </si>
  <si>
    <t>Pro-ratio of Rates (months) - Period 2</t>
  </si>
  <si>
    <t>% of Billed</t>
  </si>
  <si>
    <t>Adjusted Billed kWh with CDM Applied</t>
  </si>
  <si>
    <t xml:space="preserve">Street Lights </t>
  </si>
  <si>
    <t>Sentinel Lights</t>
  </si>
  <si>
    <t xml:space="preserve">Unmetered Loads </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</si>
  <si>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</si>
  <si>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</si>
  <si>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</si>
  <si>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</si>
  <si>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</si>
  <si>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</si>
  <si>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</si>
  <si>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</si>
  <si>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</si>
  <si>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</si>
  <si>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</si>
  <si>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</si>
  <si>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</si>
  <si>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</si>
  <si>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</si>
  <si>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</si>
  <si>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</si>
  <si>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</si>
  <si>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</si>
  <si>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</si>
  <si>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</si>
  <si>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</si>
  <si>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</si>
  <si>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</si>
  <si>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</si>
  <si>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</si>
  <si>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</si>
  <si>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</si>
  <si>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</si>
  <si>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</si>
  <si>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</si>
  <si>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</si>
  <si>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</si>
  <si>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</si>
  <si>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</si>
  <si>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</si>
  <si>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</si>
  <si>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</si>
  <si>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</si>
  <si>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</si>
  <si>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</si>
  <si>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</si>
  <si>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</si>
  <si>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</si>
  <si>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</si>
  <si>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</si>
  <si>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</si>
  <si>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</si>
  <si>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</si>
  <si>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</si>
  <si>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</si>
  <si>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</si>
  <si>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</si>
  <si>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</si>
  <si>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</si>
  <si>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</si>
  <si>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</si>
  <si>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</si>
  <si>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</si>
  <si>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</si>
  <si>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</si>
  <si>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</si>
  <si>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</si>
  <si>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</si>
  <si>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</si>
  <si>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</si>
  <si>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</si>
  <si>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</si>
  <si>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</si>
  <si>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</si>
  <si>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</si>
  <si>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</si>
  <si>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</si>
  <si>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</si>
  <si>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</si>
  <si>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</si>
  <si>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</si>
  <si>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</si>
  <si>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</si>
  <si>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</si>
  <si>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</si>
  <si>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</si>
  <si>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</si>
  <si>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</si>
  <si>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</si>
  <si>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</si>
  <si>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</si>
  <si>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</si>
  <si>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</si>
  <si>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</si>
  <si>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</si>
  <si>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</si>
  <si>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</si>
  <si>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</si>
  <si>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</si>
  <si>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</si>
  <si>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</si>
  <si>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</si>
  <si>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</si>
  <si>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</si>
  <si>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</si>
  <si>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</si>
  <si>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</si>
  <si>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</si>
  <si>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</si>
  <si>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</si>
  <si>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</si>
  <si>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</si>
  <si>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</si>
  <si>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</si>
  <si>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</si>
  <si>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</si>
  <si>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</si>
  <si>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</si>
  <si>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</si>
  <si>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</si>
  <si>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</si>
  <si>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</si>
  <si>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</si>
  <si>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</si>
  <si>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</si>
  <si>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</si>
  <si>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</si>
  <si>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</si>
  <si>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</si>
  <si>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</si>
  <si>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</si>
  <si>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</si>
  <si>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</si>
  <si>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</si>
  <si>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</si>
  <si>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</si>
  <si>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</si>
  <si>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</si>
  <si>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</si>
  <si>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</si>
  <si>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</si>
  <si>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</si>
  <si>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</si>
  <si>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</si>
  <si>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</si>
  <si>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</si>
  <si>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</si>
  <si>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</si>
  <si>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</si>
  <si>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</si>
  <si>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</si>
  <si>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</si>
  <si>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</si>
  <si>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</si>
  <si>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</si>
  <si>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</si>
  <si>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</si>
  <si>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</si>
  <si>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</si>
  <si>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</si>
  <si>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</si>
  <si>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</si>
  <si>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</si>
  <si>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</si>
  <si>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</si>
  <si>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</si>
  <si>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</si>
  <si>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</si>
  <si>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</si>
  <si>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</si>
  <si>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</si>
  <si>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</si>
  <si>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</si>
  <si>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</si>
  <si>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</si>
  <si>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</si>
  <si>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</si>
  <si>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</si>
  <si>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</si>
  <si>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</si>
  <si>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</si>
  <si>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</si>
  <si>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</si>
  <si>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</si>
  <si>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</si>
  <si>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</si>
  <si>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</si>
  <si>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</si>
  <si>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</si>
  <si>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</si>
  <si>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</si>
  <si>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</si>
  <si>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</si>
  <si>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</si>
  <si>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</si>
  <si>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</si>
  <si>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</si>
  <si>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</si>
  <si>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</si>
  <si>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</si>
  <si>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</si>
  <si>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</si>
  <si>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</si>
  <si>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</si>
  <si>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</si>
  <si>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</si>
  <si>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</si>
  <si>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</si>
  <si>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</si>
  <si>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</si>
  <si>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</si>
  <si>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</si>
  <si>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</si>
  <si>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</si>
  <si>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</si>
  <si>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</si>
  <si>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</si>
  <si>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</si>
  <si>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</si>
  <si>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</si>
  <si>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</si>
  <si>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</si>
  <si>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</si>
  <si>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</si>
  <si>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</si>
  <si>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</si>
  <si>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</si>
  <si>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</si>
  <si>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</si>
  <si>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</si>
  <si>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</si>
  <si>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</si>
  <si>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</si>
  <si>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</si>
  <si>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</si>
  <si>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</si>
  <si>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</si>
  <si>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</si>
  <si>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</si>
  <si>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</si>
  <si>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</si>
  <si>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</si>
  <si>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</si>
  <si>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</si>
  <si>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</si>
  <si>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</si>
  <si>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</si>
  <si>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</si>
  <si>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</si>
  <si>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</si>
  <si>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</si>
  <si>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</si>
  <si>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</si>
  <si>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</si>
  <si>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</si>
  <si>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</si>
  <si>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</si>
  <si>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</si>
  <si>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</si>
  <si>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</si>
  <si>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</si>
  <si>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</si>
  <si>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</si>
  <si>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</si>
  <si>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</si>
  <si>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</si>
  <si>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</si>
  <si>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</si>
  <si>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</si>
  <si>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</si>
  <si>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</si>
  <si>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</si>
  <si>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</si>
  <si>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</si>
  <si>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</si>
  <si>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</si>
  <si>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</si>
  <si>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</si>
  <si>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</si>
  <si>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</si>
  <si>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</si>
  <si>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</si>
  <si>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</si>
  <si>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</si>
  <si>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</si>
  <si>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</si>
  <si>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</si>
  <si>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</si>
  <si>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</si>
  <si>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</si>
  <si>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</si>
  <si>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</si>
  <si>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</si>
  <si>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</si>
  <si>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</si>
  <si>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</si>
  <si>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General Service 
&lt; 50 kW</t>
  </si>
  <si>
    <t>General Service 
50 - 999 kW</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</si>
  <si>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</si>
  <si>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</si>
  <si>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</si>
  <si>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</si>
  <si>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</si>
  <si>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</si>
  <si>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</si>
  <si>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</si>
  <si>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</si>
  <si>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</si>
  <si>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</si>
  <si>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</si>
  <si>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</si>
  <si>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</si>
  <si>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</si>
  <si>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</si>
  <si>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</si>
  <si>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</si>
  <si>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</si>
  <si>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</si>
  <si>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</si>
  <si>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</si>
  <si>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</si>
  <si>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</si>
  <si>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</si>
  <si>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</si>
  <si>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</si>
  <si>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</si>
  <si>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</si>
  <si>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</si>
  <si>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</si>
  <si>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</si>
  <si>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</si>
  <si>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</si>
  <si>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</si>
  <si>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</si>
  <si>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</si>
  <si>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</si>
  <si>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</si>
  <si>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</si>
  <si>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</si>
  <si>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</si>
  <si>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</si>
  <si>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</si>
  <si>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</si>
  <si>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</si>
  <si>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</si>
  <si>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</si>
  <si>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</si>
  <si>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</si>
  <si>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</si>
  <si>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</si>
  <si>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</si>
  <si>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</si>
  <si>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</si>
  <si>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</si>
  <si>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</si>
  <si>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</si>
  <si>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</si>
  <si>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</si>
  <si>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</si>
  <si>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</si>
  <si>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</si>
  <si>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</si>
  <si>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</si>
  <si>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</si>
  <si>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</si>
  <si>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</si>
  <si>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</si>
  <si>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</si>
  <si>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</si>
  <si>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</si>
  <si>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</si>
  <si>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</si>
  <si>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</si>
  <si>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</si>
  <si>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</si>
  <si>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</si>
  <si>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</si>
  <si>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</si>
  <si>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</si>
  <si>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</si>
  <si>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</si>
  <si>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</si>
  <si>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</si>
  <si>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</si>
  <si>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</si>
  <si>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</si>
  <si>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</si>
  <si>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</si>
  <si>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</si>
  <si>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</si>
  <si>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</si>
  <si>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t>EB-2016-0075</t>
  </si>
  <si>
    <t>2011 to 2013</t>
  </si>
  <si>
    <t>EB-2015-0073</t>
  </si>
  <si>
    <t>Large Use</t>
  </si>
  <si>
    <r>
      <t xml:space="preserve">Weather Normal Billed kWh </t>
    </r>
    <r>
      <rPr>
        <sz val="11"/>
        <color rgb="FFFF0000"/>
        <rFont val="Arial"/>
        <family val="2"/>
      </rPr>
      <t>(approved 2008)</t>
    </r>
  </si>
  <si>
    <r>
      <t xml:space="preserve">Weather Normal Billed kW </t>
    </r>
    <r>
      <rPr>
        <sz val="11"/>
        <color rgb="FFFF0000"/>
        <rFont val="Arial"/>
        <family val="2"/>
      </rPr>
      <t>(2008)</t>
    </r>
  </si>
  <si>
    <r>
      <t xml:space="preserve">Weather Normal Billed kWh </t>
    </r>
    <r>
      <rPr>
        <sz val="11"/>
        <color rgb="FFFF0000"/>
        <rFont val="Arial"/>
        <family val="2"/>
      </rPr>
      <t>(approved in 2012)</t>
    </r>
  </si>
  <si>
    <r>
      <t xml:space="preserve">Weather Normal Billed kW </t>
    </r>
    <r>
      <rPr>
        <sz val="11"/>
        <color rgb="FFFF0000"/>
        <rFont val="Arial"/>
        <family val="2"/>
      </rPr>
      <t>(2012)</t>
    </r>
  </si>
  <si>
    <r>
      <t xml:space="preserve">Weather Normal Billed kWh </t>
    </r>
    <r>
      <rPr>
        <sz val="11"/>
        <color rgb="FFFF0000"/>
        <rFont val="Arial"/>
        <family val="2"/>
      </rPr>
      <t>(2012)</t>
    </r>
  </si>
  <si>
    <t>EB-2010-0130</t>
  </si>
  <si>
    <t>EB-2011-0123</t>
  </si>
  <si>
    <t>EB-2012-0128</t>
  </si>
  <si>
    <t>EB-2013-0133</t>
  </si>
  <si>
    <t>EB-2014-0077</t>
  </si>
  <si>
    <t>Jan 1, 2011
to
Apr 30, 2011</t>
  </si>
  <si>
    <t>May 1, 2011
to
Dec 31, 2011</t>
  </si>
  <si>
    <t>Jan 1, 2012
to
March 30, 2012</t>
  </si>
  <si>
    <t>April 1, 2012
to
Apr 30, 2012</t>
  </si>
  <si>
    <t>May 1, 2012
to
Dec 31, 2012</t>
  </si>
  <si>
    <t>Jan 1, 2013 to Dec 31, 2013</t>
  </si>
  <si>
    <t>Jan 1, 2014 to Dec 31, 2014</t>
  </si>
  <si>
    <t>Jan 1, 2015 to Dec 31, 2015</t>
  </si>
  <si>
    <t xml:space="preserve"> </t>
  </si>
  <si>
    <t>TOTAL</t>
  </si>
  <si>
    <t>TOTAL Guelph model Tab 8</t>
  </si>
  <si>
    <t>Difference Guelph model vs. OEB model</t>
  </si>
  <si>
    <t>CDM Adjusted Forecast</t>
  </si>
  <si>
    <t>Board Approved CDM adjustment</t>
  </si>
  <si>
    <t>Customer Classes</t>
  </si>
  <si>
    <t>Board Approved Load Forecast (EB-2011-0123)</t>
  </si>
  <si>
    <t>% of Total</t>
  </si>
  <si>
    <t>CDM Load Forecast Adjustment</t>
  </si>
  <si>
    <t xml:space="preserve">Residential </t>
  </si>
  <si>
    <t>General Service &lt; 50 kW</t>
  </si>
  <si>
    <t>General Service 50 to 999 kW</t>
  </si>
  <si>
    <t>General Service 1000 to 4999 kW</t>
  </si>
  <si>
    <t>Large Users</t>
  </si>
  <si>
    <t>Unmetered Scattered Loads</t>
  </si>
  <si>
    <t>Total Retail Sales Forecast</t>
  </si>
  <si>
    <t xml:space="preserve"> Distribution Volumetric Rates including the Rate Riders for Tax Change and Foregone Revenue</t>
  </si>
  <si>
    <t xml:space="preserve"> Distribution Volumetric Rates including the Rate Riders for Tax Change </t>
  </si>
  <si>
    <t>UM</t>
  </si>
  <si>
    <t>January 1 to March 31, 2012 Rates</t>
  </si>
  <si>
    <t>April 1 to April 30, 2012 Rates</t>
  </si>
  <si>
    <t>May 1 to December 31, 2012 Rates</t>
  </si>
  <si>
    <t>January 1 to December 31, 2013 Rates</t>
  </si>
  <si>
    <t>January 1 to December 31, 2014 Rates</t>
  </si>
  <si>
    <t>January 1 to December 31, 2015 Rates</t>
  </si>
  <si>
    <t>Distribution Volumetric Rate</t>
  </si>
  <si>
    <t>Rate Rider for Tax Change</t>
  </si>
  <si>
    <t>Total Volumetric Rate</t>
  </si>
  <si>
    <t>Rate Rider for Recovery of Foregone Revenue</t>
  </si>
  <si>
    <t>GS&lt;50 kW</t>
  </si>
  <si>
    <t>GS 50 to 999 kW</t>
  </si>
  <si>
    <t>GS 1000 to 4999 kW</t>
  </si>
  <si>
    <t>1568 - 2012 Approved CDM Adjustment in dollars</t>
  </si>
  <si>
    <t>Monthly CDM Adjustments for 1568 LRAMVA calculation</t>
  </si>
  <si>
    <t>January 1 to March 31, 2012</t>
  </si>
  <si>
    <t>April 1 to April 30, 2012</t>
  </si>
  <si>
    <t>May 1 to December 31, 2012</t>
  </si>
  <si>
    <t>Total 2012</t>
  </si>
  <si>
    <t>Total Year</t>
  </si>
  <si>
    <t>2013 -1568 - Approved CDM Adjustments in dollars</t>
  </si>
  <si>
    <t xml:space="preserve">Total </t>
  </si>
  <si>
    <t>2014 -1568 - Approved CDM Adjustments in dollars</t>
  </si>
  <si>
    <t>2015 -1568 - Approved CDM Adjustments in dollars</t>
  </si>
  <si>
    <t>Total 2012 to 2015 approved CDM adj</t>
  </si>
  <si>
    <t>January 1 to April 30, 2011 Rates                         EB-2010-0130</t>
  </si>
  <si>
    <t>May 1 to December 31, 2011 Rates                EB-2010-0130</t>
  </si>
  <si>
    <t>January 1 to March 31, 2012 Rates                        EB-2011-0123</t>
  </si>
  <si>
    <t>April 1 to April 30, 2012 Rates                                                             EB-2011-0123</t>
  </si>
  <si>
    <t>May 1 to December 31, 2012 Rates                        EB-2011-0123</t>
  </si>
  <si>
    <t>January 1 to December 31, 2013 Rates             EB-2012-0128</t>
  </si>
  <si>
    <t>January 1 to December 31, 2014 Rates                  EB-2013-0133</t>
  </si>
  <si>
    <t>January 1 to December 31, 2015 Rates                   EB-2014-007</t>
  </si>
  <si>
    <t>2011 Final Results</t>
  </si>
  <si>
    <t>2012 FINAL Results</t>
  </si>
  <si>
    <t>2013 FINAL Results</t>
  </si>
  <si>
    <t>January 1 to April 30, 2011</t>
  </si>
  <si>
    <t>May 1 to December 31, 2011</t>
  </si>
  <si>
    <t>2011 Total Lost Revenue</t>
  </si>
  <si>
    <t xml:space="preserve">January 1 to March 31, 2012 </t>
  </si>
  <si>
    <t xml:space="preserve">April 1 to April 30, 2012 </t>
  </si>
  <si>
    <t>2012 Total Lost Revenue</t>
  </si>
  <si>
    <t>2013 Total Lost Revenue</t>
  </si>
  <si>
    <t>2014 Total Lost Revenue</t>
  </si>
  <si>
    <t>Total 2011 to 2014 Lost Revenue</t>
  </si>
  <si>
    <t>Monthly Lost Revenue for the 1568 LRAMVA calculation</t>
  </si>
  <si>
    <t>January 1 to April 30, 2011 Rates</t>
  </si>
  <si>
    <t>May 1 to December 31, 2011 Rates</t>
  </si>
  <si>
    <t>April 1 to April  30, 2012 Rates</t>
  </si>
  <si>
    <t>May 1 to December  31, 2012 Rates</t>
  </si>
  <si>
    <t>Jan. 1 to Dec. 31 2013 Monthly Lost Revenue</t>
  </si>
  <si>
    <t>Jan. 1 to Dec. 31 2014 Monthly Lost Revenue</t>
  </si>
  <si>
    <t>1568 LRAMVA 2015 minus 2013 approved for disposition balances plus Jan. 1 to Dec. 31, 2016 interest to be disposed in 2017 IRM</t>
  </si>
  <si>
    <t>1568 LRAMVA 2011 to 2015 balances per customer class</t>
  </si>
  <si>
    <t>1568 LRAMVA 2011 to 2013 balances Approved for Disposition in 2016 COS (EB-2015-0073)</t>
  </si>
  <si>
    <t>1568 LRAMVA 2015 Balances Requested for Disposition</t>
  </si>
  <si>
    <t>Principal</t>
  </si>
  <si>
    <t>Interest</t>
  </si>
  <si>
    <t>Total 2015 Ending Balance</t>
  </si>
  <si>
    <t>Total 2013 Ending Balance</t>
  </si>
  <si>
    <t>Interest Jan. 1 to Dec. 31, 2015</t>
  </si>
  <si>
    <t>Total LRAMVA Appproved for Disposition</t>
  </si>
  <si>
    <t>Interest Jan. 1 to Dec. 31, 2016</t>
  </si>
  <si>
    <t>Total LRAMVA Claim for Disposition in 2017 IRM</t>
  </si>
  <si>
    <t>Total Interest</t>
  </si>
  <si>
    <t>2015 LRAMVA Lost Revenue in dollars</t>
  </si>
  <si>
    <t>2015 LRAMVA in $ Monthly</t>
  </si>
  <si>
    <t>2014 Final CDM Results</t>
  </si>
  <si>
    <t>2014 LRAMVA Lost Revenue in dollars</t>
  </si>
  <si>
    <t>2014 LRAMVA in $ Monthly</t>
  </si>
  <si>
    <t>GS&lt; 50 kW</t>
  </si>
  <si>
    <t>GHESI Rate Class Allocation Actual Amount - 2011 FINAL Results by kWh</t>
  </si>
  <si>
    <t>GHESI Rate Class Allocation Estimation - 2012 FINAL VERIFIED Results by kWh</t>
  </si>
  <si>
    <t>GHESI Rate Class Allocation Estimation - 2013 FINAL VERIFIED Results by kWh</t>
  </si>
  <si>
    <t>GHESI Rate Class Allocation Estimation - 2014 FINAL VERIFIED Results by kWh</t>
  </si>
  <si>
    <t>% by Rate Class</t>
  </si>
  <si>
    <t>2011 % Non-RES by Rate Class</t>
  </si>
  <si>
    <t>Other Total</t>
  </si>
  <si>
    <t>Adjustments to Previous Year's Verified Results</t>
  </si>
  <si>
    <t>2012 Incremental Total Estimated by Rate Class</t>
  </si>
  <si>
    <t>Estimated % Allocation</t>
  </si>
  <si>
    <t>2011 OPA programs persistence in 2012 towards 2014 Target</t>
  </si>
  <si>
    <t>Pre-2011 Programs completed in 2011 Total</t>
  </si>
  <si>
    <t>2013 Incremental Total Estimated by Rate Class</t>
  </si>
  <si>
    <t>2011 OPA programs persistence  in 2013 towards 2014 Target</t>
  </si>
  <si>
    <t>2012 OPA programs persistence  in 2013 towards 2014 Target</t>
  </si>
  <si>
    <t>2014 Incremental Total Estimated by Rate Class</t>
  </si>
  <si>
    <t>2011 OPA programs persistence in 2014 towards 2014 Target</t>
  </si>
  <si>
    <t>2012 OPA programs persistence in 2014 towards 2014 Target</t>
  </si>
  <si>
    <t>2013 OPA programs persistence in 2014 towards 2014 Target</t>
  </si>
  <si>
    <t>2015 Incremental Total Estimated by Rate Class</t>
  </si>
  <si>
    <t>2011 OPA programs persistence in 2015 towards 2020 Target</t>
  </si>
  <si>
    <t>2012 OPA programs persistence in 2015 towards 2020 Target</t>
  </si>
  <si>
    <t>2013 OPA programs persistence in 2015 towards 2020 Target</t>
  </si>
  <si>
    <t>2014 IESO programs persistence in 2015 towards 2020 Target</t>
  </si>
  <si>
    <t>persistence:</t>
  </si>
  <si>
    <t>GHESI Rate Class Allocation Actual Amount - 2011 FINAL Results by kW</t>
  </si>
  <si>
    <t>GHESI Rate Class Allocation Estimation - 2012 FINAL VERIFIED Results by kW</t>
  </si>
  <si>
    <t>GHESI Rate Class Allocation Estimation - 2013 FINAL VERIFIED Results by kW</t>
  </si>
  <si>
    <t>GHESI Rate Class Allocation Estimation - 2014 FINAL VERIFIED Results by kW</t>
  </si>
  <si>
    <t>2011 Non-RES kWh Total:</t>
  </si>
  <si>
    <t>2011 Non-RES kW Total:</t>
  </si>
  <si>
    <t>NOTE: FOR ACCRUAL OF PERSISTENCE, ONLY USE ENERGY PERSISTENCE FROM PREVIOUS YEARS, AS DEMAND SAVINGS ARE PERCEIVED AS ONLY NEW INCREMENTAL RESOURCES (IE. BUILDING A GENERATOR ONCE)</t>
  </si>
  <si>
    <t>2011 FINAL</t>
  </si>
  <si>
    <t>Gross Savings</t>
  </si>
  <si>
    <t>Net Savings</t>
  </si>
  <si>
    <t>Contribution to Targets</t>
  </si>
  <si>
    <t>Program</t>
  </si>
  <si>
    <t>Incremental Peak Demand Savings (kW)</t>
  </si>
  <si>
    <t>Incremental Energy Savings (kWh)</t>
  </si>
  <si>
    <t>Program-to-Date: Net Annual Peak Demand Savings (kW) in 2014</t>
  </si>
  <si>
    <t>Program-to-Date: 2011-2014 Net Cumulative Energy Savings (kWh)</t>
  </si>
  <si>
    <t>Residential Program Total</t>
  </si>
  <si>
    <t>Commercial &amp; Institutional Program Total</t>
  </si>
  <si>
    <t>Industrial Program Total</t>
  </si>
  <si>
    <t>Home Assistance Program Total</t>
  </si>
  <si>
    <t>Total OPA Contracted Province-Wide CDM Programs</t>
  </si>
  <si>
    <t>CONSOLIDATED INTO INITIATIVE From OPA CDM 2013 FINAL VERIFIED RESULTS REPORT, using Scenario 1 (DR results have a 1 year persistence)</t>
  </si>
  <si>
    <t>2012 FINAL</t>
  </si>
  <si>
    <t>2013 FINAL</t>
  </si>
  <si>
    <t>2014 FINAL</t>
  </si>
  <si>
    <t>DR3 Contribution to be excluded in 2014 from LRAM calculation</t>
  </si>
  <si>
    <t>Adjusted Commercial &amp; Institutional Program Total</t>
  </si>
  <si>
    <t>Adjusted Industrial Program Total</t>
  </si>
  <si>
    <t>Non-Res Demand Response Contribution</t>
  </si>
  <si>
    <t>Adjusted Total OPA Contracted Province-Wide CDM Programs</t>
  </si>
  <si>
    <t>2015 Q4 UNVERIFIED PRELIMINARY</t>
  </si>
  <si>
    <t>Program-to-Date: 2015-2020 Net Incremental Energy Savings (kWh)</t>
  </si>
  <si>
    <t>Under CFF, Demand Response is no longer accepted as CDM</t>
  </si>
  <si>
    <t>Total IESO Contracted LDC CDM Programs</t>
  </si>
  <si>
    <t>NET ENERGY SAVINGS (GWh)</t>
  </si>
  <si>
    <t>ANNUAL</t>
  </si>
  <si>
    <t xml:space="preserve">2011 VERIFIED </t>
  </si>
  <si>
    <t>PERSISTENCE for 2011 VERIFIED RESULTS (from GHESI OEB 2011 Annual Report)</t>
  </si>
  <si>
    <t>% of 2011 RESULTS (energy)</t>
  </si>
  <si>
    <t>PERSISTENCE for 2012 VERIFIED RESULTS (from GHESI OEB 2012 Annual Report)</t>
  </si>
  <si>
    <t xml:space="preserve">2012 VERIFIED </t>
  </si>
  <si>
    <t>PERSISTENCE for 2013 VERIFIED RESULTS (from GHESI OEB 2013 Annual Report)</t>
  </si>
  <si>
    <t>% of 2012 RESULTS (energy)</t>
  </si>
  <si>
    <t>-</t>
  </si>
  <si>
    <t>PERSISTENCE for 2014 VERIFIED RESULTS (from GHESI OEB 2014 Annual Report)</t>
  </si>
  <si>
    <t xml:space="preserve">2013 VERIFIED </t>
  </si>
  <si>
    <t xml:space="preserve">PERSISTENCE in 2015 calculated from IESO Annual Net:Gross </t>
  </si>
  <si>
    <t>% of 2013 RESULTS (energy)</t>
  </si>
  <si>
    <t xml:space="preserve">2014 VERIFIED </t>
  </si>
  <si>
    <t>% of 2014 RESULTS (energy)</t>
  </si>
  <si>
    <t>NET PEAK DEMAND SAVINGS (MW)</t>
  </si>
  <si>
    <t>% of 2011 RESULTS (demand)</t>
  </si>
  <si>
    <t>% of 2012 RESULTS (demand)</t>
  </si>
  <si>
    <t>% of 2013 RESULTS (demand)</t>
  </si>
  <si>
    <t>% of 2014 RESULTS (demand)</t>
  </si>
  <si>
    <t>PERSISTENCE - ENERGY:</t>
  </si>
  <si>
    <t>PERSISTENCE - DEMAND:</t>
  </si>
  <si>
    <t>GUELPH HYDRO ELECTRIC SYSTEMS LTD.</t>
  </si>
  <si>
    <t>1568 - LRAM Variance Account</t>
  </si>
  <si>
    <t>REVENUE:</t>
  </si>
  <si>
    <t>OPENING</t>
  </si>
  <si>
    <t>LRAMVA Disposition</t>
  </si>
  <si>
    <t>G/L ACCT #</t>
  </si>
  <si>
    <t>RC</t>
  </si>
  <si>
    <t>DESCRIPTION</t>
  </si>
  <si>
    <t>BAL</t>
  </si>
  <si>
    <t>Jan</t>
  </si>
  <si>
    <t>Feb</t>
  </si>
  <si>
    <t>Mar</t>
  </si>
  <si>
    <t>Apr</t>
  </si>
  <si>
    <t>May</t>
  </si>
  <si>
    <t>Jun</t>
  </si>
  <si>
    <t>Jul</t>
  </si>
  <si>
    <t>Aug</t>
  </si>
  <si>
    <t>Sep</t>
  </si>
  <si>
    <t>Oct</t>
  </si>
  <si>
    <t>Nov</t>
  </si>
  <si>
    <t>Dec</t>
  </si>
  <si>
    <t>Principal Balance Approved for Disposition</t>
  </si>
  <si>
    <t>The level of CDM program activities included in the 2012 Board-approved load forecast</t>
  </si>
  <si>
    <t>TOTAL REVENUE</t>
  </si>
  <si>
    <t>EXPENDITURES:</t>
  </si>
  <si>
    <t>The results of the actual impact of authorized CDM activities</t>
  </si>
  <si>
    <t>TOTAL COSTS</t>
  </si>
  <si>
    <t>DIFFERENCE:</t>
  </si>
  <si>
    <t>OEB Account #1568</t>
  </si>
  <si>
    <t>BALANCE</t>
  </si>
  <si>
    <t>to change the carrying charges percentage</t>
  </si>
  <si>
    <t>OEB Account #</t>
  </si>
  <si>
    <t>INTEREST @ OEB PRESCRIBED RATES</t>
  </si>
  <si>
    <t>Interest Balance Approved for Disposition</t>
  </si>
  <si>
    <t>INTEREST BALANCE</t>
  </si>
  <si>
    <t>1568 Balance</t>
  </si>
  <si>
    <t>1568 Balance without 2016 disposition - to be carried over in 2016</t>
  </si>
  <si>
    <t>Quarterly Net Accruals</t>
  </si>
  <si>
    <t>Quarterly Carrying Charges</t>
  </si>
  <si>
    <t>Reconciliation with tab Lost Revenue, cell Z66</t>
  </si>
  <si>
    <t>LRAMVA 1568- Rate Ridders - Recovery Period 1 Year</t>
  </si>
  <si>
    <t>LRAMVA Claim</t>
  </si>
  <si>
    <t>Billing Determinants</t>
  </si>
  <si>
    <t>Rate Riders</t>
  </si>
  <si>
    <t xml:space="preserve"> kWh</t>
  </si>
  <si>
    <t>$/kWh</t>
  </si>
  <si>
    <t>RESIDENTIAL SERVICE CLASSIFICATION</t>
  </si>
  <si>
    <t>GENERAL SERVICE LESS THAN 50 kW SERVICE CLASSIFICATION</t>
  </si>
  <si>
    <t>GENERAL SERVICE 50 to 999 kW SERVICE CLASSIFICATION</t>
  </si>
  <si>
    <t>GENERAL SERVICE 1,000 to 4,999 kW SERVICE CLASSIFICATION</t>
  </si>
  <si>
    <t>LARGE USE SERVICE CLASSIFICATION</t>
  </si>
  <si>
    <t>UNMETERED SCATTERED LOAD SERVICE CLASSIFICATION</t>
  </si>
  <si>
    <t xml:space="preserve">STANDBY POWER SERVICE CLASSIFICATION </t>
  </si>
  <si>
    <t>SENTINEL LIGHTING SERVICE CLASSIFICATION</t>
  </si>
  <si>
    <t>STREET LIGHTING SERVICE CLASSIFICATION</t>
  </si>
  <si>
    <t>$/kW</t>
  </si>
  <si>
    <t>Unit</t>
  </si>
  <si>
    <t xml:space="preserve">TOTAL </t>
  </si>
  <si>
    <t>LRAMVA claim without 2016 interest</t>
  </si>
  <si>
    <t>Jan. to Dec. 2016 Interest</t>
  </si>
  <si>
    <t>Total LRAMVA Claim</t>
  </si>
  <si>
    <t>Total LRAMVA-  Guelph LRAMVA model</t>
  </si>
  <si>
    <r>
      <t xml:space="preserve">Please update </t>
    </r>
    <r>
      <rPr>
        <b/>
        <sz val="11"/>
        <rFont val="Arial"/>
        <family val="2"/>
      </rPr>
      <t>Table 5</t>
    </r>
    <r>
      <rPr>
        <sz val="11"/>
        <rFont val="Arial"/>
        <family val="2"/>
      </rPr>
      <t xml:space="preserve"> with the approved distribution rates for the utility's respective rate classes (rows 19 to 30, as applicable).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</si>
  <si>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GHESI Rate Class Allocation Estimation by % - 2015 FINAL VERIFIED Results 2016-Jun-30 by kWh</t>
  </si>
  <si>
    <t>RESIDENTIAL Total (includes Low Income)</t>
  </si>
  <si>
    <t>BUSINESS Total (includes C&amp;I and Industrial)</t>
  </si>
  <si>
    <t>LOCAL &amp; REGIONAL Programs Total</t>
  </si>
  <si>
    <t>PILOT  Program Total</t>
  </si>
  <si>
    <t>OTHER Total (includes Adjustments to Previous Years Final)</t>
  </si>
  <si>
    <t>GHESI Rate Class Allocation Estimation by % - 2015 FINAL VERIFIED Results 2016-Jun-30 by kW</t>
  </si>
  <si>
    <t>from "2011 Persistence - Guelph Hydro 20160422.WORKING.xlsx"</t>
  </si>
  <si>
    <t>from "2012 Gross Savings &amp; PERSISTENCE- Guelph Hydro Electric.WORKING.xlsx"</t>
  </si>
  <si>
    <t>from "2013 Guelph Hydro Electric Systems Inc. 2013 Verified Results-GrossPersistentSavings-2014-Sep-22.WORKING.xlsx"</t>
  </si>
  <si>
    <t>from "2014 Guelph Hydro - 2014 Persistence Data 20160425.WORKING.xlsx"</t>
  </si>
  <si>
    <t>from "Final 2015 Annual Verified Results Report - Annual Persistence_GuelphHydro_20160729.WORKING.xlsx"</t>
  </si>
  <si>
    <t>GHESI's 2011, 2012 and 2013 LRAM recovery was approved by the OEB, and included DR programs.  The OEB's 2016 LRAM policy EB-2016-0182 required LDCs to ignore DR savings, starting with the 2014 LRAM claim for GHESI.</t>
  </si>
  <si>
    <t>The OEB's 2016 LRAM policy EB-2016-0182 required LDCs to ignore DR savings, starting with the 2014 LRAM claim for GHESI.</t>
  </si>
  <si>
    <t>Note: loss of UofG Program Enabled Savings (load curve) after 2014</t>
  </si>
  <si>
    <t>Consumer Subtotal:</t>
  </si>
  <si>
    <t>Business Subtotal:</t>
  </si>
  <si>
    <t>Industrial Subtotal:</t>
  </si>
  <si>
    <t>Low Income Subtotal:</t>
  </si>
  <si>
    <t>Pre-2011 Program Subtotal:</t>
  </si>
  <si>
    <t>Adjustment - Program Enabled Savings:</t>
  </si>
  <si>
    <t>Other:</t>
  </si>
  <si>
    <t>Total GS &gt; 50 kW (excludes DR &amp; Building Commissioning)</t>
  </si>
  <si>
    <t>Residential Subtotal:</t>
  </si>
  <si>
    <t>Commercial &amp; Institutional Subtotal:</t>
  </si>
  <si>
    <t>Pilots Subtotal:</t>
  </si>
  <si>
    <t>CFF Residential Subtotal:</t>
  </si>
  <si>
    <t>CFF Non-Residential Subtotal:</t>
  </si>
  <si>
    <t>CFF Local &amp; Regional Subtotal:</t>
  </si>
  <si>
    <t>Difference OEB's model vs Guelph's model results</t>
  </si>
  <si>
    <t>Total Guelph LRAMVA claim including 2016 interest</t>
  </si>
  <si>
    <t>2015 Actual CDM Results</t>
  </si>
  <si>
    <t>Jan. 1 to Dec. 31, 2016</t>
  </si>
  <si>
    <t>Total Balance</t>
  </si>
  <si>
    <t>Jan. 1 to Dec. 31, 2016 Carrying Charges</t>
  </si>
  <si>
    <t>Total LRAMVA Balance including 2016 Carring Charges</t>
  </si>
  <si>
    <t>2011 in 2012</t>
  </si>
  <si>
    <t>2011 in 2013</t>
  </si>
  <si>
    <t>2012 in 2013</t>
  </si>
  <si>
    <t>Total persistance Demand</t>
  </si>
  <si>
    <t>Carrying Charges on Demand persistance not claimed in 2016COS</t>
  </si>
  <si>
    <t>Total 2011-2013 Demand persistance not claimed in 2016COS</t>
  </si>
  <si>
    <t>Plus diff. concepts</t>
  </si>
  <si>
    <t>Total Balance including carrying Charges</t>
  </si>
  <si>
    <t>Diff. from concept</t>
  </si>
  <si>
    <t>See LRAMVA Summary file cell E24</t>
  </si>
  <si>
    <t>2011-2013 Principal Cleared</t>
  </si>
</sst>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6" formatCode="&quot;$&quot;#,##0;[Red]\-&quot;$&quot;#,##0"/>
    <numFmt numFmtId="8" formatCode="&quot;$&quot;#,##0.00;[Red]\-&quot;$&quot;#,##0.00"/>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 numFmtId="179" formatCode="#,##0.0000"/>
    <numFmt numFmtId="180" formatCode="&quot;$&quot;#,##0.0000_);[Red]\(&quot;$&quot;#,##0.0000\)"/>
    <numFmt numFmtId="181" formatCode="0.0%"/>
    <numFmt numFmtId="182" formatCode="#,##0.000"/>
    <numFmt numFmtId="183" formatCode="0.0000000000"/>
    <numFmt numFmtId="184" formatCode="0.000"/>
    <numFmt numFmtId="185" formatCode="&quot;$&quot;#,##0.0000;[Red]\-&quot;$&quot;#,##0.0000"/>
    <numFmt numFmtId="186" formatCode="_(* #,##0.0000_);_(* \(#,##0.0000\);_(* &quot;-&quot;??_);_(@_)"/>
  </numFmts>
  <fonts count="97" x14ac:knownFonts="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sz val="11"/>
      <color rgb="FFFF0000"/>
      <name val="Calibri"/>
      <family val="2"/>
      <scheme val="minor"/>
    </font>
    <font>
      <b/>
      <sz val="11"/>
      <color rgb="FFFF0000"/>
      <name val="Calibri"/>
      <family val="2"/>
      <scheme val="minor"/>
    </font>
    <font>
      <b/>
      <sz val="12"/>
      <name val="Calibri"/>
      <family val="2"/>
      <scheme val="minor"/>
    </font>
    <font>
      <sz val="12"/>
      <name val="Calibri"/>
      <family val="2"/>
      <scheme val="minor"/>
    </font>
    <font>
      <b/>
      <sz val="8"/>
      <color theme="1"/>
      <name val="Calibri"/>
      <family val="2"/>
      <scheme val="minor"/>
    </font>
    <font>
      <b/>
      <i/>
      <sz val="10"/>
      <color theme="1"/>
      <name val="Calibri"/>
      <family val="2"/>
      <scheme val="minor"/>
    </font>
    <font>
      <b/>
      <i/>
      <sz val="11"/>
      <color theme="1"/>
      <name val="Calibri"/>
      <family val="2"/>
      <scheme val="minor"/>
    </font>
    <font>
      <b/>
      <sz val="11"/>
      <color rgb="FF000000"/>
      <name val="Calibri"/>
      <family val="2"/>
      <scheme val="minor"/>
    </font>
    <font>
      <b/>
      <i/>
      <sz val="11"/>
      <name val="Calibri"/>
      <family val="2"/>
      <scheme val="minor"/>
    </font>
    <font>
      <b/>
      <i/>
      <sz val="11"/>
      <color rgb="FFFF0000"/>
      <name val="Calibri"/>
      <family val="2"/>
      <scheme val="minor"/>
    </font>
    <font>
      <i/>
      <sz val="11"/>
      <color rgb="FFFF0000"/>
      <name val="Calibri"/>
      <family val="2"/>
      <scheme val="minor"/>
    </font>
    <font>
      <i/>
      <sz val="11"/>
      <name val="Calibri"/>
      <family val="2"/>
      <scheme val="minor"/>
    </font>
  </fonts>
  <fills count="51">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rgb="FFFFFFCC"/>
        <bgColor indexed="64"/>
      </patternFill>
    </fill>
    <fill>
      <patternFill patternType="solid">
        <fgColor rgb="FFCCCCFF"/>
        <bgColor indexed="64"/>
      </patternFill>
    </fill>
    <fill>
      <patternFill patternType="solid">
        <fgColor rgb="FFFFC000"/>
        <bgColor indexed="64"/>
      </patternFill>
    </fill>
    <fill>
      <patternFill patternType="solid">
        <fgColor theme="9" tint="0.59999389629810485"/>
        <bgColor indexed="64"/>
      </patternFill>
    </fill>
    <fill>
      <patternFill patternType="solid">
        <fgColor rgb="FFCCFFCC"/>
        <bgColor indexed="64"/>
      </patternFill>
    </fill>
    <fill>
      <patternFill patternType="solid">
        <fgColor rgb="FFFFFFFF"/>
        <bgColor indexed="64"/>
      </patternFill>
    </fill>
    <fill>
      <patternFill patternType="solid">
        <fgColor rgb="FFD8D8D8"/>
        <bgColor indexed="64"/>
      </patternFill>
    </fill>
    <fill>
      <patternFill patternType="solid">
        <fgColor theme="2" tint="-0.249977111117893"/>
        <bgColor indexed="64"/>
      </patternFill>
    </fill>
    <fill>
      <patternFill patternType="solid">
        <fgColor rgb="FFFFCCFF"/>
        <bgColor indexed="64"/>
      </patternFill>
    </fill>
    <fill>
      <patternFill patternType="solid">
        <fgColor rgb="FF92D05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rgb="FFFF0000"/>
        <bgColor indexed="64"/>
      </patternFill>
    </fill>
  </fills>
  <borders count="155">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FFFF"/>
      </right>
      <top style="medium">
        <color rgb="FFFFFFFF"/>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thin">
        <color theme="0"/>
      </top>
      <bottom/>
      <diagonal/>
    </border>
    <border>
      <left style="thin">
        <color theme="0"/>
      </left>
      <right style="thin">
        <color theme="0"/>
      </right>
      <top/>
      <bottom style="thin">
        <color theme="0"/>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style="thin">
        <color theme="0"/>
      </top>
      <bottom style="thin">
        <color theme="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hair">
        <color indexed="64"/>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rgb="FF000000"/>
      </right>
      <top/>
      <bottom style="medium">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bottom style="medium">
        <color indexed="64"/>
      </bottom>
      <diagonal/>
    </border>
    <border>
      <left style="hair">
        <color indexed="64"/>
      </left>
      <right style="thin">
        <color indexed="64"/>
      </right>
      <top style="hair">
        <color indexed="64"/>
      </top>
      <bottom style="thin">
        <color indexed="64"/>
      </bottom>
      <diagonal/>
    </border>
  </borders>
  <cellStyleXfs count="91">
    <xf numFmtId="0" fontId="0" fillId="0" borderId="0"/>
    <xf numFmtId="166" fontId="15" fillId="0" borderId="0" applyFont="0" applyFill="0" applyBorder="0" applyAlignment="0" applyProtection="0"/>
    <xf numFmtId="166" fontId="17" fillId="0" borderId="0" applyFont="0" applyFill="0" applyBorder="0" applyAlignment="0" applyProtection="0"/>
    <xf numFmtId="166" fontId="15" fillId="0" borderId="0" applyFont="0" applyFill="0" applyBorder="0" applyAlignment="0" applyProtection="0"/>
    <xf numFmtId="165" fontId="15" fillId="0" borderId="0" applyFont="0" applyFill="0" applyBorder="0" applyAlignment="0" applyProtection="0"/>
    <xf numFmtId="0" fontId="15" fillId="0" borderId="0"/>
    <xf numFmtId="0" fontId="17" fillId="0" borderId="0"/>
    <xf numFmtId="0" fontId="15" fillId="0" borderId="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16" applyNumberFormat="0" applyAlignment="0" applyProtection="0"/>
    <xf numFmtId="0" fontId="22" fillId="22" borderId="17" applyNumberFormat="0" applyAlignment="0" applyProtection="0"/>
    <xf numFmtId="43" fontId="15"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8" borderId="16" applyNumberFormat="0" applyAlignment="0" applyProtection="0"/>
    <xf numFmtId="0" fontId="30" fillId="0" borderId="21" applyNumberFormat="0" applyFill="0" applyAlignment="0" applyProtection="0"/>
    <xf numFmtId="0" fontId="31" fillId="23" borderId="0" applyNumberFormat="0" applyBorder="0" applyAlignment="0" applyProtection="0"/>
    <xf numFmtId="0" fontId="23" fillId="0" borderId="0"/>
    <xf numFmtId="0" fontId="23" fillId="0" borderId="0"/>
    <xf numFmtId="0" fontId="8" fillId="0" borderId="0"/>
    <xf numFmtId="0" fontId="15" fillId="0" borderId="0"/>
    <xf numFmtId="0" fontId="8" fillId="0" borderId="0"/>
    <xf numFmtId="0" fontId="15" fillId="24" borderId="22" applyNumberFormat="0" applyFont="0" applyAlignment="0" applyProtection="0"/>
    <xf numFmtId="0" fontId="15" fillId="24" borderId="22" applyNumberFormat="0" applyFont="0" applyAlignment="0" applyProtection="0"/>
    <xf numFmtId="0" fontId="32" fillId="21" borderId="23" applyNumberFormat="0" applyAlignment="0" applyProtection="0"/>
    <xf numFmtId="9" fontId="8" fillId="0" borderId="0" applyFont="0" applyFill="0" applyBorder="0" applyAlignment="0" applyProtection="0"/>
    <xf numFmtId="0" fontId="15" fillId="25" borderId="2" applyNumberFormat="0" applyProtection="0">
      <alignment horizontal="left" vertical="center"/>
    </xf>
    <xf numFmtId="0" fontId="15" fillId="25" borderId="2" applyNumberFormat="0" applyProtection="0">
      <alignment horizontal="left" vertical="center"/>
    </xf>
    <xf numFmtId="0" fontId="33" fillId="0" borderId="0" applyNumberFormat="0" applyFill="0" applyBorder="0" applyAlignment="0" applyProtection="0"/>
    <xf numFmtId="0" fontId="34" fillId="0" borderId="24" applyNumberFormat="0" applyFill="0" applyAlignment="0" applyProtection="0"/>
    <xf numFmtId="0" fontId="35" fillId="0" borderId="0" applyNumberFormat="0" applyFill="0" applyBorder="0" applyAlignment="0" applyProtection="0"/>
    <xf numFmtId="0" fontId="21" fillId="21" borderId="25" applyNumberFormat="0" applyAlignment="0" applyProtection="0"/>
    <xf numFmtId="0" fontId="29" fillId="8" borderId="25" applyNumberFormat="0" applyAlignment="0" applyProtection="0"/>
    <xf numFmtId="0" fontId="15" fillId="24" borderId="26" applyNumberFormat="0" applyFont="0" applyAlignment="0" applyProtection="0"/>
    <xf numFmtId="0" fontId="15" fillId="24" borderId="26" applyNumberFormat="0" applyFont="0" applyAlignment="0" applyProtection="0"/>
    <xf numFmtId="0" fontId="32" fillId="21" borderId="27" applyNumberFormat="0" applyAlignment="0" applyProtection="0"/>
    <xf numFmtId="0" fontId="34" fillId="0" borderId="28" applyNumberFormat="0" applyFill="0" applyAlignment="0" applyProtection="0"/>
    <xf numFmtId="44" fontId="8" fillId="0" borderId="0" applyFont="0" applyFill="0" applyBorder="0" applyAlignment="0" applyProtection="0"/>
    <xf numFmtId="166" fontId="8" fillId="0" borderId="0" applyFont="0" applyFill="0" applyBorder="0" applyAlignment="0" applyProtection="0"/>
    <xf numFmtId="9" fontId="8" fillId="0" borderId="0" applyFont="0" applyFill="0" applyBorder="0" applyAlignment="0" applyProtection="0"/>
    <xf numFmtId="0" fontId="45" fillId="0" borderId="0" applyNumberFormat="0" applyFill="0" applyBorder="0" applyAlignment="0" applyProtection="0"/>
    <xf numFmtId="0" fontId="8" fillId="0" borderId="0"/>
    <xf numFmtId="9" fontId="8" fillId="0" borderId="0" applyFont="0" applyFill="0" applyBorder="0" applyAlignment="0" applyProtection="0"/>
    <xf numFmtId="0" fontId="15" fillId="25" borderId="37" applyNumberFormat="0" applyProtection="0">
      <alignment horizontal="left" vertical="center"/>
    </xf>
    <xf numFmtId="0" fontId="15" fillId="25" borderId="37" applyNumberFormat="0" applyProtection="0">
      <alignment horizontal="left" vertical="center"/>
    </xf>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166" fontId="8" fillId="0" borderId="0" applyFont="0" applyFill="0" applyBorder="0" applyAlignment="0" applyProtection="0"/>
  </cellStyleXfs>
  <cellXfs count="1504">
    <xf numFmtId="0" fontId="0" fillId="0" borderId="0" xfId="0"/>
    <xf numFmtId="0" fontId="10" fillId="2" borderId="0" xfId="0" applyFont="1" applyFill="1" applyBorder="1" applyAlignment="1">
      <alignment horizontal="right" vertical="top"/>
    </xf>
    <xf numFmtId="0" fontId="0" fillId="2" borderId="0" xfId="0" applyFill="1"/>
    <xf numFmtId="0" fontId="2" fillId="2" borderId="0" xfId="0" applyFont="1" applyFill="1"/>
    <xf numFmtId="0" fontId="40" fillId="2" borderId="0" xfId="0" applyFont="1" applyFill="1"/>
    <xf numFmtId="0" fontId="5" fillId="2" borderId="0" xfId="0" applyFont="1" applyFill="1"/>
    <xf numFmtId="0" fontId="38" fillId="2" borderId="0" xfId="0" applyFont="1" applyFill="1"/>
    <xf numFmtId="0" fontId="41" fillId="2" borderId="0" xfId="0" applyFont="1" applyFill="1" applyAlignment="1"/>
    <xf numFmtId="0" fontId="9" fillId="2" borderId="0" xfId="0" applyFont="1" applyFill="1"/>
    <xf numFmtId="0" fontId="5" fillId="2" borderId="0" xfId="0" applyFont="1" applyFill="1" applyAlignment="1">
      <alignment wrapText="1"/>
    </xf>
    <xf numFmtId="172" fontId="15" fillId="2" borderId="0" xfId="0" applyNumberFormat="1" applyFont="1" applyFill="1" applyBorder="1" applyProtection="1"/>
    <xf numFmtId="0" fontId="44" fillId="2" borderId="0" xfId="0" applyFont="1" applyFill="1"/>
    <xf numFmtId="172" fontId="44" fillId="2" borderId="0" xfId="0" applyNumberFormat="1" applyFont="1" applyFill="1" applyBorder="1" applyProtection="1"/>
    <xf numFmtId="0" fontId="43" fillId="2" borderId="0" xfId="0" applyFont="1" applyFill="1" applyAlignment="1">
      <alignment vertical="center" wrapText="1"/>
    </xf>
    <xf numFmtId="0" fontId="1" fillId="2" borderId="0" xfId="0" applyFont="1" applyFill="1" applyBorder="1"/>
    <xf numFmtId="0" fontId="37" fillId="2" borderId="0" xfId="0" applyFont="1" applyFill="1"/>
    <xf numFmtId="0" fontId="7" fillId="2" borderId="0" xfId="0" applyFont="1" applyFill="1"/>
    <xf numFmtId="0" fontId="3" fillId="2" borderId="0" xfId="0" applyFont="1" applyFill="1"/>
    <xf numFmtId="0" fontId="0" fillId="2" borderId="0" xfId="0" applyFill="1" applyAlignment="1">
      <alignment wrapText="1"/>
    </xf>
    <xf numFmtId="0" fontId="36" fillId="2" borderId="0" xfId="0" applyFont="1" applyFill="1" applyAlignment="1">
      <alignment horizontal="center"/>
    </xf>
    <xf numFmtId="0" fontId="36" fillId="2" borderId="0" xfId="0" applyFont="1" applyFill="1" applyAlignment="1">
      <alignment horizontal="center" wrapText="1"/>
    </xf>
    <xf numFmtId="0" fontId="16" fillId="2" borderId="0" xfId="0" applyFont="1" applyFill="1"/>
    <xf numFmtId="0" fontId="15"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1" fillId="2" borderId="0" xfId="0" applyFont="1" applyFill="1"/>
    <xf numFmtId="174" fontId="3" fillId="2" borderId="0" xfId="0" applyNumberFormat="1" applyFont="1" applyFill="1"/>
    <xf numFmtId="174" fontId="0" fillId="2" borderId="0" xfId="0" applyNumberFormat="1" applyFont="1" applyFill="1"/>
    <xf numFmtId="0" fontId="15" fillId="2" borderId="2" xfId="53" applyFont="1" applyFill="1" applyBorder="1" applyAlignment="1">
      <alignment horizontal="center"/>
    </xf>
    <xf numFmtId="0" fontId="15" fillId="2" borderId="0" xfId="53" applyFont="1" applyFill="1" applyBorder="1" applyAlignment="1">
      <alignment horizontal="center"/>
    </xf>
    <xf numFmtId="0" fontId="50" fillId="2" borderId="0" xfId="0" applyFont="1" applyFill="1" applyAlignment="1">
      <alignment vertical="top"/>
    </xf>
    <xf numFmtId="0" fontId="9" fillId="2" borderId="0" xfId="0" applyFont="1" applyFill="1" applyAlignment="1">
      <alignment vertical="top"/>
    </xf>
    <xf numFmtId="0" fontId="39" fillId="2" borderId="0" xfId="0" applyFont="1" applyFill="1" applyAlignment="1">
      <alignment horizontal="center" wrapText="1"/>
    </xf>
    <xf numFmtId="0" fontId="0" fillId="2" borderId="0" xfId="0" applyFont="1" applyFill="1" applyAlignment="1">
      <alignment wrapText="1"/>
    </xf>
    <xf numFmtId="0" fontId="46" fillId="2" borderId="0" xfId="0" applyFont="1" applyFill="1" applyBorder="1" applyAlignment="1">
      <alignment horizontal="left" vertical="center" wrapText="1"/>
    </xf>
    <xf numFmtId="0" fontId="46" fillId="2" borderId="0" xfId="0" applyFont="1" applyFill="1" applyBorder="1" applyAlignment="1">
      <alignment horizontal="center"/>
    </xf>
    <xf numFmtId="172" fontId="46" fillId="2" borderId="0" xfId="0" applyNumberFormat="1" applyFont="1" applyFill="1" applyBorder="1" applyAlignment="1" applyProtection="1">
      <alignment horizontal="center"/>
      <protection locked="0"/>
    </xf>
    <xf numFmtId="0" fontId="9" fillId="2" borderId="0" xfId="0" applyFont="1" applyFill="1" applyBorder="1"/>
    <xf numFmtId="0" fontId="0" fillId="2" borderId="0" xfId="0" applyFont="1" applyFill="1" applyAlignment="1">
      <alignment horizontal="center" wrapText="1"/>
    </xf>
    <xf numFmtId="0" fontId="42" fillId="2" borderId="0" xfId="0" applyFont="1" applyFill="1"/>
    <xf numFmtId="0" fontId="41" fillId="2" borderId="0" xfId="0" applyFont="1" applyFill="1" applyAlignment="1">
      <alignment vertical="center"/>
    </xf>
    <xf numFmtId="0" fontId="0" fillId="2" borderId="0" xfId="0" applyFill="1" applyBorder="1"/>
    <xf numFmtId="0" fontId="17" fillId="2" borderId="0" xfId="0" applyFont="1" applyFill="1"/>
    <xf numFmtId="0" fontId="39" fillId="2" borderId="0" xfId="0" applyFont="1" applyFill="1" applyAlignment="1">
      <alignment horizontal="center" wrapText="1"/>
    </xf>
    <xf numFmtId="0" fontId="9" fillId="2" borderId="0" xfId="0" applyFont="1" applyFill="1"/>
    <xf numFmtId="0" fontId="50" fillId="2" borderId="0" xfId="0" applyFont="1" applyFill="1" applyAlignment="1">
      <alignment vertical="top"/>
    </xf>
    <xf numFmtId="0" fontId="50" fillId="2" borderId="0" xfId="0" applyFont="1" applyFill="1" applyAlignment="1">
      <alignment vertical="top" wrapText="1"/>
    </xf>
    <xf numFmtId="0" fontId="9" fillId="2" borderId="0" xfId="0" applyFont="1" applyFill="1" applyAlignment="1">
      <alignment vertical="top"/>
    </xf>
    <xf numFmtId="0" fontId="50" fillId="2" borderId="0" xfId="0" applyFont="1" applyFill="1" applyAlignment="1">
      <alignment horizontal="center" vertical="top" wrapText="1"/>
    </xf>
    <xf numFmtId="164" fontId="4" fillId="2" borderId="0" xfId="0" applyNumberFormat="1" applyFont="1" applyFill="1" applyBorder="1" applyAlignment="1">
      <alignment horizontal="center"/>
    </xf>
    <xf numFmtId="164" fontId="3" fillId="2" borderId="0" xfId="0" applyNumberFormat="1" applyFont="1" applyFill="1" applyBorder="1" applyAlignment="1">
      <alignment horizontal="center"/>
    </xf>
    <xf numFmtId="0" fontId="0" fillId="2" borderId="0" xfId="0" applyFill="1" applyBorder="1" applyAlignment="1">
      <alignment horizontal="center"/>
    </xf>
    <xf numFmtId="0" fontId="2" fillId="2" borderId="0" xfId="0" applyFont="1" applyFill="1" applyBorder="1"/>
    <xf numFmtId="0" fontId="2" fillId="2" borderId="0" xfId="0" applyFont="1" applyFill="1" applyAlignment="1">
      <alignment horizontal="center"/>
    </xf>
    <xf numFmtId="3" fontId="2" fillId="2" borderId="0" xfId="0" applyNumberFormat="1" applyFont="1" applyFill="1"/>
    <xf numFmtId="3" fontId="3" fillId="2" borderId="0" xfId="0" applyNumberFormat="1" applyFont="1" applyFill="1" applyBorder="1" applyAlignment="1">
      <alignment horizontal="center"/>
    </xf>
    <xf numFmtId="0" fontId="2" fillId="2" borderId="0" xfId="0" applyFont="1" applyFill="1" applyAlignment="1">
      <alignment horizontal="left"/>
    </xf>
    <xf numFmtId="0" fontId="3" fillId="2" borderId="0" xfId="0" applyFont="1" applyFill="1" applyBorder="1" applyAlignment="1">
      <alignment horizontal="center" vertical="center"/>
    </xf>
    <xf numFmtId="0" fontId="39" fillId="2" borderId="0" xfId="0" applyFont="1" applyFill="1" applyAlignment="1">
      <alignment horizontal="center"/>
    </xf>
    <xf numFmtId="0" fontId="39" fillId="2" borderId="0" xfId="0" applyFont="1" applyFill="1" applyAlignment="1">
      <alignment horizontal="center" vertical="center"/>
    </xf>
    <xf numFmtId="0" fontId="39" fillId="2" borderId="0" xfId="0" applyFont="1" applyFill="1" applyAlignment="1">
      <alignment horizontal="center" wrapText="1"/>
    </xf>
    <xf numFmtId="0" fontId="17" fillId="2" borderId="0" xfId="0" applyFont="1" applyFill="1" applyAlignment="1">
      <alignment horizontal="center"/>
    </xf>
    <xf numFmtId="0" fontId="0" fillId="2" borderId="0" xfId="0" applyFont="1" applyFill="1" applyAlignment="1">
      <alignment horizontal="left"/>
    </xf>
    <xf numFmtId="0" fontId="51" fillId="2" borderId="0" xfId="0" applyFont="1" applyFill="1"/>
    <xf numFmtId="0" fontId="40" fillId="2" borderId="0" xfId="0" applyFont="1" applyFill="1" applyBorder="1" applyAlignment="1">
      <alignment horizontal="center"/>
    </xf>
    <xf numFmtId="0" fontId="0" fillId="2" borderId="0" xfId="0" applyFont="1" applyFill="1" applyBorder="1"/>
    <xf numFmtId="0" fontId="51" fillId="2" borderId="0" xfId="0" applyFont="1" applyFill="1" applyAlignment="1">
      <alignment horizontal="center"/>
    </xf>
    <xf numFmtId="0" fontId="56" fillId="2" borderId="0" xfId="0" applyFont="1" applyFill="1"/>
    <xf numFmtId="0" fontId="40" fillId="2" borderId="0" xfId="0" applyFont="1" applyFill="1" applyBorder="1" applyAlignment="1">
      <alignment horizontal="left" vertical="center"/>
    </xf>
    <xf numFmtId="175" fontId="47" fillId="0" borderId="0" xfId="40" applyNumberFormat="1" applyFont="1" applyFill="1" applyBorder="1" applyAlignment="1">
      <alignment horizontal="left" vertical="center" wrapText="1"/>
    </xf>
    <xf numFmtId="0" fontId="53" fillId="2" borderId="0" xfId="0" applyFont="1" applyFill="1" applyAlignment="1">
      <alignment horizontal="left"/>
    </xf>
    <xf numFmtId="171" fontId="51" fillId="2" borderId="2" xfId="0" applyNumberFormat="1" applyFont="1" applyFill="1" applyBorder="1" applyAlignment="1">
      <alignment horizontal="center"/>
    </xf>
    <xf numFmtId="171" fontId="51" fillId="2" borderId="37" xfId="0" applyNumberFormat="1" applyFont="1" applyFill="1" applyBorder="1" applyAlignment="1">
      <alignment horizontal="center"/>
    </xf>
    <xf numFmtId="0" fontId="48" fillId="2" borderId="0" xfId="0" applyFont="1" applyFill="1" applyBorder="1" applyAlignment="1">
      <alignment horizontal="left" vertical="center"/>
    </xf>
    <xf numFmtId="0" fontId="0" fillId="2" borderId="0" xfId="0" applyFont="1" applyFill="1" applyAlignment="1"/>
    <xf numFmtId="0" fontId="39" fillId="2" borderId="0" xfId="0" applyFont="1" applyFill="1" applyBorder="1" applyAlignment="1">
      <alignment vertical="center"/>
    </xf>
    <xf numFmtId="0" fontId="56" fillId="2" borderId="39" xfId="0" applyFont="1" applyFill="1" applyBorder="1" applyAlignment="1">
      <alignment horizontal="center"/>
    </xf>
    <xf numFmtId="0" fontId="40" fillId="2" borderId="0" xfId="0" applyFont="1" applyFill="1" applyAlignment="1">
      <alignment vertical="center"/>
    </xf>
    <xf numFmtId="0" fontId="0" fillId="2" borderId="0" xfId="0" applyFont="1" applyFill="1" applyAlignment="1">
      <alignment vertical="center"/>
    </xf>
    <xf numFmtId="0" fontId="52" fillId="2" borderId="0" xfId="0" applyFont="1" applyFill="1" applyBorder="1" applyAlignment="1"/>
    <xf numFmtId="0" fontId="51" fillId="2" borderId="0" xfId="0" applyFont="1" applyFill="1" applyAlignment="1">
      <alignment horizontal="left"/>
    </xf>
    <xf numFmtId="0" fontId="52" fillId="2" borderId="0" xfId="0" applyFont="1" applyFill="1" applyBorder="1" applyAlignment="1">
      <alignment horizontal="left"/>
    </xf>
    <xf numFmtId="175" fontId="64" fillId="0" borderId="29" xfId="40" applyNumberFormat="1" applyFont="1" applyFill="1" applyBorder="1" applyAlignment="1">
      <alignment vertical="center"/>
    </xf>
    <xf numFmtId="0" fontId="51" fillId="2" borderId="0" xfId="0" applyFont="1" applyFill="1" applyAlignment="1">
      <alignment horizontal="left" wrapText="1"/>
    </xf>
    <xf numFmtId="164" fontId="56" fillId="2" borderId="42" xfId="0" applyNumberFormat="1" applyFont="1" applyFill="1" applyBorder="1" applyAlignment="1">
      <alignment horizontal="center"/>
    </xf>
    <xf numFmtId="164" fontId="51" fillId="2" borderId="42" xfId="0" applyNumberFormat="1" applyFont="1" applyFill="1" applyBorder="1" applyAlignment="1">
      <alignment horizontal="center"/>
    </xf>
    <xf numFmtId="0" fontId="51" fillId="2" borderId="11" xfId="0" applyFont="1" applyFill="1" applyBorder="1" applyAlignment="1">
      <alignment vertical="center"/>
    </xf>
    <xf numFmtId="0" fontId="51" fillId="2" borderId="10" xfId="0" applyFont="1" applyFill="1" applyBorder="1" applyAlignment="1">
      <alignment vertical="center"/>
    </xf>
    <xf numFmtId="0" fontId="56" fillId="2" borderId="11" xfId="0" applyFont="1" applyFill="1" applyBorder="1" applyAlignment="1">
      <alignment vertical="center"/>
    </xf>
    <xf numFmtId="170" fontId="65" fillId="28" borderId="49" xfId="0" applyNumberFormat="1" applyFont="1" applyFill="1" applyBorder="1" applyAlignment="1">
      <alignment horizontal="center" vertical="center" wrapText="1"/>
    </xf>
    <xf numFmtId="170" fontId="65" fillId="27" borderId="50" xfId="6" applyNumberFormat="1" applyFont="1" applyFill="1" applyBorder="1" applyAlignment="1">
      <alignment horizontal="center" vertical="center" wrapText="1"/>
    </xf>
    <xf numFmtId="170" fontId="65" fillId="28" borderId="41" xfId="0" applyNumberFormat="1" applyFont="1" applyFill="1" applyBorder="1" applyAlignment="1">
      <alignment horizontal="center" vertical="center" wrapText="1"/>
    </xf>
    <xf numFmtId="171" fontId="56" fillId="2" borderId="45" xfId="0" applyNumberFormat="1" applyFont="1" applyFill="1" applyBorder="1" applyAlignment="1">
      <alignment horizontal="center"/>
    </xf>
    <xf numFmtId="171" fontId="10" fillId="2" borderId="51" xfId="0" applyNumberFormat="1" applyFont="1" applyFill="1" applyBorder="1" applyAlignment="1">
      <alignment horizontal="center"/>
    </xf>
    <xf numFmtId="0" fontId="54" fillId="2" borderId="0" xfId="0" applyFont="1" applyFill="1" applyBorder="1" applyAlignment="1">
      <alignment horizontal="center" vertical="center"/>
    </xf>
    <xf numFmtId="0" fontId="59" fillId="2" borderId="0" xfId="0" applyFont="1" applyFill="1" applyAlignment="1">
      <alignment horizontal="left"/>
    </xf>
    <xf numFmtId="170" fontId="65" fillId="28" borderId="47" xfId="0" applyNumberFormat="1" applyFont="1" applyFill="1" applyBorder="1" applyAlignment="1">
      <alignment horizontal="center" vertical="center" wrapText="1"/>
    </xf>
    <xf numFmtId="170" fontId="65" fillId="27" borderId="46" xfId="6" applyNumberFormat="1" applyFont="1" applyFill="1" applyBorder="1" applyAlignment="1">
      <alignment horizontal="center" vertical="center" wrapText="1"/>
    </xf>
    <xf numFmtId="170" fontId="65" fillId="28" borderId="46" xfId="0" applyNumberFormat="1" applyFont="1" applyFill="1" applyBorder="1" applyAlignment="1">
      <alignment horizontal="center" vertical="center" wrapText="1"/>
    </xf>
    <xf numFmtId="0" fontId="51" fillId="2" borderId="4" xfId="0" applyFont="1" applyFill="1" applyBorder="1" applyAlignment="1">
      <alignment horizontal="center"/>
    </xf>
    <xf numFmtId="38" fontId="51" fillId="2" borderId="39" xfId="0" applyNumberFormat="1" applyFont="1" applyFill="1" applyBorder="1" applyAlignment="1">
      <alignment horizontal="center"/>
    </xf>
    <xf numFmtId="0" fontId="56" fillId="2" borderId="4" xfId="0" applyFont="1" applyFill="1" applyBorder="1" applyAlignment="1">
      <alignment horizontal="left" vertical="center" wrapText="1"/>
    </xf>
    <xf numFmtId="0" fontId="56" fillId="2" borderId="54" xfId="0" applyFont="1" applyFill="1" applyBorder="1" applyAlignment="1">
      <alignment horizontal="left" vertical="center" wrapText="1"/>
    </xf>
    <xf numFmtId="0" fontId="56" fillId="2" borderId="55" xfId="0" applyFont="1" applyFill="1" applyBorder="1" applyAlignment="1">
      <alignment horizontal="center"/>
    </xf>
    <xf numFmtId="164" fontId="56" fillId="2" borderId="44" xfId="0" applyNumberFormat="1" applyFont="1" applyFill="1" applyBorder="1" applyAlignment="1">
      <alignment horizontal="center"/>
    </xf>
    <xf numFmtId="164" fontId="51" fillId="2" borderId="44" xfId="0" applyNumberFormat="1" applyFont="1" applyFill="1" applyBorder="1" applyAlignment="1">
      <alignment horizontal="center"/>
    </xf>
    <xf numFmtId="0" fontId="0" fillId="2" borderId="6" xfId="0" applyFill="1" applyBorder="1"/>
    <xf numFmtId="0" fontId="63" fillId="2" borderId="0" xfId="0" applyFont="1" applyFill="1" applyBorder="1" applyAlignment="1">
      <alignment vertical="center"/>
    </xf>
    <xf numFmtId="0" fontId="51" fillId="0" borderId="2" xfId="0" applyNumberFormat="1" applyFont="1" applyBorder="1" applyAlignment="1">
      <alignment horizontal="center"/>
    </xf>
    <xf numFmtId="0" fontId="51" fillId="2" borderId="37" xfId="0" applyFont="1" applyFill="1" applyBorder="1"/>
    <xf numFmtId="3" fontId="51" fillId="2" borderId="2" xfId="0" applyNumberFormat="1" applyFont="1" applyFill="1" applyBorder="1" applyAlignment="1">
      <alignment horizontal="center"/>
    </xf>
    <xf numFmtId="3" fontId="51" fillId="2" borderId="37" xfId="0" applyNumberFormat="1" applyFont="1" applyFill="1" applyBorder="1" applyAlignment="1">
      <alignment horizontal="center"/>
    </xf>
    <xf numFmtId="0" fontId="48" fillId="2" borderId="0" xfId="0" applyFont="1" applyFill="1" applyBorder="1" applyAlignment="1">
      <alignment vertical="center"/>
    </xf>
    <xf numFmtId="0" fontId="3" fillId="2" borderId="0" xfId="0" applyFont="1" applyFill="1" applyBorder="1"/>
    <xf numFmtId="174" fontId="0" fillId="2" borderId="0" xfId="0" applyNumberFormat="1" applyFont="1" applyFill="1" applyBorder="1"/>
    <xf numFmtId="0" fontId="59" fillId="2" borderId="0" xfId="0" applyFont="1" applyFill="1" applyBorder="1" applyAlignment="1">
      <alignment horizontal="left"/>
    </xf>
    <xf numFmtId="0" fontId="59" fillId="2" borderId="0" xfId="0" applyFont="1" applyFill="1" applyBorder="1"/>
    <xf numFmtId="0" fontId="5" fillId="2" borderId="0" xfId="0" applyFont="1" applyFill="1" applyBorder="1" applyAlignment="1">
      <alignment wrapText="1"/>
    </xf>
    <xf numFmtId="0" fontId="41" fillId="2" borderId="0" xfId="0" applyFont="1" applyFill="1" applyBorder="1" applyAlignment="1"/>
    <xf numFmtId="0" fontId="56" fillId="2" borderId="34" xfId="0" applyFont="1" applyFill="1" applyBorder="1" applyAlignment="1">
      <alignment horizontal="left" wrapText="1"/>
    </xf>
    <xf numFmtId="0" fontId="56" fillId="2" borderId="35" xfId="0" applyFont="1" applyFill="1" applyBorder="1" applyAlignment="1">
      <alignment horizontal="center" vertical="center"/>
    </xf>
    <xf numFmtId="0" fontId="41" fillId="2" borderId="0" xfId="0" applyFont="1" applyFill="1" applyBorder="1" applyAlignment="1">
      <alignment vertical="center"/>
    </xf>
    <xf numFmtId="0" fontId="59" fillId="2" borderId="0" xfId="0" applyFont="1" applyFill="1" applyAlignment="1">
      <alignment horizontal="center"/>
    </xf>
    <xf numFmtId="0" fontId="57" fillId="2" borderId="0" xfId="0" applyFont="1" applyFill="1" applyAlignment="1">
      <alignment horizontal="center"/>
    </xf>
    <xf numFmtId="0" fontId="69" fillId="2" borderId="4" xfId="0" applyFont="1" applyFill="1" applyBorder="1" applyAlignment="1">
      <alignment horizontal="left" vertical="center" wrapText="1"/>
    </xf>
    <xf numFmtId="0" fontId="69" fillId="2" borderId="39" xfId="0" applyFont="1" applyFill="1" applyBorder="1" applyAlignment="1">
      <alignment horizontal="center" vertical="center" wrapText="1"/>
    </xf>
    <xf numFmtId="0" fontId="69" fillId="2" borderId="3" xfId="0" applyFont="1" applyFill="1" applyBorder="1" applyAlignment="1">
      <alignment horizontal="left" vertical="center" wrapText="1"/>
    </xf>
    <xf numFmtId="0" fontId="56" fillId="2" borderId="40" xfId="0" applyFont="1" applyFill="1" applyBorder="1" applyAlignment="1">
      <alignment horizontal="center" vertical="center" wrapText="1"/>
    </xf>
    <xf numFmtId="0" fontId="69" fillId="2" borderId="40" xfId="0" applyFont="1" applyFill="1" applyBorder="1" applyAlignment="1">
      <alignment horizontal="center" vertical="center" wrapText="1"/>
    </xf>
    <xf numFmtId="0" fontId="10" fillId="2" borderId="57" xfId="0" applyFont="1" applyFill="1" applyBorder="1" applyAlignment="1">
      <alignment horizontal="left" vertical="center" wrapText="1"/>
    </xf>
    <xf numFmtId="0" fontId="10" fillId="2" borderId="58" xfId="0" applyFont="1" applyFill="1" applyBorder="1" applyAlignment="1">
      <alignment horizontal="center" vertical="center" wrapText="1"/>
    </xf>
    <xf numFmtId="175" fontId="64" fillId="0" borderId="0" xfId="40" applyNumberFormat="1" applyFont="1" applyFill="1" applyBorder="1" applyAlignment="1">
      <alignment vertical="center"/>
    </xf>
    <xf numFmtId="0" fontId="65" fillId="27" borderId="59" xfId="0" applyNumberFormat="1" applyFont="1" applyFill="1" applyBorder="1" applyAlignment="1">
      <alignment horizontal="center" vertical="center" wrapText="1"/>
    </xf>
    <xf numFmtId="170" fontId="65" fillId="27" borderId="59" xfId="6" applyNumberFormat="1" applyFont="1" applyFill="1" applyBorder="1" applyAlignment="1">
      <alignment horizontal="center" vertical="center" wrapText="1"/>
    </xf>
    <xf numFmtId="0" fontId="61" fillId="2" borderId="0" xfId="0" applyFont="1" applyFill="1"/>
    <xf numFmtId="0" fontId="41" fillId="2" borderId="0" xfId="0" applyFont="1" applyFill="1"/>
    <xf numFmtId="0" fontId="51" fillId="2" borderId="0" xfId="0" applyFont="1" applyFill="1" applyAlignment="1">
      <alignment wrapText="1"/>
    </xf>
    <xf numFmtId="0" fontId="61" fillId="2" borderId="0" xfId="0" applyFont="1" applyFill="1" applyAlignment="1">
      <alignment horizontal="center"/>
    </xf>
    <xf numFmtId="39" fontId="52" fillId="2" borderId="0" xfId="0" applyNumberFormat="1" applyFont="1" applyFill="1" applyBorder="1" applyAlignment="1">
      <alignment horizontal="center"/>
    </xf>
    <xf numFmtId="0" fontId="71" fillId="2" borderId="0" xfId="0" applyFont="1" applyFill="1" applyBorder="1" applyAlignment="1">
      <alignment horizontal="center" wrapText="1"/>
    </xf>
    <xf numFmtId="0" fontId="67" fillId="2" borderId="0" xfId="0" applyFont="1" applyFill="1" applyAlignment="1">
      <alignment horizontal="center"/>
    </xf>
    <xf numFmtId="0" fontId="67" fillId="2" borderId="0" xfId="0" applyFont="1" applyFill="1" applyAlignment="1">
      <alignment horizontal="center" wrapText="1"/>
    </xf>
    <xf numFmtId="0" fontId="72" fillId="2" borderId="0" xfId="0" applyFont="1" applyFill="1"/>
    <xf numFmtId="0" fontId="56" fillId="2" borderId="12" xfId="0" applyNumberFormat="1" applyFont="1" applyFill="1" applyBorder="1" applyAlignment="1">
      <alignment horizontal="center" vertical="top"/>
    </xf>
    <xf numFmtId="0" fontId="72" fillId="2" borderId="12" xfId="0" applyNumberFormat="1" applyFont="1" applyFill="1" applyBorder="1" applyAlignment="1">
      <alignment horizontal="center" vertical="top"/>
    </xf>
    <xf numFmtId="0" fontId="62" fillId="2" borderId="0" xfId="0" applyFont="1" applyFill="1" applyAlignment="1">
      <alignment vertical="center"/>
    </xf>
    <xf numFmtId="0" fontId="64" fillId="0" borderId="2" xfId="0" applyFont="1" applyBorder="1" applyAlignment="1">
      <alignment horizontal="center" vertical="top"/>
    </xf>
    <xf numFmtId="0" fontId="56" fillId="0" borderId="2" xfId="0" applyFont="1" applyBorder="1" applyAlignment="1">
      <alignment horizontal="center" vertical="top"/>
    </xf>
    <xf numFmtId="0" fontId="64" fillId="2" borderId="2" xfId="0" applyFont="1" applyFill="1" applyBorder="1" applyAlignment="1">
      <alignment horizontal="center" vertical="top"/>
    </xf>
    <xf numFmtId="0" fontId="74" fillId="2" borderId="0" xfId="0" applyFont="1" applyFill="1"/>
    <xf numFmtId="0" fontId="73" fillId="2" borderId="0" xfId="0" applyFont="1" applyFill="1" applyBorder="1" applyAlignment="1">
      <alignment horizontal="center"/>
    </xf>
    <xf numFmtId="0" fontId="51" fillId="2" borderId="0" xfId="0" applyFont="1" applyFill="1" applyAlignment="1">
      <alignment horizontal="center" vertical="center"/>
    </xf>
    <xf numFmtId="0" fontId="51" fillId="2" borderId="0" xfId="0" applyFont="1" applyFill="1" applyBorder="1"/>
    <xf numFmtId="0" fontId="51" fillId="2" borderId="37" xfId="74" applyFont="1" applyFill="1" applyBorder="1" applyAlignment="1" applyProtection="1">
      <alignment horizontal="center"/>
      <protection locked="0"/>
    </xf>
    <xf numFmtId="176" fontId="56" fillId="2" borderId="0" xfId="71" applyNumberFormat="1" applyFont="1" applyFill="1" applyBorder="1" applyAlignment="1" applyProtection="1">
      <alignment horizontal="left" vertical="center"/>
      <protection locked="0"/>
    </xf>
    <xf numFmtId="0" fontId="51" fillId="2" borderId="37" xfId="74" applyFont="1" applyFill="1" applyBorder="1" applyProtection="1">
      <protection locked="0"/>
    </xf>
    <xf numFmtId="176" fontId="56" fillId="2" borderId="0" xfId="71" applyNumberFormat="1" applyFont="1" applyFill="1" applyBorder="1" applyProtection="1">
      <protection locked="0"/>
    </xf>
    <xf numFmtId="176" fontId="56" fillId="2" borderId="37" xfId="71" applyNumberFormat="1" applyFont="1" applyFill="1" applyBorder="1" applyAlignment="1" applyProtection="1">
      <alignment horizontal="left" vertical="center"/>
      <protection locked="0"/>
    </xf>
    <xf numFmtId="176" fontId="56" fillId="2" borderId="37" xfId="71" applyNumberFormat="1" applyFont="1" applyFill="1" applyBorder="1" applyProtection="1">
      <protection locked="0"/>
    </xf>
    <xf numFmtId="0" fontId="51" fillId="2" borderId="0" xfId="0" applyNumberFormat="1" applyFont="1" applyFill="1"/>
    <xf numFmtId="0" fontId="51" fillId="2" borderId="0" xfId="0" applyNumberFormat="1" applyFont="1" applyFill="1" applyBorder="1"/>
    <xf numFmtId="0" fontId="56" fillId="2" borderId="0" xfId="0" applyFont="1" applyFill="1" applyBorder="1"/>
    <xf numFmtId="0" fontId="56" fillId="2" borderId="0" xfId="0" applyFont="1" applyFill="1" applyBorder="1" applyAlignment="1">
      <alignment horizontal="center"/>
    </xf>
    <xf numFmtId="0" fontId="51" fillId="2" borderId="0" xfId="0" applyFont="1" applyFill="1" applyBorder="1" applyAlignment="1">
      <alignment horizontal="left"/>
    </xf>
    <xf numFmtId="0" fontId="63" fillId="2" borderId="0" xfId="0" applyFont="1" applyFill="1" applyAlignment="1">
      <alignment vertical="center"/>
    </xf>
    <xf numFmtId="0" fontId="56" fillId="2" borderId="0" xfId="0" applyFont="1" applyFill="1" applyBorder="1" applyAlignment="1">
      <alignment vertical="center"/>
    </xf>
    <xf numFmtId="0" fontId="65" fillId="27" borderId="37" xfId="0" applyFont="1" applyFill="1" applyBorder="1" applyAlignment="1">
      <alignment horizontal="center" vertical="center" wrapText="1"/>
    </xf>
    <xf numFmtId="0" fontId="70" fillId="27" borderId="37" xfId="0" applyFont="1" applyFill="1" applyBorder="1"/>
    <xf numFmtId="0" fontId="65" fillId="27" borderId="10" xfId="0" applyFont="1" applyFill="1" applyBorder="1" applyAlignment="1">
      <alignment wrapText="1"/>
    </xf>
    <xf numFmtId="0" fontId="39" fillId="2" borderId="0" xfId="0" applyFont="1" applyFill="1" applyAlignment="1">
      <alignment horizontal="left" wrapText="1"/>
    </xf>
    <xf numFmtId="0" fontId="65" fillId="27" borderId="59" xfId="0" quotePrefix="1" applyFont="1" applyFill="1" applyBorder="1" applyAlignment="1">
      <alignment horizontal="center" vertical="center"/>
    </xf>
    <xf numFmtId="170" fontId="60" fillId="27" borderId="14" xfId="6" applyNumberFormat="1" applyFont="1" applyFill="1" applyBorder="1" applyAlignment="1">
      <alignment horizontal="center" vertical="center" wrapText="1"/>
    </xf>
    <xf numFmtId="10" fontId="40" fillId="2" borderId="8" xfId="0" applyNumberFormat="1" applyFont="1" applyFill="1" applyBorder="1" applyAlignment="1" applyProtection="1">
      <alignment horizontal="center"/>
      <protection locked="0"/>
    </xf>
    <xf numFmtId="17" fontId="40" fillId="0" borderId="9" xfId="0" applyNumberFormat="1" applyFont="1" applyFill="1" applyBorder="1" applyAlignment="1">
      <alignment horizontal="center"/>
    </xf>
    <xf numFmtId="0" fontId="40" fillId="0" borderId="9" xfId="0" applyFont="1" applyFill="1" applyBorder="1" applyAlignment="1">
      <alignment horizontal="center"/>
    </xf>
    <xf numFmtId="169" fontId="15" fillId="0" borderId="9" xfId="70" applyNumberFormat="1" applyFont="1" applyFill="1" applyBorder="1"/>
    <xf numFmtId="169" fontId="15" fillId="0" borderId="8" xfId="70" applyNumberFormat="1" applyFont="1" applyFill="1" applyBorder="1"/>
    <xf numFmtId="17" fontId="40" fillId="2" borderId="9" xfId="0" applyNumberFormat="1" applyFont="1" applyFill="1" applyBorder="1" applyAlignment="1">
      <alignment horizontal="center"/>
    </xf>
    <xf numFmtId="0" fontId="40" fillId="2" borderId="9" xfId="0" applyFont="1" applyFill="1" applyBorder="1" applyAlignment="1">
      <alignment horizontal="center"/>
    </xf>
    <xf numFmtId="169" fontId="15" fillId="2" borderId="8" xfId="70" applyNumberFormat="1" applyFont="1" applyFill="1" applyBorder="1"/>
    <xf numFmtId="169" fontId="15" fillId="2" borderId="9" xfId="70" applyNumberFormat="1" applyFont="1" applyFill="1" applyBorder="1"/>
    <xf numFmtId="0" fontId="43" fillId="2" borderId="0" xfId="0" applyFont="1" applyFill="1" applyBorder="1" applyAlignment="1">
      <alignment vertical="top"/>
    </xf>
    <xf numFmtId="0" fontId="43" fillId="2" borderId="0" xfId="0" applyFont="1" applyFill="1" applyAlignment="1">
      <alignment vertical="top"/>
    </xf>
    <xf numFmtId="0" fontId="78" fillId="2" borderId="0" xfId="0" applyFont="1" applyFill="1" applyAlignment="1">
      <alignment vertical="top"/>
    </xf>
    <xf numFmtId="170" fontId="60" fillId="2" borderId="0" xfId="6" applyNumberFormat="1" applyFont="1" applyFill="1" applyBorder="1" applyAlignment="1">
      <alignment horizontal="center" vertical="center" wrapText="1"/>
    </xf>
    <xf numFmtId="10" fontId="40" fillId="2" borderId="0" xfId="0" applyNumberFormat="1" applyFont="1" applyFill="1" applyBorder="1" applyAlignment="1">
      <alignment horizontal="center"/>
    </xf>
    <xf numFmtId="17" fontId="13" fillId="2" borderId="8" xfId="0" applyNumberFormat="1" applyFont="1" applyFill="1" applyBorder="1"/>
    <xf numFmtId="0" fontId="13" fillId="2" borderId="8" xfId="0" applyFont="1" applyFill="1" applyBorder="1"/>
    <xf numFmtId="169" fontId="13" fillId="2" borderId="8" xfId="0" applyNumberFormat="1" applyFont="1" applyFill="1" applyBorder="1"/>
    <xf numFmtId="17" fontId="53" fillId="2" borderId="15" xfId="0" applyNumberFormat="1" applyFont="1" applyFill="1" applyBorder="1"/>
    <xf numFmtId="0" fontId="53" fillId="2" borderId="15" xfId="0" applyFont="1" applyFill="1" applyBorder="1"/>
    <xf numFmtId="169" fontId="53" fillId="2" borderId="15" xfId="0" applyNumberFormat="1" applyFont="1" applyFill="1" applyBorder="1"/>
    <xf numFmtId="0" fontId="63" fillId="2" borderId="0" xfId="0" applyFont="1" applyFill="1" applyAlignment="1">
      <alignment horizontal="left"/>
    </xf>
    <xf numFmtId="0" fontId="39" fillId="2" borderId="0" xfId="0" applyFont="1" applyFill="1" applyAlignment="1">
      <alignment horizontal="center" wrapText="1"/>
    </xf>
    <xf numFmtId="175" fontId="64" fillId="29" borderId="29" xfId="40" applyNumberFormat="1" applyFont="1" applyFill="1" applyBorder="1" applyAlignment="1">
      <alignment vertical="center" wrapText="1"/>
    </xf>
    <xf numFmtId="175" fontId="64" fillId="29" borderId="0" xfId="40" applyNumberFormat="1" applyFont="1" applyFill="1" applyBorder="1" applyAlignment="1">
      <alignment vertical="center" wrapText="1"/>
    </xf>
    <xf numFmtId="172" fontId="56" fillId="29" borderId="56" xfId="0" applyNumberFormat="1" applyFont="1" applyFill="1" applyBorder="1" applyAlignment="1" applyProtection="1">
      <alignment horizontal="center" vertical="center"/>
    </xf>
    <xf numFmtId="0" fontId="10" fillId="29" borderId="58" xfId="0" applyFont="1" applyFill="1" applyBorder="1" applyAlignment="1">
      <alignment horizontal="center" vertical="center" wrapText="1"/>
    </xf>
    <xf numFmtId="0" fontId="56" fillId="2" borderId="39" xfId="0" applyFont="1" applyFill="1" applyBorder="1" applyAlignment="1">
      <alignment horizontal="center" vertical="center" wrapText="1"/>
    </xf>
    <xf numFmtId="0" fontId="56" fillId="29" borderId="39" xfId="0" applyFont="1" applyFill="1" applyBorder="1" applyAlignment="1">
      <alignment horizontal="center" vertical="center" wrapText="1"/>
    </xf>
    <xf numFmtId="177" fontId="56" fillId="29" borderId="39" xfId="70" applyNumberFormat="1" applyFont="1" applyFill="1" applyBorder="1" applyAlignment="1" applyProtection="1">
      <alignment horizontal="center"/>
      <protection locked="0"/>
    </xf>
    <xf numFmtId="177" fontId="56" fillId="29" borderId="55" xfId="70" applyNumberFormat="1" applyFont="1" applyFill="1" applyBorder="1" applyAlignment="1" applyProtection="1">
      <alignment horizontal="center"/>
      <protection locked="0"/>
    </xf>
    <xf numFmtId="177" fontId="56" fillId="29" borderId="55" xfId="70" applyNumberFormat="1" applyFont="1" applyFill="1" applyBorder="1"/>
    <xf numFmtId="0" fontId="51" fillId="2" borderId="0" xfId="0" applyFont="1" applyFill="1" applyAlignment="1">
      <alignment vertical="center"/>
    </xf>
    <xf numFmtId="176" fontId="56" fillId="29" borderId="37" xfId="71" applyNumberFormat="1" applyFont="1" applyFill="1" applyBorder="1" applyAlignment="1" applyProtection="1">
      <alignment horizontal="left" vertical="center"/>
      <protection locked="0"/>
    </xf>
    <xf numFmtId="176" fontId="56" fillId="29" borderId="37" xfId="71" applyNumberFormat="1" applyFont="1" applyFill="1" applyBorder="1" applyProtection="1">
      <protection locked="0"/>
    </xf>
    <xf numFmtId="0" fontId="65" fillId="27" borderId="60" xfId="0" applyNumberFormat="1" applyFont="1" applyFill="1" applyBorder="1" applyAlignment="1">
      <alignment horizontal="center" vertical="center" wrapText="1"/>
    </xf>
    <xf numFmtId="0" fontId="39" fillId="2" borderId="0" xfId="0" applyFont="1" applyFill="1" applyAlignment="1">
      <alignment horizontal="center" wrapText="1"/>
    </xf>
    <xf numFmtId="175" fontId="64" fillId="29" borderId="0" xfId="40" applyNumberFormat="1" applyFont="1" applyFill="1" applyBorder="1" applyAlignment="1">
      <alignment vertical="center"/>
    </xf>
    <xf numFmtId="0" fontId="37" fillId="2" borderId="0" xfId="0" applyFont="1" applyFill="1" applyAlignment="1">
      <alignment horizontal="center"/>
    </xf>
    <xf numFmtId="0" fontId="7" fillId="2" borderId="0" xfId="0" applyFont="1" applyFill="1" applyAlignment="1">
      <alignment horizontal="center"/>
    </xf>
    <xf numFmtId="10" fontId="40" fillId="2" borderId="14" xfId="0" applyNumberFormat="1" applyFont="1" applyFill="1" applyBorder="1" applyAlignment="1" applyProtection="1">
      <alignment horizontal="center"/>
      <protection locked="0"/>
    </xf>
    <xf numFmtId="10" fontId="40" fillId="2" borderId="65" xfId="0" applyNumberFormat="1" applyFont="1" applyFill="1" applyBorder="1" applyAlignment="1" applyProtection="1">
      <alignment horizontal="center"/>
      <protection locked="0"/>
    </xf>
    <xf numFmtId="170" fontId="60" fillId="27" borderId="66" xfId="6" applyNumberFormat="1" applyFont="1" applyFill="1" applyBorder="1" applyAlignment="1">
      <alignment horizontal="center" vertical="center" wrapText="1"/>
    </xf>
    <xf numFmtId="170" fontId="60" fillId="27" borderId="49" xfId="6" applyNumberFormat="1" applyFont="1" applyFill="1" applyBorder="1" applyAlignment="1">
      <alignment horizontal="center" vertical="center" wrapText="1"/>
    </xf>
    <xf numFmtId="10" fontId="40" fillId="29" borderId="8" xfId="0" applyNumberFormat="1" applyFont="1" applyFill="1" applyBorder="1" applyAlignment="1" applyProtection="1">
      <alignment horizontal="center"/>
      <protection locked="0"/>
    </xf>
    <xf numFmtId="10" fontId="40" fillId="29" borderId="65" xfId="0" applyNumberFormat="1" applyFont="1" applyFill="1" applyBorder="1" applyAlignment="1" applyProtection="1">
      <alignment horizontal="center"/>
      <protection locked="0"/>
    </xf>
    <xf numFmtId="1" fontId="40" fillId="0" borderId="9" xfId="0" applyNumberFormat="1" applyFont="1" applyFill="1" applyBorder="1" applyAlignment="1">
      <alignment horizontal="center"/>
    </xf>
    <xf numFmtId="17" fontId="40" fillId="29" borderId="8" xfId="0" applyNumberFormat="1" applyFont="1" applyFill="1" applyBorder="1"/>
    <xf numFmtId="0" fontId="40" fillId="29" borderId="8" xfId="0" applyFont="1" applyFill="1" applyBorder="1"/>
    <xf numFmtId="169" fontId="40" fillId="29" borderId="8" xfId="0" applyNumberFormat="1" applyFont="1" applyFill="1" applyBorder="1" applyProtection="1">
      <protection locked="0"/>
    </xf>
    <xf numFmtId="169" fontId="15" fillId="29" borderId="8" xfId="70" applyNumberFormat="1" applyFont="1" applyFill="1" applyBorder="1" applyProtection="1"/>
    <xf numFmtId="0" fontId="55" fillId="2" borderId="0" xfId="73" applyFont="1" applyFill="1"/>
    <xf numFmtId="164" fontId="56" fillId="29" borderId="64" xfId="0" applyNumberFormat="1" applyFont="1" applyFill="1" applyBorder="1" applyAlignment="1">
      <alignment horizontal="center"/>
    </xf>
    <xf numFmtId="0" fontId="57" fillId="2" borderId="0" xfId="0" applyFont="1" applyFill="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xf>
    <xf numFmtId="175" fontId="64" fillId="29" borderId="0" xfId="40" applyNumberFormat="1" applyFont="1" applyFill="1" applyBorder="1" applyAlignment="1">
      <alignment horizontal="left" vertical="center"/>
    </xf>
    <xf numFmtId="0" fontId="56" fillId="2" borderId="0" xfId="0" applyFont="1" applyFill="1" applyBorder="1" applyAlignment="1">
      <alignment horizontal="left" vertical="center" wrapText="1"/>
    </xf>
    <xf numFmtId="0" fontId="65" fillId="27" borderId="50" xfId="0" applyFont="1" applyFill="1" applyBorder="1" applyAlignment="1">
      <alignment horizontal="center" vertical="center" wrapText="1"/>
    </xf>
    <xf numFmtId="0" fontId="65" fillId="27" borderId="37" xfId="0" applyFont="1" applyFill="1" applyBorder="1" applyAlignment="1">
      <alignment horizontal="center" vertical="center" wrapText="1"/>
    </xf>
    <xf numFmtId="0" fontId="39" fillId="2" borderId="0" xfId="0" applyFont="1" applyFill="1" applyAlignment="1">
      <alignment horizontal="center" wrapText="1"/>
    </xf>
    <xf numFmtId="164" fontId="56" fillId="29" borderId="39" xfId="0" applyNumberFormat="1" applyFont="1" applyFill="1" applyBorder="1" applyAlignment="1">
      <alignment horizontal="center"/>
    </xf>
    <xf numFmtId="164" fontId="56" fillId="29" borderId="53" xfId="0" applyNumberFormat="1" applyFont="1" applyFill="1" applyBorder="1" applyAlignment="1">
      <alignment horizontal="center"/>
    </xf>
    <xf numFmtId="0" fontId="9" fillId="2" borderId="0" xfId="0" applyFont="1" applyFill="1" applyAlignment="1">
      <alignment horizontal="left"/>
    </xf>
    <xf numFmtId="0" fontId="9" fillId="2" borderId="0" xfId="0" applyFont="1" applyFill="1" applyBorder="1" applyAlignment="1">
      <alignment horizontal="left"/>
    </xf>
    <xf numFmtId="0" fontId="5" fillId="2" borderId="0" xfId="0" applyFont="1" applyFill="1" applyAlignment="1">
      <alignment horizontal="left"/>
    </xf>
    <xf numFmtId="0" fontId="68" fillId="2" borderId="0" xfId="0" applyFont="1" applyFill="1" applyBorder="1" applyAlignment="1">
      <alignment horizontal="center" vertical="center" textRotation="90"/>
    </xf>
    <xf numFmtId="3" fontId="61" fillId="26" borderId="34" xfId="0" applyNumberFormat="1" applyFont="1" applyFill="1" applyBorder="1" applyAlignment="1">
      <alignment horizontal="center" vertical="center"/>
    </xf>
    <xf numFmtId="3" fontId="61" fillId="26" borderId="35" xfId="0" applyNumberFormat="1" applyFont="1" applyFill="1" applyBorder="1" applyAlignment="1">
      <alignment horizontal="center" vertical="center"/>
    </xf>
    <xf numFmtId="3" fontId="61" fillId="26" borderId="35" xfId="0" applyNumberFormat="1" applyFont="1" applyFill="1" applyBorder="1" applyAlignment="1">
      <alignment vertical="center"/>
    </xf>
    <xf numFmtId="3" fontId="61" fillId="26" borderId="36" xfId="0" applyNumberFormat="1" applyFont="1" applyFill="1" applyBorder="1" applyAlignment="1">
      <alignment vertical="center"/>
    </xf>
    <xf numFmtId="9" fontId="51" fillId="2" borderId="13" xfId="0" applyNumberFormat="1" applyFont="1" applyFill="1" applyBorder="1"/>
    <xf numFmtId="3" fontId="56" fillId="2" borderId="0" xfId="0" applyNumberFormat="1" applyFont="1" applyFill="1" applyBorder="1" applyAlignment="1">
      <alignment horizontal="center" vertical="center"/>
    </xf>
    <xf numFmtId="175" fontId="64" fillId="0" borderId="0" xfId="40" applyNumberFormat="1" applyFont="1" applyFill="1" applyBorder="1" applyAlignment="1">
      <alignment horizontal="center" vertical="center"/>
    </xf>
    <xf numFmtId="3" fontId="56" fillId="2" borderId="0" xfId="0" applyNumberFormat="1" applyFont="1" applyFill="1" applyBorder="1" applyAlignment="1">
      <alignment vertical="center" wrapText="1"/>
    </xf>
    <xf numFmtId="3" fontId="61" fillId="2" borderId="0" xfId="0" applyNumberFormat="1" applyFont="1" applyFill="1" applyBorder="1" applyAlignment="1">
      <alignment vertical="center" wrapText="1"/>
    </xf>
    <xf numFmtId="0" fontId="56" fillId="2" borderId="0" xfId="0" applyNumberFormat="1" applyFont="1" applyFill="1" applyBorder="1" applyAlignment="1">
      <alignment vertical="top" wrapText="1"/>
    </xf>
    <xf numFmtId="3" fontId="56" fillId="0" borderId="0" xfId="0" applyNumberFormat="1" applyFont="1" applyFill="1" applyBorder="1" applyAlignment="1">
      <alignment horizontal="center" vertical="center"/>
    </xf>
    <xf numFmtId="3" fontId="56" fillId="29" borderId="39" xfId="0" applyNumberFormat="1" applyFont="1" applyFill="1" applyBorder="1" applyAlignment="1">
      <alignment horizontal="center" vertical="center"/>
    </xf>
    <xf numFmtId="3" fontId="52"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xf>
    <xf numFmtId="3" fontId="10" fillId="2" borderId="0" xfId="0" applyNumberFormat="1" applyFont="1" applyFill="1" applyBorder="1" applyAlignment="1">
      <alignment horizontal="center" vertical="center"/>
    </xf>
    <xf numFmtId="3" fontId="51" fillId="2" borderId="0" xfId="0" applyNumberFormat="1" applyFont="1" applyFill="1" applyBorder="1" applyAlignment="1">
      <alignment horizontal="center" vertical="center"/>
    </xf>
    <xf numFmtId="168" fontId="56" fillId="2" borderId="0" xfId="0" applyNumberFormat="1" applyFont="1" applyFill="1" applyBorder="1" applyAlignment="1">
      <alignment horizontal="center" vertical="center"/>
    </xf>
    <xf numFmtId="171" fontId="10" fillId="2" borderId="0" xfId="0" applyNumberFormat="1" applyFont="1" applyFill="1" applyBorder="1" applyAlignment="1">
      <alignment horizontal="center" vertical="center"/>
    </xf>
    <xf numFmtId="3" fontId="52" fillId="2" borderId="39" xfId="0" applyNumberFormat="1" applyFont="1" applyFill="1" applyBorder="1" applyAlignment="1">
      <alignment horizontal="center" vertical="center"/>
    </xf>
    <xf numFmtId="3" fontId="10" fillId="2" borderId="39" xfId="0" applyNumberFormat="1" applyFont="1" applyFill="1" applyBorder="1" applyAlignment="1">
      <alignment horizontal="left" vertical="center"/>
    </xf>
    <xf numFmtId="3" fontId="10" fillId="2" borderId="39" xfId="0" applyNumberFormat="1" applyFont="1" applyFill="1" applyBorder="1" applyAlignment="1">
      <alignment horizontal="center" vertical="center"/>
    </xf>
    <xf numFmtId="3" fontId="10" fillId="29" borderId="39" xfId="0" applyNumberFormat="1" applyFont="1" applyFill="1" applyBorder="1" applyAlignment="1">
      <alignment horizontal="center" vertical="center"/>
    </xf>
    <xf numFmtId="0" fontId="6" fillId="2" borderId="0" xfId="0" applyFont="1" applyFill="1" applyBorder="1" applyAlignment="1">
      <alignment vertical="center" textRotation="90"/>
    </xf>
    <xf numFmtId="0" fontId="65" fillId="27" borderId="70" xfId="0" applyNumberFormat="1" applyFont="1" applyFill="1" applyBorder="1" applyAlignment="1">
      <alignment horizontal="center" vertical="center" wrapText="1"/>
    </xf>
    <xf numFmtId="0" fontId="65" fillId="27" borderId="75" xfId="0" applyNumberFormat="1" applyFont="1" applyFill="1" applyBorder="1" applyAlignment="1">
      <alignment horizontal="center" vertical="center" wrapText="1"/>
    </xf>
    <xf numFmtId="3" fontId="56" fillId="2" borderId="12" xfId="0" applyNumberFormat="1" applyFont="1" applyFill="1" applyBorder="1" applyAlignment="1">
      <alignment horizontal="center" vertical="center"/>
    </xf>
    <xf numFmtId="3" fontId="52" fillId="2" borderId="4" xfId="0" applyNumberFormat="1" applyFont="1" applyFill="1" applyBorder="1" applyAlignment="1">
      <alignment horizontal="center" vertical="center"/>
    </xf>
    <xf numFmtId="3" fontId="10" fillId="2" borderId="53" xfId="0" applyNumberFormat="1" applyFont="1" applyFill="1" applyBorder="1" applyAlignment="1">
      <alignment horizontal="center" vertical="center"/>
    </xf>
    <xf numFmtId="3" fontId="52" fillId="2" borderId="12" xfId="0" applyNumberFormat="1" applyFont="1" applyFill="1" applyBorder="1" applyAlignment="1">
      <alignment horizontal="center" vertical="center"/>
    </xf>
    <xf numFmtId="3" fontId="10" fillId="2" borderId="13" xfId="0" applyNumberFormat="1" applyFont="1" applyFill="1" applyBorder="1" applyAlignment="1">
      <alignment horizontal="center" vertical="center"/>
    </xf>
    <xf numFmtId="171" fontId="56" fillId="2" borderId="13" xfId="0" applyNumberFormat="1" applyFont="1" applyFill="1" applyBorder="1" applyAlignment="1">
      <alignment horizontal="center" vertical="center"/>
    </xf>
    <xf numFmtId="171" fontId="10" fillId="2" borderId="13" xfId="0" applyNumberFormat="1" applyFont="1" applyFill="1" applyBorder="1" applyAlignment="1">
      <alignment horizontal="center" vertical="center"/>
    </xf>
    <xf numFmtId="3" fontId="52" fillId="2" borderId="5" xfId="0" applyNumberFormat="1" applyFont="1" applyFill="1" applyBorder="1" applyAlignment="1">
      <alignment horizontal="center" vertical="center"/>
    </xf>
    <xf numFmtId="3" fontId="10" fillId="2" borderId="6" xfId="0" applyNumberFormat="1" applyFont="1" applyFill="1" applyBorder="1" applyAlignment="1">
      <alignment horizontal="center" vertical="center"/>
    </xf>
    <xf numFmtId="3" fontId="52" fillId="2" borderId="6" xfId="0" applyNumberFormat="1" applyFont="1" applyFill="1" applyBorder="1" applyAlignment="1">
      <alignment horizontal="center" vertical="center"/>
    </xf>
    <xf numFmtId="3" fontId="10" fillId="2" borderId="7" xfId="0" applyNumberFormat="1" applyFont="1" applyFill="1" applyBorder="1" applyAlignment="1">
      <alignment horizontal="center" vertical="center"/>
    </xf>
    <xf numFmtId="0" fontId="65" fillId="27" borderId="76" xfId="0" applyFont="1" applyFill="1" applyBorder="1" applyAlignment="1">
      <alignment horizontal="left" vertical="center" wrapText="1"/>
    </xf>
    <xf numFmtId="0" fontId="65" fillId="27" borderId="79" xfId="0" applyFont="1" applyFill="1" applyBorder="1" applyAlignment="1">
      <alignment horizontal="center" vertical="center" wrapText="1"/>
    </xf>
    <xf numFmtId="0" fontId="65" fillId="27" borderId="80" xfId="0" applyFont="1" applyFill="1" applyBorder="1" applyAlignment="1">
      <alignment horizontal="center" vertical="center" wrapText="1"/>
    </xf>
    <xf numFmtId="177" fontId="56" fillId="2" borderId="0" xfId="70" applyNumberFormat="1" applyFont="1" applyFill="1" applyBorder="1" applyAlignment="1" applyProtection="1">
      <alignment horizontal="center"/>
    </xf>
    <xf numFmtId="0" fontId="56" fillId="2" borderId="0" xfId="0" applyFont="1" applyFill="1" applyBorder="1" applyAlignment="1">
      <alignment horizontal="center"/>
    </xf>
    <xf numFmtId="0" fontId="56" fillId="2" borderId="12" xfId="0" applyFont="1" applyFill="1" applyBorder="1" applyAlignment="1">
      <alignment horizontal="left" vertical="center" wrapText="1"/>
    </xf>
    <xf numFmtId="177" fontId="56" fillId="2" borderId="13" xfId="70" applyNumberFormat="1" applyFont="1" applyFill="1" applyBorder="1" applyAlignment="1" applyProtection="1">
      <alignment horizontal="center"/>
    </xf>
    <xf numFmtId="0" fontId="56" fillId="2" borderId="5" xfId="0" applyFont="1" applyFill="1" applyBorder="1" applyAlignment="1">
      <alignment horizontal="left" vertical="center" wrapText="1"/>
    </xf>
    <xf numFmtId="177" fontId="56" fillId="2" borderId="6" xfId="70" applyNumberFormat="1" applyFont="1" applyFill="1" applyBorder="1" applyAlignment="1" applyProtection="1">
      <alignment horizontal="center"/>
    </xf>
    <xf numFmtId="177" fontId="56" fillId="2" borderId="7" xfId="70" applyNumberFormat="1" applyFont="1" applyFill="1" applyBorder="1" applyAlignment="1" applyProtection="1">
      <alignment horizontal="center"/>
    </xf>
    <xf numFmtId="9" fontId="51" fillId="29" borderId="0" xfId="0" applyNumberFormat="1" applyFont="1" applyFill="1" applyBorder="1" applyAlignment="1">
      <alignment horizontal="center" vertical="center"/>
    </xf>
    <xf numFmtId="9" fontId="51" fillId="29" borderId="0" xfId="0" applyNumberFormat="1" applyFont="1" applyFill="1" applyBorder="1"/>
    <xf numFmtId="9" fontId="51" fillId="29" borderId="0" xfId="0" applyNumberFormat="1" applyFont="1" applyFill="1" applyBorder="1" applyAlignment="1">
      <alignment horizontal="center"/>
    </xf>
    <xf numFmtId="3" fontId="56" fillId="29" borderId="40" xfId="0" applyNumberFormat="1" applyFont="1" applyFill="1" applyBorder="1" applyAlignment="1">
      <alignment horizontal="center" vertical="center"/>
    </xf>
    <xf numFmtId="3" fontId="56" fillId="29" borderId="81" xfId="0" applyNumberFormat="1" applyFont="1" applyFill="1" applyBorder="1" applyAlignment="1">
      <alignment horizontal="center" vertical="center"/>
    </xf>
    <xf numFmtId="0" fontId="15" fillId="2" borderId="0" xfId="53" applyFont="1" applyFill="1" applyBorder="1" applyAlignment="1"/>
    <xf numFmtId="0" fontId="15" fillId="2" borderId="0" xfId="53" applyFont="1" applyFill="1" applyBorder="1"/>
    <xf numFmtId="2" fontId="15" fillId="2" borderId="0" xfId="53" applyNumberFormat="1" applyFont="1" applyFill="1" applyBorder="1" applyAlignment="1">
      <alignment horizontal="center"/>
    </xf>
    <xf numFmtId="0" fontId="55" fillId="2" borderId="11" xfId="73" applyFont="1" applyFill="1" applyBorder="1" applyAlignment="1">
      <alignment vertical="center"/>
    </xf>
    <xf numFmtId="0" fontId="65" fillId="27" borderId="2" xfId="0" applyFont="1" applyFill="1" applyBorder="1" applyAlignment="1">
      <alignment horizontal="center" wrapText="1"/>
    </xf>
    <xf numFmtId="0" fontId="9" fillId="2" borderId="0" xfId="0" applyFont="1" applyFill="1" applyAlignment="1">
      <alignment horizontal="center"/>
    </xf>
    <xf numFmtId="0" fontId="79" fillId="2" borderId="0" xfId="0" applyFont="1" applyFill="1"/>
    <xf numFmtId="0" fontId="0" fillId="2" borderId="0" xfId="0" applyFill="1" applyAlignment="1">
      <alignment vertical="top"/>
    </xf>
    <xf numFmtId="0" fontId="63" fillId="2" borderId="0" xfId="0" applyFont="1" applyFill="1" applyAlignment="1">
      <alignment horizontal="left" vertical="top"/>
    </xf>
    <xf numFmtId="0" fontId="63" fillId="2" borderId="0" xfId="0" applyFont="1" applyFill="1" applyAlignment="1">
      <alignment vertical="top"/>
    </xf>
    <xf numFmtId="0" fontId="39" fillId="2" borderId="0" xfId="0" applyFont="1" applyFill="1" applyAlignment="1">
      <alignment horizontal="center" vertical="top"/>
    </xf>
    <xf numFmtId="0" fontId="65" fillId="27" borderId="10" xfId="0" applyFont="1" applyFill="1" applyBorder="1" applyAlignment="1">
      <alignment vertical="center" wrapText="1"/>
    </xf>
    <xf numFmtId="0" fontId="65" fillId="27" borderId="66" xfId="0" applyFont="1" applyFill="1" applyBorder="1" applyAlignment="1">
      <alignment horizontal="center" vertical="center" wrapText="1"/>
    </xf>
    <xf numFmtId="0" fontId="65" fillId="27" borderId="10" xfId="53" applyFont="1" applyFill="1" applyBorder="1" applyAlignment="1">
      <alignment vertical="center"/>
    </xf>
    <xf numFmtId="0" fontId="65" fillId="27" borderId="66" xfId="53" applyFont="1" applyFill="1" applyBorder="1" applyAlignment="1">
      <alignment horizontal="center" vertical="center"/>
    </xf>
    <xf numFmtId="175" fontId="64" fillId="2" borderId="0" xfId="40" applyNumberFormat="1" applyFont="1" applyFill="1" applyBorder="1" applyAlignment="1">
      <alignment vertical="center"/>
    </xf>
    <xf numFmtId="3" fontId="10" fillId="2" borderId="35" xfId="0" applyNumberFormat="1" applyFont="1" applyFill="1" applyBorder="1" applyAlignment="1">
      <alignment horizontal="center" vertical="center" wrapText="1"/>
    </xf>
    <xf numFmtId="0" fontId="52" fillId="2" borderId="12" xfId="0" applyFont="1" applyFill="1" applyBorder="1" applyAlignment="1">
      <alignment horizontal="left"/>
    </xf>
    <xf numFmtId="3" fontId="61" fillId="2" borderId="0" xfId="0" applyNumberFormat="1" applyFont="1" applyFill="1" applyBorder="1" applyAlignment="1">
      <alignment horizontal="center" vertical="center" wrapText="1"/>
    </xf>
    <xf numFmtId="0" fontId="51" fillId="29" borderId="0" xfId="0" applyFont="1" applyFill="1" applyBorder="1"/>
    <xf numFmtId="38" fontId="56" fillId="29" borderId="0" xfId="0" applyNumberFormat="1" applyFont="1" applyFill="1" applyBorder="1" applyAlignment="1">
      <alignment horizontal="center"/>
    </xf>
    <xf numFmtId="0" fontId="51" fillId="29" borderId="6" xfId="0" applyFont="1" applyFill="1" applyBorder="1" applyAlignment="1">
      <alignment vertical="top"/>
    </xf>
    <xf numFmtId="0" fontId="51" fillId="2" borderId="0" xfId="0" applyFont="1" applyFill="1" applyBorder="1" applyAlignment="1">
      <alignment horizontal="left" vertical="top"/>
    </xf>
    <xf numFmtId="0" fontId="51" fillId="2" borderId="0" xfId="0" applyFont="1" applyFill="1" applyBorder="1" applyAlignment="1">
      <alignment vertical="top"/>
    </xf>
    <xf numFmtId="173" fontId="56" fillId="2" borderId="0" xfId="0" applyNumberFormat="1" applyFont="1" applyFill="1" applyBorder="1" applyAlignment="1">
      <alignment horizontal="center"/>
    </xf>
    <xf numFmtId="3" fontId="51" fillId="2" borderId="0" xfId="0" applyNumberFormat="1" applyFont="1" applyFill="1" applyBorder="1" applyAlignment="1">
      <alignment horizontal="right"/>
    </xf>
    <xf numFmtId="10" fontId="51" fillId="2" borderId="0" xfId="72" applyNumberFormat="1" applyFont="1" applyFill="1" applyBorder="1" applyAlignment="1">
      <alignment horizontal="center"/>
    </xf>
    <xf numFmtId="38" fontId="51" fillId="2" borderId="0" xfId="71" applyNumberFormat="1" applyFont="1" applyFill="1" applyBorder="1" applyAlignment="1">
      <alignment horizontal="center"/>
    </xf>
    <xf numFmtId="38" fontId="51" fillId="2" borderId="0" xfId="0" applyNumberFormat="1" applyFont="1" applyFill="1" applyBorder="1" applyAlignment="1">
      <alignment horizontal="center"/>
    </xf>
    <xf numFmtId="0" fontId="51" fillId="29" borderId="6" xfId="0" applyFont="1" applyFill="1" applyBorder="1"/>
    <xf numFmtId="0" fontId="56" fillId="29" borderId="6" xfId="0" applyFont="1" applyFill="1" applyBorder="1"/>
    <xf numFmtId="0" fontId="52" fillId="2" borderId="12" xfId="0" applyFont="1" applyFill="1" applyBorder="1"/>
    <xf numFmtId="0" fontId="51" fillId="2" borderId="6" xfId="0" applyFont="1" applyFill="1" applyBorder="1"/>
    <xf numFmtId="0" fontId="79" fillId="2" borderId="0" xfId="0" applyFont="1" applyFill="1" applyBorder="1"/>
    <xf numFmtId="0" fontId="10" fillId="2" borderId="0" xfId="0" applyFont="1" applyFill="1" applyBorder="1"/>
    <xf numFmtId="0" fontId="10" fillId="2" borderId="0" xfId="0" applyFont="1" applyFill="1"/>
    <xf numFmtId="0" fontId="52" fillId="2" borderId="0" xfId="0" applyFont="1" applyFill="1"/>
    <xf numFmtId="0" fontId="52" fillId="2" borderId="0" xfId="0" applyFont="1" applyFill="1" applyBorder="1"/>
    <xf numFmtId="0" fontId="0" fillId="2" borderId="0" xfId="0" applyFont="1" applyFill="1" applyBorder="1" applyAlignment="1">
      <alignment horizontal="left"/>
    </xf>
    <xf numFmtId="0" fontId="10" fillId="2" borderId="34" xfId="0" applyNumberFormat="1" applyFont="1" applyFill="1" applyBorder="1" applyAlignment="1">
      <alignment horizontal="center" vertical="center" wrapText="1"/>
    </xf>
    <xf numFmtId="0" fontId="10" fillId="2" borderId="36" xfId="0" applyFont="1" applyFill="1" applyBorder="1" applyAlignment="1">
      <alignment horizontal="center" vertical="center" wrapText="1"/>
    </xf>
    <xf numFmtId="38" fontId="10" fillId="2" borderId="0" xfId="71" applyNumberFormat="1" applyFont="1" applyFill="1" applyBorder="1" applyAlignment="1">
      <alignment horizontal="center" vertical="center"/>
    </xf>
    <xf numFmtId="0" fontId="61" fillId="2" borderId="13" xfId="0" applyFont="1" applyFill="1" applyBorder="1" applyAlignment="1">
      <alignment horizontal="center" vertical="center" wrapText="1"/>
    </xf>
    <xf numFmtId="38" fontId="56" fillId="2" borderId="0" xfId="71" applyNumberFormat="1" applyFont="1" applyFill="1" applyBorder="1" applyAlignment="1">
      <alignment horizontal="center" vertical="center"/>
    </xf>
    <xf numFmtId="38" fontId="56" fillId="29" borderId="0" xfId="71" applyNumberFormat="1" applyFont="1" applyFill="1" applyBorder="1" applyAlignment="1">
      <alignment horizontal="center" vertical="center"/>
    </xf>
    <xf numFmtId="0" fontId="56" fillId="2" borderId="12" xfId="0" applyFont="1" applyFill="1" applyBorder="1" applyAlignment="1">
      <alignment horizontal="left" vertical="center"/>
    </xf>
    <xf numFmtId="0" fontId="51" fillId="2" borderId="0" xfId="0" applyFont="1" applyFill="1" applyBorder="1" applyAlignment="1">
      <alignment horizontal="center"/>
    </xf>
    <xf numFmtId="38" fontId="51" fillId="2" borderId="13" xfId="0" applyNumberFormat="1" applyFont="1" applyFill="1" applyBorder="1" applyAlignment="1">
      <alignment horizontal="center"/>
    </xf>
    <xf numFmtId="38" fontId="56" fillId="2" borderId="0" xfId="0" applyNumberFormat="1" applyFont="1" applyFill="1" applyBorder="1" applyAlignment="1">
      <alignment horizontal="center" vertical="center"/>
    </xf>
    <xf numFmtId="0" fontId="61" fillId="2" borderId="0" xfId="0" applyFont="1" applyFill="1" applyBorder="1" applyAlignment="1">
      <alignment horizontal="center" vertical="center" wrapText="1"/>
    </xf>
    <xf numFmtId="0" fontId="56" fillId="2" borderId="0" xfId="0" applyFont="1" applyFill="1" applyBorder="1" applyAlignment="1">
      <alignment horizontal="left" vertical="center"/>
    </xf>
    <xf numFmtId="0" fontId="56" fillId="2" borderId="0" xfId="0" applyFont="1" applyFill="1" applyBorder="1" applyAlignment="1">
      <alignment horizontal="right" vertical="center"/>
    </xf>
    <xf numFmtId="0" fontId="51" fillId="2" borderId="13" xfId="0" applyFont="1" applyFill="1" applyBorder="1"/>
    <xf numFmtId="38" fontId="56" fillId="2" borderId="13" xfId="71" applyNumberFormat="1" applyFont="1" applyFill="1" applyBorder="1" applyAlignment="1">
      <alignment horizontal="center" vertical="center"/>
    </xf>
    <xf numFmtId="3" fontId="52" fillId="2" borderId="47" xfId="0" applyNumberFormat="1" applyFont="1" applyFill="1" applyBorder="1" applyAlignment="1">
      <alignment horizontal="center" vertical="center"/>
    </xf>
    <xf numFmtId="3" fontId="10" fillId="2" borderId="46" xfId="0" applyNumberFormat="1" applyFont="1" applyFill="1" applyBorder="1" applyAlignment="1">
      <alignment horizontal="center" vertical="center"/>
    </xf>
    <xf numFmtId="3" fontId="52" fillId="2" borderId="46" xfId="0" applyNumberFormat="1" applyFont="1" applyFill="1" applyBorder="1" applyAlignment="1">
      <alignment horizontal="center" vertical="center"/>
    </xf>
    <xf numFmtId="3" fontId="10" fillId="29" borderId="46" xfId="0" applyNumberFormat="1" applyFont="1" applyFill="1" applyBorder="1" applyAlignment="1">
      <alignment horizontal="center" vertical="center"/>
    </xf>
    <xf numFmtId="3" fontId="10" fillId="0" borderId="46" xfId="0" applyNumberFormat="1" applyFont="1" applyFill="1" applyBorder="1" applyAlignment="1">
      <alignment horizontal="center" vertical="center"/>
    </xf>
    <xf numFmtId="3" fontId="10" fillId="2" borderId="48" xfId="0" applyNumberFormat="1" applyFont="1" applyFill="1" applyBorder="1" applyAlignment="1">
      <alignment horizontal="center" vertical="center"/>
    </xf>
    <xf numFmtId="0" fontId="80" fillId="2" borderId="0" xfId="0" applyFont="1" applyFill="1" applyAlignment="1">
      <alignment vertical="center"/>
    </xf>
    <xf numFmtId="0" fontId="14" fillId="2" borderId="0" xfId="0" applyFont="1" applyFill="1" applyAlignment="1">
      <alignment vertical="center"/>
    </xf>
    <xf numFmtId="0" fontId="52" fillId="2" borderId="0" xfId="0" applyFont="1" applyFill="1" applyAlignment="1">
      <alignment horizontal="left" wrapText="1"/>
    </xf>
    <xf numFmtId="0" fontId="52" fillId="2" borderId="0" xfId="0" applyFont="1" applyFill="1" applyAlignment="1">
      <alignment horizontal="left"/>
    </xf>
    <xf numFmtId="0" fontId="3" fillId="2" borderId="0" xfId="0" applyFont="1" applyFill="1" applyAlignment="1">
      <alignment vertical="center"/>
    </xf>
    <xf numFmtId="38" fontId="51" fillId="2" borderId="37" xfId="0" applyNumberFormat="1" applyFont="1" applyFill="1" applyBorder="1" applyAlignment="1">
      <alignment horizontal="center"/>
    </xf>
    <xf numFmtId="177" fontId="56" fillId="2" borderId="0" xfId="70" applyNumberFormat="1" applyFont="1" applyFill="1" applyBorder="1" applyAlignment="1" applyProtection="1">
      <alignment horizontal="center"/>
      <protection locked="0"/>
    </xf>
    <xf numFmtId="177" fontId="56" fillId="2" borderId="0" xfId="70" applyNumberFormat="1" applyFont="1" applyFill="1" applyBorder="1"/>
    <xf numFmtId="0" fontId="10" fillId="2" borderId="0" xfId="0" applyFont="1" applyFill="1" applyAlignment="1">
      <alignment horizontal="left" vertical="center" wrapText="1"/>
    </xf>
    <xf numFmtId="0" fontId="78" fillId="2" borderId="0" xfId="0" applyFont="1" applyFill="1" applyBorder="1" applyAlignment="1">
      <alignment vertical="center"/>
    </xf>
    <xf numFmtId="0" fontId="10" fillId="2" borderId="0" xfId="0" applyFont="1" applyFill="1" applyBorder="1" applyAlignment="1">
      <alignment horizontal="left" vertical="top"/>
    </xf>
    <xf numFmtId="0" fontId="10" fillId="2" borderId="0" xfId="0" applyFont="1" applyFill="1" applyBorder="1" applyAlignment="1"/>
    <xf numFmtId="0" fontId="81" fillId="2" borderId="0" xfId="0" applyFont="1" applyFill="1" applyBorder="1" applyAlignment="1">
      <alignment horizontal="center"/>
    </xf>
    <xf numFmtId="0" fontId="56" fillId="2" borderId="0" xfId="0" applyFont="1" applyFill="1" applyBorder="1" applyAlignment="1">
      <alignment horizontal="left"/>
    </xf>
    <xf numFmtId="0" fontId="56" fillId="2" borderId="0" xfId="0" applyFont="1" applyFill="1" applyAlignment="1">
      <alignment horizontal="center"/>
    </xf>
    <xf numFmtId="3" fontId="61" fillId="26" borderId="49" xfId="0" applyNumberFormat="1" applyFont="1" applyFill="1" applyBorder="1" applyAlignment="1">
      <alignment horizontal="center" vertical="center"/>
    </xf>
    <xf numFmtId="3" fontId="61" fillId="26" borderId="50" xfId="0" applyNumberFormat="1" applyFont="1" applyFill="1" applyBorder="1" applyAlignment="1">
      <alignment horizontal="center" vertical="center"/>
    </xf>
    <xf numFmtId="3" fontId="61" fillId="26" borderId="50" xfId="0" applyNumberFormat="1" applyFont="1" applyFill="1" applyBorder="1" applyAlignment="1">
      <alignment vertical="center"/>
    </xf>
    <xf numFmtId="3" fontId="61" fillId="26" borderId="41" xfId="0" applyNumberFormat="1" applyFont="1" applyFill="1" applyBorder="1" applyAlignment="1">
      <alignment vertical="center"/>
    </xf>
    <xf numFmtId="171" fontId="56"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wrapText="1"/>
    </xf>
    <xf numFmtId="0" fontId="65" fillId="27" borderId="85" xfId="0" applyNumberFormat="1" applyFont="1" applyFill="1" applyBorder="1" applyAlignment="1">
      <alignment horizontal="center" vertical="center" wrapText="1"/>
    </xf>
    <xf numFmtId="3" fontId="51" fillId="2" borderId="12" xfId="0" applyNumberFormat="1" applyFont="1" applyFill="1" applyBorder="1" applyAlignment="1">
      <alignment horizontal="center" vertical="center"/>
    </xf>
    <xf numFmtId="3" fontId="56" fillId="2" borderId="13" xfId="0" applyNumberFormat="1" applyFont="1" applyFill="1" applyBorder="1" applyAlignment="1">
      <alignment horizontal="center" vertical="center"/>
    </xf>
    <xf numFmtId="3" fontId="61" fillId="26" borderId="12" xfId="0" applyNumberFormat="1" applyFont="1" applyFill="1" applyBorder="1" applyAlignment="1">
      <alignment horizontal="center" vertical="center"/>
    </xf>
    <xf numFmtId="3" fontId="61" fillId="26" borderId="0" xfId="0" applyNumberFormat="1" applyFont="1" applyFill="1" applyBorder="1" applyAlignment="1">
      <alignment horizontal="center" vertical="center"/>
    </xf>
    <xf numFmtId="3" fontId="61" fillId="26" borderId="0" xfId="0" applyNumberFormat="1" applyFont="1" applyFill="1" applyBorder="1" applyAlignment="1">
      <alignment vertical="center"/>
    </xf>
    <xf numFmtId="0" fontId="56" fillId="2" borderId="0" xfId="0" applyFont="1" applyFill="1" applyAlignment="1">
      <alignment horizontal="left"/>
    </xf>
    <xf numFmtId="0" fontId="81" fillId="2" borderId="0" xfId="0" applyFont="1" applyFill="1" applyAlignment="1">
      <alignment vertical="center"/>
    </xf>
    <xf numFmtId="0" fontId="82" fillId="2" borderId="0" xfId="0" applyFont="1" applyFill="1" applyAlignment="1">
      <alignment vertical="center"/>
    </xf>
    <xf numFmtId="0" fontId="83" fillId="2" borderId="0" xfId="0" applyFont="1" applyFill="1" applyAlignment="1">
      <alignment horizontal="center" wrapText="1"/>
    </xf>
    <xf numFmtId="0" fontId="83" fillId="2" borderId="0" xfId="0" applyFont="1" applyFill="1" applyAlignment="1">
      <alignment horizontal="left" wrapText="1"/>
    </xf>
    <xf numFmtId="0" fontId="10" fillId="2" borderId="0" xfId="0" applyFont="1" applyFill="1" applyBorder="1" applyAlignment="1">
      <alignment horizontal="left"/>
    </xf>
    <xf numFmtId="0" fontId="83" fillId="2" borderId="0" xfId="0" applyFont="1" applyFill="1" applyAlignment="1">
      <alignment horizontal="center"/>
    </xf>
    <xf numFmtId="0" fontId="83" fillId="2" borderId="0" xfId="0" applyFont="1" applyFill="1" applyAlignment="1">
      <alignment horizontal="center" vertical="center"/>
    </xf>
    <xf numFmtId="0" fontId="44" fillId="2" borderId="0" xfId="0" applyFont="1" applyFill="1" applyBorder="1" applyAlignment="1">
      <alignment vertical="top"/>
    </xf>
    <xf numFmtId="0" fontId="51" fillId="2" borderId="5" xfId="0" applyFont="1" applyFill="1" applyBorder="1" applyAlignment="1">
      <alignment horizontal="center"/>
    </xf>
    <xf numFmtId="0" fontId="61" fillId="2" borderId="6" xfId="0" applyFont="1" applyFill="1" applyBorder="1" applyAlignment="1">
      <alignment horizontal="center"/>
    </xf>
    <xf numFmtId="39" fontId="52" fillId="2" borderId="6" xfId="0" applyNumberFormat="1" applyFont="1" applyFill="1" applyBorder="1" applyAlignment="1">
      <alignment horizontal="center"/>
    </xf>
    <xf numFmtId="0" fontId="51" fillId="2" borderId="7" xfId="0" applyFont="1" applyFill="1" applyBorder="1"/>
    <xf numFmtId="3" fontId="56" fillId="29" borderId="86" xfId="0" applyNumberFormat="1" applyFont="1" applyFill="1" applyBorder="1" applyAlignment="1">
      <alignment horizontal="center" vertical="center"/>
    </xf>
    <xf numFmtId="9" fontId="72" fillId="29" borderId="0" xfId="0" applyNumberFormat="1" applyFont="1" applyFill="1" applyBorder="1" applyAlignment="1">
      <alignment horizontal="center" vertical="center"/>
    </xf>
    <xf numFmtId="3" fontId="56" fillId="29" borderId="87" xfId="0" applyNumberFormat="1" applyFont="1" applyFill="1" applyBorder="1" applyAlignment="1">
      <alignment horizontal="center" vertical="center"/>
    </xf>
    <xf numFmtId="0" fontId="0" fillId="2" borderId="12"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175" fontId="64" fillId="29" borderId="29" xfId="40" applyNumberFormat="1" applyFont="1" applyFill="1" applyBorder="1" applyAlignment="1">
      <alignment horizontal="center" vertical="center" wrapText="1"/>
    </xf>
    <xf numFmtId="0" fontId="56" fillId="2" borderId="0" xfId="0" applyFont="1" applyFill="1" applyBorder="1" applyAlignment="1">
      <alignment vertical="top"/>
    </xf>
    <xf numFmtId="0" fontId="56" fillId="2" borderId="0" xfId="0" applyFont="1" applyFill="1" applyBorder="1" applyAlignment="1">
      <alignment vertical="top" wrapText="1"/>
    </xf>
    <xf numFmtId="0" fontId="51" fillId="2" borderId="0" xfId="0" applyFont="1" applyFill="1" applyBorder="1" applyAlignment="1">
      <alignment horizontal="center" wrapText="1"/>
    </xf>
    <xf numFmtId="3" fontId="56" fillId="29" borderId="0" xfId="0" applyNumberFormat="1" applyFont="1" applyFill="1" applyBorder="1" applyAlignment="1">
      <alignment vertical="top"/>
    </xf>
    <xf numFmtId="0" fontId="56" fillId="2" borderId="0" xfId="0" applyFont="1" applyFill="1" applyBorder="1" applyAlignment="1">
      <alignment horizontal="center" vertical="top" wrapText="1"/>
    </xf>
    <xf numFmtId="0" fontId="76" fillId="2" borderId="0" xfId="0" applyFont="1" applyFill="1" applyBorder="1" applyAlignment="1">
      <alignment vertical="top" wrapText="1"/>
    </xf>
    <xf numFmtId="0" fontId="76" fillId="2" borderId="0" xfId="0" applyFont="1" applyFill="1" applyBorder="1" applyAlignment="1">
      <alignment horizontal="center" vertical="top" wrapText="1"/>
    </xf>
    <xf numFmtId="0" fontId="76" fillId="29" borderId="0" xfId="0" applyFont="1" applyFill="1" applyBorder="1" applyAlignment="1">
      <alignment vertical="top"/>
    </xf>
    <xf numFmtId="0" fontId="56" fillId="29" borderId="0" xfId="0" applyFont="1" applyFill="1" applyBorder="1" applyAlignment="1">
      <alignment vertical="top"/>
    </xf>
    <xf numFmtId="3" fontId="56" fillId="29" borderId="0" xfId="0" applyNumberFormat="1" applyFont="1" applyFill="1" applyBorder="1" applyAlignment="1">
      <alignment horizontal="center" vertical="top"/>
    </xf>
    <xf numFmtId="0" fontId="51" fillId="2" borderId="12" xfId="0" applyFont="1" applyFill="1" applyBorder="1"/>
    <xf numFmtId="0" fontId="51" fillId="2" borderId="5" xfId="0" applyFont="1" applyFill="1" applyBorder="1"/>
    <xf numFmtId="0" fontId="51" fillId="2" borderId="6" xfId="0" applyFont="1" applyFill="1" applyBorder="1" applyAlignment="1">
      <alignment horizontal="center" wrapText="1"/>
    </xf>
    <xf numFmtId="9" fontId="56" fillId="29" borderId="0" xfId="72" applyFont="1" applyFill="1" applyBorder="1" applyAlignment="1">
      <alignment vertical="top"/>
    </xf>
    <xf numFmtId="0" fontId="65" fillId="27" borderId="70" xfId="0" applyFont="1" applyFill="1" applyBorder="1" applyAlignment="1">
      <alignment horizontal="center" vertical="center" wrapText="1"/>
    </xf>
    <xf numFmtId="170" fontId="65" fillId="27" borderId="85" xfId="6" applyNumberFormat="1" applyFont="1" applyFill="1" applyBorder="1" applyAlignment="1">
      <alignment horizontal="center" vertical="center" wrapText="1"/>
    </xf>
    <xf numFmtId="0" fontId="56" fillId="2" borderId="12" xfId="0" applyFont="1" applyFill="1" applyBorder="1" applyAlignment="1">
      <alignment vertical="top"/>
    </xf>
    <xf numFmtId="9" fontId="56" fillId="29" borderId="13" xfId="72" applyFont="1" applyFill="1" applyBorder="1" applyAlignment="1">
      <alignment vertical="top"/>
    </xf>
    <xf numFmtId="3" fontId="61" fillId="2" borderId="12" xfId="0" applyNumberFormat="1" applyFont="1" applyFill="1" applyBorder="1" applyAlignment="1"/>
    <xf numFmtId="0" fontId="77" fillId="2" borderId="12" xfId="0" applyFont="1" applyFill="1" applyBorder="1" applyAlignment="1">
      <alignment vertical="top"/>
    </xf>
    <xf numFmtId="0" fontId="75" fillId="2" borderId="12" xfId="0" applyFont="1" applyFill="1" applyBorder="1" applyAlignment="1">
      <alignment vertical="top"/>
    </xf>
    <xf numFmtId="9" fontId="56" fillId="2" borderId="13" xfId="72" applyFont="1" applyFill="1" applyBorder="1" applyAlignment="1">
      <alignment vertical="top"/>
    </xf>
    <xf numFmtId="0" fontId="65" fillId="27" borderId="0" xfId="0" quotePrefix="1" applyFont="1" applyFill="1" applyBorder="1" applyAlignment="1">
      <alignment horizontal="center" vertical="center"/>
    </xf>
    <xf numFmtId="170" fontId="65"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0" fontId="65" fillId="27" borderId="13" xfId="6" applyNumberFormat="1" applyFont="1" applyFill="1" applyBorder="1" applyAlignment="1">
      <alignment horizontal="center" vertical="center" wrapText="1"/>
    </xf>
    <xf numFmtId="0" fontId="39" fillId="2" borderId="0" xfId="0" applyFont="1" applyFill="1" applyBorder="1" applyAlignment="1">
      <alignment horizontal="center" wrapText="1"/>
    </xf>
    <xf numFmtId="0" fontId="83" fillId="2" borderId="0" xfId="0" applyFont="1" applyFill="1" applyBorder="1" applyAlignment="1">
      <alignment horizontal="center" wrapText="1"/>
    </xf>
    <xf numFmtId="0" fontId="83" fillId="2" borderId="0" xfId="0" applyFont="1" applyFill="1" applyBorder="1" applyAlignment="1">
      <alignment horizontal="left" wrapText="1"/>
    </xf>
    <xf numFmtId="0" fontId="78" fillId="2" borderId="0" xfId="0" applyFont="1" applyFill="1" applyBorder="1" applyAlignment="1">
      <alignment vertical="top"/>
    </xf>
    <xf numFmtId="0" fontId="50" fillId="2" borderId="0" xfId="0" applyFont="1" applyFill="1" applyBorder="1" applyAlignment="1">
      <alignment vertical="top" wrapText="1"/>
    </xf>
    <xf numFmtId="0" fontId="50" fillId="2" borderId="0" xfId="0" applyFont="1" applyFill="1" applyBorder="1" applyAlignment="1">
      <alignment horizontal="center" vertical="top" wrapText="1"/>
    </xf>
    <xf numFmtId="0" fontId="39" fillId="2" borderId="0" xfId="0" applyFont="1" applyFill="1" applyBorder="1" applyAlignment="1">
      <alignment horizontal="left" wrapText="1"/>
    </xf>
    <xf numFmtId="0" fontId="50" fillId="2" borderId="0" xfId="0" applyFont="1" applyFill="1" applyBorder="1" applyAlignment="1">
      <alignment vertical="top"/>
    </xf>
    <xf numFmtId="0" fontId="9" fillId="2" borderId="0" xfId="0" applyFont="1" applyFill="1" applyBorder="1" applyAlignment="1">
      <alignment vertical="top"/>
    </xf>
    <xf numFmtId="0" fontId="0" fillId="29" borderId="0" xfId="0" applyFont="1" applyFill="1" applyBorder="1" applyAlignment="1">
      <alignment horizontal="left"/>
    </xf>
    <xf numFmtId="3" fontId="10" fillId="2" borderId="6" xfId="0" applyNumberFormat="1" applyFont="1" applyFill="1" applyBorder="1" applyAlignment="1">
      <alignment horizontal="left" vertical="center" wrapText="1"/>
    </xf>
    <xf numFmtId="171" fontId="10" fillId="2" borderId="6" xfId="0" applyNumberFormat="1" applyFont="1" applyFill="1" applyBorder="1" applyAlignment="1">
      <alignment horizontal="center" vertical="center"/>
    </xf>
    <xf numFmtId="171" fontId="10" fillId="2" borderId="7" xfId="0" applyNumberFormat="1" applyFont="1" applyFill="1" applyBorder="1" applyAlignment="1">
      <alignment horizontal="center" vertical="center"/>
    </xf>
    <xf numFmtId="0" fontId="84" fillId="2" borderId="0" xfId="0" applyFont="1" applyFill="1"/>
    <xf numFmtId="0" fontId="36" fillId="2" borderId="0" xfId="0" applyFont="1" applyFill="1"/>
    <xf numFmtId="0" fontId="84" fillId="2" borderId="0" xfId="0" applyFont="1" applyFill="1" applyAlignment="1">
      <alignment horizontal="left"/>
    </xf>
    <xf numFmtId="0" fontId="84" fillId="2" borderId="0" xfId="0" applyFont="1" applyFill="1" applyAlignment="1">
      <alignment horizontal="center"/>
    </xf>
    <xf numFmtId="0" fontId="56" fillId="2" borderId="11" xfId="0" applyFont="1" applyFill="1" applyBorder="1" applyAlignment="1">
      <alignment vertical="center" wrapText="1"/>
    </xf>
    <xf numFmtId="0" fontId="52" fillId="2" borderId="0" xfId="0" applyFont="1" applyFill="1" applyAlignment="1">
      <alignment horizontal="left" vertical="center"/>
    </xf>
    <xf numFmtId="0" fontId="1" fillId="0" borderId="0" xfId="0" applyFont="1" applyFill="1" applyAlignment="1">
      <alignment wrapText="1"/>
    </xf>
    <xf numFmtId="0" fontId="0" fillId="0" borderId="0" xfId="0" applyFont="1" applyFill="1"/>
    <xf numFmtId="0" fontId="69" fillId="29" borderId="39" xfId="0" applyFont="1" applyFill="1" applyBorder="1" applyAlignment="1">
      <alignment horizontal="center" vertical="center" wrapText="1"/>
    </xf>
    <xf numFmtId="0" fontId="65" fillId="27" borderId="66" xfId="0" applyFont="1" applyFill="1" applyBorder="1" applyAlignment="1">
      <alignment horizontal="center" vertical="center"/>
    </xf>
    <xf numFmtId="0" fontId="55" fillId="2" borderId="66" xfId="73" applyFont="1" applyFill="1" applyBorder="1" applyAlignment="1">
      <alignment vertical="center"/>
    </xf>
    <xf numFmtId="0" fontId="56" fillId="2" borderId="66" xfId="0" applyFont="1" applyFill="1" applyBorder="1" applyAlignment="1">
      <alignment vertical="center" wrapText="1"/>
    </xf>
    <xf numFmtId="0" fontId="51" fillId="2" borderId="0" xfId="0" applyFont="1" applyFill="1" applyAlignment="1">
      <alignment horizontal="center"/>
    </xf>
    <xf numFmtId="0" fontId="39" fillId="2" borderId="0" xfId="0" applyFont="1" applyFill="1" applyAlignment="1">
      <alignment horizontal="center" wrapText="1"/>
    </xf>
    <xf numFmtId="0" fontId="51" fillId="2" borderId="49" xfId="0" applyFont="1" applyFill="1" applyBorder="1"/>
    <xf numFmtId="0" fontId="51" fillId="2" borderId="50" xfId="0" applyFont="1" applyFill="1" applyBorder="1"/>
    <xf numFmtId="0" fontId="51" fillId="2" borderId="41" xfId="0" applyFont="1" applyFill="1" applyBorder="1"/>
    <xf numFmtId="0" fontId="51" fillId="2" borderId="0" xfId="0" quotePrefix="1" applyFont="1" applyFill="1"/>
    <xf numFmtId="10" fontId="15" fillId="0" borderId="9" xfId="0" applyNumberFormat="1" applyFont="1" applyFill="1" applyBorder="1" applyAlignment="1">
      <alignment horizontal="center"/>
    </xf>
    <xf numFmtId="10" fontId="14" fillId="2" borderId="15" xfId="0" applyNumberFormat="1" applyFont="1" applyFill="1" applyBorder="1"/>
    <xf numFmtId="10" fontId="15" fillId="29" borderId="8" xfId="0" applyNumberFormat="1" applyFont="1" applyFill="1" applyBorder="1"/>
    <xf numFmtId="10" fontId="14" fillId="2" borderId="8" xfId="0" applyNumberFormat="1" applyFont="1" applyFill="1" applyBorder="1"/>
    <xf numFmtId="10" fontId="15" fillId="2" borderId="9" xfId="0" applyNumberFormat="1" applyFont="1" applyFill="1" applyBorder="1" applyAlignment="1">
      <alignment horizontal="center"/>
    </xf>
    <xf numFmtId="10" fontId="15" fillId="2" borderId="9" xfId="0" quotePrefix="1" applyNumberFormat="1" applyFont="1" applyFill="1" applyBorder="1" applyAlignment="1">
      <alignment horizontal="center"/>
    </xf>
    <xf numFmtId="17" fontId="14" fillId="2" borderId="15" xfId="0" applyNumberFormat="1" applyFont="1" applyFill="1" applyBorder="1"/>
    <xf numFmtId="10" fontId="15" fillId="29" borderId="9" xfId="0" applyNumberFormat="1" applyFont="1" applyFill="1" applyBorder="1" applyAlignment="1">
      <alignment horizontal="center"/>
    </xf>
    <xf numFmtId="171" fontId="52" fillId="2" borderId="82" xfId="0" applyNumberFormat="1" applyFont="1" applyFill="1" applyBorder="1" applyAlignment="1">
      <alignment horizontal="center"/>
    </xf>
    <xf numFmtId="164" fontId="10" fillId="2" borderId="55" xfId="0" applyNumberFormat="1" applyFont="1" applyFill="1" applyBorder="1" applyAlignment="1">
      <alignment horizontal="center"/>
    </xf>
    <xf numFmtId="164" fontId="52" fillId="2" borderId="83" xfId="0" applyNumberFormat="1" applyFont="1" applyFill="1" applyBorder="1" applyAlignment="1">
      <alignment horizontal="center"/>
    </xf>
    <xf numFmtId="9" fontId="51" fillId="2" borderId="13" xfId="72" applyFont="1" applyFill="1" applyBorder="1" applyAlignment="1">
      <alignment horizontal="center"/>
    </xf>
    <xf numFmtId="38" fontId="56" fillId="2" borderId="12" xfId="0" applyNumberFormat="1" applyFont="1" applyFill="1" applyBorder="1" applyAlignment="1">
      <alignment horizontal="left"/>
    </xf>
    <xf numFmtId="10" fontId="56" fillId="2" borderId="0" xfId="72" applyNumberFormat="1" applyFont="1" applyFill="1" applyBorder="1" applyAlignment="1">
      <alignment horizontal="center" vertical="center"/>
    </xf>
    <xf numFmtId="0" fontId="56" fillId="2" borderId="5" xfId="0" applyFont="1" applyFill="1" applyBorder="1" applyAlignment="1">
      <alignment horizontal="left" vertical="center"/>
    </xf>
    <xf numFmtId="0" fontId="56" fillId="2" borderId="7" xfId="0" applyFont="1" applyFill="1" applyBorder="1" applyAlignment="1">
      <alignment horizontal="center"/>
    </xf>
    <xf numFmtId="3" fontId="52" fillId="2" borderId="3" xfId="0" applyNumberFormat="1" applyFont="1" applyFill="1" applyBorder="1" applyAlignment="1">
      <alignment horizontal="center" vertical="center"/>
    </xf>
    <xf numFmtId="3" fontId="10" fillId="2" borderId="40" xfId="0" applyNumberFormat="1" applyFont="1" applyFill="1" applyBorder="1" applyAlignment="1">
      <alignment horizontal="left" vertical="center"/>
    </xf>
    <xf numFmtId="3" fontId="10" fillId="2" borderId="40" xfId="0" applyNumberFormat="1" applyFont="1" applyFill="1" applyBorder="1" applyAlignment="1">
      <alignment horizontal="center" vertical="center"/>
    </xf>
    <xf numFmtId="3" fontId="52" fillId="2" borderId="40" xfId="0" applyNumberFormat="1" applyFont="1" applyFill="1" applyBorder="1" applyAlignment="1">
      <alignment horizontal="center" vertical="center"/>
    </xf>
    <xf numFmtId="3" fontId="10" fillId="0" borderId="40" xfId="0" applyNumberFormat="1" applyFont="1" applyFill="1" applyBorder="1" applyAlignment="1">
      <alignment horizontal="center" vertical="center"/>
    </xf>
    <xf numFmtId="3" fontId="10" fillId="2" borderId="93" xfId="0" applyNumberFormat="1" applyFont="1" applyFill="1" applyBorder="1" applyAlignment="1">
      <alignment horizontal="center" vertical="center"/>
    </xf>
    <xf numFmtId="3" fontId="61" fillId="0" borderId="0" xfId="0" applyNumberFormat="1" applyFont="1" applyFill="1" applyBorder="1" applyAlignment="1">
      <alignment vertical="center" wrapText="1"/>
    </xf>
    <xf numFmtId="3" fontId="56" fillId="2" borderId="40" xfId="0" applyNumberFormat="1" applyFont="1" applyFill="1" applyBorder="1" applyAlignment="1">
      <alignment horizontal="center" vertical="center"/>
    </xf>
    <xf numFmtId="167" fontId="51" fillId="2" borderId="37" xfId="0" applyNumberFormat="1" applyFont="1" applyFill="1" applyBorder="1"/>
    <xf numFmtId="38" fontId="79" fillId="2" borderId="0" xfId="71" applyNumberFormat="1" applyFont="1" applyFill="1" applyBorder="1" applyAlignment="1">
      <alignment horizontal="center" vertical="center"/>
    </xf>
    <xf numFmtId="178" fontId="51" fillId="29" borderId="39" xfId="71" applyNumberFormat="1" applyFont="1" applyFill="1" applyBorder="1" applyAlignment="1">
      <alignment horizontal="center"/>
    </xf>
    <xf numFmtId="3" fontId="51" fillId="2" borderId="2" xfId="0" applyNumberFormat="1" applyFont="1" applyFill="1" applyBorder="1" applyAlignment="1" applyProtection="1">
      <alignment horizontal="center"/>
      <protection locked="0"/>
    </xf>
    <xf numFmtId="10" fontId="56" fillId="29" borderId="6" xfId="72" applyNumberFormat="1" applyFont="1" applyFill="1" applyBorder="1" applyAlignment="1">
      <alignment horizontal="center"/>
    </xf>
    <xf numFmtId="1" fontId="64" fillId="29" borderId="29" xfId="40" applyNumberFormat="1" applyFont="1" applyFill="1" applyBorder="1" applyAlignment="1">
      <alignment horizontal="center" vertical="center" wrapText="1"/>
    </xf>
    <xf numFmtId="0" fontId="57" fillId="2" borderId="0" xfId="0" applyFont="1" applyFill="1" applyAlignment="1">
      <alignment horizontal="center"/>
    </xf>
    <xf numFmtId="0" fontId="65" fillId="27" borderId="37" xfId="0" applyFont="1" applyFill="1" applyBorder="1" applyAlignment="1">
      <alignment horizontal="center" vertical="center" wrapText="1"/>
    </xf>
    <xf numFmtId="167" fontId="51" fillId="2" borderId="0" xfId="0" applyNumberFormat="1" applyFont="1" applyFill="1" applyBorder="1"/>
    <xf numFmtId="0" fontId="15" fillId="2" borderId="37" xfId="53" applyFont="1" applyFill="1" applyBorder="1" applyAlignment="1">
      <alignment horizontal="center"/>
    </xf>
    <xf numFmtId="0" fontId="15" fillId="2" borderId="37" xfId="53" applyFont="1" applyFill="1" applyBorder="1" applyAlignment="1"/>
    <xf numFmtId="3" fontId="56" fillId="2" borderId="6" xfId="0" applyNumberFormat="1" applyFont="1" applyFill="1" applyBorder="1" applyAlignment="1">
      <alignment horizontal="center" vertical="center"/>
    </xf>
    <xf numFmtId="164" fontId="73" fillId="0" borderId="38" xfId="70" applyNumberFormat="1" applyFont="1" applyFill="1" applyBorder="1" applyAlignment="1">
      <alignment horizontal="center" vertical="center" wrapText="1"/>
    </xf>
    <xf numFmtId="175" fontId="64" fillId="29" borderId="29" xfId="40" applyNumberFormat="1" applyFont="1" applyFill="1" applyBorder="1" applyAlignment="1">
      <alignment horizontal="left" vertical="center" wrapText="1"/>
    </xf>
    <xf numFmtId="37" fontId="51" fillId="29" borderId="0" xfId="0" applyNumberFormat="1" applyFont="1" applyFill="1" applyBorder="1"/>
    <xf numFmtId="38" fontId="56" fillId="29" borderId="12" xfId="0" applyNumberFormat="1" applyFont="1" applyFill="1" applyBorder="1" applyAlignment="1">
      <alignment horizontal="left"/>
    </xf>
    <xf numFmtId="10" fontId="51" fillId="2" borderId="13" xfId="0" applyNumberFormat="1" applyFont="1" applyFill="1" applyBorder="1" applyAlignment="1">
      <alignment horizontal="center"/>
    </xf>
    <xf numFmtId="37" fontId="51" fillId="29" borderId="0" xfId="0" applyNumberFormat="1" applyFont="1" applyFill="1" applyBorder="1" applyAlignment="1">
      <alignment horizontal="center" vertical="top"/>
    </xf>
    <xf numFmtId="172" fontId="56" fillId="29" borderId="6" xfId="72" applyNumberFormat="1" applyFont="1" applyFill="1" applyBorder="1" applyAlignment="1">
      <alignment horizontal="center"/>
    </xf>
    <xf numFmtId="3" fontId="51" fillId="2" borderId="13" xfId="71" applyNumberFormat="1" applyFont="1" applyFill="1" applyBorder="1" applyAlignment="1">
      <alignment horizontal="center"/>
    </xf>
    <xf numFmtId="172" fontId="56" fillId="29" borderId="6" xfId="0" applyNumberFormat="1" applyFont="1" applyFill="1" applyBorder="1" applyAlignment="1">
      <alignment horizontal="center"/>
    </xf>
    <xf numFmtId="172" fontId="56" fillId="29" borderId="6" xfId="0" applyNumberFormat="1" applyFont="1" applyFill="1" applyBorder="1"/>
    <xf numFmtId="9" fontId="51" fillId="2" borderId="13" xfId="71" applyNumberFormat="1" applyFont="1" applyFill="1" applyBorder="1" applyAlignment="1">
      <alignment horizontal="center"/>
    </xf>
    <xf numFmtId="38" fontId="51" fillId="29" borderId="0" xfId="0" applyNumberFormat="1" applyFont="1" applyFill="1" applyBorder="1" applyAlignment="1">
      <alignment horizontal="center"/>
    </xf>
    <xf numFmtId="38" fontId="51" fillId="29" borderId="0" xfId="0" applyNumberFormat="1" applyFont="1" applyFill="1" applyBorder="1" applyAlignment="1">
      <alignment horizontal="center" vertical="center"/>
    </xf>
    <xf numFmtId="0" fontId="51" fillId="2" borderId="0" xfId="0" applyFont="1" applyFill="1" applyBorder="1" applyAlignment="1">
      <alignment horizontal="center" vertical="center"/>
    </xf>
    <xf numFmtId="3" fontId="79" fillId="2" borderId="13" xfId="71" applyNumberFormat="1" applyFont="1" applyFill="1" applyBorder="1" applyAlignment="1">
      <alignment horizontal="center"/>
    </xf>
    <xf numFmtId="3" fontId="51" fillId="29" borderId="0" xfId="0" applyNumberFormat="1" applyFont="1" applyFill="1" applyBorder="1" applyAlignment="1">
      <alignment horizontal="center" vertical="center"/>
    </xf>
    <xf numFmtId="172" fontId="51" fillId="29" borderId="6" xfId="0" applyNumberFormat="1" applyFont="1" applyFill="1" applyBorder="1" applyAlignment="1">
      <alignment horizontal="center" vertical="center"/>
    </xf>
    <xf numFmtId="10" fontId="51" fillId="29" borderId="6" xfId="0" applyNumberFormat="1" applyFont="1" applyFill="1" applyBorder="1" applyAlignment="1">
      <alignment horizontal="center" vertical="center"/>
    </xf>
    <xf numFmtId="172" fontId="56" fillId="29" borderId="6" xfId="0" applyNumberFormat="1" applyFont="1" applyFill="1" applyBorder="1" applyAlignment="1">
      <alignment horizontal="center" vertical="center"/>
    </xf>
    <xf numFmtId="3" fontId="10" fillId="32" borderId="35" xfId="0" applyNumberFormat="1" applyFont="1" applyFill="1" applyBorder="1" applyAlignment="1">
      <alignment horizontal="center" vertical="center" wrapText="1"/>
    </xf>
    <xf numFmtId="0" fontId="10" fillId="32" borderId="36" xfId="0" applyFont="1" applyFill="1" applyBorder="1" applyAlignment="1">
      <alignment horizontal="center" vertical="center" wrapText="1"/>
    </xf>
    <xf numFmtId="10" fontId="56" fillId="29" borderId="6" xfId="0" applyNumberFormat="1" applyFont="1" applyFill="1" applyBorder="1" applyAlignment="1">
      <alignment horizontal="center" vertical="center"/>
    </xf>
    <xf numFmtId="3" fontId="51" fillId="32" borderId="2" xfId="0" applyNumberFormat="1" applyFont="1" applyFill="1" applyBorder="1" applyAlignment="1" applyProtection="1">
      <alignment horizontal="center"/>
      <protection locked="0"/>
    </xf>
    <xf numFmtId="3" fontId="51" fillId="32" borderId="2" xfId="0" applyNumberFormat="1" applyFont="1" applyFill="1" applyBorder="1" applyAlignment="1">
      <alignment horizontal="center"/>
    </xf>
    <xf numFmtId="3" fontId="51" fillId="32" borderId="37" xfId="0" applyNumberFormat="1" applyFont="1" applyFill="1" applyBorder="1" applyAlignment="1">
      <alignment horizontal="center"/>
    </xf>
    <xf numFmtId="38" fontId="51" fillId="32" borderId="37" xfId="0" applyNumberFormat="1" applyFont="1" applyFill="1" applyBorder="1" applyAlignment="1">
      <alignment horizontal="center"/>
    </xf>
    <xf numFmtId="0" fontId="51" fillId="32" borderId="37" xfId="0" applyFont="1" applyFill="1" applyBorder="1"/>
    <xf numFmtId="177" fontId="56" fillId="32" borderId="0" xfId="70" applyNumberFormat="1" applyFont="1" applyFill="1" applyBorder="1" applyAlignment="1" applyProtection="1">
      <alignment horizontal="center"/>
    </xf>
    <xf numFmtId="177" fontId="56" fillId="32" borderId="6" xfId="70" applyNumberFormat="1" applyFont="1" applyFill="1" applyBorder="1" applyAlignment="1" applyProtection="1">
      <alignment horizontal="center"/>
    </xf>
    <xf numFmtId="168" fontId="56" fillId="32" borderId="0" xfId="0" applyNumberFormat="1" applyFont="1" applyFill="1" applyBorder="1" applyAlignment="1">
      <alignment horizontal="center" vertical="center"/>
    </xf>
    <xf numFmtId="171" fontId="10" fillId="32" borderId="0" xfId="0" applyNumberFormat="1" applyFont="1" applyFill="1" applyBorder="1" applyAlignment="1">
      <alignment horizontal="center" vertical="center"/>
    </xf>
    <xf numFmtId="3" fontId="10" fillId="32" borderId="0" xfId="0" applyNumberFormat="1" applyFont="1" applyFill="1" applyBorder="1" applyAlignment="1">
      <alignment horizontal="center" vertical="center"/>
    </xf>
    <xf numFmtId="3" fontId="56" fillId="32" borderId="0" xfId="0" applyNumberFormat="1" applyFont="1" applyFill="1" applyBorder="1" applyAlignment="1">
      <alignment horizontal="center" vertical="center"/>
    </xf>
    <xf numFmtId="3" fontId="56" fillId="32" borderId="6" xfId="0" applyNumberFormat="1" applyFont="1" applyFill="1" applyBorder="1" applyAlignment="1">
      <alignment horizontal="center" vertical="center"/>
    </xf>
    <xf numFmtId="171" fontId="56" fillId="32" borderId="0" xfId="0" applyNumberFormat="1" applyFont="1" applyFill="1" applyBorder="1" applyAlignment="1">
      <alignment horizontal="center" vertical="center"/>
    </xf>
    <xf numFmtId="172" fontId="64" fillId="29" borderId="37" xfId="0" applyNumberFormat="1" applyFont="1" applyFill="1" applyBorder="1" applyAlignment="1">
      <alignment horizontal="center" vertical="top"/>
    </xf>
    <xf numFmtId="172" fontId="64" fillId="29" borderId="2" xfId="0" applyNumberFormat="1" applyFont="1" applyFill="1" applyBorder="1" applyAlignment="1">
      <alignment horizontal="center" vertical="top"/>
    </xf>
    <xf numFmtId="172" fontId="64" fillId="2" borderId="2" xfId="0" applyNumberFormat="1" applyFont="1" applyFill="1" applyBorder="1" applyAlignment="1">
      <alignment horizontal="center" vertical="top"/>
    </xf>
    <xf numFmtId="172" fontId="15" fillId="2" borderId="2" xfId="53" applyNumberFormat="1" applyFont="1" applyFill="1" applyBorder="1" applyAlignment="1">
      <alignment horizontal="center"/>
    </xf>
    <xf numFmtId="172" fontId="15" fillId="2" borderId="2" xfId="53" applyNumberFormat="1" applyFont="1" applyFill="1" applyBorder="1" applyAlignment="1"/>
    <xf numFmtId="172" fontId="15" fillId="2" borderId="37" xfId="53" applyNumberFormat="1" applyFont="1" applyFill="1" applyBorder="1" applyAlignment="1"/>
    <xf numFmtId="172" fontId="15" fillId="2" borderId="37" xfId="53" applyNumberFormat="1" applyFont="1" applyFill="1" applyBorder="1"/>
    <xf numFmtId="172" fontId="15" fillId="2" borderId="37" xfId="53" applyNumberFormat="1" applyFont="1" applyFill="1" applyBorder="1" applyAlignment="1">
      <alignment horizontal="center"/>
    </xf>
    <xf numFmtId="172" fontId="49" fillId="2" borderId="37" xfId="53" applyNumberFormat="1" applyFont="1" applyFill="1" applyBorder="1" applyAlignment="1"/>
    <xf numFmtId="172" fontId="51" fillId="2" borderId="37" xfId="0" applyNumberFormat="1" applyFont="1" applyFill="1" applyBorder="1" applyAlignment="1">
      <alignment horizontal="center"/>
    </xf>
    <xf numFmtId="171" fontId="51" fillId="32" borderId="2" xfId="0" applyNumberFormat="1" applyFont="1" applyFill="1" applyBorder="1" applyAlignment="1">
      <alignment horizontal="center"/>
    </xf>
    <xf numFmtId="171" fontId="51" fillId="32" borderId="37" xfId="0" applyNumberFormat="1" applyFont="1" applyFill="1" applyBorder="1" applyAlignment="1">
      <alignment horizontal="center"/>
    </xf>
    <xf numFmtId="169" fontId="15" fillId="32" borderId="8" xfId="70" applyNumberFormat="1" applyFont="1" applyFill="1" applyBorder="1"/>
    <xf numFmtId="0" fontId="0" fillId="32" borderId="0" xfId="0" applyFont="1" applyFill="1" applyAlignment="1">
      <alignment horizontal="left"/>
    </xf>
    <xf numFmtId="171" fontId="0" fillId="32" borderId="0" xfId="0" applyNumberFormat="1" applyFont="1" applyFill="1"/>
    <xf numFmtId="6" fontId="0" fillId="2" borderId="0" xfId="0" applyNumberFormat="1" applyFont="1" applyFill="1"/>
    <xf numFmtId="0" fontId="0" fillId="0" borderId="0" xfId="0" applyFont="1"/>
    <xf numFmtId="0" fontId="3" fillId="0" borderId="0" xfId="0" applyFont="1"/>
    <xf numFmtId="3" fontId="4" fillId="0" borderId="94" xfId="0" applyNumberFormat="1" applyFont="1" applyBorder="1" applyAlignment="1">
      <alignment horizontal="center" wrapText="1"/>
    </xf>
    <xf numFmtId="3" fontId="0" fillId="0" borderId="95" xfId="0" applyNumberFormat="1" applyFont="1" applyBorder="1"/>
    <xf numFmtId="3" fontId="4" fillId="0" borderId="96" xfId="0" applyNumberFormat="1" applyFont="1" applyBorder="1" applyAlignment="1">
      <alignment horizontal="center" wrapText="1"/>
    </xf>
    <xf numFmtId="3" fontId="0" fillId="0" borderId="97" xfId="0" applyNumberFormat="1" applyFont="1" applyBorder="1"/>
    <xf numFmtId="3" fontId="4" fillId="0" borderId="0" xfId="0" applyNumberFormat="1" applyFont="1" applyBorder="1" applyAlignment="1">
      <alignment horizontal="center" wrapText="1"/>
    </xf>
    <xf numFmtId="0" fontId="3" fillId="0" borderId="0" xfId="0" applyFont="1" applyAlignment="1">
      <alignment wrapText="1"/>
    </xf>
    <xf numFmtId="0" fontId="3" fillId="33" borderId="98" xfId="0" applyFont="1" applyFill="1" applyBorder="1"/>
    <xf numFmtId="0" fontId="3" fillId="33" borderId="99" xfId="0" applyFont="1" applyFill="1" applyBorder="1" applyAlignment="1">
      <alignment wrapText="1"/>
    </xf>
    <xf numFmtId="0" fontId="3" fillId="33" borderId="99" xfId="0" applyFont="1" applyFill="1" applyBorder="1"/>
    <xf numFmtId="0" fontId="3" fillId="33" borderId="100" xfId="0" applyFont="1" applyFill="1" applyBorder="1" applyAlignment="1">
      <alignment wrapText="1"/>
    </xf>
    <xf numFmtId="0" fontId="3" fillId="0" borderId="10" xfId="0" applyFont="1" applyBorder="1" applyAlignment="1">
      <alignment horizontal="center"/>
    </xf>
    <xf numFmtId="0" fontId="3" fillId="0" borderId="10" xfId="0" applyFont="1" applyBorder="1" applyAlignment="1">
      <alignment horizontal="center" wrapText="1"/>
    </xf>
    <xf numFmtId="0" fontId="3" fillId="0" borderId="0" xfId="0" applyFont="1" applyAlignment="1">
      <alignment horizontal="center"/>
    </xf>
    <xf numFmtId="0" fontId="0" fillId="0" borderId="37" xfId="0" applyFont="1" applyBorder="1"/>
    <xf numFmtId="3" fontId="0" fillId="0" borderId="37" xfId="0" applyNumberFormat="1" applyFont="1" applyBorder="1"/>
    <xf numFmtId="10" fontId="0" fillId="0" borderId="37" xfId="0" applyNumberFormat="1" applyFont="1" applyBorder="1"/>
    <xf numFmtId="0" fontId="0" fillId="0" borderId="66" xfId="0" applyFont="1" applyBorder="1"/>
    <xf numFmtId="3" fontId="0" fillId="0" borderId="66" xfId="0" applyNumberFormat="1" applyFont="1" applyBorder="1"/>
    <xf numFmtId="10" fontId="0" fillId="0" borderId="66" xfId="0" applyNumberFormat="1" applyFont="1" applyBorder="1"/>
    <xf numFmtId="3" fontId="3" fillId="33" borderId="99" xfId="0" applyNumberFormat="1" applyFont="1" applyFill="1" applyBorder="1"/>
    <xf numFmtId="10" fontId="3" fillId="33" borderId="99" xfId="0" applyNumberFormat="1" applyFont="1" applyFill="1" applyBorder="1"/>
    <xf numFmtId="3" fontId="3" fillId="33" borderId="100" xfId="0" applyNumberFormat="1" applyFont="1" applyFill="1" applyBorder="1"/>
    <xf numFmtId="0" fontId="3" fillId="33" borderId="100" xfId="0" applyFont="1" applyFill="1" applyBorder="1" applyAlignment="1">
      <alignment horizontal="center" wrapText="1"/>
    </xf>
    <xf numFmtId="0" fontId="3" fillId="0" borderId="0" xfId="0" applyFont="1" applyFill="1" applyBorder="1"/>
    <xf numFmtId="0" fontId="3" fillId="0" borderId="101" xfId="0" applyFont="1" applyBorder="1" applyAlignment="1">
      <alignment horizontal="center"/>
    </xf>
    <xf numFmtId="0" fontId="3" fillId="0" borderId="102" xfId="0" applyFont="1" applyBorder="1" applyAlignment="1">
      <alignment horizontal="center"/>
    </xf>
    <xf numFmtId="0" fontId="3" fillId="0" borderId="0" xfId="0" applyFont="1" applyBorder="1" applyAlignment="1">
      <alignment horizontal="center"/>
    </xf>
    <xf numFmtId="0" fontId="0" fillId="0" borderId="103" xfId="0" applyFont="1" applyBorder="1"/>
    <xf numFmtId="0" fontId="0" fillId="0" borderId="104" xfId="0" applyFont="1" applyBorder="1"/>
    <xf numFmtId="0" fontId="0" fillId="0" borderId="0" xfId="0" applyFont="1" applyBorder="1"/>
    <xf numFmtId="3" fontId="0" fillId="0" borderId="104" xfId="0" applyNumberFormat="1" applyFont="1" applyBorder="1"/>
    <xf numFmtId="10" fontId="0" fillId="0" borderId="0" xfId="0" applyNumberFormat="1" applyFont="1" applyBorder="1"/>
    <xf numFmtId="0" fontId="0" fillId="0" borderId="105" xfId="0" applyFont="1" applyBorder="1"/>
    <xf numFmtId="3" fontId="0" fillId="0" borderId="106" xfId="0" applyNumberFormat="1" applyFont="1" applyBorder="1"/>
    <xf numFmtId="0" fontId="3" fillId="33" borderId="107" xfId="0" applyFont="1" applyFill="1" applyBorder="1"/>
    <xf numFmtId="3" fontId="3" fillId="33" borderId="108" xfId="0" applyNumberFormat="1" applyFont="1" applyFill="1" applyBorder="1"/>
    <xf numFmtId="10" fontId="3" fillId="0" borderId="0" xfId="0" applyNumberFormat="1" applyFont="1" applyFill="1" applyBorder="1"/>
    <xf numFmtId="0" fontId="0" fillId="33" borderId="109" xfId="0" applyFont="1" applyFill="1" applyBorder="1" applyAlignment="1">
      <alignment wrapText="1"/>
    </xf>
    <xf numFmtId="0" fontId="0" fillId="0" borderId="0" xfId="0" applyFont="1" applyFill="1" applyBorder="1" applyAlignment="1"/>
    <xf numFmtId="0" fontId="3" fillId="26" borderId="0" xfId="0" applyFont="1" applyFill="1" applyBorder="1" applyAlignment="1">
      <alignment horizontal="center"/>
    </xf>
    <xf numFmtId="0" fontId="0" fillId="0" borderId="98" xfId="0" applyFont="1" applyBorder="1" applyAlignment="1">
      <alignment wrapText="1"/>
    </xf>
    <xf numFmtId="0" fontId="0" fillId="0" borderId="99" xfId="0" applyFont="1" applyBorder="1" applyAlignment="1">
      <alignment wrapText="1"/>
    </xf>
    <xf numFmtId="0" fontId="0" fillId="0" borderId="100" xfId="0" applyFont="1" applyBorder="1" applyAlignment="1">
      <alignment wrapText="1"/>
    </xf>
    <xf numFmtId="0" fontId="0" fillId="26" borderId="0" xfId="0" applyFont="1" applyFill="1" applyBorder="1"/>
    <xf numFmtId="0" fontId="0" fillId="0" borderId="0" xfId="0" applyFont="1" applyBorder="1" applyAlignment="1">
      <alignment wrapText="1"/>
    </xf>
    <xf numFmtId="0" fontId="0" fillId="0" borderId="94" xfId="0" applyFont="1" applyBorder="1"/>
    <xf numFmtId="0" fontId="0" fillId="0" borderId="117" xfId="0" applyFont="1" applyBorder="1"/>
    <xf numFmtId="180" fontId="0" fillId="0" borderId="101" xfId="0" applyNumberFormat="1" applyFont="1" applyBorder="1"/>
    <xf numFmtId="180" fontId="0" fillId="0" borderId="10" xfId="0" applyNumberFormat="1" applyFont="1" applyBorder="1"/>
    <xf numFmtId="180" fontId="0" fillId="0" borderId="102" xfId="0" applyNumberFormat="1" applyFont="1" applyBorder="1"/>
    <xf numFmtId="168" fontId="0" fillId="0" borderId="102" xfId="0" applyNumberFormat="1" applyFont="1" applyBorder="1"/>
    <xf numFmtId="180" fontId="0" fillId="0" borderId="0" xfId="0" applyNumberFormat="1" applyFont="1" applyBorder="1"/>
    <xf numFmtId="168" fontId="0" fillId="0" borderId="0" xfId="0" applyNumberFormat="1" applyFont="1" applyBorder="1"/>
    <xf numFmtId="0" fontId="0" fillId="0" borderId="34" xfId="0" applyFont="1" applyBorder="1"/>
    <xf numFmtId="180" fontId="0" fillId="0" borderId="103" xfId="0" applyNumberFormat="1" applyFont="1" applyBorder="1"/>
    <xf numFmtId="180" fontId="0" fillId="0" borderId="37" xfId="0" applyNumberFormat="1" applyFont="1" applyBorder="1"/>
    <xf numFmtId="180" fontId="0" fillId="0" borderId="104" xfId="0" applyNumberFormat="1" applyFont="1" applyBorder="1"/>
    <xf numFmtId="168" fontId="0" fillId="0" borderId="104" xfId="0" applyNumberFormat="1" applyFont="1" applyBorder="1"/>
    <xf numFmtId="0" fontId="0" fillId="0" borderId="96" xfId="0" applyFont="1" applyBorder="1"/>
    <xf numFmtId="0" fontId="0" fillId="0" borderId="118" xfId="0" applyFont="1" applyBorder="1"/>
    <xf numFmtId="180" fontId="0" fillId="0" borderId="96" xfId="0" applyNumberFormat="1" applyFont="1" applyBorder="1"/>
    <xf numFmtId="180" fontId="0" fillId="0" borderId="119" xfId="0" applyNumberFormat="1" applyFont="1" applyBorder="1"/>
    <xf numFmtId="180" fontId="0" fillId="0" borderId="97" xfId="0" applyNumberFormat="1" applyFont="1" applyBorder="1"/>
    <xf numFmtId="0" fontId="3" fillId="26" borderId="114" xfId="0" applyFont="1" applyFill="1" applyBorder="1"/>
    <xf numFmtId="168" fontId="0" fillId="0" borderId="97" xfId="0" applyNumberFormat="1" applyFont="1" applyBorder="1"/>
    <xf numFmtId="168" fontId="0" fillId="0" borderId="120" xfId="0" applyNumberFormat="1" applyFont="1" applyBorder="1"/>
    <xf numFmtId="0" fontId="0" fillId="0" borderId="0" xfId="0" applyFont="1" applyFill="1" applyBorder="1"/>
    <xf numFmtId="168" fontId="0" fillId="0" borderId="0" xfId="0" applyNumberFormat="1" applyFont="1" applyFill="1" applyBorder="1"/>
    <xf numFmtId="0" fontId="0" fillId="33" borderId="0" xfId="0" applyFont="1" applyFill="1"/>
    <xf numFmtId="0" fontId="3" fillId="33" borderId="121" xfId="0" applyFont="1" applyFill="1" applyBorder="1" applyAlignment="1">
      <alignment horizontal="center" wrapText="1"/>
    </xf>
    <xf numFmtId="0" fontId="3" fillId="33" borderId="122" xfId="0" applyFont="1" applyFill="1" applyBorder="1" applyAlignment="1">
      <alignment horizontal="center" wrapText="1"/>
    </xf>
    <xf numFmtId="0" fontId="3" fillId="33" borderId="108" xfId="0" applyFont="1" applyFill="1" applyBorder="1" applyAlignment="1">
      <alignment horizontal="center" wrapText="1"/>
    </xf>
    <xf numFmtId="0" fontId="3" fillId="33" borderId="123" xfId="0" applyFont="1" applyFill="1" applyBorder="1" applyAlignment="1">
      <alignment horizontal="center" wrapText="1"/>
    </xf>
    <xf numFmtId="0" fontId="0" fillId="0" borderId="5" xfId="0" applyFont="1" applyBorder="1"/>
    <xf numFmtId="169" fontId="0" fillId="0" borderId="101" xfId="0" applyNumberFormat="1" applyFont="1" applyBorder="1" applyAlignment="1"/>
    <xf numFmtId="169" fontId="0" fillId="0" borderId="37" xfId="0" applyNumberFormat="1" applyFont="1" applyBorder="1" applyAlignment="1"/>
    <xf numFmtId="174" fontId="0" fillId="0" borderId="104" xfId="0" applyNumberFormat="1" applyFont="1" applyBorder="1"/>
    <xf numFmtId="164" fontId="0" fillId="0" borderId="94" xfId="0" applyNumberFormat="1" applyFont="1" applyBorder="1"/>
    <xf numFmtId="164" fontId="0" fillId="0" borderId="95" xfId="0" applyNumberFormat="1" applyFont="1" applyBorder="1"/>
    <xf numFmtId="164" fontId="0" fillId="0" borderId="103" xfId="0" applyNumberFormat="1" applyFont="1" applyBorder="1"/>
    <xf numFmtId="164" fontId="0" fillId="0" borderId="104" xfId="0" applyNumberFormat="1" applyFont="1" applyBorder="1"/>
    <xf numFmtId="0" fontId="0" fillId="0" borderId="49" xfId="0" applyFont="1" applyBorder="1"/>
    <xf numFmtId="169" fontId="0" fillId="0" borderId="124" xfId="0" applyNumberFormat="1" applyFont="1" applyBorder="1" applyAlignment="1"/>
    <xf numFmtId="169" fontId="0" fillId="0" borderId="66" xfId="0" applyNumberFormat="1" applyFont="1" applyBorder="1" applyAlignment="1"/>
    <xf numFmtId="174" fontId="0" fillId="0" borderId="106" xfId="0" applyNumberFormat="1" applyFont="1" applyBorder="1"/>
    <xf numFmtId="164" fontId="0" fillId="0" borderId="105" xfId="0" applyNumberFormat="1" applyFont="1" applyBorder="1"/>
    <xf numFmtId="164" fontId="0" fillId="0" borderId="106" xfId="0" applyNumberFormat="1" applyFont="1" applyBorder="1"/>
    <xf numFmtId="169" fontId="3" fillId="33" borderId="98" xfId="0" applyNumberFormat="1" applyFont="1" applyFill="1" applyBorder="1" applyAlignment="1"/>
    <xf numFmtId="169" fontId="3" fillId="33" borderId="99" xfId="0" applyNumberFormat="1" applyFont="1" applyFill="1" applyBorder="1" applyAlignment="1"/>
    <xf numFmtId="169" fontId="3" fillId="33" borderId="100" xfId="0" applyNumberFormat="1" applyFont="1" applyFill="1" applyBorder="1" applyAlignment="1"/>
    <xf numFmtId="164" fontId="3" fillId="33" borderId="98" xfId="0" applyNumberFormat="1" applyFont="1" applyFill="1" applyBorder="1"/>
    <xf numFmtId="164" fontId="3" fillId="33" borderId="100" xfId="0" applyNumberFormat="1" applyFont="1" applyFill="1" applyBorder="1"/>
    <xf numFmtId="164" fontId="3" fillId="0" borderId="0" xfId="0" applyNumberFormat="1" applyFont="1" applyBorder="1"/>
    <xf numFmtId="169" fontId="0" fillId="0" borderId="0" xfId="0" applyNumberFormat="1" applyFont="1"/>
    <xf numFmtId="0" fontId="0" fillId="0" borderId="126" xfId="0" applyFont="1" applyBorder="1"/>
    <xf numFmtId="169" fontId="0" fillId="0" borderId="10" xfId="0" applyNumberFormat="1" applyFont="1" applyBorder="1"/>
    <xf numFmtId="169" fontId="0" fillId="0" borderId="102" xfId="0" applyNumberFormat="1" applyFont="1" applyBorder="1"/>
    <xf numFmtId="0" fontId="0" fillId="0" borderId="127" xfId="0" applyFont="1" applyBorder="1"/>
    <xf numFmtId="169" fontId="0" fillId="0" borderId="37" xfId="0" applyNumberFormat="1" applyFont="1" applyBorder="1"/>
    <xf numFmtId="0" fontId="0" fillId="0" borderId="128" xfId="0" applyFont="1" applyBorder="1"/>
    <xf numFmtId="169" fontId="0" fillId="0" borderId="66" xfId="0" applyNumberFormat="1" applyFont="1" applyBorder="1"/>
    <xf numFmtId="169" fontId="0" fillId="0" borderId="122" xfId="0" applyNumberFormat="1" applyFont="1" applyBorder="1"/>
    <xf numFmtId="169" fontId="3" fillId="33" borderId="99" xfId="0" applyNumberFormat="1" applyFont="1" applyFill="1" applyBorder="1"/>
    <xf numFmtId="169" fontId="3" fillId="33" borderId="100" xfId="0" applyNumberFormat="1" applyFont="1" applyFill="1" applyBorder="1"/>
    <xf numFmtId="169" fontId="3" fillId="0" borderId="0" xfId="0" applyNumberFormat="1" applyFont="1" applyFill="1" applyBorder="1"/>
    <xf numFmtId="169" fontId="3" fillId="0" borderId="0" xfId="0" applyNumberFormat="1" applyFont="1"/>
    <xf numFmtId="0" fontId="0" fillId="0" borderId="0" xfId="0" applyFont="1" applyFill="1" applyBorder="1" applyAlignment="1">
      <alignment wrapText="1"/>
    </xf>
    <xf numFmtId="0" fontId="3" fillId="0" borderId="0" xfId="0" applyFont="1" applyFill="1" applyBorder="1" applyAlignment="1">
      <alignment horizontal="center"/>
    </xf>
    <xf numFmtId="0" fontId="3" fillId="0" borderId="0" xfId="0" applyFont="1" applyBorder="1"/>
    <xf numFmtId="3" fontId="4"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9" fillId="0" borderId="0" xfId="0" applyFont="1" applyFill="1" applyBorder="1" applyAlignment="1"/>
    <xf numFmtId="3" fontId="0" fillId="0" borderId="0" xfId="0" applyNumberFormat="1" applyFont="1" applyFill="1" applyBorder="1"/>
    <xf numFmtId="43" fontId="0" fillId="0" borderId="0" xfId="40" applyFont="1" applyFill="1" applyBorder="1" applyAlignment="1">
      <alignment vertical="center"/>
    </xf>
    <xf numFmtId="180" fontId="0" fillId="0" borderId="0" xfId="0" applyNumberFormat="1" applyFont="1" applyFill="1" applyBorder="1"/>
    <xf numFmtId="175" fontId="0" fillId="0" borderId="0" xfId="40" applyNumberFormat="1" applyFont="1" applyFill="1" applyBorder="1" applyAlignment="1">
      <alignment vertical="center"/>
    </xf>
    <xf numFmtId="2" fontId="9" fillId="0" borderId="0" xfId="0" applyNumberFormat="1" applyFont="1" applyFill="1" applyBorder="1" applyAlignment="1"/>
    <xf numFmtId="3" fontId="9" fillId="0" borderId="0" xfId="0" applyNumberFormat="1" applyFont="1" applyFill="1" applyBorder="1" applyAlignment="1"/>
    <xf numFmtId="3" fontId="4" fillId="0" borderId="0" xfId="0" applyNumberFormat="1" applyFont="1" applyFill="1" applyBorder="1" applyAlignment="1"/>
    <xf numFmtId="3" fontId="3" fillId="0" borderId="0" xfId="0" applyNumberFormat="1" applyFont="1" applyFill="1" applyBorder="1"/>
    <xf numFmtId="169" fontId="0" fillId="0" borderId="0" xfId="0" applyNumberFormat="1" applyFont="1" applyFill="1" applyBorder="1"/>
    <xf numFmtId="0" fontId="0" fillId="0" borderId="0" xfId="0" applyFont="1" applyFill="1" applyBorder="1" applyAlignment="1">
      <alignment horizontal="left" vertical="center" indent="2"/>
    </xf>
    <xf numFmtId="0" fontId="0" fillId="0" borderId="0" xfId="0" applyFont="1" applyAlignment="1"/>
    <xf numFmtId="0" fontId="3" fillId="26" borderId="0" xfId="0" applyFont="1" applyFill="1" applyBorder="1" applyAlignment="1">
      <alignment horizontal="center" wrapText="1"/>
    </xf>
    <xf numFmtId="0" fontId="3" fillId="26" borderId="0" xfId="0" applyFont="1" applyFill="1" applyBorder="1" applyAlignment="1">
      <alignment wrapText="1"/>
    </xf>
    <xf numFmtId="0" fontId="0" fillId="0" borderId="129" xfId="0" applyFont="1" applyFill="1" applyBorder="1"/>
    <xf numFmtId="0" fontId="0" fillId="0" borderId="130" xfId="0" applyFont="1" applyFill="1" applyBorder="1"/>
    <xf numFmtId="0" fontId="0" fillId="33" borderId="113" xfId="0" applyFont="1" applyFill="1" applyBorder="1" applyAlignment="1">
      <alignment wrapText="1"/>
    </xf>
    <xf numFmtId="0" fontId="0" fillId="33" borderId="116" xfId="0" applyFont="1" applyFill="1" applyBorder="1" applyAlignment="1">
      <alignment wrapText="1"/>
    </xf>
    <xf numFmtId="0" fontId="0" fillId="26" borderId="0" xfId="0" applyFont="1" applyFill="1" applyBorder="1" applyAlignment="1"/>
    <xf numFmtId="0" fontId="0" fillId="33" borderId="98" xfId="0" applyFont="1" applyFill="1" applyBorder="1" applyAlignment="1">
      <alignment wrapText="1"/>
    </xf>
    <xf numFmtId="0" fontId="0" fillId="33" borderId="99" xfId="0" applyFont="1" applyFill="1" applyBorder="1" applyAlignment="1">
      <alignment wrapText="1"/>
    </xf>
    <xf numFmtId="0" fontId="0" fillId="33" borderId="100" xfId="0" applyFont="1" applyFill="1" applyBorder="1" applyAlignment="1">
      <alignment wrapText="1"/>
    </xf>
    <xf numFmtId="0" fontId="0" fillId="0" borderId="95" xfId="0" applyFont="1" applyBorder="1"/>
    <xf numFmtId="180" fontId="0" fillId="0" borderId="94" xfId="0" applyNumberFormat="1" applyFont="1" applyBorder="1"/>
    <xf numFmtId="180" fontId="0" fillId="0" borderId="125" xfId="0" applyNumberFormat="1" applyFont="1" applyBorder="1"/>
    <xf numFmtId="180" fontId="0" fillId="0" borderId="95" xfId="0" applyNumberFormat="1" applyFont="1" applyBorder="1"/>
    <xf numFmtId="0" fontId="0" fillId="0" borderId="97" xfId="0" applyFont="1" applyBorder="1"/>
    <xf numFmtId="180" fontId="0" fillId="0" borderId="120" xfId="0" applyNumberFormat="1" applyFont="1" applyBorder="1"/>
    <xf numFmtId="0" fontId="0" fillId="26" borderId="116" xfId="0" applyFont="1" applyFill="1" applyBorder="1"/>
    <xf numFmtId="0" fontId="3" fillId="0" borderId="132" xfId="0" applyFont="1" applyBorder="1" applyAlignment="1">
      <alignment horizontal="center"/>
    </xf>
    <xf numFmtId="0" fontId="3" fillId="0" borderId="94" xfId="0" applyFont="1" applyBorder="1" applyAlignment="1"/>
    <xf numFmtId="0" fontId="3" fillId="0" borderId="95" xfId="0" applyFont="1" applyBorder="1"/>
    <xf numFmtId="0" fontId="3" fillId="0" borderId="0" xfId="0" applyFont="1" applyBorder="1" applyAlignment="1"/>
    <xf numFmtId="3" fontId="0" fillId="0" borderId="103" xfId="0" applyNumberFormat="1" applyFont="1" applyBorder="1"/>
    <xf numFmtId="3" fontId="0" fillId="0" borderId="0" xfId="0" applyNumberFormat="1" applyFont="1" applyBorder="1"/>
    <xf numFmtId="3" fontId="0" fillId="0" borderId="0" xfId="0" applyNumberFormat="1" applyFont="1" applyBorder="1" applyAlignment="1">
      <alignment horizontal="center"/>
    </xf>
    <xf numFmtId="3" fontId="0" fillId="0" borderId="105" xfId="0" applyNumberFormat="1" applyFont="1" applyBorder="1"/>
    <xf numFmtId="3" fontId="0" fillId="0" borderId="123" xfId="0" applyNumberFormat="1" applyFont="1" applyBorder="1"/>
    <xf numFmtId="0" fontId="3" fillId="0" borderId="107" xfId="0" applyFont="1" applyBorder="1"/>
    <xf numFmtId="3" fontId="3" fillId="0" borderId="98" xfId="0" applyNumberFormat="1" applyFont="1" applyBorder="1"/>
    <xf numFmtId="3" fontId="3" fillId="0" borderId="100" xfId="0" applyNumberFormat="1" applyFont="1" applyBorder="1"/>
    <xf numFmtId="3" fontId="3" fillId="0" borderId="107" xfId="0" applyNumberFormat="1" applyFont="1" applyBorder="1"/>
    <xf numFmtId="3" fontId="3" fillId="0" borderId="108" xfId="0" applyNumberFormat="1" applyFont="1" applyBorder="1"/>
    <xf numFmtId="3" fontId="3" fillId="0" borderId="0" xfId="0" applyNumberFormat="1" applyFont="1" applyBorder="1"/>
    <xf numFmtId="164" fontId="0" fillId="0" borderId="134" xfId="0" applyNumberFormat="1" applyFont="1" applyBorder="1"/>
    <xf numFmtId="164" fontId="0" fillId="0" borderId="126" xfId="0" applyNumberFormat="1" applyFont="1" applyBorder="1"/>
    <xf numFmtId="164" fontId="0" fillId="29" borderId="135" xfId="0" applyNumberFormat="1" applyFont="1" applyFill="1" applyBorder="1"/>
    <xf numFmtId="164" fontId="0" fillId="0" borderId="136" xfId="0" applyNumberFormat="1" applyFont="1" applyBorder="1"/>
    <xf numFmtId="169" fontId="0" fillId="0" borderId="136" xfId="0" applyNumberFormat="1" applyFont="1" applyBorder="1" applyAlignment="1"/>
    <xf numFmtId="164" fontId="0" fillId="29" borderId="132" xfId="0" applyNumberFormat="1" applyFont="1" applyFill="1" applyBorder="1"/>
    <xf numFmtId="164" fontId="3" fillId="34" borderId="95" xfId="0" applyNumberFormat="1" applyFont="1" applyFill="1" applyBorder="1"/>
    <xf numFmtId="164" fontId="0" fillId="0" borderId="137" xfId="0" applyNumberFormat="1" applyFont="1" applyBorder="1"/>
    <xf numFmtId="164" fontId="0" fillId="0" borderId="127" xfId="0" applyNumberFormat="1" applyFont="1" applyBorder="1"/>
    <xf numFmtId="164" fontId="0" fillId="29" borderId="138" xfId="0" applyNumberFormat="1" applyFont="1" applyFill="1" applyBorder="1"/>
    <xf numFmtId="164" fontId="0" fillId="0" borderId="138" xfId="0" applyNumberFormat="1" applyFont="1" applyBorder="1"/>
    <xf numFmtId="169" fontId="0" fillId="0" borderId="138" xfId="0" applyNumberFormat="1" applyFont="1" applyBorder="1" applyAlignment="1"/>
    <xf numFmtId="164" fontId="0" fillId="29" borderId="127" xfId="0" applyNumberFormat="1" applyFont="1" applyFill="1" applyBorder="1"/>
    <xf numFmtId="164" fontId="3" fillId="34" borderId="104" xfId="0" applyNumberFormat="1" applyFont="1" applyFill="1" applyBorder="1"/>
    <xf numFmtId="164" fontId="0" fillId="0" borderId="139" xfId="0" applyNumberFormat="1" applyFont="1" applyBorder="1"/>
    <xf numFmtId="164" fontId="0" fillId="0" borderId="128" xfId="0" applyNumberFormat="1" applyFont="1" applyBorder="1"/>
    <xf numFmtId="164" fontId="0" fillId="29" borderId="140" xfId="0" applyNumberFormat="1" applyFont="1" applyFill="1" applyBorder="1"/>
    <xf numFmtId="164" fontId="0" fillId="0" borderId="141" xfId="0" applyNumberFormat="1" applyFont="1" applyBorder="1"/>
    <xf numFmtId="169" fontId="0" fillId="0" borderId="140" xfId="0" applyNumberFormat="1" applyFont="1" applyBorder="1" applyAlignment="1"/>
    <xf numFmtId="164" fontId="0" fillId="29" borderId="142" xfId="0" applyNumberFormat="1" applyFont="1" applyFill="1" applyBorder="1"/>
    <xf numFmtId="164" fontId="3" fillId="34" borderId="97" xfId="0" applyNumberFormat="1" applyFont="1" applyFill="1" applyBorder="1"/>
    <xf numFmtId="164" fontId="3" fillId="0" borderId="109" xfId="0" applyNumberFormat="1" applyFont="1" applyBorder="1"/>
    <xf numFmtId="164" fontId="3" fillId="0" borderId="107" xfId="0" applyNumberFormat="1" applyFont="1" applyBorder="1"/>
    <xf numFmtId="164" fontId="3" fillId="29" borderId="116" xfId="0" applyNumberFormat="1" applyFont="1" applyFill="1" applyBorder="1"/>
    <xf numFmtId="164" fontId="3" fillId="0" borderId="108" xfId="0" applyNumberFormat="1" applyFont="1" applyBorder="1"/>
    <xf numFmtId="164" fontId="3" fillId="0" borderId="108" xfId="0" applyNumberFormat="1" applyFont="1" applyBorder="1" applyAlignment="1"/>
    <xf numFmtId="164" fontId="3" fillId="29" borderId="108" xfId="0" applyNumberFormat="1" applyFont="1" applyFill="1" applyBorder="1"/>
    <xf numFmtId="164" fontId="3" fillId="29" borderId="113" xfId="0" applyNumberFormat="1" applyFont="1" applyFill="1" applyBorder="1"/>
    <xf numFmtId="164" fontId="3" fillId="34" borderId="116" xfId="0" applyNumberFormat="1" applyFont="1" applyFill="1" applyBorder="1"/>
    <xf numFmtId="0" fontId="0" fillId="33" borderId="130" xfId="0" applyFont="1" applyFill="1" applyBorder="1"/>
    <xf numFmtId="0" fontId="0" fillId="33" borderId="131" xfId="0" applyFont="1" applyFill="1" applyBorder="1"/>
    <xf numFmtId="0" fontId="0" fillId="33" borderId="114" xfId="0" applyFont="1" applyFill="1" applyBorder="1"/>
    <xf numFmtId="0" fontId="0" fillId="33" borderId="115" xfId="0" applyFont="1" applyFill="1" applyBorder="1"/>
    <xf numFmtId="164" fontId="0" fillId="0" borderId="135" xfId="0" applyNumberFormat="1" applyFont="1" applyBorder="1"/>
    <xf numFmtId="164" fontId="0" fillId="29" borderId="133" xfId="0" applyNumberFormat="1" applyFont="1" applyFill="1" applyBorder="1"/>
    <xf numFmtId="169" fontId="0" fillId="0" borderId="126" xfId="0" applyNumberFormat="1" applyFont="1" applyBorder="1" applyAlignment="1"/>
    <xf numFmtId="164" fontId="0" fillId="0" borderId="126" xfId="0" applyNumberFormat="1" applyFont="1" applyFill="1" applyBorder="1"/>
    <xf numFmtId="0" fontId="0" fillId="35" borderId="129" xfId="0" applyFont="1" applyFill="1" applyBorder="1"/>
    <xf numFmtId="0" fontId="0" fillId="35" borderId="131" xfId="0" applyFont="1" applyFill="1" applyBorder="1"/>
    <xf numFmtId="164" fontId="0" fillId="0" borderId="135" xfId="0" applyNumberFormat="1" applyFont="1" applyFill="1" applyBorder="1"/>
    <xf numFmtId="164" fontId="0" fillId="29" borderId="111" xfId="0" applyNumberFormat="1" applyFont="1" applyFill="1" applyBorder="1"/>
    <xf numFmtId="0" fontId="0" fillId="35" borderId="112" xfId="0" applyFont="1" applyFill="1" applyBorder="1"/>
    <xf numFmtId="0" fontId="0" fillId="35" borderId="123" xfId="0" applyFont="1" applyFill="1" applyBorder="1"/>
    <xf numFmtId="164" fontId="0" fillId="0" borderId="116" xfId="0" applyNumberFormat="1" applyFont="1" applyBorder="1"/>
    <xf numFmtId="164" fontId="0" fillId="29" borderId="116" xfId="0" applyNumberFormat="1" applyFont="1" applyFill="1" applyBorder="1"/>
    <xf numFmtId="164" fontId="3" fillId="0" borderId="143" xfId="0" applyNumberFormat="1" applyFont="1" applyBorder="1"/>
    <xf numFmtId="164" fontId="3" fillId="0" borderId="107" xfId="0" applyNumberFormat="1" applyFont="1" applyBorder="1" applyAlignment="1"/>
    <xf numFmtId="0" fontId="3" fillId="35" borderId="107" xfId="0" applyFont="1" applyFill="1" applyBorder="1"/>
    <xf numFmtId="0" fontId="0" fillId="35" borderId="110" xfId="0" applyFont="1" applyFill="1" applyBorder="1"/>
    <xf numFmtId="164" fontId="3" fillId="0" borderId="108" xfId="0" applyNumberFormat="1" applyFont="1" applyFill="1" applyBorder="1"/>
    <xf numFmtId="164" fontId="0" fillId="0" borderId="0" xfId="0" applyNumberFormat="1" applyFont="1" applyFill="1"/>
    <xf numFmtId="164" fontId="0" fillId="0" borderId="0" xfId="0" applyNumberFormat="1" applyFont="1" applyFill="1" applyBorder="1"/>
    <xf numFmtId="0" fontId="86" fillId="0" borderId="0" xfId="0" applyFont="1"/>
    <xf numFmtId="0" fontId="0" fillId="0" borderId="0" xfId="0" applyFont="1" applyBorder="1" applyAlignment="1">
      <alignment horizontal="center" wrapText="1"/>
    </xf>
    <xf numFmtId="0" fontId="0" fillId="0" borderId="0" xfId="0" applyFont="1" applyFill="1" applyBorder="1" applyAlignment="1">
      <alignment horizontal="center" wrapText="1"/>
    </xf>
    <xf numFmtId="164" fontId="0" fillId="0" borderId="6" xfId="0" applyNumberFormat="1" applyFont="1" applyBorder="1"/>
    <xf numFmtId="164" fontId="0" fillId="0" borderId="135" xfId="0" applyNumberFormat="1" applyBorder="1"/>
    <xf numFmtId="164" fontId="0" fillId="0" borderId="6" xfId="0" applyNumberFormat="1" applyBorder="1"/>
    <xf numFmtId="164" fontId="0" fillId="29" borderId="135" xfId="0" applyNumberFormat="1" applyFill="1" applyBorder="1"/>
    <xf numFmtId="164" fontId="0" fillId="0" borderId="132" xfId="0" applyNumberFormat="1" applyBorder="1"/>
    <xf numFmtId="164" fontId="0" fillId="0" borderId="136" xfId="0" applyNumberFormat="1" applyBorder="1"/>
    <xf numFmtId="164" fontId="0" fillId="0" borderId="0" xfId="0" applyNumberFormat="1" applyFill="1" applyBorder="1"/>
    <xf numFmtId="164" fontId="0" fillId="0" borderId="138" xfId="0" applyNumberFormat="1" applyBorder="1"/>
    <xf numFmtId="164" fontId="0" fillId="29" borderId="138" xfId="0" applyNumberFormat="1" applyFill="1" applyBorder="1"/>
    <xf numFmtId="164" fontId="0" fillId="0" borderId="127" xfId="0" applyNumberFormat="1" applyBorder="1"/>
    <xf numFmtId="164" fontId="0" fillId="0" borderId="140" xfId="0" applyNumberFormat="1" applyFont="1" applyBorder="1"/>
    <xf numFmtId="164" fontId="0" fillId="0" borderId="140" xfId="0" applyNumberFormat="1" applyBorder="1"/>
    <xf numFmtId="164" fontId="0" fillId="29" borderId="140" xfId="0" applyNumberFormat="1" applyFill="1" applyBorder="1"/>
    <xf numFmtId="164" fontId="0" fillId="0" borderId="128" xfId="0" applyNumberFormat="1" applyBorder="1"/>
    <xf numFmtId="164" fontId="0" fillId="0" borderId="141" xfId="0" applyNumberFormat="1" applyBorder="1"/>
    <xf numFmtId="164" fontId="3" fillId="0" borderId="144" xfId="0" applyNumberFormat="1" applyFont="1" applyBorder="1"/>
    <xf numFmtId="164" fontId="3" fillId="0" borderId="0" xfId="0" applyNumberFormat="1" applyFont="1" applyFill="1" applyBorder="1"/>
    <xf numFmtId="0" fontId="3" fillId="0" borderId="0" xfId="0" applyFont="1" applyFill="1"/>
    <xf numFmtId="3" fontId="3" fillId="0" borderId="0" xfId="0" applyNumberFormat="1" applyFont="1" applyFill="1"/>
    <xf numFmtId="164" fontId="0" fillId="0" borderId="0" xfId="0" applyNumberFormat="1" applyFont="1"/>
    <xf numFmtId="174" fontId="0" fillId="0" borderId="0" xfId="0" applyNumberFormat="1" applyFont="1"/>
    <xf numFmtId="3" fontId="6" fillId="33" borderId="108" xfId="0" applyNumberFormat="1" applyFont="1" applyFill="1" applyBorder="1" applyAlignment="1">
      <alignment horizontal="center" vertical="center"/>
    </xf>
    <xf numFmtId="0" fontId="3" fillId="33" borderId="108" xfId="0" applyFont="1" applyFill="1" applyBorder="1" applyAlignment="1">
      <alignment horizontal="center" vertical="center" wrapText="1"/>
    </xf>
    <xf numFmtId="0" fontId="3" fillId="33" borderId="108" xfId="0" applyFont="1" applyFill="1" applyBorder="1" applyAlignment="1">
      <alignment wrapText="1"/>
    </xf>
    <xf numFmtId="3" fontId="17" fillId="0" borderId="7" xfId="0" applyNumberFormat="1" applyFont="1" applyBorder="1"/>
    <xf numFmtId="3" fontId="17" fillId="0" borderId="102" xfId="0" applyNumberFormat="1" applyFont="1" applyBorder="1"/>
    <xf numFmtId="169" fontId="0" fillId="0" borderId="111" xfId="0" applyNumberFormat="1" applyFont="1" applyBorder="1"/>
    <xf numFmtId="169" fontId="0" fillId="0" borderId="133" xfId="0" applyNumberFormat="1" applyFont="1" applyBorder="1"/>
    <xf numFmtId="3" fontId="88" fillId="0" borderId="132" xfId="0" applyNumberFormat="1" applyFont="1" applyFill="1" applyBorder="1" applyAlignment="1"/>
    <xf numFmtId="3" fontId="88" fillId="0" borderId="134" xfId="0" applyNumberFormat="1" applyFont="1" applyFill="1" applyBorder="1" applyAlignment="1"/>
    <xf numFmtId="3" fontId="17" fillId="0" borderId="36" xfId="0" applyNumberFormat="1" applyFont="1" applyBorder="1"/>
    <xf numFmtId="3" fontId="17" fillId="0" borderId="104" xfId="0" applyNumberFormat="1" applyFont="1" applyBorder="1"/>
    <xf numFmtId="3" fontId="88" fillId="0" borderId="127" xfId="0" applyNumberFormat="1" applyFont="1" applyFill="1" applyBorder="1" applyAlignment="1"/>
    <xf numFmtId="3" fontId="88" fillId="0" borderId="137" xfId="0" applyNumberFormat="1" applyFont="1" applyFill="1" applyBorder="1" applyAlignment="1"/>
    <xf numFmtId="2" fontId="88" fillId="0" borderId="127" xfId="0" applyNumberFormat="1" applyFont="1" applyFill="1" applyBorder="1" applyAlignment="1"/>
    <xf numFmtId="2" fontId="88" fillId="0" borderId="137" xfId="0" applyNumberFormat="1" applyFont="1" applyFill="1" applyBorder="1" applyAlignment="1"/>
    <xf numFmtId="3" fontId="17" fillId="0" borderId="145" xfId="0" applyNumberFormat="1" applyFont="1" applyBorder="1"/>
    <xf numFmtId="3" fontId="17" fillId="0" borderId="97" xfId="0" applyNumberFormat="1" applyFont="1" applyBorder="1"/>
    <xf numFmtId="169" fontId="0" fillId="0" borderId="116" xfId="0" applyNumberFormat="1" applyFont="1" applyBorder="1"/>
    <xf numFmtId="3" fontId="6" fillId="0" borderId="110" xfId="0" applyNumberFormat="1" applyFont="1" applyBorder="1"/>
    <xf numFmtId="169" fontId="6" fillId="0" borderId="110" xfId="0" applyNumberFormat="1" applyFont="1" applyBorder="1"/>
    <xf numFmtId="169" fontId="6" fillId="0" borderId="108" xfId="0" applyNumberFormat="1" applyFont="1" applyBorder="1"/>
    <xf numFmtId="3" fontId="6" fillId="0" borderId="0" xfId="0" applyNumberFormat="1" applyFont="1" applyFill="1" applyBorder="1" applyAlignment="1">
      <alignment horizontal="center" vertical="center"/>
    </xf>
    <xf numFmtId="0" fontId="3" fillId="0" borderId="0" xfId="0" applyFont="1" applyFill="1" applyBorder="1" applyAlignment="1">
      <alignment wrapText="1"/>
    </xf>
    <xf numFmtId="3" fontId="17" fillId="0" borderId="0" xfId="0" applyNumberFormat="1" applyFont="1" applyFill="1" applyBorder="1"/>
    <xf numFmtId="3" fontId="6" fillId="0" borderId="0" xfId="0" applyNumberFormat="1" applyFont="1" applyFill="1" applyBorder="1"/>
    <xf numFmtId="10" fontId="0" fillId="0" borderId="0" xfId="0" applyNumberFormat="1" applyFont="1"/>
    <xf numFmtId="10" fontId="3" fillId="0" borderId="0" xfId="0" applyNumberFormat="1" applyFont="1"/>
    <xf numFmtId="0" fontId="89" fillId="0" borderId="0" xfId="0" applyFont="1"/>
    <xf numFmtId="0" fontId="0" fillId="0" borderId="0" xfId="0" applyFill="1"/>
    <xf numFmtId="0" fontId="3" fillId="33" borderId="0" xfId="0" applyFont="1" applyFill="1" applyAlignment="1">
      <alignment horizontal="center"/>
    </xf>
    <xf numFmtId="0" fontId="3" fillId="33" borderId="108" xfId="0" applyFont="1" applyFill="1" applyBorder="1" applyAlignment="1">
      <alignment horizontal="center" vertical="center"/>
    </xf>
    <xf numFmtId="0" fontId="90" fillId="33" borderId="37" xfId="0" applyFont="1" applyFill="1" applyBorder="1" applyAlignment="1">
      <alignment horizontal="center" vertical="center" wrapText="1"/>
    </xf>
    <xf numFmtId="0" fontId="0" fillId="0" borderId="0" xfId="0" applyFont="1" applyFill="1" applyAlignment="1">
      <alignment vertical="center"/>
    </xf>
    <xf numFmtId="0" fontId="0" fillId="0" borderId="103" xfId="0" applyBorder="1"/>
    <xf numFmtId="3" fontId="0" fillId="0" borderId="37" xfId="0" applyNumberFormat="1" applyFont="1" applyBorder="1" applyAlignment="1">
      <alignment horizontal="center"/>
    </xf>
    <xf numFmtId="3" fontId="91" fillId="0" borderId="37" xfId="0" applyNumberFormat="1" applyFont="1" applyBorder="1" applyAlignment="1">
      <alignment horizontal="center"/>
    </xf>
    <xf numFmtId="181" fontId="91" fillId="36" borderId="37" xfId="0" applyNumberFormat="1" applyFont="1" applyFill="1" applyBorder="1" applyAlignment="1">
      <alignment horizontal="center"/>
    </xf>
    <xf numFmtId="3" fontId="0" fillId="0" borderId="0" xfId="0" applyNumberFormat="1" applyFont="1" applyFill="1"/>
    <xf numFmtId="3" fontId="91" fillId="36" borderId="37" xfId="0" applyNumberFormat="1" applyFont="1" applyFill="1" applyBorder="1" applyAlignment="1">
      <alignment horizontal="center"/>
    </xf>
    <xf numFmtId="3" fontId="0" fillId="0" borderId="37" xfId="0" applyNumberFormat="1" applyFont="1" applyFill="1" applyBorder="1" applyAlignment="1">
      <alignment horizontal="center"/>
    </xf>
    <xf numFmtId="3" fontId="0" fillId="0" borderId="66" xfId="0" applyNumberFormat="1" applyFont="1" applyBorder="1" applyAlignment="1">
      <alignment horizontal="center"/>
    </xf>
    <xf numFmtId="3" fontId="0" fillId="0" borderId="66" xfId="0" applyNumberFormat="1" applyFont="1" applyFill="1" applyBorder="1" applyAlignment="1">
      <alignment horizontal="center"/>
    </xf>
    <xf numFmtId="3" fontId="0" fillId="0" borderId="34" xfId="0" applyNumberFormat="1" applyFont="1" applyBorder="1" applyAlignment="1">
      <alignment horizontal="center"/>
    </xf>
    <xf numFmtId="3" fontId="0" fillId="0" borderId="36" xfId="0" applyNumberFormat="1" applyFont="1" applyBorder="1" applyAlignment="1">
      <alignment horizontal="center"/>
    </xf>
    <xf numFmtId="3" fontId="0" fillId="0" borderId="0" xfId="0" applyNumberFormat="1" applyFill="1"/>
    <xf numFmtId="3" fontId="0" fillId="0" borderId="10" xfId="0" applyNumberFormat="1" applyFont="1" applyBorder="1" applyAlignment="1">
      <alignment horizontal="center"/>
    </xf>
    <xf numFmtId="0" fontId="0" fillId="0" borderId="96" xfId="0" applyBorder="1"/>
    <xf numFmtId="3" fontId="91" fillId="0" borderId="66" xfId="0" applyNumberFormat="1" applyFont="1" applyBorder="1" applyAlignment="1">
      <alignment horizontal="center"/>
    </xf>
    <xf numFmtId="0" fontId="90" fillId="37" borderId="108" xfId="0" applyFont="1" applyFill="1" applyBorder="1" applyAlignment="1">
      <alignment horizontal="center" vertical="center" wrapText="1"/>
    </xf>
    <xf numFmtId="3" fontId="91" fillId="0" borderId="98" xfId="0" applyNumberFormat="1" applyFont="1" applyBorder="1" applyAlignment="1">
      <alignment horizontal="center"/>
    </xf>
    <xf numFmtId="3" fontId="91" fillId="0" borderId="99" xfId="0" applyNumberFormat="1" applyFont="1" applyBorder="1" applyAlignment="1">
      <alignment horizontal="center"/>
    </xf>
    <xf numFmtId="3" fontId="91" fillId="0" borderId="100" xfId="0" applyNumberFormat="1" applyFont="1" applyBorder="1" applyAlignment="1">
      <alignment horizontal="center"/>
    </xf>
    <xf numFmtId="181" fontId="91" fillId="36" borderId="100" xfId="0" applyNumberFormat="1" applyFont="1" applyFill="1" applyBorder="1" applyAlignment="1">
      <alignment horizontal="center"/>
    </xf>
    <xf numFmtId="3" fontId="91" fillId="0" borderId="108" xfId="0" applyNumberFormat="1" applyFont="1" applyBorder="1" applyAlignment="1">
      <alignment horizontal="center"/>
    </xf>
    <xf numFmtId="3" fontId="91" fillId="36" borderId="108" xfId="0" applyNumberFormat="1" applyFont="1" applyFill="1" applyBorder="1" applyAlignment="1">
      <alignment horizontal="center"/>
    </xf>
    <xf numFmtId="181" fontId="91" fillId="36" borderId="108" xfId="0" applyNumberFormat="1" applyFont="1" applyFill="1" applyBorder="1" applyAlignment="1">
      <alignment horizontal="center"/>
    </xf>
    <xf numFmtId="3" fontId="91" fillId="0" borderId="107" xfId="0" applyNumberFormat="1" applyFont="1" applyBorder="1" applyAlignment="1">
      <alignment horizontal="center"/>
    </xf>
    <xf numFmtId="3" fontId="3" fillId="0" borderId="0" xfId="0" applyNumberFormat="1" applyFont="1" applyFill="1" applyAlignment="1">
      <alignment horizontal="center"/>
    </xf>
    <xf numFmtId="0" fontId="3" fillId="38" borderId="0" xfId="0" applyFont="1" applyFill="1" applyAlignment="1">
      <alignment horizontal="right"/>
    </xf>
    <xf numFmtId="179" fontId="3" fillId="38" borderId="0" xfId="0" applyNumberFormat="1" applyFont="1" applyFill="1" applyAlignment="1">
      <alignment horizontal="center"/>
    </xf>
    <xf numFmtId="3" fontId="0" fillId="0" borderId="0" xfId="0" applyNumberFormat="1"/>
    <xf numFmtId="0" fontId="3" fillId="0" borderId="0" xfId="0" applyFont="1" applyFill="1" applyAlignment="1">
      <alignment horizontal="right"/>
    </xf>
    <xf numFmtId="182" fontId="3" fillId="0" borderId="0" xfId="0" applyNumberFormat="1" applyFont="1" applyFill="1" applyAlignment="1">
      <alignment horizontal="center"/>
    </xf>
    <xf numFmtId="4" fontId="0" fillId="0" borderId="0" xfId="0" applyNumberFormat="1" applyFill="1"/>
    <xf numFmtId="0" fontId="3" fillId="39" borderId="0" xfId="0" applyFont="1" applyFill="1" applyBorder="1" applyAlignment="1">
      <alignment horizontal="center"/>
    </xf>
    <xf numFmtId="0" fontId="3" fillId="33" borderId="37" xfId="0" applyFont="1" applyFill="1" applyBorder="1" applyAlignment="1">
      <alignment horizontal="center" vertical="center"/>
    </xf>
    <xf numFmtId="3" fontId="91" fillId="0" borderId="98" xfId="0" applyNumberFormat="1" applyFont="1" applyFill="1" applyBorder="1" applyAlignment="1">
      <alignment horizontal="center"/>
    </xf>
    <xf numFmtId="3" fontId="91" fillId="0" borderId="99" xfId="0" applyNumberFormat="1" applyFont="1" applyFill="1" applyBorder="1" applyAlignment="1">
      <alignment horizontal="center"/>
    </xf>
    <xf numFmtId="3" fontId="91" fillId="0" borderId="100" xfId="0" applyNumberFormat="1" applyFont="1" applyFill="1" applyBorder="1" applyAlignment="1">
      <alignment horizontal="center"/>
    </xf>
    <xf numFmtId="3" fontId="91" fillId="0" borderId="108" xfId="0" applyNumberFormat="1" applyFont="1" applyFill="1" applyBorder="1" applyAlignment="1">
      <alignment horizontal="center"/>
    </xf>
    <xf numFmtId="3" fontId="91" fillId="32" borderId="108" xfId="0" applyNumberFormat="1" applyFont="1" applyFill="1" applyBorder="1" applyAlignment="1">
      <alignment horizontal="center"/>
    </xf>
    <xf numFmtId="3" fontId="91" fillId="0" borderId="107" xfId="0" applyNumberFormat="1" applyFont="1" applyFill="1" applyBorder="1" applyAlignment="1">
      <alignment horizontal="center"/>
    </xf>
    <xf numFmtId="0" fontId="0" fillId="38" borderId="0" xfId="0" applyFill="1"/>
    <xf numFmtId="0" fontId="91" fillId="38" borderId="0" xfId="0" applyFont="1" applyFill="1" applyAlignment="1">
      <alignment horizontal="right"/>
    </xf>
    <xf numFmtId="3" fontId="91" fillId="38" borderId="0" xfId="0" applyNumberFormat="1" applyFont="1" applyFill="1"/>
    <xf numFmtId="3" fontId="91" fillId="36" borderId="0" xfId="0" applyNumberFormat="1" applyFont="1" applyFill="1" applyBorder="1" applyAlignment="1">
      <alignment horizontal="center"/>
    </xf>
    <xf numFmtId="3" fontId="91" fillId="0" borderId="0" xfId="0" applyNumberFormat="1" applyFont="1" applyFill="1" applyBorder="1" applyAlignment="1">
      <alignment horizontal="center"/>
    </xf>
    <xf numFmtId="0" fontId="91" fillId="32" borderId="0" xfId="0" applyFont="1" applyFill="1"/>
    <xf numFmtId="0" fontId="0" fillId="32" borderId="0" xfId="0" applyFill="1"/>
    <xf numFmtId="0" fontId="91" fillId="32" borderId="0" xfId="0" applyFont="1" applyFill="1" applyAlignment="1">
      <alignment horizontal="right"/>
    </xf>
    <xf numFmtId="3" fontId="91" fillId="32" borderId="0" xfId="0" applyNumberFormat="1" applyFont="1" applyFill="1"/>
    <xf numFmtId="183" fontId="0" fillId="0" borderId="0" xfId="0" applyNumberFormat="1"/>
    <xf numFmtId="0" fontId="3" fillId="41" borderId="147" xfId="0" applyFont="1" applyFill="1" applyBorder="1" applyAlignment="1">
      <alignment horizontal="center" vertical="center"/>
    </xf>
    <xf numFmtId="0" fontId="0" fillId="0" borderId="0" xfId="0" applyBorder="1"/>
    <xf numFmtId="0" fontId="3" fillId="0" borderId="115" xfId="0" applyFont="1" applyFill="1" applyBorder="1" applyAlignment="1">
      <alignment horizontal="center" vertical="center" wrapText="1"/>
    </xf>
    <xf numFmtId="0" fontId="3" fillId="41" borderId="115" xfId="0" applyFont="1" applyFill="1" applyBorder="1" applyAlignment="1">
      <alignment horizontal="center" vertical="center" wrapText="1"/>
    </xf>
    <xf numFmtId="0" fontId="1" fillId="42" borderId="150" xfId="0" applyFont="1" applyFill="1" applyBorder="1" applyAlignment="1">
      <alignment vertical="center"/>
    </xf>
    <xf numFmtId="0" fontId="0" fillId="42" borderId="115" xfId="0" applyFill="1" applyBorder="1" applyAlignment="1">
      <alignment horizontal="center" vertical="center"/>
    </xf>
    <xf numFmtId="3" fontId="0" fillId="42" borderId="115" xfId="0" applyNumberFormat="1" applyFill="1" applyBorder="1" applyAlignment="1">
      <alignment horizontal="center" vertical="center"/>
    </xf>
    <xf numFmtId="0" fontId="0" fillId="41" borderId="115" xfId="0" applyFill="1" applyBorder="1" applyAlignment="1">
      <alignment horizontal="center" vertical="center"/>
    </xf>
    <xf numFmtId="3" fontId="0" fillId="41" borderId="115" xfId="0" applyNumberFormat="1" applyFill="1" applyBorder="1" applyAlignment="1">
      <alignment horizontal="center" vertical="center"/>
    </xf>
    <xf numFmtId="3" fontId="93" fillId="0" borderId="0" xfId="0" applyNumberFormat="1" applyFont="1" applyFill="1" applyBorder="1" applyAlignment="1">
      <alignment horizontal="center" vertical="center"/>
    </xf>
    <xf numFmtId="173" fontId="4" fillId="0" borderId="0" xfId="0" applyNumberFormat="1" applyFont="1" applyFill="1" applyBorder="1" applyAlignment="1">
      <alignment horizontal="right"/>
    </xf>
    <xf numFmtId="10" fontId="91" fillId="0" borderId="0" xfId="0" applyNumberFormat="1" applyFont="1" applyFill="1" applyBorder="1"/>
    <xf numFmtId="0" fontId="7" fillId="42" borderId="150" xfId="0" applyFont="1" applyFill="1" applyBorder="1" applyAlignment="1">
      <alignment vertical="center"/>
    </xf>
    <xf numFmtId="3" fontId="3" fillId="42" borderId="115" xfId="0" applyNumberFormat="1" applyFont="1" applyFill="1" applyBorder="1" applyAlignment="1">
      <alignment horizontal="center" vertical="center"/>
    </xf>
    <xf numFmtId="3" fontId="3" fillId="41" borderId="115" xfId="0" applyNumberFormat="1" applyFont="1" applyFill="1" applyBorder="1" applyAlignment="1">
      <alignment horizontal="center" vertical="center"/>
    </xf>
    <xf numFmtId="0" fontId="91" fillId="30" borderId="0" xfId="0" applyFont="1" applyFill="1" applyAlignment="1"/>
    <xf numFmtId="0" fontId="0" fillId="30" borderId="0" xfId="0" applyFill="1" applyAlignment="1"/>
    <xf numFmtId="0" fontId="3" fillId="43" borderId="147" xfId="0" applyFont="1" applyFill="1" applyBorder="1" applyAlignment="1">
      <alignment horizontal="center" vertical="center"/>
    </xf>
    <xf numFmtId="0" fontId="3" fillId="30" borderId="115" xfId="0" applyFont="1" applyFill="1" applyBorder="1" applyAlignment="1">
      <alignment horizontal="center" vertical="center" wrapText="1"/>
    </xf>
    <xf numFmtId="3" fontId="0" fillId="37" borderId="115" xfId="0" applyNumberFormat="1" applyFill="1" applyBorder="1" applyAlignment="1">
      <alignment horizontal="center" vertical="center"/>
    </xf>
    <xf numFmtId="3" fontId="0" fillId="40" borderId="115" xfId="0" applyNumberFormat="1" applyFill="1" applyBorder="1" applyAlignment="1">
      <alignment horizontal="center" vertical="center"/>
    </xf>
    <xf numFmtId="3" fontId="0" fillId="44" borderId="115" xfId="0" applyNumberFormat="1" applyFill="1" applyBorder="1" applyAlignment="1">
      <alignment horizontal="center" vertical="center"/>
    </xf>
    <xf numFmtId="3" fontId="0" fillId="33" borderId="115" xfId="0" applyNumberFormat="1" applyFill="1" applyBorder="1" applyAlignment="1">
      <alignment horizontal="center" vertical="center"/>
    </xf>
    <xf numFmtId="3" fontId="0" fillId="45" borderId="115" xfId="0" applyNumberFormat="1" applyFill="1" applyBorder="1" applyAlignment="1">
      <alignment horizontal="center" vertical="center"/>
    </xf>
    <xf numFmtId="3" fontId="0" fillId="35" borderId="115" xfId="0" applyNumberFormat="1" applyFill="1" applyBorder="1" applyAlignment="1">
      <alignment horizontal="center" vertical="center"/>
    </xf>
    <xf numFmtId="3" fontId="0" fillId="46" borderId="115" xfId="0" applyNumberFormat="1" applyFill="1" applyBorder="1" applyAlignment="1">
      <alignment horizontal="center" vertical="center"/>
    </xf>
    <xf numFmtId="3" fontId="0" fillId="0" borderId="115" xfId="0" applyNumberFormat="1" applyFill="1" applyBorder="1" applyAlignment="1">
      <alignment horizontal="center" vertical="center"/>
    </xf>
    <xf numFmtId="3" fontId="0" fillId="39" borderId="115" xfId="0" applyNumberFormat="1" applyFill="1" applyBorder="1" applyAlignment="1">
      <alignment horizontal="center" vertical="center"/>
    </xf>
    <xf numFmtId="0" fontId="91" fillId="39" borderId="0" xfId="0" applyFont="1" applyFill="1"/>
    <xf numFmtId="0" fontId="0" fillId="39" borderId="0" xfId="0" applyFill="1"/>
    <xf numFmtId="3" fontId="91" fillId="0" borderId="0" xfId="0" applyNumberFormat="1" applyFont="1" applyBorder="1" applyAlignment="1">
      <alignment horizontal="center"/>
    </xf>
    <xf numFmtId="0" fontId="91" fillId="39" borderId="0" xfId="0" applyFont="1" applyFill="1" applyAlignment="1">
      <alignment vertical="center"/>
    </xf>
    <xf numFmtId="0" fontId="0" fillId="39" borderId="0" xfId="0" applyFill="1" applyAlignment="1">
      <alignment vertical="center"/>
    </xf>
    <xf numFmtId="0" fontId="0" fillId="39" borderId="0" xfId="0" applyFill="1" applyBorder="1"/>
    <xf numFmtId="3" fontId="91" fillId="39" borderId="0" xfId="0" applyNumberFormat="1" applyFont="1" applyFill="1" applyBorder="1" applyAlignment="1">
      <alignment horizontal="center"/>
    </xf>
    <xf numFmtId="0" fontId="91" fillId="0" borderId="37" xfId="0" applyFont="1" applyBorder="1"/>
    <xf numFmtId="0" fontId="91" fillId="0" borderId="10" xfId="0" applyFont="1" applyBorder="1"/>
    <xf numFmtId="0" fontId="91" fillId="41" borderId="37" xfId="0" applyFont="1" applyFill="1" applyBorder="1"/>
    <xf numFmtId="2" fontId="91" fillId="41" borderId="37" xfId="0" applyNumberFormat="1" applyFont="1" applyFill="1" applyBorder="1"/>
    <xf numFmtId="2" fontId="91" fillId="0" borderId="37" xfId="0" applyNumberFormat="1" applyFont="1" applyFill="1" applyBorder="1"/>
    <xf numFmtId="0" fontId="91" fillId="41" borderId="0" xfId="0" applyFont="1" applyFill="1"/>
    <xf numFmtId="10" fontId="91" fillId="41" borderId="37" xfId="0" applyNumberFormat="1" applyFont="1" applyFill="1" applyBorder="1"/>
    <xf numFmtId="0" fontId="91" fillId="37" borderId="0" xfId="0" applyFont="1" applyFill="1"/>
    <xf numFmtId="0" fontId="91" fillId="37" borderId="37" xfId="0" applyFont="1" applyFill="1" applyBorder="1"/>
    <xf numFmtId="2" fontId="91" fillId="37" borderId="37" xfId="0" applyNumberFormat="1" applyFont="1" applyFill="1" applyBorder="1" applyAlignment="1">
      <alignment horizontal="right"/>
    </xf>
    <xf numFmtId="2" fontId="91" fillId="37" borderId="37" xfId="0" applyNumberFormat="1" applyFont="1" applyFill="1" applyBorder="1"/>
    <xf numFmtId="2" fontId="91" fillId="0" borderId="37" xfId="0" applyNumberFormat="1" applyFont="1" applyFill="1" applyBorder="1" applyAlignment="1">
      <alignment horizontal="right"/>
    </xf>
    <xf numFmtId="0" fontId="91" fillId="45" borderId="0" xfId="0" applyFont="1" applyFill="1"/>
    <xf numFmtId="10" fontId="91" fillId="37" borderId="37" xfId="0" applyNumberFormat="1" applyFont="1" applyFill="1" applyBorder="1" applyAlignment="1">
      <alignment horizontal="center"/>
    </xf>
    <xf numFmtId="10" fontId="91" fillId="37" borderId="37" xfId="0" applyNumberFormat="1" applyFont="1" applyFill="1" applyBorder="1"/>
    <xf numFmtId="0" fontId="91" fillId="40" borderId="0" xfId="0" applyFont="1" applyFill="1"/>
    <xf numFmtId="0" fontId="91" fillId="45" borderId="37" xfId="0" applyFont="1" applyFill="1" applyBorder="1"/>
    <xf numFmtId="0" fontId="91" fillId="45" borderId="37" xfId="0" applyFont="1" applyFill="1" applyBorder="1" applyAlignment="1">
      <alignment horizontal="center"/>
    </xf>
    <xf numFmtId="2" fontId="91" fillId="45" borderId="37" xfId="0" applyNumberFormat="1" applyFont="1" applyFill="1" applyBorder="1" applyAlignment="1">
      <alignment horizontal="right"/>
    </xf>
    <xf numFmtId="2" fontId="91" fillId="45" borderId="37" xfId="0" applyNumberFormat="1" applyFont="1" applyFill="1" applyBorder="1"/>
    <xf numFmtId="0" fontId="91" fillId="0" borderId="37" xfId="0" applyFont="1" applyFill="1" applyBorder="1" applyAlignment="1">
      <alignment horizontal="center"/>
    </xf>
    <xf numFmtId="10" fontId="91" fillId="45" borderId="37" xfId="0" applyNumberFormat="1" applyFont="1" applyFill="1" applyBorder="1" applyAlignment="1">
      <alignment horizontal="center"/>
    </xf>
    <xf numFmtId="10" fontId="91" fillId="45" borderId="37" xfId="0" applyNumberFormat="1" applyFont="1" applyFill="1" applyBorder="1"/>
    <xf numFmtId="0" fontId="91" fillId="40" borderId="37" xfId="0" applyFont="1" applyFill="1" applyBorder="1"/>
    <xf numFmtId="2" fontId="91" fillId="40" borderId="37" xfId="0" applyNumberFormat="1" applyFont="1" applyFill="1" applyBorder="1" applyAlignment="1">
      <alignment horizontal="right"/>
    </xf>
    <xf numFmtId="10" fontId="91" fillId="40" borderId="37" xfId="0" applyNumberFormat="1" applyFont="1" applyFill="1" applyBorder="1" applyAlignment="1">
      <alignment horizontal="center"/>
    </xf>
    <xf numFmtId="10" fontId="91" fillId="40" borderId="37" xfId="0" applyNumberFormat="1" applyFont="1" applyFill="1" applyBorder="1"/>
    <xf numFmtId="0" fontId="91" fillId="0" borderId="37" xfId="0" applyFont="1" applyFill="1" applyBorder="1"/>
    <xf numFmtId="10" fontId="91" fillId="0" borderId="34" xfId="0" applyNumberFormat="1" applyFont="1" applyFill="1" applyBorder="1" applyAlignment="1">
      <alignment horizontal="center"/>
    </xf>
    <xf numFmtId="10" fontId="91" fillId="0" borderId="35" xfId="0" applyNumberFormat="1" applyFont="1" applyFill="1" applyBorder="1" applyAlignment="1">
      <alignment horizontal="center"/>
    </xf>
    <xf numFmtId="10" fontId="91" fillId="0" borderId="35" xfId="0" applyNumberFormat="1" applyFont="1" applyFill="1" applyBorder="1"/>
    <xf numFmtId="10" fontId="91" fillId="0" borderId="36" xfId="0" applyNumberFormat="1" applyFont="1" applyFill="1" applyBorder="1"/>
    <xf numFmtId="10" fontId="91" fillId="0" borderId="0" xfId="0" applyNumberFormat="1" applyFont="1" applyFill="1" applyBorder="1" applyAlignment="1">
      <alignment horizontal="center"/>
    </xf>
    <xf numFmtId="0" fontId="91" fillId="37" borderId="37" xfId="0" applyFont="1" applyFill="1" applyBorder="1" applyAlignment="1">
      <alignment horizontal="center"/>
    </xf>
    <xf numFmtId="0" fontId="94" fillId="0" borderId="0" xfId="0" applyFont="1" applyAlignment="1">
      <alignment horizontal="left"/>
    </xf>
    <xf numFmtId="0" fontId="86" fillId="0" borderId="0" xfId="0" applyFont="1" applyAlignment="1">
      <alignment horizontal="right"/>
    </xf>
    <xf numFmtId="184" fontId="94" fillId="0" borderId="0" xfId="0" applyNumberFormat="1" applyFont="1"/>
    <xf numFmtId="172" fontId="0" fillId="0" borderId="0" xfId="0" applyNumberFormat="1" applyFill="1"/>
    <xf numFmtId="184" fontId="95" fillId="0" borderId="0" xfId="0" applyNumberFormat="1" applyFont="1"/>
    <xf numFmtId="0" fontId="85" fillId="0" borderId="0" xfId="0" quotePrefix="1" applyFont="1" applyAlignment="1">
      <alignment horizontal="center"/>
    </xf>
    <xf numFmtId="172" fontId="85" fillId="0" borderId="0" xfId="0" quotePrefix="1" applyNumberFormat="1" applyFont="1" applyAlignment="1">
      <alignment horizontal="center"/>
    </xf>
    <xf numFmtId="172" fontId="94" fillId="0" borderId="0" xfId="0" applyNumberFormat="1" applyFont="1" applyFill="1"/>
    <xf numFmtId="172" fontId="0" fillId="30" borderId="0" xfId="0" applyNumberFormat="1" applyFill="1"/>
    <xf numFmtId="172" fontId="85" fillId="30" borderId="0" xfId="0" quotePrefix="1" applyNumberFormat="1" applyFont="1" applyFill="1" applyAlignment="1">
      <alignment horizontal="center"/>
    </xf>
    <xf numFmtId="172" fontId="0" fillId="0" borderId="0" xfId="0" applyNumberFormat="1"/>
    <xf numFmtId="172" fontId="91" fillId="0" borderId="37" xfId="0" applyNumberFormat="1" applyFont="1" applyBorder="1"/>
    <xf numFmtId="172" fontId="94" fillId="39" borderId="0" xfId="0" applyNumberFormat="1" applyFont="1" applyFill="1"/>
    <xf numFmtId="184" fontId="0" fillId="0" borderId="0" xfId="0" applyNumberFormat="1"/>
    <xf numFmtId="0" fontId="0" fillId="30" borderId="0" xfId="0" applyFill="1"/>
    <xf numFmtId="0" fontId="85" fillId="30" borderId="0" xfId="0" quotePrefix="1" applyFont="1" applyFill="1" applyAlignment="1">
      <alignment horizontal="center"/>
    </xf>
    <xf numFmtId="0" fontId="96" fillId="39" borderId="0" xfId="0" applyFont="1" applyFill="1" applyAlignment="1">
      <alignment horizontal="left"/>
    </xf>
    <xf numFmtId="0" fontId="96" fillId="39" borderId="0" xfId="0" applyFont="1" applyFill="1"/>
    <xf numFmtId="0" fontId="14" fillId="0" borderId="0" xfId="0" applyFont="1" applyAlignment="1">
      <alignment horizontal="left"/>
    </xf>
    <xf numFmtId="0" fontId="14" fillId="0" borderId="0" xfId="0" applyFont="1"/>
    <xf numFmtId="43" fontId="14" fillId="0" borderId="0" xfId="40" applyFont="1"/>
    <xf numFmtId="0" fontId="0" fillId="0" borderId="0" xfId="0" applyAlignment="1">
      <alignment horizontal="left"/>
    </xf>
    <xf numFmtId="164" fontId="0" fillId="0" borderId="0" xfId="40" applyNumberFormat="1" applyFont="1"/>
    <xf numFmtId="164" fontId="0" fillId="0" borderId="0" xfId="0" applyNumberFormat="1"/>
    <xf numFmtId="164" fontId="3" fillId="0" borderId="0" xfId="0" applyNumberFormat="1" applyFont="1"/>
    <xf numFmtId="0" fontId="14" fillId="0" borderId="0" xfId="0" applyFont="1" applyFill="1" applyAlignment="1">
      <alignment horizontal="left"/>
    </xf>
    <xf numFmtId="166" fontId="14" fillId="0" borderId="0" xfId="0" applyNumberFormat="1" applyFont="1"/>
    <xf numFmtId="0" fontId="14" fillId="0" borderId="94" xfId="0" applyFont="1" applyBorder="1"/>
    <xf numFmtId="0" fontId="14" fillId="0" borderId="125" xfId="0" applyFont="1" applyFill="1" applyBorder="1" applyAlignment="1">
      <alignment horizontal="left"/>
    </xf>
    <xf numFmtId="0" fontId="14" fillId="0" borderId="125" xfId="0" applyFont="1" applyBorder="1"/>
    <xf numFmtId="0" fontId="14" fillId="0" borderId="95" xfId="0" quotePrefix="1" applyFont="1" applyBorder="1" applyAlignment="1">
      <alignment horizontal="center"/>
    </xf>
    <xf numFmtId="0" fontId="14" fillId="0" borderId="131" xfId="0" quotePrefix="1" applyFont="1" applyBorder="1" applyAlignment="1">
      <alignment horizontal="center"/>
    </xf>
    <xf numFmtId="0" fontId="14" fillId="0" borderId="130" xfId="0" quotePrefix="1" applyFont="1" applyBorder="1" applyAlignment="1">
      <alignment horizontal="center"/>
    </xf>
    <xf numFmtId="0" fontId="14" fillId="29" borderId="135" xfId="0" quotePrefix="1" applyFont="1" applyFill="1" applyBorder="1" applyAlignment="1">
      <alignment horizontal="center"/>
    </xf>
    <xf numFmtId="0" fontId="14" fillId="0" borderId="134" xfId="0" quotePrefix="1" applyFont="1" applyBorder="1" applyAlignment="1">
      <alignment horizontal="center"/>
    </xf>
    <xf numFmtId="0" fontId="14" fillId="0" borderId="135" xfId="0" quotePrefix="1" applyFont="1" applyBorder="1" applyAlignment="1">
      <alignment horizontal="center"/>
    </xf>
    <xf numFmtId="0" fontId="14" fillId="32" borderId="135" xfId="0" quotePrefix="1" applyFont="1" applyFill="1" applyBorder="1" applyAlignment="1">
      <alignment horizontal="center" wrapText="1"/>
    </xf>
    <xf numFmtId="0" fontId="14" fillId="0" borderId="96" xfId="0" applyFont="1" applyBorder="1" applyAlignment="1">
      <alignment horizontal="center"/>
    </xf>
    <xf numFmtId="0" fontId="14" fillId="0" borderId="119" xfId="0" applyFont="1" applyFill="1" applyBorder="1" applyAlignment="1">
      <alignment horizontal="left"/>
    </xf>
    <xf numFmtId="0" fontId="14" fillId="0" borderId="119" xfId="0" applyFont="1" applyBorder="1" applyAlignment="1">
      <alignment horizontal="center"/>
    </xf>
    <xf numFmtId="169" fontId="14" fillId="0" borderId="97" xfId="0" applyNumberFormat="1" applyFont="1" applyBorder="1" applyAlignment="1">
      <alignment horizontal="center"/>
    </xf>
    <xf numFmtId="169" fontId="14" fillId="0" borderId="119" xfId="40" applyNumberFormat="1" applyFont="1" applyBorder="1" applyAlignment="1">
      <alignment horizontal="center"/>
    </xf>
    <xf numFmtId="169" fontId="14" fillId="0" borderId="119" xfId="0" applyNumberFormat="1" applyFont="1" applyBorder="1" applyAlignment="1">
      <alignment horizontal="center"/>
    </xf>
    <xf numFmtId="169" fontId="14" fillId="0" borderId="118" xfId="0" applyNumberFormat="1" applyFont="1" applyBorder="1" applyAlignment="1">
      <alignment horizontal="center"/>
    </xf>
    <xf numFmtId="169" fontId="14" fillId="29" borderId="140" xfId="0" applyNumberFormat="1" applyFont="1" applyFill="1" applyBorder="1" applyAlignment="1">
      <alignment horizontal="center"/>
    </xf>
    <xf numFmtId="169" fontId="14" fillId="0" borderId="145" xfId="40" applyNumberFormat="1" applyFont="1" applyBorder="1" applyAlignment="1">
      <alignment horizontal="center"/>
    </xf>
    <xf numFmtId="169" fontId="14" fillId="32" borderId="140" xfId="0" applyNumberFormat="1" applyFont="1" applyFill="1" applyBorder="1" applyAlignment="1">
      <alignment horizontal="center" wrapText="1"/>
    </xf>
    <xf numFmtId="43" fontId="0" fillId="0" borderId="0" xfId="40" applyFont="1"/>
    <xf numFmtId="43" fontId="0" fillId="29" borderId="111" xfId="40" applyFont="1" applyFill="1" applyBorder="1"/>
    <xf numFmtId="0" fontId="0" fillId="29" borderId="111" xfId="0" applyFill="1" applyBorder="1"/>
    <xf numFmtId="0" fontId="0" fillId="32" borderId="133" xfId="0" applyFill="1" applyBorder="1"/>
    <xf numFmtId="0" fontId="0" fillId="0" borderId="0" xfId="0" applyBorder="1" applyAlignment="1"/>
    <xf numFmtId="164" fontId="0" fillId="0" borderId="0" xfId="0" applyNumberFormat="1" applyAlignment="1">
      <alignment horizontal="left"/>
    </xf>
    <xf numFmtId="164" fontId="3" fillId="29" borderId="111" xfId="40" applyNumberFormat="1" applyFont="1" applyFill="1" applyBorder="1"/>
    <xf numFmtId="164" fontId="3" fillId="29" borderId="111" xfId="0" applyNumberFormat="1" applyFont="1" applyFill="1" applyBorder="1"/>
    <xf numFmtId="164" fontId="3" fillId="0" borderId="111" xfId="0" applyNumberFormat="1" applyFont="1" applyBorder="1"/>
    <xf numFmtId="0" fontId="0" fillId="0" borderId="0" xfId="0" applyBorder="1" applyAlignment="1">
      <alignment horizontal="left"/>
    </xf>
    <xf numFmtId="164" fontId="0" fillId="0" borderId="0" xfId="0" applyNumberFormat="1" applyBorder="1"/>
    <xf numFmtId="0" fontId="0" fillId="0" borderId="0" xfId="0" applyFill="1" applyBorder="1"/>
    <xf numFmtId="43" fontId="0" fillId="0" borderId="0" xfId="40" applyFont="1" applyBorder="1"/>
    <xf numFmtId="0" fontId="0" fillId="0" borderId="6" xfId="0" applyBorder="1"/>
    <xf numFmtId="0" fontId="0" fillId="0" borderId="6" xfId="0" applyBorder="1" applyAlignment="1">
      <alignment horizontal="left"/>
    </xf>
    <xf numFmtId="0" fontId="0" fillId="0" borderId="114" xfId="0" applyBorder="1"/>
    <xf numFmtId="43" fontId="0" fillId="0" borderId="6" xfId="40" applyFont="1" applyBorder="1"/>
    <xf numFmtId="164" fontId="0" fillId="0" borderId="6" xfId="0" applyNumberFormat="1" applyBorder="1" applyAlignment="1">
      <alignment horizontal="left"/>
    </xf>
    <xf numFmtId="164" fontId="3" fillId="29" borderId="136" xfId="40" applyNumberFormat="1" applyFont="1" applyFill="1" applyBorder="1"/>
    <xf numFmtId="164" fontId="3" fillId="29" borderId="136" xfId="0" applyNumberFormat="1" applyFont="1" applyFill="1" applyBorder="1"/>
    <xf numFmtId="164" fontId="0" fillId="0" borderId="126" xfId="40" applyNumberFormat="1" applyFont="1" applyBorder="1"/>
    <xf numFmtId="164" fontId="0" fillId="0" borderId="126" xfId="0" applyNumberFormat="1" applyBorder="1"/>
    <xf numFmtId="164" fontId="3" fillId="0" borderId="116" xfId="0" applyNumberFormat="1" applyFont="1" applyBorder="1"/>
    <xf numFmtId="164" fontId="0" fillId="0" borderId="0" xfId="40" applyNumberFormat="1" applyFont="1" applyBorder="1"/>
    <xf numFmtId="164" fontId="0" fillId="29" borderId="111" xfId="40" applyNumberFormat="1" applyFont="1" applyFill="1" applyBorder="1"/>
    <xf numFmtId="0" fontId="0" fillId="32" borderId="111" xfId="0" applyFill="1" applyBorder="1"/>
    <xf numFmtId="0" fontId="14" fillId="0" borderId="0" xfId="0" applyFont="1" applyBorder="1"/>
    <xf numFmtId="43" fontId="14" fillId="0" borderId="0" xfId="40" applyNumberFormat="1" applyFont="1"/>
    <xf numFmtId="164" fontId="14" fillId="0" borderId="0" xfId="40" applyNumberFormat="1" applyFont="1"/>
    <xf numFmtId="164" fontId="14" fillId="29" borderId="116" xfId="40" applyNumberFormat="1" applyFont="1" applyFill="1" applyBorder="1"/>
    <xf numFmtId="164" fontId="14" fillId="0" borderId="0" xfId="0" applyNumberFormat="1" applyFont="1"/>
    <xf numFmtId="164" fontId="3" fillId="32" borderId="116" xfId="0" applyNumberFormat="1" applyFont="1" applyFill="1" applyBorder="1"/>
    <xf numFmtId="43" fontId="14" fillId="0" borderId="95" xfId="40" quotePrefix="1" applyFont="1" applyBorder="1" applyAlignment="1">
      <alignment horizontal="center"/>
    </xf>
    <xf numFmtId="0" fontId="14" fillId="0" borderId="133" xfId="0" quotePrefix="1" applyFont="1" applyFill="1" applyBorder="1" applyAlignment="1">
      <alignment horizontal="center"/>
    </xf>
    <xf numFmtId="43" fontId="14" fillId="0" borderId="97" xfId="40" applyFont="1" applyBorder="1" applyAlignment="1">
      <alignment horizontal="center"/>
    </xf>
    <xf numFmtId="169" fontId="14" fillId="0" borderId="111" xfId="0" applyNumberFormat="1" applyFont="1" applyFill="1" applyBorder="1" applyAlignment="1">
      <alignment horizontal="center"/>
    </xf>
    <xf numFmtId="0" fontId="0" fillId="0" borderId="111" xfId="0" applyFill="1" applyBorder="1"/>
    <xf numFmtId="164" fontId="3" fillId="0" borderId="111" xfId="0" applyNumberFormat="1" applyFont="1" applyFill="1" applyBorder="1"/>
    <xf numFmtId="0" fontId="0" fillId="0" borderId="114" xfId="0" applyBorder="1" applyAlignment="1">
      <alignment horizontal="left"/>
    </xf>
    <xf numFmtId="43" fontId="0" fillId="0" borderId="114" xfId="40" applyFont="1" applyBorder="1"/>
    <xf numFmtId="164" fontId="0" fillId="0" borderId="114" xfId="40" applyNumberFormat="1" applyFont="1" applyBorder="1"/>
    <xf numFmtId="164" fontId="0" fillId="29" borderId="116" xfId="40" applyNumberFormat="1" applyFont="1" applyFill="1" applyBorder="1"/>
    <xf numFmtId="164" fontId="0" fillId="0" borderId="114" xfId="0" applyNumberFormat="1" applyBorder="1"/>
    <xf numFmtId="164" fontId="0" fillId="0" borderId="113" xfId="0" applyNumberFormat="1" applyBorder="1"/>
    <xf numFmtId="164" fontId="3" fillId="0" borderId="116" xfId="0" applyNumberFormat="1" applyFont="1" applyFill="1" applyBorder="1"/>
    <xf numFmtId="0" fontId="15" fillId="0" borderId="0" xfId="0" applyFont="1" applyFill="1" applyBorder="1"/>
    <xf numFmtId="164" fontId="14" fillId="0" borderId="0" xfId="0" applyNumberFormat="1" applyFont="1" applyAlignment="1">
      <alignment horizontal="left"/>
    </xf>
    <xf numFmtId="164" fontId="14" fillId="0" borderId="6" xfId="40" applyNumberFormat="1" applyFont="1" applyBorder="1"/>
    <xf numFmtId="164" fontId="14" fillId="0" borderId="126" xfId="0" applyNumberFormat="1" applyFont="1" applyBorder="1"/>
    <xf numFmtId="164" fontId="14" fillId="0" borderId="6" xfId="0" applyNumberFormat="1" applyFont="1" applyBorder="1"/>
    <xf numFmtId="164" fontId="0" fillId="0" borderId="50" xfId="40" applyNumberFormat="1" applyFont="1" applyFill="1" applyBorder="1"/>
    <xf numFmtId="0" fontId="14" fillId="0" borderId="135" xfId="0" quotePrefix="1" applyFont="1" applyFill="1" applyBorder="1" applyAlignment="1">
      <alignment horizontal="center" wrapText="1"/>
    </xf>
    <xf numFmtId="164" fontId="0" fillId="0" borderId="0" xfId="40" applyNumberFormat="1" applyFont="1" applyFill="1" applyBorder="1"/>
    <xf numFmtId="169" fontId="14" fillId="0" borderId="140" xfId="0" applyNumberFormat="1" applyFont="1" applyFill="1" applyBorder="1" applyAlignment="1">
      <alignment horizontal="center" wrapText="1"/>
    </xf>
    <xf numFmtId="164" fontId="0" fillId="0" borderId="0" xfId="0" applyNumberFormat="1" applyFill="1"/>
    <xf numFmtId="164" fontId="0" fillId="0" borderId="0" xfId="0" applyNumberFormat="1" applyFill="1" applyAlignment="1">
      <alignment horizontal="left"/>
    </xf>
    <xf numFmtId="164" fontId="14" fillId="0" borderId="114" xfId="40" applyNumberFormat="1" applyFont="1" applyFill="1" applyBorder="1" applyAlignment="1">
      <alignment horizontal="right"/>
    </xf>
    <xf numFmtId="164" fontId="0" fillId="0" borderId="151" xfId="40" applyNumberFormat="1" applyFont="1" applyFill="1" applyBorder="1"/>
    <xf numFmtId="164" fontId="14" fillId="0" borderId="0" xfId="40" applyNumberFormat="1" applyFont="1" applyFill="1" applyBorder="1" applyAlignment="1">
      <alignment horizontal="right"/>
    </xf>
    <xf numFmtId="164" fontId="14" fillId="0" borderId="151" xfId="40" applyNumberFormat="1" applyFont="1" applyFill="1" applyBorder="1" applyAlignment="1">
      <alignment horizontal="right"/>
    </xf>
    <xf numFmtId="164" fontId="0" fillId="0" borderId="151" xfId="0" applyNumberFormat="1" applyFill="1" applyBorder="1"/>
    <xf numFmtId="164" fontId="0" fillId="0" borderId="0" xfId="40" applyNumberFormat="1" applyFont="1" applyFill="1"/>
    <xf numFmtId="164" fontId="0" fillId="0" borderId="0" xfId="0" applyNumberFormat="1" applyFill="1" applyBorder="1" applyAlignment="1">
      <alignment horizontal="left"/>
    </xf>
    <xf numFmtId="164" fontId="14" fillId="0" borderId="0" xfId="40" applyNumberFormat="1" applyFont="1" applyFill="1"/>
    <xf numFmtId="164" fontId="14" fillId="0" borderId="0" xfId="40" applyNumberFormat="1" applyFont="1" applyFill="1" applyBorder="1"/>
    <xf numFmtId="164" fontId="85" fillId="0" borderId="0" xfId="0" applyNumberFormat="1" applyFont="1" applyFill="1" applyAlignment="1">
      <alignment wrapText="1"/>
    </xf>
    <xf numFmtId="164" fontId="0" fillId="0" borderId="0" xfId="40" applyNumberFormat="1" applyFont="1" applyFill="1" applyBorder="1" applyAlignment="1">
      <alignment horizontal="right"/>
    </xf>
    <xf numFmtId="164" fontId="3" fillId="0" borderId="0" xfId="0" applyNumberFormat="1" applyFont="1" applyFill="1"/>
    <xf numFmtId="164" fontId="0" fillId="32" borderId="0" xfId="40" applyNumberFormat="1" applyFont="1" applyFill="1" applyBorder="1"/>
    <xf numFmtId="164" fontId="0" fillId="32" borderId="152" xfId="40" applyNumberFormat="1" applyFont="1" applyFill="1" applyBorder="1"/>
    <xf numFmtId="164" fontId="3" fillId="32" borderId="152" xfId="40" applyNumberFormat="1" applyFont="1" applyFill="1" applyBorder="1"/>
    <xf numFmtId="164" fontId="3" fillId="40" borderId="108" xfId="0" applyNumberFormat="1" applyFont="1" applyFill="1" applyBorder="1"/>
    <xf numFmtId="174" fontId="0" fillId="0" borderId="0" xfId="0" applyNumberFormat="1"/>
    <xf numFmtId="174" fontId="3" fillId="34" borderId="0" xfId="0" applyNumberFormat="1" applyFont="1" applyFill="1"/>
    <xf numFmtId="168" fontId="3" fillId="0" borderId="0" xfId="0" applyNumberFormat="1" applyFont="1"/>
    <xf numFmtId="169" fontId="0" fillId="0" borderId="0" xfId="0" applyNumberFormat="1"/>
    <xf numFmtId="168" fontId="0" fillId="0" borderId="0" xfId="0" applyNumberFormat="1"/>
    <xf numFmtId="0" fontId="0" fillId="0" borderId="0" xfId="0" applyAlignment="1">
      <alignment wrapText="1"/>
    </xf>
    <xf numFmtId="0" fontId="85" fillId="0" borderId="0" xfId="0" applyFont="1"/>
    <xf numFmtId="168" fontId="0" fillId="0" borderId="127" xfId="0" applyNumberFormat="1" applyFill="1" applyBorder="1"/>
    <xf numFmtId="168" fontId="0" fillId="0" borderId="142" xfId="0" applyNumberFormat="1" applyFill="1" applyBorder="1"/>
    <xf numFmtId="168" fontId="0" fillId="47" borderId="132" xfId="0" applyNumberFormat="1" applyFill="1" applyBorder="1" applyAlignment="1">
      <alignment horizontal="center" vertical="center" wrapText="1"/>
    </xf>
    <xf numFmtId="168" fontId="0" fillId="47" borderId="135" xfId="0" applyNumberFormat="1" applyFill="1" applyBorder="1" applyAlignment="1">
      <alignment horizontal="center" vertical="center" wrapText="1"/>
    </xf>
    <xf numFmtId="0" fontId="0" fillId="47" borderId="94" xfId="0" applyFill="1" applyBorder="1" applyAlignment="1">
      <alignment horizontal="center" vertical="center" wrapText="1"/>
    </xf>
    <xf numFmtId="0" fontId="0" fillId="47" borderId="95" xfId="0" applyFill="1" applyBorder="1" applyAlignment="1">
      <alignment horizontal="center" vertical="center" wrapText="1"/>
    </xf>
    <xf numFmtId="0" fontId="0" fillId="47" borderId="112" xfId="0" applyFill="1" applyBorder="1" applyAlignment="1">
      <alignment horizontal="center" vertical="center" wrapText="1"/>
    </xf>
    <xf numFmtId="0" fontId="0" fillId="47" borderId="104" xfId="0" applyFill="1" applyBorder="1" applyAlignment="1">
      <alignment horizontal="center" vertical="center" wrapText="1"/>
    </xf>
    <xf numFmtId="4" fontId="0" fillId="0" borderId="103" xfId="0" applyNumberFormat="1" applyBorder="1"/>
    <xf numFmtId="4" fontId="0" fillId="0" borderId="104" xfId="0" applyNumberFormat="1" applyBorder="1"/>
    <xf numFmtId="4" fontId="0" fillId="0" borderId="96" xfId="0" applyNumberFormat="1" applyBorder="1"/>
    <xf numFmtId="4" fontId="0" fillId="0" borderId="97" xfId="0" applyNumberFormat="1" applyBorder="1"/>
    <xf numFmtId="0" fontId="3" fillId="0" borderId="98" xfId="0" applyFont="1" applyBorder="1"/>
    <xf numFmtId="169" fontId="3" fillId="0" borderId="99" xfId="0" applyNumberFormat="1" applyFont="1" applyBorder="1"/>
    <xf numFmtId="4" fontId="3" fillId="0" borderId="99" xfId="0" applyNumberFormat="1" applyFont="1" applyBorder="1"/>
    <xf numFmtId="4" fontId="3" fillId="0" borderId="100" xfId="0" applyNumberFormat="1" applyFont="1" applyBorder="1"/>
    <xf numFmtId="185" fontId="0" fillId="0" borderId="138" xfId="0" applyNumberFormat="1" applyFill="1" applyBorder="1"/>
    <xf numFmtId="185" fontId="0" fillId="0" borderId="140" xfId="0" applyNumberFormat="1" applyFill="1" applyBorder="1"/>
    <xf numFmtId="38" fontId="56" fillId="32" borderId="0" xfId="71" applyNumberFormat="1" applyFont="1" applyFill="1" applyBorder="1" applyAlignment="1">
      <alignment horizontal="center" vertical="center"/>
    </xf>
    <xf numFmtId="38" fontId="51" fillId="32" borderId="0" xfId="0" applyNumberFormat="1" applyFont="1" applyFill="1" applyBorder="1"/>
    <xf numFmtId="38" fontId="51" fillId="32" borderId="0" xfId="0" applyNumberFormat="1" applyFont="1" applyFill="1" applyBorder="1" applyAlignment="1">
      <alignment horizontal="center" vertical="center"/>
    </xf>
    <xf numFmtId="174" fontId="3" fillId="40" borderId="108" xfId="0" applyNumberFormat="1" applyFont="1" applyFill="1" applyBorder="1"/>
    <xf numFmtId="8" fontId="54" fillId="32" borderId="98" xfId="0" applyNumberFormat="1" applyFont="1" applyFill="1" applyBorder="1" applyAlignment="1">
      <alignment horizontal="center" vertical="center" wrapText="1"/>
    </xf>
    <xf numFmtId="8" fontId="52" fillId="32" borderId="99" xfId="0" applyNumberFormat="1" applyFont="1" applyFill="1" applyBorder="1" applyAlignment="1">
      <alignment horizontal="center" vertical="center"/>
    </xf>
    <xf numFmtId="8" fontId="52" fillId="32" borderId="100" xfId="0" applyNumberFormat="1" applyFont="1" applyFill="1" applyBorder="1" applyAlignment="1">
      <alignment horizontal="center" vertical="center"/>
    </xf>
    <xf numFmtId="8" fontId="52" fillId="32" borderId="153" xfId="0" applyNumberFormat="1" applyFont="1" applyFill="1" applyBorder="1" applyAlignment="1">
      <alignment horizontal="center" vertical="center"/>
    </xf>
    <xf numFmtId="8" fontId="54" fillId="32" borderId="121" xfId="0" applyNumberFormat="1" applyFont="1" applyFill="1" applyBorder="1" applyAlignment="1">
      <alignment horizontal="center" vertical="center" wrapText="1"/>
    </xf>
    <xf numFmtId="164" fontId="52" fillId="32" borderId="99" xfId="0" applyNumberFormat="1" applyFont="1" applyFill="1" applyBorder="1" applyAlignment="1">
      <alignment horizontal="center" vertical="center"/>
    </xf>
    <xf numFmtId="164" fontId="52" fillId="32" borderId="120" xfId="0" applyNumberFormat="1" applyFont="1" applyFill="1" applyBorder="1" applyAlignment="1">
      <alignment horizontal="center" vertical="center"/>
    </xf>
    <xf numFmtId="0" fontId="51" fillId="2" borderId="0" xfId="0" applyFont="1" applyFill="1" applyBorder="1" applyAlignment="1">
      <alignment horizontal="center" vertical="center" wrapText="1"/>
    </xf>
    <xf numFmtId="0" fontId="51" fillId="2" borderId="0" xfId="0" applyFont="1" applyFill="1" applyAlignment="1">
      <alignment horizont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3" fontId="10" fillId="2" borderId="39" xfId="0" applyNumberFormat="1" applyFont="1" applyFill="1" applyBorder="1" applyAlignment="1">
      <alignment horizontal="left" vertical="center"/>
    </xf>
    <xf numFmtId="3" fontId="10" fillId="2" borderId="81" xfId="0" applyNumberFormat="1" applyFont="1" applyFill="1" applyBorder="1" applyAlignment="1">
      <alignment horizontal="left" vertical="center"/>
    </xf>
    <xf numFmtId="3" fontId="10" fillId="2" borderId="0" xfId="0" applyNumberFormat="1" applyFont="1" applyFill="1" applyBorder="1" applyAlignment="1">
      <alignment horizontal="left" vertical="center"/>
    </xf>
    <xf numFmtId="0" fontId="60" fillId="27" borderId="34" xfId="53" applyFont="1" applyFill="1" applyBorder="1" applyAlignment="1">
      <alignment horizontal="center"/>
    </xf>
    <xf numFmtId="3" fontId="0" fillId="0" borderId="34" xfId="0" applyNumberFormat="1" applyFont="1" applyFill="1" applyBorder="1" applyAlignment="1">
      <alignment horizontal="center"/>
    </xf>
    <xf numFmtId="3" fontId="0" fillId="0" borderId="10" xfId="0" applyNumberFormat="1" applyFont="1" applyFill="1" applyBorder="1" applyAlignment="1">
      <alignment horizontal="center"/>
    </xf>
    <xf numFmtId="184" fontId="94" fillId="48" borderId="0" xfId="0" applyNumberFormat="1" applyFont="1" applyFill="1"/>
    <xf numFmtId="172" fontId="94" fillId="48" borderId="0" xfId="0" applyNumberFormat="1" applyFont="1" applyFill="1"/>
    <xf numFmtId="172" fontId="0" fillId="48" borderId="0" xfId="0" applyNumberFormat="1" applyFill="1"/>
    <xf numFmtId="0" fontId="85" fillId="48" borderId="0" xfId="0" quotePrefix="1" applyFont="1" applyFill="1" applyAlignment="1">
      <alignment horizontal="center"/>
    </xf>
    <xf numFmtId="0" fontId="94" fillId="0" borderId="0" xfId="0" applyFont="1"/>
    <xf numFmtId="172" fontId="85" fillId="48" borderId="0" xfId="0" quotePrefix="1" applyNumberFormat="1" applyFont="1" applyFill="1" applyAlignment="1">
      <alignment horizontal="center"/>
    </xf>
    <xf numFmtId="172" fontId="94" fillId="32" borderId="0" xfId="0" applyNumberFormat="1" applyFont="1" applyFill="1"/>
    <xf numFmtId="0" fontId="94" fillId="0" borderId="0" xfId="0" applyFont="1" applyFill="1"/>
    <xf numFmtId="0" fontId="91" fillId="48" borderId="0" xfId="0" applyFont="1" applyFill="1"/>
    <xf numFmtId="0" fontId="0" fillId="48" borderId="0" xfId="0" applyFill="1"/>
    <xf numFmtId="0" fontId="93" fillId="39" borderId="0" xfId="0" applyFont="1" applyFill="1" applyAlignment="1">
      <alignment horizontal="left"/>
    </xf>
    <xf numFmtId="0" fontId="91" fillId="0" borderId="0" xfId="0" applyFont="1"/>
    <xf numFmtId="172" fontId="64" fillId="32" borderId="37" xfId="0" applyNumberFormat="1" applyFont="1" applyFill="1" applyBorder="1" applyAlignment="1">
      <alignment horizontal="center"/>
    </xf>
    <xf numFmtId="172" fontId="56" fillId="32" borderId="37" xfId="53" applyNumberFormat="1" applyFont="1" applyFill="1" applyBorder="1" applyAlignment="1">
      <alignment horizontal="center" vertical="center"/>
    </xf>
    <xf numFmtId="179" fontId="56" fillId="32" borderId="37" xfId="71" applyNumberFormat="1" applyFont="1" applyFill="1" applyBorder="1" applyAlignment="1" applyProtection="1">
      <alignment horizontal="right" vertical="center"/>
      <protection locked="0"/>
    </xf>
    <xf numFmtId="186" fontId="56" fillId="32" borderId="37" xfId="71" applyNumberFormat="1" applyFont="1" applyFill="1" applyBorder="1" applyAlignment="1" applyProtection="1">
      <alignment horizontal="left" vertical="center"/>
      <protection locked="0"/>
    </xf>
    <xf numFmtId="172" fontId="51" fillId="32" borderId="37" xfId="0" applyNumberFormat="1" applyFont="1" applyFill="1" applyBorder="1" applyAlignment="1">
      <alignment vertical="center"/>
    </xf>
    <xf numFmtId="0" fontId="65" fillId="27" borderId="37" xfId="0" applyFont="1" applyFill="1" applyBorder="1" applyAlignment="1">
      <alignment horizontal="center" wrapText="1"/>
    </xf>
    <xf numFmtId="186" fontId="56" fillId="32" borderId="37" xfId="71" applyNumberFormat="1" applyFont="1" applyFill="1" applyBorder="1" applyAlignment="1" applyProtection="1">
      <alignment vertical="center"/>
      <protection locked="0"/>
    </xf>
    <xf numFmtId="9" fontId="51" fillId="2" borderId="13" xfId="0" applyNumberFormat="1" applyFont="1" applyFill="1" applyBorder="1" applyAlignment="1">
      <alignment horizontal="center" vertical="center"/>
    </xf>
    <xf numFmtId="3" fontId="56" fillId="41" borderId="39" xfId="0" applyNumberFormat="1" applyFont="1" applyFill="1" applyBorder="1" applyAlignment="1">
      <alignment horizontal="center" vertical="center"/>
    </xf>
    <xf numFmtId="9" fontId="51" fillId="41" borderId="0" xfId="0" applyNumberFormat="1" applyFont="1" applyFill="1" applyBorder="1" applyAlignment="1">
      <alignment horizontal="center" vertical="center"/>
    </xf>
    <xf numFmtId="9" fontId="51" fillId="41" borderId="13" xfId="0" applyNumberFormat="1" applyFont="1" applyFill="1" applyBorder="1" applyAlignment="1">
      <alignment horizontal="center" vertical="center"/>
    </xf>
    <xf numFmtId="3" fontId="56" fillId="32" borderId="39" xfId="0" applyNumberFormat="1" applyFont="1" applyFill="1" applyBorder="1" applyAlignment="1">
      <alignment horizontal="center" vertical="center"/>
    </xf>
    <xf numFmtId="9" fontId="51" fillId="32" borderId="0" xfId="0" applyNumberFormat="1" applyFont="1" applyFill="1" applyBorder="1" applyAlignment="1">
      <alignment horizontal="center" vertical="center"/>
    </xf>
    <xf numFmtId="9" fontId="51" fillId="32" borderId="13" xfId="0" applyNumberFormat="1" applyFont="1" applyFill="1" applyBorder="1" applyAlignment="1">
      <alignment horizontal="center" vertical="center"/>
    </xf>
    <xf numFmtId="3" fontId="61" fillId="26" borderId="36" xfId="0" applyNumberFormat="1" applyFont="1" applyFill="1" applyBorder="1" applyAlignment="1">
      <alignment horizontal="center" vertical="center"/>
    </xf>
    <xf numFmtId="0" fontId="56" fillId="2" borderId="12" xfId="0" applyNumberFormat="1" applyFont="1" applyFill="1" applyBorder="1" applyAlignment="1">
      <alignment horizontal="center" vertical="center"/>
    </xf>
    <xf numFmtId="3" fontId="10" fillId="32" borderId="46" xfId="0" applyNumberFormat="1" applyFont="1" applyFill="1" applyBorder="1" applyAlignment="1">
      <alignment horizontal="center" vertical="center"/>
    </xf>
    <xf numFmtId="3" fontId="10" fillId="32" borderId="40" xfId="0" applyNumberFormat="1" applyFont="1" applyFill="1" applyBorder="1" applyAlignment="1">
      <alignment horizontal="center" vertical="center"/>
    </xf>
    <xf numFmtId="3" fontId="10" fillId="32" borderId="39" xfId="0" applyNumberFormat="1" applyFont="1" applyFill="1" applyBorder="1" applyAlignment="1">
      <alignment horizontal="center" vertical="center"/>
    </xf>
    <xf numFmtId="0" fontId="51" fillId="2" borderId="7" xfId="0" applyFont="1" applyFill="1" applyBorder="1" applyAlignment="1">
      <alignment horizontal="center" vertical="center"/>
    </xf>
    <xf numFmtId="9" fontId="51" fillId="29" borderId="0" xfId="0" applyNumberFormat="1" applyFont="1" applyFill="1" applyBorder="1" applyAlignment="1">
      <alignment vertical="center"/>
    </xf>
    <xf numFmtId="9" fontId="51" fillId="2" borderId="13" xfId="0" applyNumberFormat="1" applyFont="1" applyFill="1" applyBorder="1" applyAlignment="1">
      <alignment vertical="center"/>
    </xf>
    <xf numFmtId="3" fontId="56" fillId="41" borderId="40" xfId="0" applyNumberFormat="1" applyFont="1" applyFill="1" applyBorder="1" applyAlignment="1">
      <alignment horizontal="center" vertical="center"/>
    </xf>
    <xf numFmtId="9" fontId="51" fillId="2" borderId="13" xfId="0" applyNumberFormat="1" applyFont="1" applyFill="1" applyBorder="1" applyAlignment="1">
      <alignment horizontal="center"/>
    </xf>
    <xf numFmtId="3" fontId="10" fillId="32" borderId="39" xfId="0" applyNumberFormat="1" applyFont="1" applyFill="1" applyBorder="1" applyAlignment="1">
      <alignment horizontal="left" vertical="center"/>
    </xf>
    <xf numFmtId="3" fontId="61" fillId="26" borderId="13" xfId="0" applyNumberFormat="1" applyFont="1" applyFill="1" applyBorder="1" applyAlignment="1">
      <alignment horizontal="center" vertical="center"/>
    </xf>
    <xf numFmtId="9" fontId="72" fillId="29" borderId="0" xfId="0" applyNumberFormat="1" applyFont="1" applyFill="1" applyBorder="1" applyAlignment="1">
      <alignment horizontal="center"/>
    </xf>
    <xf numFmtId="9" fontId="72" fillId="2" borderId="13" xfId="0" applyNumberFormat="1" applyFont="1" applyFill="1" applyBorder="1" applyAlignment="1">
      <alignment horizontal="center"/>
    </xf>
    <xf numFmtId="168" fontId="56" fillId="0" borderId="0" xfId="0" applyNumberFormat="1" applyFont="1" applyFill="1" applyBorder="1" applyAlignment="1">
      <alignment horizontal="center" vertical="center"/>
    </xf>
    <xf numFmtId="171" fontId="56" fillId="0" borderId="0" xfId="0" applyNumberFormat="1" applyFont="1" applyFill="1" applyBorder="1" applyAlignment="1">
      <alignment horizontal="center" vertical="center"/>
    </xf>
    <xf numFmtId="9" fontId="51" fillId="29" borderId="13" xfId="0" applyNumberFormat="1" applyFont="1" applyFill="1" applyBorder="1" applyAlignment="1">
      <alignment horizontal="center"/>
    </xf>
    <xf numFmtId="9" fontId="51" fillId="29" borderId="13" xfId="0" applyNumberFormat="1" applyFont="1" applyFill="1" applyBorder="1" applyAlignment="1">
      <alignment horizontal="center" vertical="center"/>
    </xf>
    <xf numFmtId="9" fontId="72" fillId="29" borderId="13" xfId="0" applyNumberFormat="1" applyFont="1" applyFill="1" applyBorder="1" applyAlignment="1">
      <alignment horizontal="center"/>
    </xf>
    <xf numFmtId="0" fontId="0" fillId="2" borderId="13" xfId="0" applyFill="1" applyBorder="1" applyAlignment="1">
      <alignment horizontal="center"/>
    </xf>
    <xf numFmtId="0" fontId="0" fillId="2" borderId="7" xfId="0" applyFill="1" applyBorder="1" applyAlignment="1">
      <alignment horizontal="center"/>
    </xf>
    <xf numFmtId="0" fontId="56" fillId="2" borderId="12" xfId="0" applyFont="1" applyFill="1" applyBorder="1" applyAlignment="1">
      <alignment vertical="center"/>
    </xf>
    <xf numFmtId="0" fontId="56" fillId="2" borderId="0" xfId="0" applyFont="1" applyFill="1" applyBorder="1" applyAlignment="1">
      <alignment vertical="center" wrapText="1"/>
    </xf>
    <xf numFmtId="9" fontId="56" fillId="29" borderId="39" xfId="72" applyFont="1" applyFill="1" applyBorder="1" applyAlignment="1">
      <alignment horizontal="center" vertical="center"/>
    </xf>
    <xf numFmtId="9" fontId="56" fillId="29" borderId="53" xfId="72" applyFont="1" applyFill="1" applyBorder="1" applyAlignment="1">
      <alignment horizontal="center" vertical="center"/>
    </xf>
    <xf numFmtId="0" fontId="56" fillId="2" borderId="0" xfId="0" applyFont="1" applyFill="1" applyBorder="1" applyAlignment="1">
      <alignment horizontal="center" vertical="center" wrapText="1"/>
    </xf>
    <xf numFmtId="3" fontId="61" fillId="2" borderId="12" xfId="0" applyNumberFormat="1" applyFont="1" applyFill="1" applyBorder="1" applyAlignment="1">
      <alignment vertical="center"/>
    </xf>
    <xf numFmtId="0" fontId="56" fillId="0" borderId="0" xfId="0" applyFont="1" applyFill="1" applyBorder="1" applyAlignment="1">
      <alignment vertical="center" wrapText="1"/>
    </xf>
    <xf numFmtId="3" fontId="56" fillId="32" borderId="40" xfId="0" applyNumberFormat="1" applyFont="1" applyFill="1" applyBorder="1" applyAlignment="1">
      <alignment horizontal="center" vertical="center"/>
    </xf>
    <xf numFmtId="0" fontId="77" fillId="2" borderId="12" xfId="0" applyFont="1" applyFill="1" applyBorder="1" applyAlignment="1">
      <alignment vertical="center"/>
    </xf>
    <xf numFmtId="0" fontId="76" fillId="29" borderId="39" xfId="0" applyFont="1" applyFill="1" applyBorder="1" applyAlignment="1">
      <alignment horizontal="center" vertical="center"/>
    </xf>
    <xf numFmtId="0" fontId="75" fillId="2" borderId="12" xfId="0" applyFont="1" applyFill="1" applyBorder="1" applyAlignment="1">
      <alignment vertical="center"/>
    </xf>
    <xf numFmtId="9" fontId="56" fillId="2" borderId="13" xfId="72" applyFont="1" applyFill="1" applyBorder="1" applyAlignment="1">
      <alignment vertical="center"/>
    </xf>
    <xf numFmtId="0" fontId="56" fillId="2" borderId="5" xfId="0" applyFont="1" applyFill="1" applyBorder="1" applyAlignment="1">
      <alignment vertical="center"/>
    </xf>
    <xf numFmtId="3" fontId="56" fillId="29" borderId="55" xfId="0" applyNumberFormat="1" applyFont="1" applyFill="1" applyBorder="1" applyAlignment="1">
      <alignment horizontal="center" vertical="center"/>
    </xf>
    <xf numFmtId="9" fontId="56" fillId="29" borderId="154" xfId="72" applyFont="1" applyFill="1" applyBorder="1" applyAlignment="1">
      <alignment horizontal="center" vertical="center"/>
    </xf>
    <xf numFmtId="171" fontId="56" fillId="32" borderId="13" xfId="0" applyNumberFormat="1" applyFont="1" applyFill="1" applyBorder="1" applyAlignment="1">
      <alignment horizontal="center" vertical="center"/>
    </xf>
    <xf numFmtId="171" fontId="10" fillId="32" borderId="13" xfId="0" applyNumberFormat="1" applyFont="1" applyFill="1" applyBorder="1" applyAlignment="1">
      <alignment horizontal="center" vertical="center"/>
    </xf>
    <xf numFmtId="164" fontId="56" fillId="2" borderId="43" xfId="0" applyNumberFormat="1" applyFont="1" applyFill="1" applyBorder="1" applyAlignment="1">
      <alignment horizontal="center"/>
    </xf>
    <xf numFmtId="164" fontId="51" fillId="2" borderId="43" xfId="0" applyNumberFormat="1" applyFont="1" applyFill="1" applyBorder="1" applyAlignment="1">
      <alignment horizontal="center"/>
    </xf>
    <xf numFmtId="164" fontId="10" fillId="0" borderId="52" xfId="0" applyNumberFormat="1" applyFont="1" applyFill="1" applyBorder="1" applyAlignment="1">
      <alignment horizontal="center"/>
    </xf>
    <xf numFmtId="169" fontId="0" fillId="0" borderId="104" xfId="0" applyNumberFormat="1" applyFont="1" applyBorder="1"/>
    <xf numFmtId="174" fontId="0" fillId="32" borderId="37" xfId="0" applyNumberFormat="1" applyFont="1" applyFill="1" applyBorder="1"/>
    <xf numFmtId="169" fontId="0" fillId="32" borderId="37" xfId="0" applyNumberFormat="1" applyFont="1" applyFill="1" applyBorder="1"/>
    <xf numFmtId="174" fontId="0" fillId="32" borderId="66" xfId="0" applyNumberFormat="1" applyFont="1" applyFill="1" applyBorder="1"/>
    <xf numFmtId="3" fontId="91" fillId="32" borderId="37" xfId="0" applyNumberFormat="1" applyFont="1" applyFill="1" applyBorder="1" applyAlignment="1">
      <alignment horizontal="center"/>
    </xf>
    <xf numFmtId="3" fontId="91" fillId="0" borderId="37" xfId="0" applyNumberFormat="1" applyFont="1" applyFill="1" applyBorder="1" applyAlignment="1">
      <alignment horizontal="center"/>
    </xf>
    <xf numFmtId="169" fontId="0" fillId="2" borderId="0" xfId="0" applyNumberFormat="1" applyFont="1" applyFill="1"/>
    <xf numFmtId="169" fontId="3" fillId="2" borderId="0" xfId="0" applyNumberFormat="1" applyFont="1" applyFill="1"/>
    <xf numFmtId="0" fontId="40" fillId="2" borderId="0" xfId="0" applyFont="1" applyFill="1" applyAlignment="1">
      <alignment wrapText="1"/>
    </xf>
    <xf numFmtId="0" fontId="3" fillId="2" borderId="0" xfId="0" applyFont="1" applyFill="1" applyAlignment="1">
      <alignment wrapText="1"/>
    </xf>
    <xf numFmtId="169" fontId="0" fillId="2" borderId="0" xfId="0" applyNumberFormat="1" applyFont="1" applyFill="1" applyAlignment="1">
      <alignment wrapText="1"/>
    </xf>
    <xf numFmtId="164" fontId="52" fillId="32" borderId="153" xfId="0" applyNumberFormat="1" applyFont="1" applyFill="1" applyBorder="1" applyAlignment="1">
      <alignment horizontal="center" vertical="center"/>
    </xf>
    <xf numFmtId="8" fontId="52" fillId="32" borderId="120" xfId="0" applyNumberFormat="1" applyFont="1" applyFill="1" applyBorder="1" applyAlignment="1">
      <alignment horizontal="center" vertical="center"/>
    </xf>
    <xf numFmtId="171" fontId="52" fillId="32" borderId="37" xfId="0" applyNumberFormat="1" applyFont="1" applyFill="1" applyBorder="1" applyAlignment="1">
      <alignment horizontal="center" wrapText="1"/>
    </xf>
    <xf numFmtId="164" fontId="10" fillId="32" borderId="37" xfId="0" applyNumberFormat="1" applyFont="1" applyFill="1" applyBorder="1" applyAlignment="1">
      <alignment horizontal="center"/>
    </xf>
    <xf numFmtId="164" fontId="52" fillId="32" borderId="37" xfId="0" applyNumberFormat="1" applyFont="1" applyFill="1" applyBorder="1" applyAlignment="1">
      <alignment horizontal="center"/>
    </xf>
    <xf numFmtId="171" fontId="52" fillId="2" borderId="37" xfId="0" applyNumberFormat="1" applyFont="1" applyFill="1" applyBorder="1" applyAlignment="1">
      <alignment horizontal="center" wrapText="1"/>
    </xf>
    <xf numFmtId="164" fontId="52" fillId="2" borderId="37" xfId="0" applyNumberFormat="1" applyFont="1" applyFill="1" applyBorder="1" applyAlignment="1">
      <alignment horizontal="center"/>
    </xf>
    <xf numFmtId="164" fontId="52" fillId="40" borderId="37" xfId="0" applyNumberFormat="1" applyFont="1" applyFill="1" applyBorder="1" applyAlignment="1">
      <alignment horizontal="center"/>
    </xf>
    <xf numFmtId="169" fontId="0" fillId="32" borderId="104" xfId="0" applyNumberFormat="1" applyFill="1" applyBorder="1"/>
    <xf numFmtId="169" fontId="0" fillId="32" borderId="97" xfId="0" applyNumberFormat="1" applyFill="1" applyBorder="1"/>
    <xf numFmtId="3" fontId="10" fillId="40" borderId="39" xfId="0" applyNumberFormat="1" applyFont="1" applyFill="1" applyBorder="1" applyAlignment="1">
      <alignment horizontal="center" vertical="center"/>
    </xf>
    <xf numFmtId="0" fontId="56" fillId="2" borderId="0" xfId="0" applyFont="1" applyFill="1" applyBorder="1" applyAlignment="1">
      <alignment horizontal="center"/>
    </xf>
    <xf numFmtId="0" fontId="56" fillId="2" borderId="0" xfId="0" applyFont="1" applyFill="1" applyBorder="1" applyAlignment="1">
      <alignment horizontal="left" vertical="center" wrapText="1"/>
    </xf>
    <xf numFmtId="3" fontId="9" fillId="2" borderId="0" xfId="0" applyNumberFormat="1" applyFont="1" applyFill="1"/>
    <xf numFmtId="169" fontId="9" fillId="2" borderId="0" xfId="0" applyNumberFormat="1" applyFont="1" applyFill="1"/>
    <xf numFmtId="0" fontId="80" fillId="2" borderId="0" xfId="0" applyFont="1" applyFill="1" applyAlignment="1"/>
    <xf numFmtId="0" fontId="4" fillId="2" borderId="0" xfId="0" applyFont="1" applyFill="1"/>
    <xf numFmtId="0" fontId="10" fillId="2" borderId="0" xfId="0" applyFont="1" applyFill="1" applyBorder="1" applyAlignment="1">
      <alignment horizontal="left" vertical="center" wrapText="1"/>
    </xf>
    <xf numFmtId="169" fontId="4" fillId="2" borderId="0" xfId="0" applyNumberFormat="1" applyFont="1" applyFill="1"/>
    <xf numFmtId="0" fontId="80" fillId="2" borderId="0" xfId="0" applyFont="1" applyFill="1" applyAlignment="1">
      <alignment horizontal="center"/>
    </xf>
    <xf numFmtId="0" fontId="4" fillId="2" borderId="0" xfId="0" applyFont="1" applyFill="1" applyAlignment="1">
      <alignment horizontal="center"/>
    </xf>
    <xf numFmtId="180" fontId="0" fillId="32" borderId="101" xfId="0" applyNumberFormat="1" applyFont="1" applyFill="1" applyBorder="1"/>
    <xf numFmtId="180" fontId="0" fillId="32" borderId="103" xfId="0" applyNumberFormat="1" applyFont="1" applyFill="1" applyBorder="1"/>
    <xf numFmtId="180" fontId="0" fillId="32" borderId="96" xfId="0" applyNumberFormat="1" applyFont="1" applyFill="1" applyBorder="1"/>
    <xf numFmtId="177" fontId="56" fillId="32" borderId="39" xfId="70" applyNumberFormat="1" applyFont="1" applyFill="1" applyBorder="1" applyAlignment="1" applyProtection="1">
      <alignment horizontal="center"/>
      <protection locked="0"/>
    </xf>
    <xf numFmtId="177" fontId="56" fillId="32" borderId="55" xfId="70" applyNumberFormat="1" applyFont="1" applyFill="1" applyBorder="1" applyAlignment="1" applyProtection="1">
      <alignment horizontal="center"/>
      <protection locked="0"/>
    </xf>
    <xf numFmtId="179" fontId="3" fillId="40" borderId="0" xfId="0" applyNumberFormat="1" applyFont="1" applyFill="1" applyAlignment="1">
      <alignment horizontal="center"/>
    </xf>
    <xf numFmtId="179" fontId="3" fillId="49" borderId="0" xfId="0" applyNumberFormat="1" applyFont="1" applyFill="1" applyAlignment="1">
      <alignment horizontal="center"/>
    </xf>
    <xf numFmtId="172" fontId="15" fillId="50" borderId="37" xfId="53" applyNumberFormat="1" applyFont="1" applyFill="1" applyBorder="1" applyAlignment="1">
      <alignment horizontal="center"/>
    </xf>
    <xf numFmtId="0" fontId="56" fillId="2" borderId="12" xfId="0" applyFont="1" applyFill="1" applyBorder="1" applyAlignment="1">
      <alignment horizontal="left" vertical="center" wrapText="1"/>
    </xf>
    <xf numFmtId="164" fontId="56" fillId="50" borderId="39" xfId="0" applyNumberFormat="1" applyFont="1" applyFill="1" applyBorder="1" applyAlignment="1">
      <alignment horizontal="center"/>
    </xf>
    <xf numFmtId="3" fontId="9" fillId="50" borderId="0" xfId="0" applyNumberFormat="1" applyFont="1" applyFill="1"/>
    <xf numFmtId="169" fontId="9" fillId="2" borderId="0" xfId="0" applyNumberFormat="1" applyFont="1" applyFill="1" applyBorder="1"/>
    <xf numFmtId="0" fontId="56" fillId="2" borderId="37" xfId="0" applyFont="1" applyFill="1" applyBorder="1" applyAlignment="1">
      <alignment horizontal="left" vertical="center" wrapText="1"/>
    </xf>
    <xf numFmtId="0" fontId="9" fillId="2" borderId="37" xfId="0" applyFont="1" applyFill="1" applyBorder="1"/>
    <xf numFmtId="169" fontId="4" fillId="50" borderId="37" xfId="0" applyNumberFormat="1" applyFont="1" applyFill="1" applyBorder="1"/>
    <xf numFmtId="169" fontId="9" fillId="2" borderId="37" xfId="0" applyNumberFormat="1" applyFont="1" applyFill="1" applyBorder="1"/>
    <xf numFmtId="169" fontId="4" fillId="2" borderId="37" xfId="0" applyNumberFormat="1" applyFont="1" applyFill="1" applyBorder="1"/>
    <xf numFmtId="8" fontId="4" fillId="2" borderId="0" xfId="0" applyNumberFormat="1" applyFont="1" applyFill="1" applyAlignment="1">
      <alignment horizontal="center"/>
    </xf>
    <xf numFmtId="8" fontId="9" fillId="2" borderId="37" xfId="0" applyNumberFormat="1" applyFont="1" applyFill="1" applyBorder="1"/>
    <xf numFmtId="0" fontId="9" fillId="2" borderId="37" xfId="0" applyFont="1" applyFill="1" applyBorder="1" applyAlignment="1">
      <alignment wrapText="1"/>
    </xf>
    <xf numFmtId="0" fontId="4" fillId="2" borderId="37" xfId="0" applyFont="1" applyFill="1" applyBorder="1" applyAlignment="1">
      <alignment wrapText="1"/>
    </xf>
    <xf numFmtId="164" fontId="10" fillId="29" borderId="53" xfId="0" applyNumberFormat="1" applyFont="1" applyFill="1" applyBorder="1" applyAlignment="1">
      <alignment horizontal="center"/>
    </xf>
    <xf numFmtId="164" fontId="0" fillId="2" borderId="0" xfId="0" applyNumberFormat="1" applyFont="1" applyFill="1" applyAlignment="1">
      <alignment wrapText="1"/>
    </xf>
    <xf numFmtId="164" fontId="56" fillId="0" borderId="39" xfId="0" applyNumberFormat="1" applyFont="1" applyFill="1" applyBorder="1" applyAlignment="1">
      <alignment horizontal="center"/>
    </xf>
    <xf numFmtId="164" fontId="56" fillId="50" borderId="64" xfId="0" applyNumberFormat="1" applyFont="1" applyFill="1" applyBorder="1" applyAlignment="1">
      <alignment horizontal="center"/>
    </xf>
    <xf numFmtId="174" fontId="3" fillId="2" borderId="0" xfId="0" applyNumberFormat="1" applyFont="1" applyFill="1" applyAlignment="1">
      <alignment wrapText="1"/>
    </xf>
    <xf numFmtId="0" fontId="57" fillId="2" borderId="0" xfId="0" applyFont="1" applyFill="1" applyBorder="1" applyAlignment="1">
      <alignment horizontal="center" vertical="center"/>
    </xf>
    <xf numFmtId="0" fontId="40" fillId="2" borderId="0" xfId="0" applyFont="1" applyFill="1" applyAlignment="1">
      <alignment horizontal="left" vertical="top" wrapText="1"/>
    </xf>
    <xf numFmtId="0" fontId="51" fillId="2" borderId="49" xfId="0" applyFont="1" applyFill="1" applyBorder="1" applyAlignment="1">
      <alignment horizontal="left" wrapText="1"/>
    </xf>
    <xf numFmtId="0" fontId="51" fillId="2" borderId="50" xfId="0" applyFont="1" applyFill="1" applyBorder="1" applyAlignment="1">
      <alignment horizontal="left" wrapText="1"/>
    </xf>
    <xf numFmtId="0" fontId="51" fillId="2" borderId="41" xfId="0" applyFont="1" applyFill="1" applyBorder="1" applyAlignment="1">
      <alignment horizontal="left" wrapText="1"/>
    </xf>
    <xf numFmtId="0" fontId="51" fillId="2" borderId="12" xfId="0" applyFont="1" applyFill="1" applyBorder="1" applyAlignment="1">
      <alignment horizontal="left" wrapText="1"/>
    </xf>
    <xf numFmtId="0" fontId="51" fillId="2" borderId="0" xfId="0" applyFont="1" applyFill="1" applyBorder="1" applyAlignment="1">
      <alignment horizontal="left" wrapText="1"/>
    </xf>
    <xf numFmtId="0" fontId="51" fillId="2" borderId="13" xfId="0" applyFont="1" applyFill="1" applyBorder="1" applyAlignment="1">
      <alignment horizontal="left" wrapText="1"/>
    </xf>
    <xf numFmtId="0" fontId="51" fillId="2" borderId="5" xfId="0" applyFont="1" applyFill="1" applyBorder="1" applyAlignment="1">
      <alignment horizontal="left" wrapText="1"/>
    </xf>
    <xf numFmtId="0" fontId="51" fillId="2" borderId="6" xfId="0" applyFont="1" applyFill="1" applyBorder="1" applyAlignment="1">
      <alignment horizontal="left" wrapText="1"/>
    </xf>
    <xf numFmtId="0" fontId="51" fillId="2" borderId="7" xfId="0" applyFont="1" applyFill="1" applyBorder="1" applyAlignment="1">
      <alignment horizontal="left" wrapText="1"/>
    </xf>
    <xf numFmtId="0" fontId="51" fillId="2" borderId="13" xfId="0" applyFont="1" applyFill="1" applyBorder="1" applyAlignment="1">
      <alignment horizontal="center" vertical="center"/>
    </xf>
    <xf numFmtId="0" fontId="51" fillId="2" borderId="0" xfId="0" applyFont="1" applyFill="1" applyBorder="1" applyAlignment="1">
      <alignment horizontal="left" vertical="center"/>
    </xf>
    <xf numFmtId="0" fontId="51" fillId="2" borderId="49" xfId="0" applyFont="1" applyFill="1" applyBorder="1" applyAlignment="1">
      <alignment horizontal="center" vertical="center" wrapText="1"/>
    </xf>
    <xf numFmtId="0" fontId="51" fillId="2" borderId="50" xfId="0" applyFont="1" applyFill="1" applyBorder="1" applyAlignment="1">
      <alignment horizontal="center" vertical="center" wrapText="1"/>
    </xf>
    <xf numFmtId="0" fontId="51" fillId="2" borderId="41" xfId="0" applyFont="1" applyFill="1" applyBorder="1" applyAlignment="1">
      <alignment horizontal="center" vertical="center" wrapText="1"/>
    </xf>
    <xf numFmtId="0" fontId="51" fillId="2" borderId="12" xfId="0" applyFont="1" applyFill="1" applyBorder="1" applyAlignment="1">
      <alignment horizontal="center" vertical="center" wrapText="1"/>
    </xf>
    <xf numFmtId="0" fontId="51" fillId="2" borderId="0"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51" fillId="2" borderId="5"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1" fillId="2" borderId="7" xfId="0" applyFont="1" applyFill="1" applyBorder="1" applyAlignment="1">
      <alignment horizontal="center" vertical="center" wrapText="1"/>
    </xf>
    <xf numFmtId="0" fontId="57" fillId="2" borderId="0" xfId="0" applyFont="1" applyFill="1" applyAlignment="1">
      <alignment horizontal="center"/>
    </xf>
    <xf numFmtId="0" fontId="52" fillId="2" borderId="13" xfId="0" applyFont="1" applyFill="1" applyBorder="1" applyAlignment="1">
      <alignment horizontal="left" vertical="center"/>
    </xf>
    <xf numFmtId="0" fontId="51" fillId="2" borderId="0" xfId="0" applyFont="1" applyFill="1" applyAlignment="1">
      <alignment horizontal="center"/>
    </xf>
    <xf numFmtId="0" fontId="52" fillId="2" borderId="0" xfId="0" applyFont="1" applyFill="1" applyAlignment="1">
      <alignment horizontal="left" vertical="center" wrapText="1"/>
    </xf>
    <xf numFmtId="0" fontId="52" fillId="2" borderId="13"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3" xfId="0" applyFont="1" applyFill="1" applyBorder="1" applyAlignment="1">
      <alignment horizontal="left" vertical="center" wrapText="1"/>
    </xf>
    <xf numFmtId="0" fontId="52" fillId="2" borderId="0" xfId="0" applyFont="1" applyFill="1" applyBorder="1" applyAlignment="1">
      <alignment horizontal="left" vertical="center"/>
    </xf>
    <xf numFmtId="0" fontId="56" fillId="2" borderId="0" xfId="0" applyFont="1" applyFill="1" applyAlignment="1">
      <alignment horizontal="left" wrapText="1"/>
    </xf>
    <xf numFmtId="0" fontId="63" fillId="2" borderId="0" xfId="0" applyFont="1" applyFill="1" applyBorder="1" applyAlignment="1">
      <alignment horizontal="center" vertical="center"/>
    </xf>
    <xf numFmtId="0" fontId="56" fillId="2" borderId="12" xfId="0" applyFont="1" applyFill="1" applyBorder="1" applyAlignment="1">
      <alignment horizontal="left" vertical="center" wrapText="1"/>
    </xf>
    <xf numFmtId="0" fontId="0" fillId="0" borderId="0" xfId="0" applyAlignment="1"/>
    <xf numFmtId="0" fontId="56" fillId="2" borderId="0" xfId="0" applyFont="1" applyFill="1" applyBorder="1" applyAlignment="1">
      <alignment horizontal="center"/>
    </xf>
    <xf numFmtId="0" fontId="56" fillId="2" borderId="6" xfId="0" applyFont="1" applyFill="1" applyBorder="1" applyAlignment="1">
      <alignment horizontal="center"/>
    </xf>
    <xf numFmtId="0" fontId="65" fillId="27" borderId="77" xfId="0" applyFont="1" applyFill="1" applyBorder="1" applyAlignment="1">
      <alignment horizontal="center" vertical="center" wrapText="1"/>
    </xf>
    <xf numFmtId="0" fontId="65" fillId="27" borderId="78" xfId="0" applyFont="1" applyFill="1" applyBorder="1" applyAlignment="1">
      <alignment horizontal="center" vertical="center" wrapText="1"/>
    </xf>
    <xf numFmtId="166" fontId="56" fillId="2" borderId="0" xfId="71" applyFont="1" applyFill="1" applyBorder="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vertical="top"/>
    </xf>
    <xf numFmtId="175" fontId="64" fillId="29" borderId="0" xfId="40" applyNumberFormat="1" applyFont="1" applyFill="1" applyBorder="1" applyAlignment="1">
      <alignment horizontal="left" vertical="top"/>
    </xf>
    <xf numFmtId="175" fontId="64" fillId="0" borderId="0" xfId="40" applyNumberFormat="1" applyFont="1" applyFill="1" applyBorder="1" applyAlignment="1">
      <alignment horizontal="left" vertical="top"/>
    </xf>
    <xf numFmtId="0" fontId="56" fillId="2" borderId="0" xfId="40" applyNumberFormat="1" applyFont="1" applyFill="1" applyBorder="1" applyAlignment="1">
      <alignment horizontal="left" vertical="top" wrapText="1"/>
    </xf>
    <xf numFmtId="0" fontId="65" fillId="27" borderId="68" xfId="0" applyNumberFormat="1" applyFont="1" applyFill="1" applyBorder="1" applyAlignment="1">
      <alignment horizontal="center" vertical="center" wrapText="1"/>
    </xf>
    <xf numFmtId="0" fontId="65" fillId="27" borderId="74" xfId="0" applyNumberFormat="1" applyFont="1" applyFill="1" applyBorder="1" applyAlignment="1">
      <alignment horizontal="center" vertical="center" wrapText="1"/>
    </xf>
    <xf numFmtId="0" fontId="65" fillId="27" borderId="69" xfId="0" applyNumberFormat="1" applyFont="1" applyFill="1" applyBorder="1" applyAlignment="1">
      <alignment horizontal="center" vertical="center" wrapText="1"/>
    </xf>
    <xf numFmtId="0" fontId="65" fillId="27" borderId="61" xfId="0" applyNumberFormat="1" applyFont="1" applyFill="1" applyBorder="1" applyAlignment="1">
      <alignment horizontal="center" vertical="center" wrapText="1"/>
    </xf>
    <xf numFmtId="3" fontId="10" fillId="2" borderId="46" xfId="0" applyNumberFormat="1" applyFont="1" applyFill="1" applyBorder="1" applyAlignment="1">
      <alignment horizontal="left" vertical="center"/>
    </xf>
    <xf numFmtId="3" fontId="10" fillId="2" borderId="39" xfId="0" applyNumberFormat="1" applyFont="1" applyFill="1" applyBorder="1" applyAlignment="1">
      <alignment horizontal="left" vertical="center"/>
    </xf>
    <xf numFmtId="3" fontId="10" fillId="2" borderId="0" xfId="0" applyNumberFormat="1" applyFont="1" applyFill="1" applyBorder="1" applyAlignment="1">
      <alignment horizontal="left" vertical="center"/>
    </xf>
    <xf numFmtId="3" fontId="56" fillId="2" borderId="0" xfId="0" applyNumberFormat="1" applyFont="1" applyFill="1" applyBorder="1" applyAlignment="1">
      <alignment horizontal="left" vertical="center"/>
    </xf>
    <xf numFmtId="3" fontId="61" fillId="26" borderId="35" xfId="0" applyNumberFormat="1" applyFont="1" applyFill="1" applyBorder="1" applyAlignment="1">
      <alignment horizontal="left" vertical="center"/>
    </xf>
    <xf numFmtId="0" fontId="65" fillId="27" borderId="67" xfId="0" applyNumberFormat="1" applyFont="1" applyFill="1" applyBorder="1" applyAlignment="1">
      <alignment horizontal="center" vertical="center" wrapText="1"/>
    </xf>
    <xf numFmtId="0" fontId="65" fillId="27" borderId="71" xfId="0" applyNumberFormat="1" applyFont="1" applyFill="1" applyBorder="1" applyAlignment="1">
      <alignment horizontal="center" vertical="center" wrapText="1"/>
    </xf>
    <xf numFmtId="0" fontId="65" fillId="27" borderId="72" xfId="0" applyNumberFormat="1" applyFont="1" applyFill="1" applyBorder="1" applyAlignment="1">
      <alignment horizontal="center" vertical="center" wrapText="1"/>
    </xf>
    <xf numFmtId="0" fontId="65" fillId="27" borderId="73" xfId="0" applyNumberFormat="1" applyFont="1" applyFill="1" applyBorder="1" applyAlignment="1">
      <alignment horizontal="center" vertical="center" wrapText="1"/>
    </xf>
    <xf numFmtId="0" fontId="63" fillId="2" borderId="0" xfId="0" applyFont="1" applyFill="1" applyAlignment="1">
      <alignment horizontal="left"/>
    </xf>
    <xf numFmtId="3" fontId="10" fillId="32" borderId="39" xfId="0" applyNumberFormat="1" applyFont="1" applyFill="1" applyBorder="1" applyAlignment="1">
      <alignment horizontal="right" vertical="center"/>
    </xf>
    <xf numFmtId="3" fontId="61" fillId="26" borderId="50" xfId="0" applyNumberFormat="1" applyFont="1" applyFill="1" applyBorder="1" applyAlignment="1">
      <alignment horizontal="left" vertical="center"/>
    </xf>
    <xf numFmtId="0" fontId="68" fillId="2" borderId="0" xfId="0" applyFont="1" applyFill="1" applyBorder="1" applyAlignment="1">
      <alignment horizontal="center" vertical="center" textRotation="90"/>
    </xf>
    <xf numFmtId="3" fontId="61" fillId="26" borderId="0" xfId="0" applyNumberFormat="1" applyFont="1" applyFill="1" applyBorder="1" applyAlignment="1">
      <alignment horizontal="left" vertical="center"/>
    </xf>
    <xf numFmtId="0" fontId="65" fillId="27" borderId="84" xfId="0" applyNumberFormat="1" applyFont="1" applyFill="1" applyBorder="1" applyAlignment="1">
      <alignment horizontal="center" vertical="center" wrapText="1"/>
    </xf>
    <xf numFmtId="3" fontId="10" fillId="41" borderId="39" xfId="0" applyNumberFormat="1" applyFont="1" applyFill="1" applyBorder="1" applyAlignment="1">
      <alignment horizontal="right" vertical="center"/>
    </xf>
    <xf numFmtId="3" fontId="10" fillId="2" borderId="81"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3" fontId="10" fillId="32" borderId="39" xfId="0" applyNumberFormat="1" applyFont="1" applyFill="1" applyBorder="1" applyAlignment="1">
      <alignment horizontal="left" vertical="center"/>
    </xf>
    <xf numFmtId="0" fontId="39" fillId="2" borderId="0" xfId="0" applyFont="1" applyFill="1" applyAlignment="1">
      <alignment horizontal="center" wrapText="1"/>
    </xf>
    <xf numFmtId="0" fontId="65" fillId="27" borderId="69" xfId="0" applyFont="1" applyFill="1" applyBorder="1" applyAlignment="1">
      <alignment horizontal="center" vertical="center" wrapText="1"/>
    </xf>
    <xf numFmtId="0" fontId="65" fillId="27" borderId="63" xfId="0" applyFont="1" applyFill="1" applyBorder="1" applyAlignment="1">
      <alignment horizontal="center" vertical="center" wrapText="1"/>
    </xf>
    <xf numFmtId="0" fontId="58" fillId="31" borderId="12" xfId="0" applyFont="1" applyFill="1" applyBorder="1" applyAlignment="1">
      <alignment horizontal="left" vertical="center" wrapText="1"/>
    </xf>
    <xf numFmtId="0" fontId="58" fillId="31" borderId="0" xfId="0" applyFont="1" applyFill="1" applyBorder="1" applyAlignment="1">
      <alignment horizontal="left" vertical="center" wrapText="1"/>
    </xf>
    <xf numFmtId="0" fontId="58" fillId="31" borderId="13" xfId="0" applyFont="1" applyFill="1" applyBorder="1" applyAlignment="1">
      <alignment horizontal="left" vertical="center" wrapText="1"/>
    </xf>
    <xf numFmtId="0" fontId="56" fillId="2" borderId="0" xfId="0" applyFont="1" applyFill="1" applyAlignment="1">
      <alignment horizontal="left" vertical="top" wrapText="1"/>
    </xf>
    <xf numFmtId="0" fontId="58" fillId="31" borderId="91" xfId="0" applyFont="1" applyFill="1" applyBorder="1" applyAlignment="1">
      <alignment horizontal="left" vertical="center" wrapText="1"/>
    </xf>
    <xf numFmtId="0" fontId="58" fillId="31" borderId="62" xfId="0" applyFont="1" applyFill="1" applyBorder="1" applyAlignment="1">
      <alignment horizontal="left" vertical="center" wrapText="1"/>
    </xf>
    <xf numFmtId="0" fontId="58" fillId="31" borderId="92" xfId="0" applyFont="1" applyFill="1" applyBorder="1" applyAlignment="1">
      <alignment horizontal="left" vertical="center" wrapText="1"/>
    </xf>
    <xf numFmtId="0" fontId="65" fillId="27" borderId="88" xfId="0" applyFont="1" applyFill="1" applyBorder="1" applyAlignment="1">
      <alignment horizontal="center" vertical="center" wrapText="1"/>
    </xf>
    <xf numFmtId="0" fontId="65" fillId="27" borderId="90" xfId="0" applyFont="1" applyFill="1" applyBorder="1" applyAlignment="1">
      <alignment horizontal="center" vertical="center" wrapText="1"/>
    </xf>
    <xf numFmtId="170" fontId="65" fillId="27" borderId="70" xfId="6" applyNumberFormat="1" applyFont="1" applyFill="1" applyBorder="1" applyAlignment="1">
      <alignment horizontal="center" vertical="center"/>
    </xf>
    <xf numFmtId="170" fontId="65" fillId="27" borderId="89" xfId="6" applyNumberFormat="1" applyFont="1" applyFill="1" applyBorder="1" applyAlignment="1">
      <alignment horizontal="center" vertical="center"/>
    </xf>
    <xf numFmtId="0" fontId="57" fillId="2" borderId="0" xfId="0" applyFont="1" applyFill="1" applyAlignment="1">
      <alignment horizontal="center" wrapText="1"/>
    </xf>
    <xf numFmtId="175" fontId="64" fillId="29" borderId="0" xfId="40" applyNumberFormat="1" applyFont="1" applyFill="1" applyBorder="1" applyAlignment="1">
      <alignment horizontal="left" vertical="center"/>
    </xf>
    <xf numFmtId="3" fontId="61" fillId="30" borderId="12" xfId="0" applyNumberFormat="1" applyFont="1" applyFill="1" applyBorder="1" applyAlignment="1">
      <alignment horizontal="left" vertical="center"/>
    </xf>
    <xf numFmtId="3" fontId="61" fillId="30" borderId="0" xfId="0" applyNumberFormat="1" applyFont="1" applyFill="1" applyBorder="1" applyAlignment="1">
      <alignment horizontal="left" vertical="center"/>
    </xf>
    <xf numFmtId="3" fontId="61" fillId="30" borderId="13" xfId="0" applyNumberFormat="1" applyFont="1" applyFill="1" applyBorder="1" applyAlignment="1">
      <alignment horizontal="left" vertical="center"/>
    </xf>
    <xf numFmtId="3" fontId="61" fillId="26" borderId="12" xfId="0" applyNumberFormat="1" applyFont="1" applyFill="1" applyBorder="1" applyAlignment="1">
      <alignment horizontal="left" vertical="center"/>
    </xf>
    <xf numFmtId="3" fontId="61" fillId="26" borderId="13" xfId="0" applyNumberFormat="1" applyFont="1" applyFill="1" applyBorder="1" applyAlignment="1">
      <alignment horizontal="left" vertical="center"/>
    </xf>
    <xf numFmtId="0" fontId="56" fillId="2" borderId="0" xfId="0" applyFont="1" applyFill="1" applyBorder="1" applyAlignment="1">
      <alignment horizontal="left" vertical="top"/>
    </xf>
    <xf numFmtId="0" fontId="65" fillId="27" borderId="49" xfId="0" applyFont="1" applyFill="1" applyBorder="1" applyAlignment="1">
      <alignment horizontal="center" vertical="center" wrapText="1"/>
    </xf>
    <xf numFmtId="0" fontId="65" fillId="27" borderId="12" xfId="0" applyFont="1" applyFill="1" applyBorder="1" applyAlignment="1">
      <alignment horizontal="center" vertical="center" wrapText="1"/>
    </xf>
    <xf numFmtId="0" fontId="65" fillId="27" borderId="50" xfId="0" applyFont="1" applyFill="1" applyBorder="1" applyAlignment="1">
      <alignment horizontal="center" vertical="center" wrapText="1"/>
    </xf>
    <xf numFmtId="0" fontId="65" fillId="27" borderId="0" xfId="0" applyFont="1" applyFill="1" applyBorder="1" applyAlignment="1">
      <alignment horizontal="center" vertical="center" wrapText="1"/>
    </xf>
    <xf numFmtId="170" fontId="65" fillId="27" borderId="50" xfId="6" applyNumberFormat="1" applyFont="1" applyFill="1" applyBorder="1" applyAlignment="1">
      <alignment horizontal="center" vertical="center"/>
    </xf>
    <xf numFmtId="170" fontId="65" fillId="27" borderId="41" xfId="6" applyNumberFormat="1" applyFont="1" applyFill="1" applyBorder="1" applyAlignment="1">
      <alignment horizontal="center" vertical="center"/>
    </xf>
    <xf numFmtId="175" fontId="56" fillId="29" borderId="0" xfId="40" applyNumberFormat="1" applyFont="1" applyFill="1" applyBorder="1" applyAlignment="1">
      <alignment horizontal="left" vertical="center"/>
    </xf>
    <xf numFmtId="0" fontId="56" fillId="2" borderId="0" xfId="0" applyFont="1" applyFill="1" applyBorder="1" applyAlignment="1">
      <alignment horizontal="left" vertical="center"/>
    </xf>
    <xf numFmtId="0" fontId="56" fillId="2" borderId="0" xfId="0" applyFont="1" applyFill="1" applyBorder="1" applyAlignment="1">
      <alignment horizontal="left" wrapText="1"/>
    </xf>
    <xf numFmtId="0" fontId="57" fillId="2" borderId="0" xfId="0" applyFont="1" applyFill="1" applyBorder="1" applyAlignment="1">
      <alignment horizontal="center" wrapText="1"/>
    </xf>
    <xf numFmtId="175" fontId="64" fillId="0" borderId="0" xfId="40" applyNumberFormat="1" applyFont="1" applyFill="1" applyBorder="1" applyAlignment="1">
      <alignment horizontal="left" vertical="center"/>
    </xf>
    <xf numFmtId="0" fontId="65" fillId="27" borderId="5" xfId="0" applyFont="1" applyFill="1" applyBorder="1" applyAlignment="1">
      <alignment horizontal="center" vertical="center" wrapText="1"/>
    </xf>
    <xf numFmtId="0" fontId="65" fillId="27" borderId="6" xfId="0" applyFont="1" applyFill="1" applyBorder="1" applyAlignment="1">
      <alignment horizontal="center" vertical="center" wrapText="1"/>
    </xf>
    <xf numFmtId="0" fontId="56" fillId="2" borderId="0" xfId="0" applyFont="1" applyFill="1" applyBorder="1" applyAlignment="1">
      <alignment horizontal="left" vertical="center" wrapText="1"/>
    </xf>
    <xf numFmtId="0" fontId="43" fillId="2" borderId="0" xfId="0" applyFont="1" applyFill="1" applyAlignment="1">
      <alignment horizontal="left" vertical="center" wrapText="1"/>
    </xf>
    <xf numFmtId="0" fontId="65" fillId="27" borderId="41" xfId="0" applyFont="1" applyFill="1" applyBorder="1" applyAlignment="1">
      <alignment horizontal="center" vertical="center" wrapText="1"/>
    </xf>
    <xf numFmtId="0" fontId="65" fillId="27" borderId="1" xfId="0" applyFont="1" applyFill="1" applyBorder="1" applyAlignment="1">
      <alignment horizontal="center" vertical="center" wrapText="1"/>
    </xf>
    <xf numFmtId="0" fontId="65" fillId="27" borderId="10" xfId="0" applyFont="1" applyFill="1" applyBorder="1" applyAlignment="1">
      <alignment horizontal="center" vertical="center" wrapText="1"/>
    </xf>
    <xf numFmtId="0" fontId="65" fillId="27" borderId="37" xfId="0" applyFont="1" applyFill="1" applyBorder="1" applyAlignment="1">
      <alignment horizontal="center" vertical="center"/>
    </xf>
    <xf numFmtId="0" fontId="65" fillId="27" borderId="34" xfId="0" applyFont="1" applyFill="1" applyBorder="1" applyAlignment="1">
      <alignment horizontal="center"/>
    </xf>
    <xf numFmtId="0" fontId="65" fillId="27" borderId="35" xfId="0" applyFont="1" applyFill="1" applyBorder="1" applyAlignment="1">
      <alignment horizontal="center"/>
    </xf>
    <xf numFmtId="0" fontId="65" fillId="27" borderId="36" xfId="0" applyFont="1" applyFill="1" applyBorder="1" applyAlignment="1">
      <alignment horizontal="center"/>
    </xf>
    <xf numFmtId="0" fontId="60" fillId="27" borderId="34" xfId="53" applyFont="1" applyFill="1" applyBorder="1" applyAlignment="1">
      <alignment horizontal="center"/>
    </xf>
    <xf numFmtId="0" fontId="60" fillId="27" borderId="35" xfId="53" applyFont="1" applyFill="1" applyBorder="1" applyAlignment="1">
      <alignment horizontal="center"/>
    </xf>
    <xf numFmtId="0" fontId="60" fillId="27" borderId="36" xfId="53" applyFont="1" applyFill="1" applyBorder="1" applyAlignment="1">
      <alignment horizontal="center"/>
    </xf>
    <xf numFmtId="0" fontId="57" fillId="2" borderId="0" xfId="0" applyFont="1" applyFill="1" applyAlignment="1">
      <alignment horizontal="center" vertical="center"/>
    </xf>
    <xf numFmtId="0" fontId="63" fillId="2" borderId="0" xfId="0" applyFont="1" applyFill="1" applyAlignment="1">
      <alignment horizontal="left" vertical="top" wrapText="1"/>
    </xf>
    <xf numFmtId="0" fontId="3" fillId="0" borderId="0" xfId="0" applyFont="1" applyFill="1" applyBorder="1" applyAlignment="1">
      <alignment wrapText="1"/>
    </xf>
    <xf numFmtId="0" fontId="0" fillId="0" borderId="0" xfId="0" applyFont="1" applyFill="1" applyBorder="1" applyAlignment="1">
      <alignment wrapText="1"/>
    </xf>
    <xf numFmtId="0" fontId="3" fillId="0" borderId="0" xfId="0" applyFont="1" applyFill="1" applyBorder="1" applyAlignment="1">
      <alignment horizontal="center" wrapText="1"/>
    </xf>
    <xf numFmtId="0" fontId="0" fillId="0" borderId="0" xfId="0" applyFont="1" applyFill="1" applyBorder="1" applyAlignment="1">
      <alignment horizontal="center" wrapText="1"/>
    </xf>
    <xf numFmtId="0" fontId="3" fillId="0" borderId="0" xfId="0" applyFont="1" applyFill="1" applyBorder="1" applyAlignment="1">
      <alignment horizontal="center"/>
    </xf>
    <xf numFmtId="0" fontId="0" fillId="0" borderId="0" xfId="0" applyFont="1" applyFill="1" applyBorder="1" applyAlignment="1">
      <alignment horizontal="center"/>
    </xf>
    <xf numFmtId="0" fontId="3" fillId="33" borderId="94" xfId="0" applyFont="1" applyFill="1" applyBorder="1" applyAlignment="1">
      <alignment horizontal="center"/>
    </xf>
    <xf numFmtId="0" fontId="3" fillId="33" borderId="96" xfId="0" applyFont="1" applyFill="1" applyBorder="1" applyAlignment="1">
      <alignment horizontal="center"/>
    </xf>
    <xf numFmtId="0" fontId="3" fillId="33" borderId="125" xfId="0" applyFont="1" applyFill="1" applyBorder="1" applyAlignment="1">
      <alignment horizontal="center" wrapText="1"/>
    </xf>
    <xf numFmtId="0" fontId="0" fillId="33" borderId="119" xfId="0" applyFont="1" applyFill="1" applyBorder="1" applyAlignment="1">
      <alignment horizontal="center" wrapText="1"/>
    </xf>
    <xf numFmtId="0" fontId="3" fillId="33" borderId="95" xfId="0" applyFont="1" applyFill="1" applyBorder="1" applyAlignment="1">
      <alignment wrapText="1"/>
    </xf>
    <xf numFmtId="0" fontId="3" fillId="33" borderId="97" xfId="0" applyFont="1" applyFill="1" applyBorder="1" applyAlignment="1">
      <alignment wrapText="1"/>
    </xf>
    <xf numFmtId="0" fontId="3" fillId="33" borderId="107" xfId="0" applyFont="1" applyFill="1" applyBorder="1" applyAlignment="1">
      <alignment horizontal="center"/>
    </xf>
    <xf numFmtId="0" fontId="0" fillId="33" borderId="109" xfId="0" applyFont="1" applyFill="1" applyBorder="1" applyAlignment="1">
      <alignment horizontal="center"/>
    </xf>
    <xf numFmtId="0" fontId="0" fillId="33" borderId="110" xfId="0" applyFont="1" applyFill="1" applyBorder="1" applyAlignment="1">
      <alignment horizontal="center"/>
    </xf>
    <xf numFmtId="0" fontId="3" fillId="0" borderId="107" xfId="0" applyFont="1" applyBorder="1" applyAlignment="1">
      <alignment horizontal="center" wrapText="1"/>
    </xf>
    <xf numFmtId="0" fontId="0" fillId="0" borderId="109" xfId="0" applyFont="1" applyBorder="1" applyAlignment="1">
      <alignment horizontal="center" wrapText="1"/>
    </xf>
    <xf numFmtId="0" fontId="0" fillId="0" borderId="110" xfId="0" applyFont="1" applyBorder="1" applyAlignment="1">
      <alignment horizontal="center" wrapText="1"/>
    </xf>
    <xf numFmtId="0" fontId="3" fillId="0" borderId="0" xfId="0" applyFont="1" applyBorder="1" applyAlignment="1">
      <alignment horizontal="center"/>
    </xf>
    <xf numFmtId="0" fontId="0" fillId="0" borderId="0" xfId="0" applyFont="1" applyBorder="1" applyAlignment="1"/>
    <xf numFmtId="0" fontId="3" fillId="0" borderId="0" xfId="0" applyFont="1" applyBorder="1" applyAlignment="1">
      <alignment horizontal="center" wrapText="1"/>
    </xf>
    <xf numFmtId="0" fontId="0" fillId="0" borderId="0" xfId="0" applyFont="1" applyBorder="1" applyAlignment="1">
      <alignment horizontal="center" wrapText="1"/>
    </xf>
    <xf numFmtId="0" fontId="0" fillId="33" borderId="109" xfId="0" applyFont="1" applyFill="1" applyBorder="1" applyAlignment="1"/>
    <xf numFmtId="0" fontId="0" fillId="33" borderId="110" xfId="0" applyFont="1" applyFill="1" applyBorder="1" applyAlignment="1"/>
    <xf numFmtId="0" fontId="3" fillId="33" borderId="112" xfId="0" applyFont="1" applyFill="1" applyBorder="1" applyAlignment="1">
      <alignment horizontal="center"/>
    </xf>
    <xf numFmtId="0" fontId="3" fillId="33" borderId="113" xfId="0" applyFont="1" applyFill="1" applyBorder="1" applyAlignment="1">
      <alignment horizontal="center"/>
    </xf>
    <xf numFmtId="0" fontId="3" fillId="33" borderId="107" xfId="0" applyFont="1" applyFill="1" applyBorder="1" applyAlignment="1">
      <alignment horizontal="center" wrapText="1"/>
    </xf>
    <xf numFmtId="0" fontId="0" fillId="33" borderId="109" xfId="0" applyFont="1" applyFill="1" applyBorder="1" applyAlignment="1">
      <alignment horizontal="center" wrapText="1"/>
    </xf>
    <xf numFmtId="0" fontId="0" fillId="33" borderId="109" xfId="0" applyFont="1" applyFill="1" applyBorder="1" applyAlignment="1">
      <alignment wrapText="1"/>
    </xf>
    <xf numFmtId="0" fontId="3" fillId="33" borderId="107" xfId="0" applyFont="1" applyFill="1" applyBorder="1" applyAlignment="1">
      <alignment horizontal="center" vertical="center" wrapText="1"/>
    </xf>
    <xf numFmtId="0" fontId="0" fillId="33" borderId="109" xfId="0" applyFont="1" applyFill="1" applyBorder="1" applyAlignment="1">
      <alignment vertical="center" wrapText="1"/>
    </xf>
    <xf numFmtId="0" fontId="0" fillId="33" borderId="110" xfId="0" applyFont="1" applyFill="1" applyBorder="1" applyAlignment="1">
      <alignment wrapText="1"/>
    </xf>
    <xf numFmtId="169" fontId="3" fillId="33" borderId="107" xfId="0" applyNumberFormat="1" applyFont="1" applyFill="1" applyBorder="1" applyAlignment="1"/>
    <xf numFmtId="0" fontId="3" fillId="33" borderId="109" xfId="0" applyFont="1" applyFill="1" applyBorder="1" applyAlignment="1"/>
    <xf numFmtId="0" fontId="3" fillId="33" borderId="110" xfId="0" applyFont="1" applyFill="1" applyBorder="1" applyAlignment="1"/>
    <xf numFmtId="0" fontId="3" fillId="33" borderId="0" xfId="0" applyFont="1" applyFill="1" applyAlignment="1">
      <alignment horizontal="center"/>
    </xf>
    <xf numFmtId="168" fontId="3" fillId="33" borderId="107" xfId="0" applyNumberFormat="1" applyFont="1" applyFill="1" applyBorder="1" applyAlignment="1">
      <alignment horizontal="center" vertical="center" wrapText="1"/>
    </xf>
    <xf numFmtId="0" fontId="0" fillId="33" borderId="109" xfId="0" applyFill="1" applyBorder="1" applyAlignment="1">
      <alignment vertical="center" wrapText="1"/>
    </xf>
    <xf numFmtId="0" fontId="3" fillId="33" borderId="109" xfId="0" applyFont="1" applyFill="1" applyBorder="1" applyAlignment="1">
      <alignment horizontal="center" vertical="center" wrapText="1"/>
    </xf>
    <xf numFmtId="0" fontId="0" fillId="33" borderId="109" xfId="0" applyFill="1" applyBorder="1" applyAlignment="1">
      <alignment wrapText="1"/>
    </xf>
    <xf numFmtId="0" fontId="0" fillId="33" borderId="110" xfId="0" applyFill="1" applyBorder="1" applyAlignment="1">
      <alignment wrapText="1"/>
    </xf>
    <xf numFmtId="0" fontId="3" fillId="0" borderId="111" xfId="0" applyFont="1" applyBorder="1" applyAlignment="1">
      <alignment horizontal="center"/>
    </xf>
    <xf numFmtId="0" fontId="3" fillId="0" borderId="116" xfId="0" applyFont="1" applyBorder="1" applyAlignment="1">
      <alignment horizontal="center"/>
    </xf>
    <xf numFmtId="0" fontId="0" fillId="0" borderId="112" xfId="0" applyFont="1" applyBorder="1" applyAlignment="1"/>
    <xf numFmtId="0" fontId="0" fillId="0" borderId="113" xfId="0" applyFont="1" applyBorder="1" applyAlignment="1"/>
    <xf numFmtId="0" fontId="3" fillId="0" borderId="113" xfId="0" applyFont="1" applyBorder="1" applyAlignment="1">
      <alignment horizontal="center" wrapText="1"/>
    </xf>
    <xf numFmtId="0" fontId="3" fillId="0" borderId="114" xfId="0" applyFont="1" applyBorder="1" applyAlignment="1">
      <alignment horizontal="center" wrapText="1"/>
    </xf>
    <xf numFmtId="0" fontId="3" fillId="0" borderId="115" xfId="0" applyFont="1" applyBorder="1" applyAlignment="1">
      <alignment horizontal="center" wrapText="1"/>
    </xf>
    <xf numFmtId="0" fontId="0" fillId="0" borderId="114" xfId="0" applyFont="1" applyBorder="1" applyAlignment="1">
      <alignment horizontal="center" wrapText="1"/>
    </xf>
    <xf numFmtId="0" fontId="0" fillId="0" borderId="115" xfId="0" applyFont="1" applyBorder="1" applyAlignment="1">
      <alignment horizontal="center" wrapText="1"/>
    </xf>
    <xf numFmtId="3" fontId="88" fillId="0" borderId="0" xfId="0" applyNumberFormat="1" applyFont="1" applyFill="1" applyBorder="1" applyAlignment="1"/>
    <xf numFmtId="0" fontId="0" fillId="0" borderId="0" xfId="0" applyFont="1" applyFill="1" applyBorder="1" applyAlignment="1"/>
    <xf numFmtId="0" fontId="0" fillId="0" borderId="0" xfId="0" applyFill="1" applyBorder="1" applyAlignment="1"/>
    <xf numFmtId="3" fontId="87" fillId="0" borderId="0" xfId="0" applyNumberFormat="1" applyFont="1" applyFill="1" applyBorder="1" applyAlignment="1"/>
    <xf numFmtId="0" fontId="3" fillId="0" borderId="0" xfId="0" applyFont="1" applyFill="1" applyBorder="1" applyAlignment="1"/>
    <xf numFmtId="3" fontId="87" fillId="0" borderId="0" xfId="0" applyNumberFormat="1" applyFont="1" applyFill="1" applyBorder="1" applyAlignment="1">
      <alignment horizontal="center" vertical="center" wrapText="1"/>
    </xf>
    <xf numFmtId="2" fontId="88" fillId="0" borderId="0" xfId="0" applyNumberFormat="1" applyFont="1" applyFill="1" applyBorder="1" applyAlignment="1"/>
    <xf numFmtId="3" fontId="88" fillId="0" borderId="103" xfId="0" applyNumberFormat="1" applyFont="1" applyFill="1" applyBorder="1" applyAlignment="1"/>
    <xf numFmtId="0" fontId="0" fillId="0" borderId="104" xfId="0" applyFont="1" applyBorder="1" applyAlignment="1"/>
    <xf numFmtId="3" fontId="88" fillId="0" borderId="128" xfId="0" applyNumberFormat="1" applyFont="1" applyFill="1" applyBorder="1" applyAlignment="1"/>
    <xf numFmtId="3" fontId="88" fillId="0" borderId="146" xfId="0" applyNumberFormat="1" applyFont="1" applyFill="1" applyBorder="1" applyAlignment="1"/>
    <xf numFmtId="3" fontId="87" fillId="0" borderId="96" xfId="0" applyNumberFormat="1" applyFont="1" applyFill="1" applyBorder="1" applyAlignment="1"/>
    <xf numFmtId="0" fontId="0" fillId="0" borderId="97" xfId="0" applyFont="1" applyBorder="1" applyAlignment="1"/>
    <xf numFmtId="3" fontId="87" fillId="0" borderId="98" xfId="0" applyNumberFormat="1" applyFont="1" applyFill="1" applyBorder="1" applyAlignment="1"/>
    <xf numFmtId="0" fontId="0" fillId="0" borderId="100" xfId="0" applyFont="1" applyBorder="1" applyAlignment="1"/>
    <xf numFmtId="2" fontId="88" fillId="0" borderId="103" xfId="0" applyNumberFormat="1" applyFont="1" applyFill="1" applyBorder="1" applyAlignment="1"/>
    <xf numFmtId="3" fontId="88" fillId="0" borderId="94" xfId="0" applyNumberFormat="1" applyFont="1" applyFill="1" applyBorder="1" applyAlignment="1"/>
    <xf numFmtId="0" fontId="0" fillId="0" borderId="95" xfId="0" applyFont="1" applyBorder="1" applyAlignment="1"/>
    <xf numFmtId="0" fontId="3" fillId="0" borderId="98" xfId="0" applyFont="1" applyBorder="1" applyAlignment="1"/>
    <xf numFmtId="0" fontId="3" fillId="0" borderId="143" xfId="0" applyFont="1" applyBorder="1" applyAlignment="1"/>
    <xf numFmtId="0" fontId="0" fillId="0" borderId="0" xfId="0" applyFill="1" applyBorder="1" applyAlignment="1">
      <alignment horizontal="center" wrapText="1"/>
    </xf>
    <xf numFmtId="3" fontId="87" fillId="33" borderId="129" xfId="0" applyNumberFormat="1" applyFont="1" applyFill="1" applyBorder="1" applyAlignment="1">
      <alignment horizontal="center" vertical="center" wrapText="1"/>
    </xf>
    <xf numFmtId="0" fontId="3" fillId="0" borderId="131" xfId="0" applyFont="1" applyBorder="1" applyAlignment="1">
      <alignment wrapText="1"/>
    </xf>
    <xf numFmtId="3" fontId="87" fillId="33" borderId="107" xfId="0" applyNumberFormat="1" applyFont="1" applyFill="1" applyBorder="1" applyAlignment="1">
      <alignment horizontal="center" vertical="center" wrapText="1"/>
    </xf>
    <xf numFmtId="0" fontId="0" fillId="0" borderId="110" xfId="0" applyBorder="1" applyAlignment="1">
      <alignment wrapText="1"/>
    </xf>
    <xf numFmtId="0" fontId="3"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103" xfId="0" applyFont="1" applyBorder="1" applyAlignment="1"/>
    <xf numFmtId="0" fontId="0" fillId="0" borderId="34" xfId="0" applyFont="1" applyBorder="1" applyAlignment="1"/>
    <xf numFmtId="0" fontId="0" fillId="0" borderId="103" xfId="0" applyBorder="1" applyAlignment="1"/>
    <xf numFmtId="0" fontId="0" fillId="0" borderId="34" xfId="0" applyBorder="1" applyAlignment="1"/>
    <xf numFmtId="0" fontId="0" fillId="0" borderId="105" xfId="0" applyFont="1" applyBorder="1" applyAlignment="1"/>
    <xf numFmtId="0" fontId="0" fillId="0" borderId="49" xfId="0" applyFont="1" applyBorder="1" applyAlignment="1"/>
    <xf numFmtId="0" fontId="0" fillId="0" borderId="105" xfId="0" applyBorder="1" applyAlignment="1"/>
    <xf numFmtId="0" fontId="0" fillId="0" borderId="49" xfId="0" applyBorder="1" applyAlignment="1"/>
    <xf numFmtId="0" fontId="0" fillId="0" borderId="101" xfId="0" applyFont="1" applyBorder="1" applyAlignment="1"/>
    <xf numFmtId="0" fontId="0" fillId="0" borderId="5" xfId="0" applyFont="1" applyBorder="1" applyAlignment="1"/>
    <xf numFmtId="0" fontId="0" fillId="0" borderId="101" xfId="0" applyBorder="1" applyAlignment="1"/>
    <xf numFmtId="0" fontId="0" fillId="0" borderId="5" xfId="0" applyBorder="1" applyAlignment="1"/>
    <xf numFmtId="0" fontId="0" fillId="33" borderId="110" xfId="0" applyFont="1" applyFill="1" applyBorder="1" applyAlignment="1">
      <alignment horizontal="center" wrapText="1"/>
    </xf>
    <xf numFmtId="0" fontId="3" fillId="33" borderId="129" xfId="0" applyFont="1" applyFill="1" applyBorder="1" applyAlignment="1">
      <alignment horizontal="center" wrapText="1"/>
    </xf>
    <xf numFmtId="0" fontId="0" fillId="33" borderId="130" xfId="0" applyFill="1" applyBorder="1" applyAlignment="1">
      <alignment horizontal="center" wrapText="1"/>
    </xf>
    <xf numFmtId="0" fontId="0" fillId="33" borderId="131" xfId="0" applyFill="1" applyBorder="1" applyAlignment="1">
      <alignment horizontal="center" wrapText="1"/>
    </xf>
    <xf numFmtId="0" fontId="0" fillId="33" borderId="109" xfId="0" applyFill="1" applyBorder="1" applyAlignment="1">
      <alignment horizontal="center" wrapText="1"/>
    </xf>
    <xf numFmtId="0" fontId="0" fillId="33" borderId="110" xfId="0" applyFill="1" applyBorder="1" applyAlignment="1">
      <alignment horizontal="center" wrapText="1"/>
    </xf>
    <xf numFmtId="0" fontId="3" fillId="33" borderId="101" xfId="0" applyFont="1" applyFill="1" applyBorder="1" applyAlignment="1">
      <alignment horizontal="center"/>
    </xf>
    <xf numFmtId="0" fontId="0" fillId="33" borderId="102" xfId="0" applyFont="1" applyFill="1" applyBorder="1" applyAlignment="1"/>
    <xf numFmtId="0" fontId="0" fillId="33" borderId="97" xfId="0" applyFont="1" applyFill="1" applyBorder="1" applyAlignment="1"/>
    <xf numFmtId="0" fontId="3" fillId="33" borderId="112" xfId="0" applyFont="1" applyFill="1" applyBorder="1" applyAlignment="1">
      <alignment horizontal="center" vertical="center" wrapText="1"/>
    </xf>
    <xf numFmtId="0" fontId="0" fillId="33" borderId="112" xfId="0" applyFont="1" applyFill="1" applyBorder="1" applyAlignment="1">
      <alignment horizontal="center" vertical="center" wrapText="1"/>
    </xf>
    <xf numFmtId="0" fontId="3" fillId="33" borderId="111" xfId="0" applyFont="1" applyFill="1" applyBorder="1" applyAlignment="1">
      <alignment horizontal="center" vertical="center" wrapText="1"/>
    </xf>
    <xf numFmtId="0" fontId="0" fillId="33" borderId="116" xfId="0" applyFont="1" applyFill="1" applyBorder="1" applyAlignment="1">
      <alignment horizontal="center" vertical="center" wrapText="1"/>
    </xf>
    <xf numFmtId="0" fontId="3" fillId="29" borderId="133" xfId="0" applyFont="1" applyFill="1" applyBorder="1" applyAlignment="1">
      <alignment horizontal="center" wrapText="1"/>
    </xf>
    <xf numFmtId="0" fontId="3" fillId="29" borderId="116" xfId="0" applyFont="1" applyFill="1" applyBorder="1" applyAlignment="1">
      <alignment horizontal="center" wrapText="1"/>
    </xf>
    <xf numFmtId="0" fontId="3" fillId="33" borderId="133" xfId="0" applyFont="1" applyFill="1" applyBorder="1" applyAlignment="1">
      <alignment horizontal="center" wrapText="1"/>
    </xf>
    <xf numFmtId="0" fontId="0" fillId="33" borderId="116" xfId="0" applyFill="1" applyBorder="1" applyAlignment="1">
      <alignment horizontal="center" wrapText="1"/>
    </xf>
    <xf numFmtId="0" fontId="0" fillId="33" borderId="102" xfId="0" applyFill="1" applyBorder="1" applyAlignment="1"/>
    <xf numFmtId="0" fontId="0" fillId="33" borderId="97" xfId="0" applyFill="1" applyBorder="1" applyAlignment="1"/>
    <xf numFmtId="0" fontId="0" fillId="33" borderId="112" xfId="0" applyFill="1" applyBorder="1" applyAlignment="1">
      <alignment horizontal="center" vertical="center" wrapText="1"/>
    </xf>
    <xf numFmtId="0" fontId="3" fillId="33" borderId="133" xfId="0" applyFont="1" applyFill="1" applyBorder="1" applyAlignment="1">
      <alignment horizontal="center" vertical="center" wrapText="1"/>
    </xf>
    <xf numFmtId="0" fontId="0" fillId="33" borderId="116" xfId="0" applyFill="1" applyBorder="1" applyAlignment="1">
      <alignment horizontal="center" vertical="center" wrapText="1"/>
    </xf>
    <xf numFmtId="0" fontId="3" fillId="33" borderId="123" xfId="0" applyFont="1" applyFill="1" applyBorder="1" applyAlignment="1">
      <alignment horizontal="center" vertical="center" wrapText="1"/>
    </xf>
    <xf numFmtId="0" fontId="0" fillId="33" borderId="115" xfId="0" applyFill="1" applyBorder="1" applyAlignment="1">
      <alignment horizontal="center" vertical="center" wrapText="1"/>
    </xf>
    <xf numFmtId="0" fontId="0" fillId="33" borderId="95" xfId="0" applyFill="1" applyBorder="1" applyAlignment="1"/>
    <xf numFmtId="0" fontId="3" fillId="33" borderId="111" xfId="0" applyFont="1" applyFill="1" applyBorder="1" applyAlignment="1">
      <alignment horizontal="center" wrapText="1"/>
    </xf>
    <xf numFmtId="0" fontId="3" fillId="33" borderId="116" xfId="0" applyFont="1" applyFill="1" applyBorder="1" applyAlignment="1">
      <alignment horizontal="center" wrapText="1"/>
    </xf>
    <xf numFmtId="0" fontId="0" fillId="33" borderId="113" xfId="0" applyFont="1" applyFill="1" applyBorder="1" applyAlignment="1">
      <alignment vertical="center" wrapText="1"/>
    </xf>
    <xf numFmtId="0" fontId="0" fillId="33" borderId="116" xfId="0" applyFont="1" applyFill="1" applyBorder="1" applyAlignment="1">
      <alignment wrapText="1"/>
    </xf>
    <xf numFmtId="0" fontId="0" fillId="33" borderId="116" xfId="0" applyFont="1" applyFill="1" applyBorder="1" applyAlignment="1">
      <alignment vertical="center" wrapText="1"/>
    </xf>
    <xf numFmtId="0" fontId="3" fillId="33" borderId="112" xfId="0" applyFont="1" applyFill="1" applyBorder="1" applyAlignment="1">
      <alignment horizontal="center" wrapText="1"/>
    </xf>
    <xf numFmtId="0" fontId="0" fillId="33" borderId="113" xfId="0" applyFont="1" applyFill="1" applyBorder="1" applyAlignment="1">
      <alignment wrapText="1"/>
    </xf>
    <xf numFmtId="0" fontId="0" fillId="0" borderId="106" xfId="0" applyFont="1" applyBorder="1" applyAlignment="1"/>
    <xf numFmtId="0" fontId="3" fillId="0" borderId="100" xfId="0" applyFont="1" applyBorder="1" applyAlignment="1"/>
    <xf numFmtId="0" fontId="0" fillId="0" borderId="102" xfId="0" applyFont="1" applyBorder="1" applyAlignment="1"/>
    <xf numFmtId="0" fontId="0" fillId="33" borderId="95" xfId="0" applyFont="1" applyFill="1" applyBorder="1" applyAlignment="1"/>
    <xf numFmtId="0" fontId="3" fillId="33" borderId="130" xfId="0" applyFont="1" applyFill="1" applyBorder="1" applyAlignment="1">
      <alignment horizontal="center" vertical="center" wrapText="1"/>
    </xf>
    <xf numFmtId="0" fontId="0" fillId="33" borderId="114" xfId="0" applyFont="1" applyFill="1" applyBorder="1" applyAlignment="1">
      <alignment vertical="center" wrapText="1"/>
    </xf>
    <xf numFmtId="0" fontId="3" fillId="33" borderId="116" xfId="0" applyFont="1" applyFill="1" applyBorder="1" applyAlignment="1">
      <alignment horizontal="center" vertical="center" wrapText="1"/>
    </xf>
    <xf numFmtId="0" fontId="3" fillId="0" borderId="107" xfId="0" applyFont="1" applyFill="1" applyBorder="1" applyAlignment="1">
      <alignment horizontal="center" wrapText="1"/>
    </xf>
    <xf numFmtId="0" fontId="0" fillId="0" borderId="110" xfId="0" applyFont="1" applyFill="1" applyBorder="1" applyAlignment="1">
      <alignment horizontal="center" wrapText="1"/>
    </xf>
    <xf numFmtId="0" fontId="3" fillId="33" borderId="129" xfId="0" applyFont="1" applyFill="1" applyBorder="1" applyAlignment="1">
      <alignment horizontal="center"/>
    </xf>
    <xf numFmtId="0" fontId="3" fillId="33" borderId="129" xfId="0" applyFont="1" applyFill="1" applyBorder="1" applyAlignment="1">
      <alignment wrapText="1"/>
    </xf>
    <xf numFmtId="0" fontId="3" fillId="33" borderId="131" xfId="0" applyFont="1" applyFill="1" applyBorder="1" applyAlignment="1">
      <alignment wrapText="1"/>
    </xf>
    <xf numFmtId="0" fontId="3" fillId="33" borderId="113" xfId="0" applyFont="1" applyFill="1" applyBorder="1" applyAlignment="1">
      <alignment wrapText="1"/>
    </xf>
    <xf numFmtId="0" fontId="3" fillId="33" borderId="115" xfId="0" applyFont="1" applyFill="1" applyBorder="1" applyAlignment="1">
      <alignment wrapText="1"/>
    </xf>
    <xf numFmtId="0" fontId="3" fillId="33" borderId="131" xfId="0" applyFont="1" applyFill="1" applyBorder="1" applyAlignment="1">
      <alignment horizontal="center" wrapText="1"/>
    </xf>
    <xf numFmtId="0" fontId="3" fillId="33" borderId="113" xfId="0" applyFont="1" applyFill="1" applyBorder="1" applyAlignment="1">
      <alignment horizontal="center" wrapText="1"/>
    </xf>
    <xf numFmtId="0" fontId="3" fillId="33" borderId="115" xfId="0" applyFont="1" applyFill="1" applyBorder="1" applyAlignment="1">
      <alignment horizontal="center" wrapText="1"/>
    </xf>
    <xf numFmtId="0" fontId="0" fillId="33" borderId="111" xfId="0" applyFont="1" applyFill="1" applyBorder="1" applyAlignment="1">
      <alignment horizontal="center" wrapText="1"/>
    </xf>
    <xf numFmtId="168" fontId="3" fillId="26" borderId="107" xfId="0" applyNumberFormat="1" applyFont="1" applyFill="1" applyBorder="1" applyAlignment="1">
      <alignment horizontal="center" wrapText="1"/>
    </xf>
    <xf numFmtId="0" fontId="0" fillId="0" borderId="109" xfId="0" applyBorder="1" applyAlignment="1"/>
    <xf numFmtId="0" fontId="0" fillId="0" borderId="110" xfId="0" applyBorder="1" applyAlignment="1"/>
    <xf numFmtId="0" fontId="3" fillId="33" borderId="111" xfId="0" applyFont="1" applyFill="1" applyBorder="1" applyAlignment="1">
      <alignment horizontal="center"/>
    </xf>
    <xf numFmtId="0" fontId="3" fillId="33" borderId="116" xfId="0" applyFont="1" applyFill="1" applyBorder="1" applyAlignment="1">
      <alignment horizontal="center"/>
    </xf>
    <xf numFmtId="0" fontId="0" fillId="33" borderId="111" xfId="0" applyFont="1" applyFill="1" applyBorder="1" applyAlignment="1"/>
    <xf numFmtId="0" fontId="0" fillId="33" borderId="116" xfId="0" applyFont="1" applyFill="1" applyBorder="1" applyAlignment="1"/>
    <xf numFmtId="0" fontId="3" fillId="33" borderId="114" xfId="0" applyFont="1" applyFill="1" applyBorder="1" applyAlignment="1">
      <alignment horizontal="center" wrapText="1"/>
    </xf>
    <xf numFmtId="0" fontId="0" fillId="33" borderId="114" xfId="0" applyFont="1" applyFill="1" applyBorder="1" applyAlignment="1">
      <alignment horizontal="center" wrapText="1"/>
    </xf>
    <xf numFmtId="0" fontId="0" fillId="33" borderId="115" xfId="0" applyFont="1" applyFill="1" applyBorder="1" applyAlignment="1">
      <alignment horizontal="center" wrapText="1"/>
    </xf>
    <xf numFmtId="0" fontId="92" fillId="0" borderId="148" xfId="0" applyFont="1" applyFill="1" applyBorder="1" applyAlignment="1">
      <alignment horizontal="center" vertical="center"/>
    </xf>
    <xf numFmtId="0" fontId="92" fillId="0" borderId="149" xfId="0" applyFont="1" applyFill="1" applyBorder="1" applyAlignment="1">
      <alignment horizontal="center" vertical="center"/>
    </xf>
    <xf numFmtId="0" fontId="92" fillId="30" borderId="148" xfId="0" applyFont="1" applyFill="1" applyBorder="1" applyAlignment="1">
      <alignment horizontal="center" vertical="center"/>
    </xf>
    <xf numFmtId="0" fontId="92" fillId="30" borderId="149" xfId="0" applyFont="1" applyFill="1" applyBorder="1" applyAlignment="1">
      <alignment horizontal="center" vertical="center"/>
    </xf>
    <xf numFmtId="0" fontId="91" fillId="0" borderId="34" xfId="0" applyFont="1" applyBorder="1" applyAlignment="1">
      <alignment horizontal="center"/>
    </xf>
    <xf numFmtId="0" fontId="91" fillId="0" borderId="35" xfId="0" applyFont="1" applyBorder="1" applyAlignment="1">
      <alignment horizontal="center"/>
    </xf>
    <xf numFmtId="0" fontId="91" fillId="0" borderId="36" xfId="0" applyFont="1" applyBorder="1" applyAlignment="1">
      <alignment horizontal="center"/>
    </xf>
    <xf numFmtId="0" fontId="91" fillId="0" borderId="12" xfId="0" applyFont="1" applyBorder="1" applyAlignment="1">
      <alignment horizontal="center"/>
    </xf>
    <xf numFmtId="0" fontId="91" fillId="0" borderId="0" xfId="0" applyFont="1" applyBorder="1" applyAlignment="1">
      <alignment horizontal="center"/>
    </xf>
    <xf numFmtId="0" fontId="92" fillId="41" borderId="148" xfId="0" applyFont="1" applyFill="1" applyBorder="1" applyAlignment="1">
      <alignment horizontal="center" vertical="center"/>
    </xf>
    <xf numFmtId="0" fontId="92" fillId="41" borderId="149" xfId="0" applyFont="1" applyFill="1" applyBorder="1" applyAlignment="1">
      <alignment horizontal="center" vertical="center"/>
    </xf>
    <xf numFmtId="0" fontId="3" fillId="33" borderId="6" xfId="0" applyFont="1" applyFill="1" applyBorder="1" applyAlignment="1">
      <alignment horizontal="center"/>
    </xf>
    <xf numFmtId="0" fontId="4" fillId="33" borderId="6" xfId="0" applyFont="1" applyFill="1" applyBorder="1" applyAlignment="1">
      <alignment horizontal="center"/>
    </xf>
    <xf numFmtId="0" fontId="3" fillId="39" borderId="6" xfId="0" applyFont="1" applyFill="1" applyBorder="1" applyAlignment="1">
      <alignment horizontal="center"/>
    </xf>
    <xf numFmtId="0" fontId="3" fillId="0" borderId="130" xfId="0" applyFont="1" applyBorder="1" applyAlignment="1"/>
    <xf numFmtId="0" fontId="3" fillId="0" borderId="0" xfId="0" applyFont="1" applyBorder="1" applyAlignment="1"/>
    <xf numFmtId="0" fontId="0" fillId="0" borderId="0" xfId="0" applyBorder="1" applyAlignment="1"/>
    <xf numFmtId="2" fontId="0" fillId="47" borderId="109" xfId="0" applyNumberFormat="1" applyFill="1" applyBorder="1" applyAlignment="1">
      <alignment horizontal="center" vertical="center" wrapText="1"/>
    </xf>
    <xf numFmtId="2" fontId="0" fillId="0" borderId="110" xfId="0" applyNumberFormat="1" applyBorder="1" applyAlignment="1">
      <alignment horizontal="center" vertical="center" wrapText="1"/>
    </xf>
    <xf numFmtId="168" fontId="0" fillId="47" borderId="107" xfId="0" applyNumberFormat="1" applyFill="1" applyBorder="1" applyAlignment="1">
      <alignment horizontal="center" vertical="center" wrapText="1"/>
    </xf>
    <xf numFmtId="0" fontId="0" fillId="0" borderId="110" xfId="0" applyBorder="1" applyAlignment="1">
      <alignment horizontal="center" vertical="center" wrapText="1"/>
    </xf>
  </cellXfs>
  <cellStyles count="91">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urrency" xfId="70" builtinId="4"/>
    <cellStyle name="Currency 2" xfId="4"/>
    <cellStyle name="Explanatory Text 2" xfId="4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3" xfId="7"/>
    <cellStyle name="Normal 3 2" xfId="52"/>
    <cellStyle name="Normal 4" xfId="53"/>
    <cellStyle name="Normal 5" xfId="54"/>
    <cellStyle name="Normal 5 2" xfId="74"/>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externalLink" Target="externalLinks/externalLink2.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1444112" cy="2342858"/>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10269714" cy="186513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486833" y="0"/>
          <a:ext cx="14029973" cy="2097969"/>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4047611"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2456583" cy="2344914"/>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2662224" cy="1812300"/>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1874508" cy="1891323"/>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4036185"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6610712" cy="219822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xdr:cNvGrpSpPr/>
      </xdr:nvGrpSpPr>
      <xdr:grpSpPr>
        <a:xfrm>
          <a:off x="0" y="0"/>
          <a:ext cx="13513152" cy="2192778"/>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Rate%20Submissions/2014/Working%20Files/LRAMVA/Matt_LRAMVA%20calc.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Rate%20Submissions/LRAMVA/Guelph_Settlement_Updated_EDDVAR_Continuity_Schedule_CoS_2015102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Rate%20Submissions/LRAMVA/2014%20Q4%20USoA%20156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WO%20T10%20Pers_Guelph_Settlement_LRAMVA%20Model_201509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ate%20Submissions/2017/Models/2008%20Rate%20Design%20&amp;%20WEDCO%20Impacts%20DRAFT%20v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ate%20Submissions/LRAMVA/Actual%20CDM%20adjustments%20at%20customer%20class.mdw.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ate%20Submissions/2012%20Rate%20-%20Rebasing%20Process/Models/TCQ_14_a_Weather%20Normalization%20Regression%20Model%20-%20201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pdated_Guelph%20LRAM%20Summary_20161018_V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Rate%20Submissions/2016%20Rate%20-%20Rebasing%20Process/LRAMVA/2012%20Actual%20CDM%20adjustments%20at%20customer%20class.mdw.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Rate%20Submissions/2014/Working%20Files/LRAMVA/2011%20to%202012%20dustribution%20rates%20for%20LRA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Rate%20Submissions/LRAMVA/LRAMVA_TCQ_14_a_Weather%20Normalization%20Regression%20Model%20-%20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RateGroupCalc"/>
      <sheetName val="CDMResults"/>
      <sheetName val="Analysis-2011"/>
      <sheetName val="Analysis-2012"/>
    </sheetNames>
    <sheetDataSet>
      <sheetData sheetId="0">
        <row r="18">
          <cell r="L18" t="str">
            <v>RATE CODE</v>
          </cell>
          <cell r="N18" t="str">
            <v>Residential Program Total</v>
          </cell>
          <cell r="O18" t="str">
            <v>Commercial &amp; Institutional Program Total</v>
          </cell>
          <cell r="P18" t="str">
            <v>Industrial Program Total</v>
          </cell>
          <cell r="Q18" t="str">
            <v>Home Assistance Program Total</v>
          </cell>
          <cell r="R18" t="str">
            <v>Pre-2011 Programs completed in 2011 Total</v>
          </cell>
          <cell r="S18" t="str">
            <v>Total</v>
          </cell>
          <cell r="U18" t="str">
            <v>Residential Program Total</v>
          </cell>
          <cell r="V18" t="str">
            <v>Commercial &amp; Institutional Program Total</v>
          </cell>
          <cell r="W18" t="str">
            <v>Industrial Program Total</v>
          </cell>
          <cell r="X18" t="str">
            <v>Home Assistance Program Total</v>
          </cell>
          <cell r="Y18" t="str">
            <v>Pre-2011 Programs completed in 2011 Total</v>
          </cell>
          <cell r="Z18" t="str">
            <v>Total</v>
          </cell>
        </row>
        <row r="19">
          <cell r="N19">
            <v>1613390</v>
          </cell>
          <cell r="S19">
            <v>1613390</v>
          </cell>
        </row>
        <row r="20">
          <cell r="O20">
            <v>778995</v>
          </cell>
          <cell r="S20">
            <v>778995</v>
          </cell>
        </row>
        <row r="21">
          <cell r="O21">
            <v>533135.25</v>
          </cell>
          <cell r="P21">
            <v>555604.04999999993</v>
          </cell>
          <cell r="R21">
            <v>1162283.3999999999</v>
          </cell>
          <cell r="S21">
            <v>2251022.6999999997</v>
          </cell>
        </row>
        <row r="22">
          <cell r="O22">
            <v>0</v>
          </cell>
          <cell r="P22">
            <v>185201.35</v>
          </cell>
          <cell r="R22">
            <v>5811417</v>
          </cell>
          <cell r="S22">
            <v>5996618.3499999996</v>
          </cell>
        </row>
        <row r="23">
          <cell r="O23">
            <v>28059.75</v>
          </cell>
          <cell r="P23">
            <v>2963221.6</v>
          </cell>
          <cell r="R23">
            <v>774855.60000000009</v>
          </cell>
          <cell r="S23">
            <v>3766136.95</v>
          </cell>
        </row>
        <row r="24">
          <cell r="S24">
            <v>0</v>
          </cell>
        </row>
        <row r="25">
          <cell r="S25">
            <v>0</v>
          </cell>
        </row>
        <row r="26">
          <cell r="S26">
            <v>0</v>
          </cell>
        </row>
        <row r="27">
          <cell r="L27" t="str">
            <v>Total</v>
          </cell>
          <cell r="N27">
            <v>1613390</v>
          </cell>
          <cell r="O27">
            <v>1340190</v>
          </cell>
          <cell r="P27">
            <v>3704027</v>
          </cell>
          <cell r="Q27">
            <v>0</v>
          </cell>
          <cell r="R27">
            <v>7748556</v>
          </cell>
          <cell r="S27">
            <v>14406163</v>
          </cell>
        </row>
        <row r="43">
          <cell r="L43" t="str">
            <v>RATE CODE</v>
          </cell>
          <cell r="N43" t="str">
            <v>Residential Program Total</v>
          </cell>
          <cell r="O43" t="str">
            <v>Commercial &amp; Institutional Program Total</v>
          </cell>
          <cell r="P43" t="str">
            <v>Industrial Program Total</v>
          </cell>
          <cell r="Q43" t="str">
            <v>Home Assistance Program Total</v>
          </cell>
          <cell r="R43" t="str">
            <v>Pre-2011 Programs completed in 2011 Total</v>
          </cell>
          <cell r="S43" t="str">
            <v>Total</v>
          </cell>
          <cell r="U43" t="str">
            <v>Residential Program Total</v>
          </cell>
          <cell r="V43" t="str">
            <v>Commercial &amp; Institutional Program Total</v>
          </cell>
          <cell r="W43" t="str">
            <v>Industrial Program Total</v>
          </cell>
          <cell r="X43" t="str">
            <v>Home Assistance Program Total</v>
          </cell>
          <cell r="Y43" t="str">
            <v>Pre-2011 Programs completed in 2011 Total</v>
          </cell>
          <cell r="Z43" t="str">
            <v>Total</v>
          </cell>
        </row>
        <row r="44">
          <cell r="N44">
            <v>645</v>
          </cell>
          <cell r="R44">
            <v>0</v>
          </cell>
          <cell r="S44">
            <v>645</v>
          </cell>
        </row>
        <row r="45">
          <cell r="O45">
            <v>313</v>
          </cell>
          <cell r="R45">
            <v>0</v>
          </cell>
          <cell r="S45">
            <v>313</v>
          </cell>
        </row>
        <row r="46">
          <cell r="O46">
            <v>376.2</v>
          </cell>
          <cell r="P46">
            <v>119.2</v>
          </cell>
          <cell r="R46">
            <v>217.04999999999998</v>
          </cell>
          <cell r="S46">
            <v>712.44999999999993</v>
          </cell>
        </row>
        <row r="47">
          <cell r="O47">
            <v>0</v>
          </cell>
          <cell r="P47">
            <v>29.8</v>
          </cell>
          <cell r="R47">
            <v>940.55000000000007</v>
          </cell>
          <cell r="S47">
            <v>970.35</v>
          </cell>
        </row>
        <row r="48">
          <cell r="O48">
            <v>41.800000000000004</v>
          </cell>
          <cell r="P48">
            <v>447</v>
          </cell>
          <cell r="R48">
            <v>289.40000000000003</v>
          </cell>
          <cell r="S48">
            <v>778.2</v>
          </cell>
        </row>
        <row r="49">
          <cell r="S49">
            <v>0</v>
          </cell>
        </row>
        <row r="50">
          <cell r="S50">
            <v>0</v>
          </cell>
        </row>
        <row r="51">
          <cell r="S51">
            <v>0</v>
          </cell>
        </row>
        <row r="52">
          <cell r="L52" t="str">
            <v>Total</v>
          </cell>
          <cell r="N52">
            <v>645</v>
          </cell>
          <cell r="O52">
            <v>731</v>
          </cell>
          <cell r="P52">
            <v>596</v>
          </cell>
          <cell r="Q52">
            <v>0</v>
          </cell>
          <cell r="R52">
            <v>1447</v>
          </cell>
        </row>
      </sheetData>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2014 Continuity Schedule"/>
      <sheetName val="3. Appendix A"/>
      <sheetName val="4. Billing Determinants"/>
      <sheetName val="5. Allocation of Balances"/>
      <sheetName val="6. Rate Rider Calculations"/>
      <sheetName val="Summary Sheet"/>
      <sheetName val="7. 1518 and 1548"/>
      <sheetName val="8. Guelph RSVA Model"/>
      <sheetName val="Group 2 Accounts"/>
      <sheetName val="Interest Rates Used"/>
    </sheetNames>
    <sheetDataSet>
      <sheetData sheetId="0"/>
      <sheetData sheetId="1"/>
      <sheetData sheetId="2"/>
      <sheetData sheetId="3"/>
      <sheetData sheetId="4"/>
      <sheetData sheetId="5">
        <row r="103">
          <cell r="H103">
            <v>2864.1073881087505</v>
          </cell>
        </row>
        <row r="104">
          <cell r="H104">
            <v>23248.428846268052</v>
          </cell>
        </row>
        <row r="105">
          <cell r="H105">
            <v>41602.771409432207</v>
          </cell>
        </row>
        <row r="106">
          <cell r="H106">
            <v>27080.993442001029</v>
          </cell>
        </row>
        <row r="107">
          <cell r="H107">
            <v>195241.56901394573</v>
          </cell>
        </row>
        <row r="108">
          <cell r="H108">
            <v>-1096.9824283571775</v>
          </cell>
        </row>
        <row r="109">
          <cell r="H109">
            <v>0</v>
          </cell>
        </row>
        <row r="110">
          <cell r="H110">
            <v>0</v>
          </cell>
        </row>
      </sheetData>
      <sheetData sheetId="6"/>
      <sheetData sheetId="7"/>
      <sheetData sheetId="8"/>
      <sheetData sheetId="9"/>
      <sheetData sheetId="1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inuity"/>
      <sheetName val="CDM Dollars"/>
      <sheetName val="2013 results"/>
    </sheetNames>
    <sheetDataSet>
      <sheetData sheetId="0">
        <row r="23">
          <cell r="D23">
            <v>0</v>
          </cell>
        </row>
        <row r="24">
          <cell r="D24">
            <v>0</v>
          </cell>
        </row>
        <row r="25">
          <cell r="D25">
            <v>0</v>
          </cell>
        </row>
        <row r="26">
          <cell r="D26">
            <v>0</v>
          </cell>
        </row>
        <row r="27">
          <cell r="D27">
            <v>0</v>
          </cell>
        </row>
        <row r="28">
          <cell r="D28">
            <v>0</v>
          </cell>
        </row>
        <row r="29">
          <cell r="D29">
            <v>0</v>
          </cell>
        </row>
        <row r="30">
          <cell r="D30">
            <v>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 Allocation"/>
      <sheetName val="Lost revenue"/>
      <sheetName val="CDM Prgs"/>
      <sheetName val="Continuity Schedule"/>
    </sheetNames>
    <sheetDataSet>
      <sheetData sheetId="0"/>
      <sheetData sheetId="1"/>
      <sheetData sheetId="2"/>
      <sheetData sheetId="3">
        <row r="46">
          <cell r="Q46">
            <v>25760.46033333334</v>
          </cell>
          <cell r="AD46">
            <v>-18133.461579667073</v>
          </cell>
          <cell r="AQ46">
            <v>-4762.8913655575161</v>
          </cell>
        </row>
        <row r="47">
          <cell r="Q47">
            <v>11944.589999999997</v>
          </cell>
          <cell r="AD47">
            <v>3626.8369390543521</v>
          </cell>
          <cell r="AQ47">
            <v>7677.0019072137075</v>
          </cell>
        </row>
        <row r="48">
          <cell r="Q48">
            <v>23204.211519999997</v>
          </cell>
          <cell r="AD48">
            <v>18459.078724443563</v>
          </cell>
          <cell r="AQ48">
            <v>-60.5188350113458</v>
          </cell>
        </row>
        <row r="49">
          <cell r="Q49">
            <v>22730.254679999998</v>
          </cell>
          <cell r="AD49">
            <v>-5237.9174973273766</v>
          </cell>
          <cell r="AQ49">
            <v>9588.656259328407</v>
          </cell>
        </row>
        <row r="50">
          <cell r="Q50">
            <v>20053.280160000009</v>
          </cell>
          <cell r="AD50">
            <v>69269.951068200593</v>
          </cell>
          <cell r="AQ50">
            <v>105918.33778574516</v>
          </cell>
        </row>
        <row r="51">
          <cell r="AD51">
            <v>-540.55739719432756</v>
          </cell>
          <cell r="AQ51">
            <v>-556.42503116285013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Allocation Options"/>
      <sheetName val="Forecast Data For 2008 C"/>
      <sheetName val="Forecast Data for 2008 G"/>
      <sheetName val="Forecast Data for 2008 W"/>
      <sheetName val="Rates By Rate Class"/>
      <sheetName val="Transformer Allowance"/>
      <sheetName val="2007 Existing Rates G"/>
      <sheetName val="Cost Of Service Allocation"/>
      <sheetName val="2008 Test Yr On Existing Rates"/>
      <sheetName val="2008 Test Yr Class Revenue"/>
      <sheetName val="Revenue to Cost Ratios By Class"/>
      <sheetName val="Allocation Low Voltage Costs"/>
      <sheetName val="Low Voltage Rates"/>
      <sheetName val="2007 Existing Rates W"/>
      <sheetName val="Distribution Rate Schedule"/>
      <sheetName val="LRAM and SSM Rate Rider"/>
      <sheetName val="2008 Regulatory Asset Rider"/>
      <sheetName val="Other Electricity Rates"/>
      <sheetName val="WEDCO BILL IMPACTS"/>
      <sheetName val="WEDCO BILL IMPACTS (2)"/>
      <sheetName val="WEDCO BILL IMPACTS % AND $"/>
      <sheetName val="Rate Schedule (Part 1)"/>
      <sheetName val="Rate Schedule (Part 2)"/>
      <sheetName val="Dist. Rev. Reconciliation"/>
      <sheetName val="Revenue Deficiency Analysis"/>
    </sheetNames>
    <sheetDataSet>
      <sheetData sheetId="0"/>
      <sheetData sheetId="1"/>
      <sheetData sheetId="2">
        <row r="8">
          <cell r="H8">
            <v>345465732</v>
          </cell>
        </row>
        <row r="10">
          <cell r="H10">
            <v>144373590</v>
          </cell>
        </row>
        <row r="13">
          <cell r="H13">
            <v>443267420</v>
          </cell>
        </row>
        <row r="16">
          <cell r="H16">
            <v>402368663</v>
          </cell>
        </row>
        <row r="18">
          <cell r="H18">
            <v>471750</v>
          </cell>
        </row>
        <row r="19">
          <cell r="H19">
            <v>260157189</v>
          </cell>
        </row>
        <row r="22">
          <cell r="H22">
            <v>8958126</v>
          </cell>
        </row>
        <row r="25">
          <cell r="H25">
            <v>127599</v>
          </cell>
        </row>
        <row r="27">
          <cell r="H27">
            <v>2279671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roved CDM adj."/>
      <sheetName val="Lost revenue"/>
      <sheetName val="CDM Prgs"/>
      <sheetName val="Continuity Schedule"/>
      <sheetName val="Sheet1"/>
    </sheetNames>
    <sheetDataSet>
      <sheetData sheetId="0">
        <row r="11">
          <cell r="C11">
            <v>399661949.82963043</v>
          </cell>
        </row>
      </sheetData>
      <sheetData sheetId="1">
        <row r="58">
          <cell r="D58">
            <v>108998.61304975962</v>
          </cell>
        </row>
        <row r="59">
          <cell r="D59">
            <v>93907.65003209564</v>
          </cell>
        </row>
        <row r="60">
          <cell r="D60">
            <v>221757.94231594715</v>
          </cell>
        </row>
        <row r="61">
          <cell r="D61">
            <v>286328.11685252172</v>
          </cell>
        </row>
        <row r="62">
          <cell r="D62">
            <v>848783.95025341411</v>
          </cell>
        </row>
        <row r="63">
          <cell r="D63">
            <v>-2237.3363895616499</v>
          </cell>
        </row>
        <row r="64">
          <cell r="D64">
            <v>0</v>
          </cell>
        </row>
        <row r="65">
          <cell r="D65">
            <v>0</v>
          </cell>
        </row>
        <row r="66">
          <cell r="D66">
            <v>1557538.9361141766</v>
          </cell>
        </row>
      </sheetData>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istorical comparison sales"/>
      <sheetName val="Summary"/>
      <sheetName val="1 summary"/>
      <sheetName val="HDD CDD trend"/>
      <sheetName val="Purchased Power Model"/>
      <sheetName val="Rate Class Energy Model"/>
      <sheetName val="Rate Class Customer Model"/>
      <sheetName val="Rate Class Load Model"/>
      <sheetName val="Chart11"/>
      <sheetName val="Purchased vs Forecast after adj"/>
      <sheetName val="Chart12"/>
      <sheetName val="Customer growth"/>
      <sheetName val="Statistics"/>
      <sheetName val="Customer Load Pie Graphs"/>
      <sheetName val="Load Charts"/>
      <sheetName val="Sheet1"/>
      <sheetName val="Chart9"/>
      <sheetName val="Chart10"/>
      <sheetName val="Chart3"/>
      <sheetName val="Chart4"/>
      <sheetName val="Chart1"/>
      <sheetName val="Chart2"/>
      <sheetName val="Chart7"/>
      <sheetName val="Chart8"/>
    </sheetNames>
    <sheetDataSet>
      <sheetData sheetId="0"/>
      <sheetData sheetId="1"/>
      <sheetData sheetId="2"/>
      <sheetData sheetId="3"/>
      <sheetData sheetId="4"/>
      <sheetData sheetId="5"/>
      <sheetData sheetId="6">
        <row r="62">
          <cell r="H62">
            <v>378871008.47059846</v>
          </cell>
          <cell r="I62">
            <v>148787702.95485026</v>
          </cell>
          <cell r="J62">
            <v>399661949.82963043</v>
          </cell>
          <cell r="K62">
            <v>465120498.28736901</v>
          </cell>
          <cell r="L62">
            <v>271481475.0073272</v>
          </cell>
          <cell r="M62">
            <v>9777748.2982900348</v>
          </cell>
          <cell r="N62">
            <v>88740.018817051008</v>
          </cell>
          <cell r="O62">
            <v>2229301.0499360212</v>
          </cell>
        </row>
      </sheetData>
      <sheetData sheetId="7"/>
      <sheetData sheetId="8">
        <row r="13">
          <cell r="B13">
            <v>1041991.8756086476</v>
          </cell>
          <cell r="C13">
            <v>1015195.8967808036</v>
          </cell>
          <cell r="D13">
            <v>490511.97606784839</v>
          </cell>
          <cell r="E13">
            <v>27446.708685857357</v>
          </cell>
          <cell r="F13">
            <v>250.69142718560235</v>
          </cell>
        </row>
      </sheetData>
      <sheetData sheetId="9" refreshError="1"/>
      <sheetData sheetId="10"/>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elph Summary"/>
      <sheetName val="Guelph Adjs"/>
      <sheetName val="IRR 3 a"/>
      <sheetName val="IRR 5 a"/>
    </sheetNames>
    <sheetDataSet>
      <sheetData sheetId="0" refreshError="1"/>
      <sheetData sheetId="1">
        <row r="24">
          <cell r="E24">
            <v>129057.74413172694</v>
          </cell>
        </row>
      </sheetData>
      <sheetData sheetId="2">
        <row r="6">
          <cell r="C6">
            <v>456626.58605684363</v>
          </cell>
        </row>
      </sheetData>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 Allocation"/>
      <sheetName val="Lost revenue"/>
      <sheetName val="CDM Prgs"/>
      <sheetName val="Continuity Schedule"/>
    </sheetNames>
    <sheetDataSet>
      <sheetData sheetId="0">
        <row r="56">
          <cell r="F56">
            <v>123312.65503919848</v>
          </cell>
        </row>
      </sheetData>
      <sheetData sheetId="1">
        <row r="58">
          <cell r="D58">
            <v>2864.1073881087505</v>
          </cell>
          <cell r="E58">
            <v>101.44948062660561</v>
          </cell>
          <cell r="F58">
            <v>2965.5568687353561</v>
          </cell>
          <cell r="H58">
            <v>34.154480603196838</v>
          </cell>
          <cell r="I58">
            <v>2999.7113493385532</v>
          </cell>
        </row>
        <row r="59">
          <cell r="D59">
            <v>23248.428846268056</v>
          </cell>
          <cell r="E59">
            <v>823.48205295329376</v>
          </cell>
          <cell r="F59">
            <v>24071.910899221351</v>
          </cell>
          <cell r="H59">
            <v>277.23751399174648</v>
          </cell>
          <cell r="I59">
            <v>24349.148413213097</v>
          </cell>
        </row>
        <row r="60">
          <cell r="D60">
            <v>41602.771409432215</v>
          </cell>
          <cell r="E60">
            <v>1473.6107904463947</v>
          </cell>
          <cell r="F60">
            <v>43076.382199878608</v>
          </cell>
          <cell r="H60">
            <v>496.11304905747897</v>
          </cell>
          <cell r="I60">
            <v>43572.495248936088</v>
          </cell>
        </row>
        <row r="61">
          <cell r="D61">
            <v>27080.993442001029</v>
          </cell>
          <cell r="E61">
            <v>959.23523361938953</v>
          </cell>
          <cell r="F61">
            <v>28040.228675620419</v>
          </cell>
          <cell r="H61">
            <v>322.94084679586217</v>
          </cell>
          <cell r="I61">
            <v>28363.169522416283</v>
          </cell>
        </row>
        <row r="62">
          <cell r="D62">
            <v>195241.56901394576</v>
          </cell>
          <cell r="E62">
            <v>6915.6470373366783</v>
          </cell>
          <cell r="F62">
            <v>202157.21605128245</v>
          </cell>
          <cell r="H62">
            <v>2328.2557104913026</v>
          </cell>
          <cell r="I62">
            <v>204485.47176177375</v>
          </cell>
        </row>
        <row r="63">
          <cell r="D63">
            <v>-1096.9824283571777</v>
          </cell>
          <cell r="E63">
            <v>-38.85618886896382</v>
          </cell>
          <cell r="F63">
            <v>-1135.8386172261414</v>
          </cell>
          <cell r="H63">
            <v>-13.081515458159339</v>
          </cell>
          <cell r="I63">
            <v>-1148.9201326843008</v>
          </cell>
        </row>
        <row r="64">
          <cell r="D64">
            <v>0</v>
          </cell>
          <cell r="E64">
            <v>0</v>
          </cell>
          <cell r="F64">
            <v>0</v>
          </cell>
          <cell r="H64">
            <v>0</v>
          </cell>
          <cell r="I64">
            <v>0</v>
          </cell>
        </row>
        <row r="65">
          <cell r="D65">
            <v>0</v>
          </cell>
          <cell r="E65">
            <v>0</v>
          </cell>
          <cell r="F65">
            <v>0</v>
          </cell>
          <cell r="H65">
            <v>0</v>
          </cell>
          <cell r="I65">
            <v>0</v>
          </cell>
        </row>
        <row r="66">
          <cell r="D66">
            <v>288940.88767139864</v>
          </cell>
          <cell r="E66">
            <v>10234.568406113398</v>
          </cell>
          <cell r="F66">
            <v>299175.45607751206</v>
          </cell>
          <cell r="H66">
            <v>3445.6200854814279</v>
          </cell>
          <cell r="I66">
            <v>302621.07616299344</v>
          </cell>
        </row>
      </sheetData>
      <sheetData sheetId="2">
        <row r="5">
          <cell r="T5">
            <v>1612046.0683048728</v>
          </cell>
          <cell r="AF5">
            <v>1610702.1366097459</v>
          </cell>
          <cell r="AG5">
            <v>872589.266286736</v>
          </cell>
        </row>
        <row r="6">
          <cell r="T6">
            <v>778346.1078717201</v>
          </cell>
          <cell r="AF6">
            <v>777697.2157434402</v>
          </cell>
          <cell r="AG6">
            <v>897267.28397336032</v>
          </cell>
        </row>
      </sheetData>
      <sheetData sheetId="3">
        <row r="32">
          <cell r="Q32">
            <v>103692.79669333334</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14">
          <cell r="A14" t="str">
            <v>2012 CDM Adjustments kWh</v>
          </cell>
          <cell r="J14">
            <v>15906000.000000002</v>
          </cell>
        </row>
        <row r="15">
          <cell r="A15" t="str">
            <v>2012 CDM Adjustments kW</v>
          </cell>
        </row>
      </sheetData>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istorical comparison sales"/>
      <sheetName val="Summary"/>
      <sheetName val="1 summary"/>
      <sheetName val="HDD CDD trend"/>
      <sheetName val="Purchased Power Model"/>
      <sheetName val="Rate Class Energy Model"/>
      <sheetName val="Rate Class Customer Model"/>
      <sheetName val="Rate Class Load Model"/>
      <sheetName val="Chart1"/>
      <sheetName val="Purchased vs Forecast after adj"/>
      <sheetName val="Chart2"/>
      <sheetName val="Customer growth"/>
      <sheetName val="Statistics"/>
      <sheetName val="Customer Load Pie Graphs"/>
      <sheetName val="Load Charts"/>
      <sheetName val="Sheet1"/>
    </sheetNames>
    <sheetDataSet>
      <sheetData sheetId="0"/>
      <sheetData sheetId="1"/>
      <sheetData sheetId="2"/>
      <sheetData sheetId="3"/>
      <sheetData sheetId="4"/>
      <sheetData sheetId="5"/>
      <sheetData sheetId="6"/>
      <sheetData sheetId="7"/>
      <sheetData sheetId="8">
        <row r="13">
          <cell r="J13">
            <v>11072.809594397084</v>
          </cell>
          <cell r="K13">
            <v>2456.7131554919761</v>
          </cell>
          <cell r="L13">
            <v>4003.2171855461202</v>
          </cell>
          <cell r="M13">
            <v>0</v>
          </cell>
          <cell r="N13">
            <v>0</v>
          </cell>
          <cell r="O13">
            <v>17532.73993543518</v>
          </cell>
        </row>
      </sheetData>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zoomScale="90" zoomScaleNormal="90" workbookViewId="0">
      <selection activeCell="A3" sqref="A3"/>
    </sheetView>
  </sheetViews>
  <sheetFormatPr defaultColWidth="9.1796875" defaultRowHeight="14.5" x14ac:dyDescent="0.35"/>
  <cols>
    <col min="1" max="1" width="9.1796875" style="23"/>
    <col min="2" max="2" width="32.1796875" style="65" customWidth="1"/>
    <col min="3" max="3" width="114.26953125" style="23" customWidth="1"/>
    <col min="4" max="4" width="8.1796875" style="23" customWidth="1"/>
    <col min="5" max="16384" width="9.1796875" style="23"/>
  </cols>
  <sheetData>
    <row r="1" spans="1:3" ht="174" customHeight="1" x14ac:dyDescent="0.35"/>
    <row r="3" spans="1:3" ht="20" x14ac:dyDescent="0.35">
      <c r="B3" s="1218" t="s">
        <v>340</v>
      </c>
      <c r="C3" s="1218"/>
    </row>
    <row r="4" spans="1:3" ht="21" customHeight="1" x14ac:dyDescent="0.35"/>
    <row r="5" spans="1:3" s="72" customFormat="1" ht="25.5" customHeight="1" x14ac:dyDescent="0.3">
      <c r="B5" s="447" t="s">
        <v>374</v>
      </c>
      <c r="C5" s="447" t="s">
        <v>339</v>
      </c>
    </row>
    <row r="6" spans="1:3" s="79" customFormat="1" ht="32.25" customHeight="1" x14ac:dyDescent="0.35">
      <c r="A6" s="42"/>
      <c r="B6" s="448" t="s">
        <v>335</v>
      </c>
      <c r="C6" s="449" t="s">
        <v>458</v>
      </c>
    </row>
    <row r="7" spans="1:3" s="79" customFormat="1" ht="9.75" customHeight="1" x14ac:dyDescent="0.35">
      <c r="B7" s="88"/>
      <c r="C7" s="90"/>
    </row>
    <row r="8" spans="1:3" s="79" customFormat="1" ht="14" x14ac:dyDescent="0.35">
      <c r="B8" s="294" t="s">
        <v>330</v>
      </c>
      <c r="C8" s="90" t="s">
        <v>346</v>
      </c>
    </row>
    <row r="9" spans="1:3" s="79" customFormat="1" ht="14" x14ac:dyDescent="0.35">
      <c r="B9" s="88"/>
      <c r="C9" s="90"/>
    </row>
    <row r="10" spans="1:3" s="79" customFormat="1" ht="14" x14ac:dyDescent="0.35">
      <c r="B10" s="294" t="s">
        <v>331</v>
      </c>
      <c r="C10" s="90" t="s">
        <v>348</v>
      </c>
    </row>
    <row r="11" spans="1:3" s="79" customFormat="1" ht="14" x14ac:dyDescent="0.35">
      <c r="B11" s="88"/>
      <c r="C11" s="90"/>
    </row>
    <row r="12" spans="1:3" s="79" customFormat="1" ht="30" customHeight="1" x14ac:dyDescent="0.35">
      <c r="B12" s="294" t="s">
        <v>332</v>
      </c>
      <c r="C12" s="442" t="s">
        <v>459</v>
      </c>
    </row>
    <row r="13" spans="1:3" s="79" customFormat="1" ht="14" x14ac:dyDescent="0.35">
      <c r="B13" s="88"/>
      <c r="C13" s="90"/>
    </row>
    <row r="14" spans="1:3" s="79" customFormat="1" ht="14" x14ac:dyDescent="0.35">
      <c r="B14" s="294" t="s">
        <v>500</v>
      </c>
      <c r="C14" s="90" t="s">
        <v>479</v>
      </c>
    </row>
    <row r="15" spans="1:3" s="79" customFormat="1" ht="14" hidden="1" x14ac:dyDescent="0.35">
      <c r="B15" s="294" t="s">
        <v>467</v>
      </c>
      <c r="C15" s="90" t="s">
        <v>480</v>
      </c>
    </row>
    <row r="16" spans="1:3" s="79" customFormat="1" ht="14" hidden="1" x14ac:dyDescent="0.35">
      <c r="B16" s="88"/>
      <c r="C16" s="90"/>
    </row>
    <row r="17" spans="2:8" s="79" customFormat="1" ht="14" hidden="1" x14ac:dyDescent="0.35">
      <c r="B17" s="294" t="s">
        <v>468</v>
      </c>
      <c r="C17" s="90" t="s">
        <v>481</v>
      </c>
    </row>
    <row r="18" spans="2:8" s="79" customFormat="1" ht="14" hidden="1" x14ac:dyDescent="0.35">
      <c r="B18" s="88"/>
      <c r="C18" s="90"/>
    </row>
    <row r="19" spans="2:8" s="79" customFormat="1" ht="14" hidden="1" x14ac:dyDescent="0.35">
      <c r="B19" s="294" t="s">
        <v>469</v>
      </c>
      <c r="C19" s="90" t="s">
        <v>482</v>
      </c>
      <c r="E19" s="1219" t="s">
        <v>464</v>
      </c>
      <c r="F19" s="1219"/>
      <c r="G19" s="1219"/>
      <c r="H19" s="1219"/>
    </row>
    <row r="20" spans="2:8" s="79" customFormat="1" ht="14" hidden="1" x14ac:dyDescent="0.35">
      <c r="B20" s="88"/>
      <c r="C20" s="90"/>
      <c r="E20" s="1219"/>
      <c r="F20" s="1219"/>
      <c r="G20" s="1219"/>
      <c r="H20" s="1219"/>
    </row>
    <row r="21" spans="2:8" s="79" customFormat="1" ht="14" hidden="1" x14ac:dyDescent="0.35">
      <c r="B21" s="294" t="s">
        <v>470</v>
      </c>
      <c r="C21" s="90" t="s">
        <v>483</v>
      </c>
      <c r="E21" s="1219"/>
      <c r="F21" s="1219"/>
      <c r="G21" s="1219"/>
      <c r="H21" s="1219"/>
    </row>
    <row r="22" spans="2:8" s="79" customFormat="1" ht="14" hidden="1" x14ac:dyDescent="0.35">
      <c r="B22" s="88"/>
      <c r="C22" s="90"/>
    </row>
    <row r="23" spans="2:8" s="79" customFormat="1" ht="14" hidden="1" x14ac:dyDescent="0.35">
      <c r="B23" s="294" t="s">
        <v>471</v>
      </c>
      <c r="C23" s="90" t="s">
        <v>484</v>
      </c>
    </row>
    <row r="24" spans="2:8" s="79" customFormat="1" ht="14" x14ac:dyDescent="0.35">
      <c r="B24" s="88"/>
      <c r="C24" s="90"/>
    </row>
    <row r="25" spans="2:8" s="79" customFormat="1" ht="14" x14ac:dyDescent="0.35">
      <c r="B25" s="294" t="s">
        <v>466</v>
      </c>
      <c r="C25" s="442" t="s">
        <v>488</v>
      </c>
    </row>
    <row r="26" spans="2:8" s="79" customFormat="1" ht="14" x14ac:dyDescent="0.35">
      <c r="B26" s="294"/>
      <c r="C26" s="442"/>
    </row>
    <row r="27" spans="2:8" s="79" customFormat="1" ht="14" x14ac:dyDescent="0.35">
      <c r="B27" s="294" t="s">
        <v>333</v>
      </c>
      <c r="C27" s="90" t="s">
        <v>361</v>
      </c>
    </row>
    <row r="28" spans="2:8" s="79" customFormat="1" ht="14" x14ac:dyDescent="0.35">
      <c r="B28" s="89"/>
      <c r="C28" s="89"/>
    </row>
    <row r="29" spans="2:8" s="80" customFormat="1" x14ac:dyDescent="0.35">
      <c r="B29" s="205"/>
    </row>
    <row r="30" spans="2:8" s="80" customFormat="1" x14ac:dyDescent="0.35">
      <c r="B30" s="153"/>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0" orientation="landscape"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workbookViewId="0">
      <pane ySplit="14" topLeftCell="A96" activePane="bottomLeft" state="frozen"/>
      <selection pane="bottomLeft" activeCell="B13" sqref="B13:B14"/>
    </sheetView>
  </sheetViews>
  <sheetFormatPr defaultColWidth="9.1796875" defaultRowHeight="14.5" outlineLevelRow="1" x14ac:dyDescent="0.35"/>
  <cols>
    <col min="1" max="1" width="6.54296875" style="23" customWidth="1"/>
    <col min="2" max="2" width="5.1796875" style="67" customWidth="1"/>
    <col min="3" max="3" width="44.26953125" style="422" customWidth="1"/>
    <col min="4" max="4" width="12.26953125" style="423" customWidth="1"/>
    <col min="5" max="5" width="13.26953125" style="423" customWidth="1"/>
    <col min="6" max="7" width="19.453125" style="67" customWidth="1"/>
    <col min="8" max="14" width="12.7265625" style="67" customWidth="1"/>
    <col min="15" max="15" width="8.1796875" style="67" customWidth="1"/>
    <col min="16" max="16" width="11.26953125" style="67" customWidth="1"/>
    <col min="17" max="17" width="13.1796875" style="23" customWidth="1"/>
    <col min="18" max="16384" width="9.1796875" style="23"/>
  </cols>
  <sheetData>
    <row r="2" spans="1:18" ht="18.75" customHeight="1" x14ac:dyDescent="0.4">
      <c r="B2" s="1316" t="s">
        <v>279</v>
      </c>
      <c r="C2" s="1316"/>
      <c r="D2" s="1316"/>
      <c r="E2" s="1316"/>
      <c r="F2" s="1316"/>
      <c r="G2" s="1316"/>
      <c r="H2" s="1316"/>
      <c r="I2" s="1316"/>
      <c r="J2" s="1316"/>
      <c r="K2" s="1316"/>
      <c r="L2" s="1316"/>
      <c r="M2" s="1316"/>
      <c r="N2" s="1316"/>
      <c r="O2" s="1316"/>
      <c r="P2" s="1316"/>
    </row>
    <row r="3" spans="1:18" ht="18.5" outlineLevel="1" x14ac:dyDescent="0.45">
      <c r="B3" s="425"/>
      <c r="C3" s="426"/>
      <c r="D3" s="426"/>
      <c r="E3" s="426"/>
      <c r="F3" s="426"/>
      <c r="G3" s="426"/>
      <c r="H3" s="426"/>
      <c r="I3" s="426"/>
      <c r="J3" s="426"/>
      <c r="K3" s="426"/>
      <c r="L3" s="426"/>
      <c r="M3" s="426"/>
      <c r="N3" s="426"/>
      <c r="O3" s="426"/>
      <c r="P3" s="426"/>
    </row>
    <row r="4" spans="1:18" ht="35.25" customHeight="1" outlineLevel="1" x14ac:dyDescent="0.45">
      <c r="A4" s="64"/>
      <c r="B4" s="425"/>
      <c r="C4" s="361" t="s">
        <v>399</v>
      </c>
      <c r="D4" s="426"/>
      <c r="E4" s="1315" t="s">
        <v>362</v>
      </c>
      <c r="F4" s="1315"/>
      <c r="G4" s="1315"/>
      <c r="H4" s="1315"/>
      <c r="I4" s="1315"/>
      <c r="J4" s="1315"/>
      <c r="K4" s="1315"/>
      <c r="L4" s="1315"/>
      <c r="M4" s="1315"/>
      <c r="N4" s="1315"/>
      <c r="O4" s="1315"/>
      <c r="P4" s="1315"/>
    </row>
    <row r="5" spans="1:18" ht="18.75" customHeight="1" outlineLevel="1" x14ac:dyDescent="0.45">
      <c r="B5" s="425"/>
      <c r="C5" s="427"/>
      <c r="D5" s="426"/>
      <c r="E5" s="364" t="s">
        <v>356</v>
      </c>
      <c r="F5" s="426"/>
      <c r="G5" s="426"/>
      <c r="H5" s="426"/>
      <c r="I5" s="426"/>
      <c r="J5" s="426"/>
      <c r="K5" s="426"/>
      <c r="L5" s="426"/>
      <c r="M5" s="426"/>
      <c r="N5" s="426"/>
      <c r="O5" s="426"/>
      <c r="P5" s="426"/>
    </row>
    <row r="6" spans="1:18" ht="18.75" customHeight="1" outlineLevel="1" x14ac:dyDescent="0.45">
      <c r="B6" s="425"/>
      <c r="C6" s="427"/>
      <c r="D6" s="426"/>
      <c r="E6" s="364" t="s">
        <v>357</v>
      </c>
      <c r="F6" s="426"/>
      <c r="G6" s="426"/>
      <c r="H6" s="426"/>
      <c r="I6" s="426"/>
      <c r="J6" s="426"/>
      <c r="K6" s="426"/>
      <c r="L6" s="426"/>
      <c r="M6" s="426"/>
      <c r="N6" s="426"/>
      <c r="O6" s="426"/>
      <c r="P6" s="426"/>
    </row>
    <row r="7" spans="1:18" ht="18.75" customHeight="1" outlineLevel="1" x14ac:dyDescent="0.45">
      <c r="B7" s="425"/>
      <c r="C7" s="427"/>
      <c r="D7" s="426"/>
      <c r="E7" s="364" t="s">
        <v>417</v>
      </c>
      <c r="F7" s="426"/>
      <c r="G7" s="426"/>
      <c r="H7" s="426"/>
      <c r="I7" s="426"/>
      <c r="J7" s="426"/>
      <c r="K7" s="426"/>
      <c r="L7" s="426"/>
      <c r="M7" s="426"/>
      <c r="N7" s="426"/>
      <c r="O7" s="426"/>
      <c r="P7" s="426"/>
    </row>
    <row r="8" spans="1:18" ht="18.75" customHeight="1" outlineLevel="1" x14ac:dyDescent="0.45">
      <c r="B8" s="425"/>
      <c r="C8" s="427"/>
      <c r="D8" s="426"/>
      <c r="E8" s="364"/>
      <c r="F8" s="426"/>
      <c r="G8" s="426"/>
      <c r="H8" s="426"/>
      <c r="I8" s="426"/>
      <c r="J8" s="426"/>
      <c r="K8" s="426"/>
      <c r="L8" s="426"/>
      <c r="M8" s="426"/>
      <c r="N8" s="426"/>
      <c r="O8" s="426"/>
      <c r="P8" s="426"/>
    </row>
    <row r="9" spans="1:18" ht="18.75" customHeight="1" outlineLevel="1" x14ac:dyDescent="0.45">
      <c r="B9" s="425"/>
      <c r="C9" s="228" t="s">
        <v>337</v>
      </c>
      <c r="D9" s="425"/>
      <c r="E9" s="1300" t="s">
        <v>363</v>
      </c>
      <c r="F9" s="1300"/>
      <c r="G9" s="425"/>
      <c r="H9" s="425"/>
      <c r="I9" s="425"/>
      <c r="J9" s="425"/>
      <c r="K9" s="425"/>
      <c r="L9" s="425"/>
      <c r="M9" s="425"/>
      <c r="N9" s="425"/>
      <c r="O9" s="425"/>
      <c r="P9" s="425"/>
      <c r="R9" s="81"/>
    </row>
    <row r="10" spans="1:18" ht="18.75" customHeight="1" outlineLevel="1" x14ac:dyDescent="0.45">
      <c r="B10" s="425"/>
      <c r="C10" s="425"/>
      <c r="D10" s="425"/>
      <c r="E10" s="1230" t="s">
        <v>338</v>
      </c>
      <c r="F10" s="1230"/>
      <c r="G10" s="425"/>
      <c r="H10" s="425"/>
      <c r="I10" s="425"/>
      <c r="J10" s="425"/>
      <c r="K10" s="425"/>
      <c r="L10" s="425"/>
      <c r="M10" s="425"/>
      <c r="N10" s="425"/>
      <c r="O10" s="425"/>
      <c r="P10" s="425"/>
    </row>
    <row r="11" spans="1:18" ht="18.75" customHeight="1" x14ac:dyDescent="0.45">
      <c r="B11" s="425"/>
      <c r="C11" s="425"/>
      <c r="D11" s="425"/>
      <c r="E11" s="133"/>
      <c r="G11" s="425"/>
      <c r="H11" s="425"/>
      <c r="I11" s="425"/>
      <c r="J11" s="425"/>
      <c r="K11" s="425"/>
      <c r="L11" s="425"/>
      <c r="M11" s="425"/>
      <c r="N11" s="425"/>
      <c r="O11" s="425"/>
      <c r="P11" s="425"/>
    </row>
    <row r="12" spans="1:18" ht="15.5" x14ac:dyDescent="0.35">
      <c r="A12" s="47"/>
      <c r="B12" s="428" t="s">
        <v>476</v>
      </c>
      <c r="C12" s="429"/>
      <c r="D12" s="430"/>
      <c r="E12" s="430"/>
    </row>
    <row r="13" spans="1:18" ht="42" x14ac:dyDescent="0.35">
      <c r="B13" s="1307" t="s">
        <v>59</v>
      </c>
      <c r="C13" s="1309" t="s">
        <v>0</v>
      </c>
      <c r="D13" s="1309" t="s">
        <v>45</v>
      </c>
      <c r="E13" s="1309" t="s">
        <v>205</v>
      </c>
      <c r="F13" s="231" t="s">
        <v>202</v>
      </c>
      <c r="G13" s="231" t="s">
        <v>46</v>
      </c>
      <c r="H13" s="1311" t="s">
        <v>60</v>
      </c>
      <c r="I13" s="1311"/>
      <c r="J13" s="1311"/>
      <c r="K13" s="1311"/>
      <c r="L13" s="1311"/>
      <c r="M13" s="1311"/>
      <c r="N13" s="1311"/>
      <c r="O13" s="1311"/>
      <c r="P13" s="1312"/>
    </row>
    <row r="14" spans="1:18" ht="56" x14ac:dyDescent="0.35">
      <c r="B14" s="1308"/>
      <c r="C14" s="1310"/>
      <c r="D14" s="1310"/>
      <c r="E14" s="1310"/>
      <c r="F14" s="420" t="s">
        <v>213</v>
      </c>
      <c r="G14" s="420" t="s">
        <v>214</v>
      </c>
      <c r="H14" s="421" t="s">
        <v>38</v>
      </c>
      <c r="I14" s="421" t="s">
        <v>40</v>
      </c>
      <c r="J14" s="421" t="s">
        <v>109</v>
      </c>
      <c r="K14" s="421" t="s">
        <v>110</v>
      </c>
      <c r="L14" s="421" t="s">
        <v>41</v>
      </c>
      <c r="M14" s="421" t="s">
        <v>42</v>
      </c>
      <c r="N14" s="421" t="s">
        <v>43</v>
      </c>
      <c r="O14" s="421" t="s">
        <v>106</v>
      </c>
      <c r="P14" s="424" t="s">
        <v>35</v>
      </c>
    </row>
    <row r="15" spans="1:18" ht="29.25" customHeight="1" x14ac:dyDescent="0.35">
      <c r="B15" s="1288" t="s">
        <v>141</v>
      </c>
      <c r="C15" s="1289"/>
      <c r="D15" s="1289"/>
      <c r="E15" s="1289"/>
      <c r="F15" s="1289"/>
      <c r="G15" s="1289"/>
      <c r="H15" s="1289"/>
      <c r="I15" s="1289"/>
      <c r="J15" s="1289"/>
      <c r="K15" s="1289"/>
      <c r="L15" s="1289"/>
      <c r="M15" s="1289"/>
      <c r="N15" s="1289"/>
      <c r="O15" s="1289"/>
      <c r="P15" s="1290"/>
    </row>
    <row r="16" spans="1:18" ht="26.25" customHeight="1" x14ac:dyDescent="0.35">
      <c r="A16" s="49"/>
      <c r="B16" s="1301" t="s">
        <v>142</v>
      </c>
      <c r="C16" s="1302"/>
      <c r="D16" s="1302"/>
      <c r="E16" s="1302"/>
      <c r="F16" s="1302"/>
      <c r="G16" s="1302"/>
      <c r="H16" s="1302"/>
      <c r="I16" s="1302"/>
      <c r="J16" s="1302"/>
      <c r="K16" s="1302"/>
      <c r="L16" s="1302"/>
      <c r="M16" s="1302"/>
      <c r="N16" s="1302"/>
      <c r="O16" s="1302"/>
      <c r="P16" s="1303"/>
    </row>
    <row r="17" spans="1:16" x14ac:dyDescent="0.35">
      <c r="A17" s="49"/>
      <c r="B17" s="414">
        <v>1</v>
      </c>
      <c r="C17" s="399" t="s">
        <v>143</v>
      </c>
      <c r="D17" s="245" t="s">
        <v>34</v>
      </c>
      <c r="E17" s="400"/>
      <c r="F17" s="289"/>
      <c r="G17" s="289"/>
      <c r="H17" s="411">
        <v>1</v>
      </c>
      <c r="I17" s="401"/>
      <c r="J17" s="401"/>
      <c r="K17" s="401"/>
      <c r="L17" s="401"/>
      <c r="M17" s="401"/>
      <c r="N17" s="401"/>
      <c r="O17" s="401"/>
      <c r="P17" s="415">
        <f>SUM(H17:O17)</f>
        <v>1</v>
      </c>
    </row>
    <row r="18" spans="1:16" x14ac:dyDescent="0.35">
      <c r="A18" s="46"/>
      <c r="B18" s="414">
        <v>2</v>
      </c>
      <c r="C18" s="399" t="s">
        <v>144</v>
      </c>
      <c r="D18" s="245" t="s">
        <v>34</v>
      </c>
      <c r="E18" s="402"/>
      <c r="F18" s="289"/>
      <c r="G18" s="289"/>
      <c r="H18" s="411">
        <v>1</v>
      </c>
      <c r="I18" s="401"/>
      <c r="J18" s="401"/>
      <c r="K18" s="401"/>
      <c r="L18" s="401"/>
      <c r="M18" s="401"/>
      <c r="N18" s="401"/>
      <c r="O18" s="401"/>
      <c r="P18" s="415">
        <f t="shared" ref="P18:P79" si="0">SUM(H18:O18)</f>
        <v>1</v>
      </c>
    </row>
    <row r="19" spans="1:16" x14ac:dyDescent="0.35">
      <c r="A19" s="49"/>
      <c r="B19" s="414">
        <v>3</v>
      </c>
      <c r="C19" s="399" t="s">
        <v>145</v>
      </c>
      <c r="D19" s="245" t="s">
        <v>34</v>
      </c>
      <c r="E19" s="402"/>
      <c r="F19" s="289"/>
      <c r="G19" s="289"/>
      <c r="H19" s="411">
        <v>1</v>
      </c>
      <c r="I19" s="401"/>
      <c r="J19" s="401"/>
      <c r="K19" s="401"/>
      <c r="L19" s="401"/>
      <c r="M19" s="401"/>
      <c r="N19" s="401"/>
      <c r="O19" s="401"/>
      <c r="P19" s="415">
        <f t="shared" si="0"/>
        <v>1</v>
      </c>
    </row>
    <row r="20" spans="1:16" x14ac:dyDescent="0.35">
      <c r="A20" s="49"/>
      <c r="B20" s="414">
        <v>4</v>
      </c>
      <c r="C20" s="399" t="s">
        <v>146</v>
      </c>
      <c r="D20" s="245" t="s">
        <v>34</v>
      </c>
      <c r="E20" s="402"/>
      <c r="F20" s="289"/>
      <c r="G20" s="289"/>
      <c r="H20" s="411">
        <v>1</v>
      </c>
      <c r="I20" s="401"/>
      <c r="J20" s="401"/>
      <c r="K20" s="401"/>
      <c r="L20" s="401"/>
      <c r="M20" s="401"/>
      <c r="N20" s="401"/>
      <c r="O20" s="401"/>
      <c r="P20" s="415">
        <f t="shared" si="0"/>
        <v>1</v>
      </c>
    </row>
    <row r="21" spans="1:16" x14ac:dyDescent="0.35">
      <c r="A21" s="49"/>
      <c r="B21" s="414">
        <v>5</v>
      </c>
      <c r="C21" s="399" t="s">
        <v>147</v>
      </c>
      <c r="D21" s="245" t="s">
        <v>34</v>
      </c>
      <c r="E21" s="402"/>
      <c r="F21" s="289"/>
      <c r="G21" s="289"/>
      <c r="H21" s="411">
        <v>1</v>
      </c>
      <c r="I21" s="401"/>
      <c r="J21" s="401"/>
      <c r="K21" s="401"/>
      <c r="L21" s="401"/>
      <c r="M21" s="401"/>
      <c r="N21" s="401"/>
      <c r="O21" s="401"/>
      <c r="P21" s="415">
        <f t="shared" si="0"/>
        <v>1</v>
      </c>
    </row>
    <row r="22" spans="1:16" ht="28" x14ac:dyDescent="0.35">
      <c r="A22" s="49"/>
      <c r="B22" s="414">
        <v>6</v>
      </c>
      <c r="C22" s="399" t="s">
        <v>148</v>
      </c>
      <c r="D22" s="245" t="s">
        <v>34</v>
      </c>
      <c r="E22" s="402"/>
      <c r="F22" s="289"/>
      <c r="G22" s="289"/>
      <c r="H22" s="411">
        <v>1</v>
      </c>
      <c r="I22" s="401"/>
      <c r="J22" s="401"/>
      <c r="K22" s="401"/>
      <c r="L22" s="401"/>
      <c r="M22" s="401"/>
      <c r="N22" s="401"/>
      <c r="O22" s="401"/>
      <c r="P22" s="415">
        <f t="shared" si="0"/>
        <v>1</v>
      </c>
    </row>
    <row r="23" spans="1:16" x14ac:dyDescent="0.35">
      <c r="A23" s="49"/>
      <c r="B23" s="416" t="s">
        <v>280</v>
      </c>
      <c r="C23" s="399"/>
      <c r="D23" s="245" t="s">
        <v>253</v>
      </c>
      <c r="E23" s="402"/>
      <c r="F23" s="289"/>
      <c r="G23" s="289"/>
      <c r="H23" s="411"/>
      <c r="I23" s="401"/>
      <c r="J23" s="401"/>
      <c r="K23" s="401"/>
      <c r="L23" s="401"/>
      <c r="M23" s="401"/>
      <c r="N23" s="401"/>
      <c r="O23" s="401"/>
      <c r="P23" s="415">
        <f t="shared" si="0"/>
        <v>0</v>
      </c>
    </row>
    <row r="24" spans="1:16" x14ac:dyDescent="0.35">
      <c r="A24" s="49"/>
      <c r="B24" s="414"/>
      <c r="C24" s="399"/>
      <c r="D24" s="245"/>
      <c r="E24" s="402"/>
      <c r="F24" s="289"/>
      <c r="G24" s="289"/>
      <c r="H24" s="411"/>
      <c r="I24" s="401"/>
      <c r="J24" s="401"/>
      <c r="K24" s="401"/>
      <c r="L24" s="401"/>
      <c r="M24" s="401"/>
      <c r="N24" s="401"/>
      <c r="O24" s="401"/>
      <c r="P24" s="415">
        <f t="shared" si="0"/>
        <v>0</v>
      </c>
    </row>
    <row r="25" spans="1:16" x14ac:dyDescent="0.35">
      <c r="A25" s="49"/>
      <c r="B25" s="414"/>
      <c r="C25" s="399"/>
      <c r="D25" s="245"/>
      <c r="E25" s="402"/>
      <c r="F25" s="289"/>
      <c r="G25" s="289"/>
      <c r="H25" s="411"/>
      <c r="I25" s="401"/>
      <c r="J25" s="401"/>
      <c r="K25" s="401"/>
      <c r="L25" s="401"/>
      <c r="M25" s="401"/>
      <c r="N25" s="401"/>
      <c r="O25" s="401"/>
      <c r="P25" s="415">
        <f t="shared" si="0"/>
        <v>0</v>
      </c>
    </row>
    <row r="26" spans="1:16" x14ac:dyDescent="0.35">
      <c r="A26" s="49"/>
      <c r="B26" s="414"/>
      <c r="C26" s="399"/>
      <c r="D26" s="245"/>
      <c r="E26" s="402"/>
      <c r="F26" s="289"/>
      <c r="G26" s="289"/>
      <c r="H26" s="411"/>
      <c r="I26" s="401"/>
      <c r="J26" s="401"/>
      <c r="K26" s="401"/>
      <c r="L26" s="401"/>
      <c r="M26" s="401"/>
      <c r="N26" s="401"/>
      <c r="O26" s="401"/>
      <c r="P26" s="415">
        <f t="shared" si="0"/>
        <v>0</v>
      </c>
    </row>
    <row r="27" spans="1:16" ht="25.5" customHeight="1" x14ac:dyDescent="0.35">
      <c r="A27" s="49"/>
      <c r="B27" s="1301" t="s">
        <v>149</v>
      </c>
      <c r="C27" s="1302"/>
      <c r="D27" s="1302"/>
      <c r="E27" s="1302"/>
      <c r="F27" s="1302"/>
      <c r="G27" s="1302"/>
      <c r="H27" s="1302"/>
      <c r="I27" s="1302"/>
      <c r="J27" s="1302"/>
      <c r="K27" s="1302"/>
      <c r="L27" s="1302"/>
      <c r="M27" s="1302"/>
      <c r="N27" s="1302"/>
      <c r="O27" s="1302"/>
      <c r="P27" s="1303"/>
    </row>
    <row r="28" spans="1:16" x14ac:dyDescent="0.35">
      <c r="A28" s="49"/>
      <c r="B28" s="414">
        <v>7</v>
      </c>
      <c r="C28" s="399" t="s">
        <v>150</v>
      </c>
      <c r="D28" s="245" t="s">
        <v>34</v>
      </c>
      <c r="E28" s="402">
        <v>12</v>
      </c>
      <c r="F28" s="289"/>
      <c r="G28" s="289"/>
      <c r="H28" s="401"/>
      <c r="I28" s="411">
        <v>0.2</v>
      </c>
      <c r="J28" s="411">
        <v>0.5</v>
      </c>
      <c r="K28" s="411">
        <v>0.3</v>
      </c>
      <c r="L28" s="401"/>
      <c r="M28" s="401"/>
      <c r="N28" s="401"/>
      <c r="O28" s="401"/>
      <c r="P28" s="415">
        <f t="shared" si="0"/>
        <v>1</v>
      </c>
    </row>
    <row r="29" spans="1:16" ht="28" x14ac:dyDescent="0.35">
      <c r="A29" s="49"/>
      <c r="B29" s="414">
        <v>8</v>
      </c>
      <c r="C29" s="399" t="s">
        <v>151</v>
      </c>
      <c r="D29" s="245" t="s">
        <v>34</v>
      </c>
      <c r="E29" s="402">
        <v>12</v>
      </c>
      <c r="F29" s="289"/>
      <c r="G29" s="289"/>
      <c r="H29" s="401"/>
      <c r="I29" s="411">
        <v>0.8</v>
      </c>
      <c r="J29" s="411">
        <v>0.2</v>
      </c>
      <c r="K29" s="401"/>
      <c r="L29" s="401"/>
      <c r="M29" s="401"/>
      <c r="N29" s="401"/>
      <c r="O29" s="401"/>
      <c r="P29" s="415">
        <f t="shared" si="0"/>
        <v>1</v>
      </c>
    </row>
    <row r="30" spans="1:16" x14ac:dyDescent="0.35">
      <c r="A30" s="49"/>
      <c r="B30" s="414">
        <v>9</v>
      </c>
      <c r="C30" s="399" t="s">
        <v>152</v>
      </c>
      <c r="D30" s="245" t="s">
        <v>34</v>
      </c>
      <c r="E30" s="402">
        <v>12</v>
      </c>
      <c r="F30" s="289"/>
      <c r="G30" s="289"/>
      <c r="H30" s="401"/>
      <c r="I30" s="411">
        <v>0.5</v>
      </c>
      <c r="J30" s="411">
        <v>0.5</v>
      </c>
      <c r="K30" s="401"/>
      <c r="L30" s="401"/>
      <c r="M30" s="401"/>
      <c r="N30" s="401"/>
      <c r="O30" s="401"/>
      <c r="P30" s="415">
        <f t="shared" si="0"/>
        <v>1</v>
      </c>
    </row>
    <row r="31" spans="1:16" ht="28" x14ac:dyDescent="0.35">
      <c r="A31" s="49"/>
      <c r="B31" s="414">
        <v>10</v>
      </c>
      <c r="C31" s="399" t="s">
        <v>153</v>
      </c>
      <c r="D31" s="245" t="s">
        <v>34</v>
      </c>
      <c r="E31" s="402">
        <v>12</v>
      </c>
      <c r="F31" s="289"/>
      <c r="G31" s="289"/>
      <c r="H31" s="401"/>
      <c r="I31" s="411">
        <v>1</v>
      </c>
      <c r="J31" s="401"/>
      <c r="K31" s="401"/>
      <c r="L31" s="401"/>
      <c r="M31" s="401"/>
      <c r="N31" s="401"/>
      <c r="O31" s="401"/>
      <c r="P31" s="415">
        <f t="shared" si="0"/>
        <v>1</v>
      </c>
    </row>
    <row r="32" spans="1:16" ht="28" x14ac:dyDescent="0.35">
      <c r="A32" s="49"/>
      <c r="B32" s="414">
        <v>11</v>
      </c>
      <c r="C32" s="399" t="s">
        <v>154</v>
      </c>
      <c r="D32" s="245" t="s">
        <v>34</v>
      </c>
      <c r="E32" s="402">
        <v>3</v>
      </c>
      <c r="F32" s="289"/>
      <c r="G32" s="289"/>
      <c r="H32" s="401"/>
      <c r="I32" s="401"/>
      <c r="J32" s="411">
        <v>1</v>
      </c>
      <c r="K32" s="401"/>
      <c r="L32" s="401"/>
      <c r="M32" s="401"/>
      <c r="N32" s="401"/>
      <c r="O32" s="401"/>
      <c r="P32" s="415">
        <f t="shared" si="0"/>
        <v>1</v>
      </c>
    </row>
    <row r="33" spans="1:16" x14ac:dyDescent="0.35">
      <c r="A33" s="49"/>
      <c r="B33" s="416" t="s">
        <v>280</v>
      </c>
      <c r="C33" s="399"/>
      <c r="D33" s="245" t="s">
        <v>253</v>
      </c>
      <c r="E33" s="402"/>
      <c r="F33" s="289"/>
      <c r="G33" s="289"/>
      <c r="H33" s="401"/>
      <c r="I33" s="401"/>
      <c r="J33" s="401"/>
      <c r="K33" s="401"/>
      <c r="L33" s="401"/>
      <c r="M33" s="401"/>
      <c r="N33" s="401"/>
      <c r="O33" s="401"/>
      <c r="P33" s="415">
        <f t="shared" si="0"/>
        <v>0</v>
      </c>
    </row>
    <row r="34" spans="1:16" x14ac:dyDescent="0.35">
      <c r="A34" s="49"/>
      <c r="B34" s="414"/>
      <c r="C34" s="399"/>
      <c r="D34" s="245"/>
      <c r="E34" s="402"/>
      <c r="F34" s="289"/>
      <c r="G34" s="289"/>
      <c r="H34" s="401"/>
      <c r="I34" s="401"/>
      <c r="J34" s="401"/>
      <c r="K34" s="401"/>
      <c r="L34" s="401"/>
      <c r="M34" s="401"/>
      <c r="N34" s="401"/>
      <c r="O34" s="401"/>
      <c r="P34" s="415">
        <f t="shared" si="0"/>
        <v>0</v>
      </c>
    </row>
    <row r="35" spans="1:16" x14ac:dyDescent="0.35">
      <c r="A35" s="49"/>
      <c r="B35" s="414"/>
      <c r="C35" s="399"/>
      <c r="D35" s="245"/>
      <c r="E35" s="402"/>
      <c r="F35" s="289"/>
      <c r="G35" s="289"/>
      <c r="H35" s="401"/>
      <c r="I35" s="401"/>
      <c r="J35" s="401"/>
      <c r="K35" s="401"/>
      <c r="L35" s="401"/>
      <c r="M35" s="401"/>
      <c r="N35" s="401"/>
      <c r="O35" s="401"/>
      <c r="P35" s="415">
        <f t="shared" si="0"/>
        <v>0</v>
      </c>
    </row>
    <row r="36" spans="1:16" x14ac:dyDescent="0.35">
      <c r="A36" s="49"/>
      <c r="B36" s="414"/>
      <c r="C36" s="399"/>
      <c r="D36" s="245"/>
      <c r="E36" s="402"/>
      <c r="F36" s="289"/>
      <c r="G36" s="289"/>
      <c r="H36" s="401"/>
      <c r="I36" s="401"/>
      <c r="J36" s="401"/>
      <c r="K36" s="401"/>
      <c r="L36" s="401"/>
      <c r="M36" s="401"/>
      <c r="N36" s="401"/>
      <c r="O36" s="401"/>
      <c r="P36" s="415">
        <f t="shared" si="0"/>
        <v>0</v>
      </c>
    </row>
    <row r="37" spans="1:16" ht="26.25" customHeight="1" x14ac:dyDescent="0.35">
      <c r="A37" s="49"/>
      <c r="B37" s="1301" t="s">
        <v>11</v>
      </c>
      <c r="C37" s="1302"/>
      <c r="D37" s="1302"/>
      <c r="E37" s="1302"/>
      <c r="F37" s="1302"/>
      <c r="G37" s="1302"/>
      <c r="H37" s="1302"/>
      <c r="I37" s="1302"/>
      <c r="J37" s="1302"/>
      <c r="K37" s="1302"/>
      <c r="L37" s="1302"/>
      <c r="M37" s="1302"/>
      <c r="N37" s="1302"/>
      <c r="O37" s="1302"/>
      <c r="P37" s="1303"/>
    </row>
    <row r="38" spans="1:16" ht="28" x14ac:dyDescent="0.35">
      <c r="A38" s="49"/>
      <c r="B38" s="414">
        <v>12</v>
      </c>
      <c r="C38" s="399" t="s">
        <v>155</v>
      </c>
      <c r="D38" s="245" t="s">
        <v>34</v>
      </c>
      <c r="E38" s="402">
        <v>12</v>
      </c>
      <c r="F38" s="289"/>
      <c r="G38" s="289"/>
      <c r="H38" s="401"/>
      <c r="I38" s="401"/>
      <c r="J38" s="411">
        <v>1</v>
      </c>
      <c r="K38" s="401"/>
      <c r="L38" s="401"/>
      <c r="M38" s="401"/>
      <c r="N38" s="401"/>
      <c r="O38" s="401"/>
      <c r="P38" s="415">
        <f t="shared" si="0"/>
        <v>1</v>
      </c>
    </row>
    <row r="39" spans="1:16" ht="28" x14ac:dyDescent="0.35">
      <c r="A39" s="49"/>
      <c r="B39" s="414">
        <v>13</v>
      </c>
      <c r="C39" s="399" t="s">
        <v>156</v>
      </c>
      <c r="D39" s="245" t="s">
        <v>34</v>
      </c>
      <c r="E39" s="402">
        <v>12</v>
      </c>
      <c r="F39" s="289"/>
      <c r="G39" s="289"/>
      <c r="H39" s="401"/>
      <c r="I39" s="401"/>
      <c r="J39" s="411">
        <v>1</v>
      </c>
      <c r="K39" s="401"/>
      <c r="L39" s="401"/>
      <c r="M39" s="401"/>
      <c r="N39" s="401"/>
      <c r="O39" s="401"/>
      <c r="P39" s="415">
        <f t="shared" si="0"/>
        <v>1</v>
      </c>
    </row>
    <row r="40" spans="1:16" ht="28" x14ac:dyDescent="0.35">
      <c r="A40" s="49"/>
      <c r="B40" s="414">
        <v>14</v>
      </c>
      <c r="C40" s="399" t="s">
        <v>157</v>
      </c>
      <c r="D40" s="245" t="s">
        <v>34</v>
      </c>
      <c r="E40" s="402">
        <v>12</v>
      </c>
      <c r="F40" s="289"/>
      <c r="G40" s="289"/>
      <c r="H40" s="401"/>
      <c r="I40" s="401"/>
      <c r="J40" s="411">
        <v>1</v>
      </c>
      <c r="K40" s="401"/>
      <c r="L40" s="401"/>
      <c r="M40" s="401"/>
      <c r="N40" s="401"/>
      <c r="O40" s="401"/>
      <c r="P40" s="415">
        <f t="shared" si="0"/>
        <v>1</v>
      </c>
    </row>
    <row r="41" spans="1:16" x14ac:dyDescent="0.35">
      <c r="A41" s="49"/>
      <c r="B41" s="416" t="s">
        <v>280</v>
      </c>
      <c r="C41" s="399"/>
      <c r="D41" s="245" t="s">
        <v>253</v>
      </c>
      <c r="E41" s="402"/>
      <c r="F41" s="289"/>
      <c r="G41" s="289"/>
      <c r="H41" s="401"/>
      <c r="I41" s="401"/>
      <c r="J41" s="401"/>
      <c r="K41" s="401"/>
      <c r="L41" s="401"/>
      <c r="M41" s="401"/>
      <c r="N41" s="401"/>
      <c r="O41" s="401"/>
      <c r="P41" s="415">
        <f t="shared" si="0"/>
        <v>0</v>
      </c>
    </row>
    <row r="42" spans="1:16" x14ac:dyDescent="0.35">
      <c r="A42" s="49"/>
      <c r="B42" s="414"/>
      <c r="C42" s="399"/>
      <c r="D42" s="245"/>
      <c r="E42" s="402"/>
      <c r="F42" s="289"/>
      <c r="G42" s="289"/>
      <c r="H42" s="401"/>
      <c r="I42" s="401"/>
      <c r="J42" s="401"/>
      <c r="K42" s="401"/>
      <c r="L42" s="401"/>
      <c r="M42" s="401"/>
      <c r="N42" s="401"/>
      <c r="O42" s="401"/>
      <c r="P42" s="415">
        <f t="shared" si="0"/>
        <v>0</v>
      </c>
    </row>
    <row r="43" spans="1:16" x14ac:dyDescent="0.35">
      <c r="A43" s="49"/>
      <c r="B43" s="414"/>
      <c r="C43" s="399"/>
      <c r="D43" s="245"/>
      <c r="E43" s="402"/>
      <c r="F43" s="289"/>
      <c r="G43" s="289"/>
      <c r="H43" s="401"/>
      <c r="I43" s="401"/>
      <c r="J43" s="401"/>
      <c r="K43" s="401"/>
      <c r="L43" s="401"/>
      <c r="M43" s="401"/>
      <c r="N43" s="401"/>
      <c r="O43" s="401"/>
      <c r="P43" s="415">
        <f t="shared" si="0"/>
        <v>0</v>
      </c>
    </row>
    <row r="44" spans="1:16" x14ac:dyDescent="0.35">
      <c r="A44" s="49"/>
      <c r="B44" s="414"/>
      <c r="C44" s="399"/>
      <c r="D44" s="245"/>
      <c r="E44" s="402"/>
      <c r="F44" s="289"/>
      <c r="G44" s="289"/>
      <c r="H44" s="401"/>
      <c r="I44" s="401"/>
      <c r="J44" s="401"/>
      <c r="K44" s="401"/>
      <c r="L44" s="401"/>
      <c r="M44" s="401"/>
      <c r="N44" s="401"/>
      <c r="O44" s="401"/>
      <c r="P44" s="415">
        <f t="shared" si="0"/>
        <v>0</v>
      </c>
    </row>
    <row r="45" spans="1:16" ht="24" customHeight="1" x14ac:dyDescent="0.35">
      <c r="A45" s="49"/>
      <c r="B45" s="1301" t="s">
        <v>158</v>
      </c>
      <c r="C45" s="1302"/>
      <c r="D45" s="1302"/>
      <c r="E45" s="1302"/>
      <c r="F45" s="1302"/>
      <c r="G45" s="1302"/>
      <c r="H45" s="1302"/>
      <c r="I45" s="1302"/>
      <c r="J45" s="1302"/>
      <c r="K45" s="1302"/>
      <c r="L45" s="1302"/>
      <c r="M45" s="1302"/>
      <c r="N45" s="1302"/>
      <c r="O45" s="1302"/>
      <c r="P45" s="1303"/>
    </row>
    <row r="46" spans="1:16" x14ac:dyDescent="0.35">
      <c r="A46" s="49"/>
      <c r="B46" s="414">
        <v>15</v>
      </c>
      <c r="C46" s="399" t="s">
        <v>159</v>
      </c>
      <c r="D46" s="245" t="s">
        <v>34</v>
      </c>
      <c r="E46" s="402"/>
      <c r="F46" s="289"/>
      <c r="G46" s="289"/>
      <c r="H46" s="411">
        <v>1</v>
      </c>
      <c r="I46" s="401"/>
      <c r="J46" s="401"/>
      <c r="K46" s="401"/>
      <c r="L46" s="401"/>
      <c r="M46" s="401"/>
      <c r="N46" s="401"/>
      <c r="O46" s="401"/>
      <c r="P46" s="415">
        <f t="shared" si="0"/>
        <v>1</v>
      </c>
    </row>
    <row r="47" spans="1:16" x14ac:dyDescent="0.35">
      <c r="A47" s="49"/>
      <c r="B47" s="416" t="s">
        <v>280</v>
      </c>
      <c r="C47" s="399"/>
      <c r="D47" s="245" t="s">
        <v>253</v>
      </c>
      <c r="E47" s="402"/>
      <c r="F47" s="289"/>
      <c r="G47" s="289"/>
      <c r="H47" s="411"/>
      <c r="I47" s="401"/>
      <c r="J47" s="401"/>
      <c r="K47" s="401"/>
      <c r="L47" s="401"/>
      <c r="M47" s="401"/>
      <c r="N47" s="401"/>
      <c r="O47" s="401"/>
      <c r="P47" s="415">
        <f t="shared" si="0"/>
        <v>0</v>
      </c>
    </row>
    <row r="48" spans="1:16" x14ac:dyDescent="0.35">
      <c r="A48" s="49"/>
      <c r="B48" s="414"/>
      <c r="C48" s="399"/>
      <c r="D48" s="245"/>
      <c r="E48" s="402"/>
      <c r="F48" s="289"/>
      <c r="G48" s="289"/>
      <c r="H48" s="411"/>
      <c r="I48" s="401"/>
      <c r="J48" s="401"/>
      <c r="K48" s="401"/>
      <c r="L48" s="401"/>
      <c r="M48" s="401"/>
      <c r="N48" s="401"/>
      <c r="O48" s="401"/>
      <c r="P48" s="415">
        <f t="shared" si="0"/>
        <v>0</v>
      </c>
    </row>
    <row r="49" spans="1:16" x14ac:dyDescent="0.35">
      <c r="A49" s="49"/>
      <c r="B49" s="414"/>
      <c r="C49" s="399"/>
      <c r="D49" s="245"/>
      <c r="E49" s="402"/>
      <c r="F49" s="289"/>
      <c r="G49" s="289"/>
      <c r="H49" s="411"/>
      <c r="I49" s="401"/>
      <c r="J49" s="401"/>
      <c r="K49" s="401"/>
      <c r="L49" s="401"/>
      <c r="M49" s="401"/>
      <c r="N49" s="401"/>
      <c r="O49" s="401"/>
      <c r="P49" s="415"/>
    </row>
    <row r="50" spans="1:16" x14ac:dyDescent="0.35">
      <c r="A50" s="49"/>
      <c r="B50" s="414"/>
      <c r="C50" s="399"/>
      <c r="D50" s="245"/>
      <c r="E50" s="402"/>
      <c r="F50" s="289"/>
      <c r="G50" s="289"/>
      <c r="H50" s="411"/>
      <c r="I50" s="401"/>
      <c r="J50" s="401"/>
      <c r="K50" s="401"/>
      <c r="L50" s="401"/>
      <c r="M50" s="401"/>
      <c r="N50" s="401"/>
      <c r="O50" s="401"/>
      <c r="P50" s="415">
        <f t="shared" si="0"/>
        <v>0</v>
      </c>
    </row>
    <row r="51" spans="1:16" ht="21" customHeight="1" x14ac:dyDescent="0.35">
      <c r="A51" s="47"/>
      <c r="B51" s="1301" t="s">
        <v>160</v>
      </c>
      <c r="C51" s="1302"/>
      <c r="D51" s="1302"/>
      <c r="E51" s="1302"/>
      <c r="F51" s="1302"/>
      <c r="G51" s="1302"/>
      <c r="H51" s="1302"/>
      <c r="I51" s="1302"/>
      <c r="J51" s="1302"/>
      <c r="K51" s="1302"/>
      <c r="L51" s="1302"/>
      <c r="M51" s="1302"/>
      <c r="N51" s="1302"/>
      <c r="O51" s="1302"/>
      <c r="P51" s="1303"/>
    </row>
    <row r="52" spans="1:16" x14ac:dyDescent="0.35">
      <c r="A52" s="49"/>
      <c r="B52" s="414">
        <v>16</v>
      </c>
      <c r="C52" s="399" t="s">
        <v>161</v>
      </c>
      <c r="D52" s="245" t="s">
        <v>34</v>
      </c>
      <c r="E52" s="402"/>
      <c r="F52" s="289"/>
      <c r="G52" s="289"/>
      <c r="H52" s="401"/>
      <c r="I52" s="401"/>
      <c r="J52" s="401"/>
      <c r="K52" s="401"/>
      <c r="L52" s="401"/>
      <c r="M52" s="401"/>
      <c r="N52" s="401"/>
      <c r="O52" s="401"/>
      <c r="P52" s="415">
        <f t="shared" si="0"/>
        <v>0</v>
      </c>
    </row>
    <row r="53" spans="1:16" x14ac:dyDescent="0.35">
      <c r="A53" s="49"/>
      <c r="B53" s="414">
        <v>17</v>
      </c>
      <c r="C53" s="399" t="s">
        <v>162</v>
      </c>
      <c r="D53" s="245" t="s">
        <v>34</v>
      </c>
      <c r="E53" s="402"/>
      <c r="F53" s="289"/>
      <c r="G53" s="289"/>
      <c r="H53" s="401"/>
      <c r="I53" s="401"/>
      <c r="J53" s="401"/>
      <c r="K53" s="401"/>
      <c r="L53" s="401"/>
      <c r="M53" s="401"/>
      <c r="N53" s="401"/>
      <c r="O53" s="401"/>
      <c r="P53" s="415">
        <f t="shared" si="0"/>
        <v>0</v>
      </c>
    </row>
    <row r="54" spans="1:16" x14ac:dyDescent="0.35">
      <c r="A54" s="49"/>
      <c r="B54" s="414">
        <v>18</v>
      </c>
      <c r="C54" s="399" t="s">
        <v>163</v>
      </c>
      <c r="D54" s="245" t="s">
        <v>34</v>
      </c>
      <c r="E54" s="402"/>
      <c r="F54" s="289"/>
      <c r="G54" s="289"/>
      <c r="H54" s="401"/>
      <c r="I54" s="401"/>
      <c r="J54" s="401"/>
      <c r="K54" s="401"/>
      <c r="L54" s="401"/>
      <c r="M54" s="401"/>
      <c r="N54" s="401"/>
      <c r="O54" s="401"/>
      <c r="P54" s="415">
        <f t="shared" si="0"/>
        <v>0</v>
      </c>
    </row>
    <row r="55" spans="1:16" x14ac:dyDescent="0.35">
      <c r="A55" s="49"/>
      <c r="B55" s="414">
        <v>19</v>
      </c>
      <c r="C55" s="399" t="s">
        <v>164</v>
      </c>
      <c r="D55" s="245" t="s">
        <v>34</v>
      </c>
      <c r="E55" s="402"/>
      <c r="F55" s="289"/>
      <c r="G55" s="289"/>
      <c r="H55" s="401"/>
      <c r="I55" s="401"/>
      <c r="J55" s="401"/>
      <c r="K55" s="401"/>
      <c r="L55" s="401"/>
      <c r="M55" s="401"/>
      <c r="N55" s="401"/>
      <c r="O55" s="401"/>
      <c r="P55" s="415">
        <f t="shared" si="0"/>
        <v>0</v>
      </c>
    </row>
    <row r="56" spans="1:16" x14ac:dyDescent="0.35">
      <c r="A56" s="49"/>
      <c r="B56" s="416" t="s">
        <v>280</v>
      </c>
      <c r="C56" s="399"/>
      <c r="D56" s="245" t="s">
        <v>253</v>
      </c>
      <c r="E56" s="402"/>
      <c r="F56" s="289"/>
      <c r="G56" s="289"/>
      <c r="H56" s="401"/>
      <c r="I56" s="401"/>
      <c r="J56" s="401"/>
      <c r="K56" s="401"/>
      <c r="L56" s="401"/>
      <c r="M56" s="401"/>
      <c r="N56" s="401"/>
      <c r="O56" s="401"/>
      <c r="P56" s="415">
        <f t="shared" si="0"/>
        <v>0</v>
      </c>
    </row>
    <row r="57" spans="1:16" x14ac:dyDescent="0.35">
      <c r="A57" s="49"/>
      <c r="B57" s="416"/>
      <c r="C57" s="399"/>
      <c r="D57" s="245"/>
      <c r="E57" s="402"/>
      <c r="F57" s="289"/>
      <c r="G57" s="289"/>
      <c r="H57" s="401"/>
      <c r="I57" s="401"/>
      <c r="J57" s="401"/>
      <c r="K57" s="401"/>
      <c r="L57" s="401"/>
      <c r="M57" s="401"/>
      <c r="N57" s="401"/>
      <c r="O57" s="401"/>
      <c r="P57" s="415"/>
    </row>
    <row r="58" spans="1:16" x14ac:dyDescent="0.35">
      <c r="A58" s="49"/>
      <c r="B58" s="416"/>
      <c r="C58" s="399"/>
      <c r="D58" s="245"/>
      <c r="E58" s="402"/>
      <c r="F58" s="289"/>
      <c r="G58" s="289"/>
      <c r="H58" s="401"/>
      <c r="I58" s="401"/>
      <c r="J58" s="401"/>
      <c r="K58" s="401"/>
      <c r="L58" s="401"/>
      <c r="M58" s="401"/>
      <c r="N58" s="401"/>
      <c r="O58" s="401"/>
      <c r="P58" s="415"/>
    </row>
    <row r="59" spans="1:16" x14ac:dyDescent="0.35">
      <c r="A59" s="47"/>
      <c r="B59" s="417"/>
      <c r="C59" s="403"/>
      <c r="D59" s="404"/>
      <c r="E59" s="404"/>
      <c r="F59" s="289"/>
      <c r="G59" s="289"/>
      <c r="H59" s="405"/>
      <c r="I59" s="405"/>
      <c r="J59" s="405"/>
      <c r="K59" s="405"/>
      <c r="L59" s="405"/>
      <c r="M59" s="405"/>
      <c r="N59" s="405"/>
      <c r="O59" s="405"/>
      <c r="P59" s="415"/>
    </row>
    <row r="60" spans="1:16" ht="27" customHeight="1" x14ac:dyDescent="0.35">
      <c r="B60" s="1288" t="s">
        <v>165</v>
      </c>
      <c r="C60" s="1289"/>
      <c r="D60" s="1289"/>
      <c r="E60" s="1289"/>
      <c r="F60" s="1289"/>
      <c r="G60" s="1289"/>
      <c r="H60" s="1289"/>
      <c r="I60" s="1289"/>
      <c r="J60" s="1289"/>
      <c r="K60" s="1289"/>
      <c r="L60" s="1289"/>
      <c r="M60" s="1289"/>
      <c r="N60" s="1289"/>
      <c r="O60" s="1289"/>
      <c r="P60" s="1290"/>
    </row>
    <row r="61" spans="1:16" ht="16.5" x14ac:dyDescent="0.35">
      <c r="B61" s="418"/>
      <c r="C61" s="399"/>
      <c r="D61" s="402"/>
      <c r="E61" s="402"/>
      <c r="F61" s="398"/>
      <c r="G61" s="398"/>
      <c r="H61" s="398"/>
      <c r="I61" s="398"/>
      <c r="J61" s="398"/>
      <c r="K61" s="398"/>
      <c r="L61" s="398"/>
      <c r="M61" s="398"/>
      <c r="N61" s="398"/>
      <c r="O61" s="398"/>
      <c r="P61" s="419"/>
    </row>
    <row r="62" spans="1:16" ht="25.5" customHeight="1" x14ac:dyDescent="0.35">
      <c r="A62" s="49"/>
      <c r="B62" s="1304" t="s">
        <v>166</v>
      </c>
      <c r="C62" s="1279"/>
      <c r="D62" s="1279"/>
      <c r="E62" s="1279"/>
      <c r="F62" s="1279"/>
      <c r="G62" s="1279"/>
      <c r="H62" s="1279"/>
      <c r="I62" s="1279"/>
      <c r="J62" s="1279"/>
      <c r="K62" s="1279"/>
      <c r="L62" s="1279"/>
      <c r="M62" s="1279"/>
      <c r="N62" s="1279"/>
      <c r="O62" s="1279"/>
      <c r="P62" s="1305"/>
    </row>
    <row r="63" spans="1:16" x14ac:dyDescent="0.35">
      <c r="A63" s="49"/>
      <c r="B63" s="414">
        <v>21</v>
      </c>
      <c r="C63" s="399" t="s">
        <v>167</v>
      </c>
      <c r="D63" s="245" t="s">
        <v>34</v>
      </c>
      <c r="E63" s="402"/>
      <c r="F63" s="289"/>
      <c r="G63" s="289"/>
      <c r="H63" s="411">
        <v>1</v>
      </c>
      <c r="I63" s="401"/>
      <c r="J63" s="401"/>
      <c r="K63" s="401"/>
      <c r="L63" s="401"/>
      <c r="M63" s="401"/>
      <c r="N63" s="401"/>
      <c r="O63" s="401"/>
      <c r="P63" s="415">
        <f t="shared" si="0"/>
        <v>1</v>
      </c>
    </row>
    <row r="64" spans="1:16" x14ac:dyDescent="0.35">
      <c r="A64" s="49"/>
      <c r="B64" s="414">
        <v>22</v>
      </c>
      <c r="C64" s="399" t="s">
        <v>168</v>
      </c>
      <c r="D64" s="245" t="s">
        <v>34</v>
      </c>
      <c r="E64" s="402"/>
      <c r="F64" s="289"/>
      <c r="G64" s="289"/>
      <c r="H64" s="411">
        <v>1</v>
      </c>
      <c r="I64" s="401"/>
      <c r="J64" s="401"/>
      <c r="K64" s="401"/>
      <c r="L64" s="401"/>
      <c r="M64" s="401"/>
      <c r="N64" s="401"/>
      <c r="O64" s="401"/>
      <c r="P64" s="415">
        <f t="shared" si="0"/>
        <v>1</v>
      </c>
    </row>
    <row r="65" spans="1:16" x14ac:dyDescent="0.35">
      <c r="A65" s="49"/>
      <c r="B65" s="414">
        <v>23</v>
      </c>
      <c r="C65" s="399" t="s">
        <v>169</v>
      </c>
      <c r="D65" s="245" t="s">
        <v>34</v>
      </c>
      <c r="E65" s="402"/>
      <c r="F65" s="289"/>
      <c r="G65" s="289"/>
      <c r="H65" s="411">
        <v>1</v>
      </c>
      <c r="I65" s="401"/>
      <c r="J65" s="401"/>
      <c r="K65" s="401"/>
      <c r="L65" s="401"/>
      <c r="M65" s="401"/>
      <c r="N65" s="401"/>
      <c r="O65" s="401"/>
      <c r="P65" s="415">
        <f t="shared" si="0"/>
        <v>1</v>
      </c>
    </row>
    <row r="66" spans="1:16" x14ac:dyDescent="0.35">
      <c r="A66" s="49"/>
      <c r="B66" s="414">
        <v>24</v>
      </c>
      <c r="C66" s="399" t="s">
        <v>170</v>
      </c>
      <c r="D66" s="245" t="s">
        <v>34</v>
      </c>
      <c r="E66" s="402"/>
      <c r="F66" s="289"/>
      <c r="G66" s="289"/>
      <c r="H66" s="411">
        <v>1</v>
      </c>
      <c r="I66" s="401"/>
      <c r="J66" s="401"/>
      <c r="K66" s="401"/>
      <c r="L66" s="401"/>
      <c r="M66" s="401"/>
      <c r="N66" s="401"/>
      <c r="O66" s="401"/>
      <c r="P66" s="415">
        <f t="shared" si="0"/>
        <v>1</v>
      </c>
    </row>
    <row r="67" spans="1:16" x14ac:dyDescent="0.35">
      <c r="A67" s="49"/>
      <c r="B67" s="416" t="s">
        <v>280</v>
      </c>
      <c r="C67" s="399"/>
      <c r="D67" s="245" t="s">
        <v>253</v>
      </c>
      <c r="E67" s="402"/>
      <c r="F67" s="289"/>
      <c r="G67" s="289"/>
      <c r="H67" s="411"/>
      <c r="I67" s="401"/>
      <c r="J67" s="401"/>
      <c r="K67" s="401"/>
      <c r="L67" s="401"/>
      <c r="M67" s="401"/>
      <c r="N67" s="401"/>
      <c r="O67" s="401"/>
      <c r="P67" s="415"/>
    </row>
    <row r="68" spans="1:16" x14ac:dyDescent="0.35">
      <c r="A68" s="49"/>
      <c r="B68" s="414"/>
      <c r="C68" s="399"/>
      <c r="D68" s="245"/>
      <c r="E68" s="402"/>
      <c r="F68" s="289"/>
      <c r="G68" s="289"/>
      <c r="H68" s="411"/>
      <c r="I68" s="401"/>
      <c r="J68" s="401"/>
      <c r="K68" s="401"/>
      <c r="L68" s="401"/>
      <c r="M68" s="401"/>
      <c r="N68" s="401"/>
      <c r="O68" s="401"/>
      <c r="P68" s="415"/>
    </row>
    <row r="69" spans="1:16" x14ac:dyDescent="0.35">
      <c r="A69" s="49"/>
      <c r="B69" s="414"/>
      <c r="C69" s="399"/>
      <c r="D69" s="245"/>
      <c r="E69" s="402"/>
      <c r="F69" s="289"/>
      <c r="G69" s="289"/>
      <c r="H69" s="411"/>
      <c r="I69" s="401"/>
      <c r="J69" s="401"/>
      <c r="K69" s="401"/>
      <c r="L69" s="401"/>
      <c r="M69" s="401"/>
      <c r="N69" s="401"/>
      <c r="O69" s="401"/>
      <c r="P69" s="415"/>
    </row>
    <row r="70" spans="1:16" x14ac:dyDescent="0.35">
      <c r="A70" s="49"/>
      <c r="B70" s="414"/>
      <c r="C70" s="399"/>
      <c r="D70" s="245"/>
      <c r="E70" s="402"/>
      <c r="F70" s="289"/>
      <c r="G70" s="289"/>
      <c r="H70" s="401"/>
      <c r="I70" s="401"/>
      <c r="J70" s="401"/>
      <c r="K70" s="401"/>
      <c r="L70" s="401"/>
      <c r="M70" s="401"/>
      <c r="N70" s="401"/>
      <c r="O70" s="401"/>
      <c r="P70" s="415">
        <f t="shared" si="0"/>
        <v>0</v>
      </c>
    </row>
    <row r="71" spans="1:16" ht="28.5" customHeight="1" x14ac:dyDescent="0.35">
      <c r="A71" s="49"/>
      <c r="B71" s="1304" t="s">
        <v>171</v>
      </c>
      <c r="C71" s="1279"/>
      <c r="D71" s="1279"/>
      <c r="E71" s="1279"/>
      <c r="F71" s="1279"/>
      <c r="G71" s="1279"/>
      <c r="H71" s="1279"/>
      <c r="I71" s="1279"/>
      <c r="J71" s="1279"/>
      <c r="K71" s="1279"/>
      <c r="L71" s="1279"/>
      <c r="M71" s="1279"/>
      <c r="N71" s="1279"/>
      <c r="O71" s="1279"/>
      <c r="P71" s="1305"/>
    </row>
    <row r="72" spans="1:16" x14ac:dyDescent="0.35">
      <c r="A72" s="49"/>
      <c r="B72" s="414">
        <v>25</v>
      </c>
      <c r="C72" s="399" t="s">
        <v>172</v>
      </c>
      <c r="D72" s="245" t="s">
        <v>34</v>
      </c>
      <c r="E72" s="402"/>
      <c r="F72" s="289"/>
      <c r="G72" s="289"/>
      <c r="H72" s="401"/>
      <c r="I72" s="411">
        <v>1</v>
      </c>
      <c r="J72" s="401"/>
      <c r="K72" s="401"/>
      <c r="L72" s="401"/>
      <c r="M72" s="401"/>
      <c r="N72" s="401"/>
      <c r="O72" s="401"/>
      <c r="P72" s="415">
        <f t="shared" si="0"/>
        <v>1</v>
      </c>
    </row>
    <row r="73" spans="1:16" x14ac:dyDescent="0.35">
      <c r="A73" s="49"/>
      <c r="B73" s="414">
        <v>26</v>
      </c>
      <c r="C73" s="399" t="s">
        <v>173</v>
      </c>
      <c r="D73" s="245" t="s">
        <v>34</v>
      </c>
      <c r="E73" s="402"/>
      <c r="F73" s="289"/>
      <c r="G73" s="289"/>
      <c r="H73" s="401"/>
      <c r="I73" s="411">
        <v>1</v>
      </c>
      <c r="J73" s="401"/>
      <c r="K73" s="401"/>
      <c r="L73" s="401"/>
      <c r="M73" s="401"/>
      <c r="N73" s="401"/>
      <c r="O73" s="401"/>
      <c r="P73" s="415">
        <f t="shared" si="0"/>
        <v>1</v>
      </c>
    </row>
    <row r="74" spans="1:16" ht="28" x14ac:dyDescent="0.35">
      <c r="A74" s="49"/>
      <c r="B74" s="414">
        <v>27</v>
      </c>
      <c r="C74" s="399" t="s">
        <v>174</v>
      </c>
      <c r="D74" s="245" t="s">
        <v>34</v>
      </c>
      <c r="E74" s="402"/>
      <c r="F74" s="289"/>
      <c r="G74" s="289"/>
      <c r="H74" s="401"/>
      <c r="I74" s="411">
        <v>0.8</v>
      </c>
      <c r="J74" s="411">
        <v>0.2</v>
      </c>
      <c r="K74" s="401"/>
      <c r="L74" s="401"/>
      <c r="M74" s="401"/>
      <c r="N74" s="401"/>
      <c r="O74" s="401"/>
      <c r="P74" s="415">
        <f t="shared" si="0"/>
        <v>1</v>
      </c>
    </row>
    <row r="75" spans="1:16" ht="28" x14ac:dyDescent="0.35">
      <c r="A75" s="49"/>
      <c r="B75" s="414">
        <v>28</v>
      </c>
      <c r="C75" s="399" t="s">
        <v>175</v>
      </c>
      <c r="D75" s="245" t="s">
        <v>34</v>
      </c>
      <c r="E75" s="402"/>
      <c r="F75" s="289"/>
      <c r="G75" s="289"/>
      <c r="H75" s="401"/>
      <c r="I75" s="401"/>
      <c r="J75" s="401"/>
      <c r="K75" s="401"/>
      <c r="L75" s="401"/>
      <c r="M75" s="401"/>
      <c r="N75" s="401"/>
      <c r="O75" s="401"/>
      <c r="P75" s="415">
        <f t="shared" si="0"/>
        <v>0</v>
      </c>
    </row>
    <row r="76" spans="1:16" ht="28" x14ac:dyDescent="0.35">
      <c r="A76" s="49"/>
      <c r="B76" s="414">
        <v>29</v>
      </c>
      <c r="C76" s="399" t="s">
        <v>176</v>
      </c>
      <c r="D76" s="245" t="s">
        <v>34</v>
      </c>
      <c r="E76" s="402"/>
      <c r="F76" s="289"/>
      <c r="G76" s="289"/>
      <c r="H76" s="401"/>
      <c r="I76" s="401"/>
      <c r="J76" s="401"/>
      <c r="K76" s="401"/>
      <c r="L76" s="401"/>
      <c r="M76" s="401"/>
      <c r="N76" s="401"/>
      <c r="O76" s="401"/>
      <c r="P76" s="415">
        <f t="shared" si="0"/>
        <v>0</v>
      </c>
    </row>
    <row r="77" spans="1:16" ht="28" x14ac:dyDescent="0.35">
      <c r="A77" s="49"/>
      <c r="B77" s="414">
        <v>30</v>
      </c>
      <c r="C77" s="399" t="s">
        <v>177</v>
      </c>
      <c r="D77" s="245" t="s">
        <v>34</v>
      </c>
      <c r="E77" s="402"/>
      <c r="F77" s="289"/>
      <c r="G77" s="289"/>
      <c r="H77" s="401"/>
      <c r="I77" s="401"/>
      <c r="J77" s="401"/>
      <c r="K77" s="401"/>
      <c r="L77" s="401"/>
      <c r="M77" s="401"/>
      <c r="N77" s="401"/>
      <c r="O77" s="401"/>
      <c r="P77" s="415">
        <f t="shared" si="0"/>
        <v>0</v>
      </c>
    </row>
    <row r="78" spans="1:16" x14ac:dyDescent="0.35">
      <c r="A78" s="49"/>
      <c r="B78" s="414">
        <v>31</v>
      </c>
      <c r="C78" s="399" t="s">
        <v>178</v>
      </c>
      <c r="D78" s="245" t="s">
        <v>34</v>
      </c>
      <c r="E78" s="402"/>
      <c r="F78" s="289"/>
      <c r="G78" s="289"/>
      <c r="H78" s="401"/>
      <c r="I78" s="401"/>
      <c r="J78" s="401"/>
      <c r="K78" s="401"/>
      <c r="L78" s="401"/>
      <c r="M78" s="401"/>
      <c r="N78" s="401"/>
      <c r="O78" s="401"/>
      <c r="P78" s="415">
        <f t="shared" si="0"/>
        <v>0</v>
      </c>
    </row>
    <row r="79" spans="1:16" x14ac:dyDescent="0.35">
      <c r="A79" s="49"/>
      <c r="B79" s="414">
        <v>32</v>
      </c>
      <c r="C79" s="399" t="s">
        <v>179</v>
      </c>
      <c r="D79" s="245" t="s">
        <v>34</v>
      </c>
      <c r="E79" s="402"/>
      <c r="F79" s="289"/>
      <c r="G79" s="289"/>
      <c r="H79" s="401"/>
      <c r="I79" s="401"/>
      <c r="J79" s="401"/>
      <c r="K79" s="401"/>
      <c r="L79" s="401"/>
      <c r="M79" s="401"/>
      <c r="N79" s="401"/>
      <c r="O79" s="401"/>
      <c r="P79" s="415">
        <f t="shared" si="0"/>
        <v>0</v>
      </c>
    </row>
    <row r="80" spans="1:16" x14ac:dyDescent="0.35">
      <c r="A80" s="49"/>
      <c r="B80" s="416" t="s">
        <v>280</v>
      </c>
      <c r="C80" s="399"/>
      <c r="D80" s="245" t="s">
        <v>253</v>
      </c>
      <c r="E80" s="402"/>
      <c r="F80" s="289"/>
      <c r="G80" s="289"/>
      <c r="H80" s="401"/>
      <c r="I80" s="401"/>
      <c r="J80" s="401"/>
      <c r="K80" s="401"/>
      <c r="L80" s="401"/>
      <c r="M80" s="401"/>
      <c r="N80" s="401"/>
      <c r="O80" s="401"/>
      <c r="P80" s="415"/>
    </row>
    <row r="81" spans="1:16" x14ac:dyDescent="0.35">
      <c r="A81" s="49"/>
      <c r="B81" s="414"/>
      <c r="C81" s="399"/>
      <c r="D81" s="245"/>
      <c r="E81" s="402"/>
      <c r="F81" s="289"/>
      <c r="G81" s="289"/>
      <c r="H81" s="401"/>
      <c r="I81" s="401"/>
      <c r="J81" s="401"/>
      <c r="K81" s="401"/>
      <c r="L81" s="401"/>
      <c r="M81" s="401"/>
      <c r="N81" s="401"/>
      <c r="O81" s="401"/>
      <c r="P81" s="415"/>
    </row>
    <row r="82" spans="1:16" x14ac:dyDescent="0.35">
      <c r="A82" s="49"/>
      <c r="B82" s="414"/>
      <c r="C82" s="399"/>
      <c r="D82" s="245"/>
      <c r="E82" s="402"/>
      <c r="F82" s="289"/>
      <c r="G82" s="289"/>
      <c r="H82" s="401"/>
      <c r="I82" s="401"/>
      <c r="J82" s="401"/>
      <c r="K82" s="401"/>
      <c r="L82" s="401"/>
      <c r="M82" s="401"/>
      <c r="N82" s="401"/>
      <c r="O82" s="401"/>
      <c r="P82" s="415"/>
    </row>
    <row r="83" spans="1:16" x14ac:dyDescent="0.35">
      <c r="A83" s="49"/>
      <c r="B83" s="414"/>
      <c r="C83" s="399"/>
      <c r="D83" s="245"/>
      <c r="E83" s="402"/>
      <c r="F83" s="289"/>
      <c r="G83" s="289"/>
      <c r="H83" s="401"/>
      <c r="I83" s="401"/>
      <c r="J83" s="401"/>
      <c r="K83" s="401"/>
      <c r="L83" s="401"/>
      <c r="M83" s="401"/>
      <c r="N83" s="401"/>
      <c r="O83" s="401"/>
      <c r="P83" s="415">
        <f t="shared" ref="P83:P106" si="1">SUM(H83:O83)</f>
        <v>0</v>
      </c>
    </row>
    <row r="84" spans="1:16" ht="25.5" customHeight="1" x14ac:dyDescent="0.35">
      <c r="A84" s="49"/>
      <c r="B84" s="1304" t="s">
        <v>180</v>
      </c>
      <c r="C84" s="1279"/>
      <c r="D84" s="1279"/>
      <c r="E84" s="1279"/>
      <c r="F84" s="1279"/>
      <c r="G84" s="1279"/>
      <c r="H84" s="1279"/>
      <c r="I84" s="1279"/>
      <c r="J84" s="1279"/>
      <c r="K84" s="1279"/>
      <c r="L84" s="1279"/>
      <c r="M84" s="1279"/>
      <c r="N84" s="1279"/>
      <c r="O84" s="1279"/>
      <c r="P84" s="1305"/>
    </row>
    <row r="85" spans="1:16" x14ac:dyDescent="0.35">
      <c r="A85" s="49"/>
      <c r="B85" s="414">
        <v>33</v>
      </c>
      <c r="C85" s="399" t="s">
        <v>181</v>
      </c>
      <c r="D85" s="245" t="s">
        <v>34</v>
      </c>
      <c r="E85" s="402"/>
      <c r="F85" s="289"/>
      <c r="G85" s="289"/>
      <c r="H85" s="407"/>
      <c r="I85" s="407"/>
      <c r="J85" s="407"/>
      <c r="K85" s="407"/>
      <c r="L85" s="407"/>
      <c r="M85" s="407"/>
      <c r="N85" s="407"/>
      <c r="O85" s="407"/>
      <c r="P85" s="415">
        <f t="shared" si="1"/>
        <v>0</v>
      </c>
    </row>
    <row r="86" spans="1:16" x14ac:dyDescent="0.35">
      <c r="A86" s="49"/>
      <c r="B86" s="414">
        <v>34</v>
      </c>
      <c r="C86" s="399" t="s">
        <v>182</v>
      </c>
      <c r="D86" s="245" t="s">
        <v>34</v>
      </c>
      <c r="E86" s="402"/>
      <c r="F86" s="289"/>
      <c r="G86" s="289"/>
      <c r="H86" s="407"/>
      <c r="I86" s="407"/>
      <c r="J86" s="407"/>
      <c r="K86" s="407"/>
      <c r="L86" s="407"/>
      <c r="M86" s="407"/>
      <c r="N86" s="407"/>
      <c r="O86" s="407"/>
      <c r="P86" s="415">
        <f t="shared" si="1"/>
        <v>0</v>
      </c>
    </row>
    <row r="87" spans="1:16" x14ac:dyDescent="0.35">
      <c r="A87" s="49"/>
      <c r="B87" s="414">
        <v>35</v>
      </c>
      <c r="C87" s="399" t="s">
        <v>183</v>
      </c>
      <c r="D87" s="245" t="s">
        <v>34</v>
      </c>
      <c r="E87" s="402"/>
      <c r="F87" s="289"/>
      <c r="G87" s="289"/>
      <c r="H87" s="407"/>
      <c r="I87" s="407"/>
      <c r="J87" s="407"/>
      <c r="K87" s="407"/>
      <c r="L87" s="407"/>
      <c r="M87" s="407"/>
      <c r="N87" s="407"/>
      <c r="O87" s="407"/>
      <c r="P87" s="415">
        <f t="shared" si="1"/>
        <v>0</v>
      </c>
    </row>
    <row r="88" spans="1:16" x14ac:dyDescent="0.35">
      <c r="A88" s="49"/>
      <c r="B88" s="416" t="s">
        <v>280</v>
      </c>
      <c r="C88" s="399"/>
      <c r="D88" s="245" t="s">
        <v>253</v>
      </c>
      <c r="E88" s="402"/>
      <c r="F88" s="289"/>
      <c r="G88" s="289"/>
      <c r="H88" s="407"/>
      <c r="I88" s="407"/>
      <c r="J88" s="407"/>
      <c r="K88" s="407"/>
      <c r="L88" s="407"/>
      <c r="M88" s="407"/>
      <c r="N88" s="407"/>
      <c r="O88" s="407"/>
      <c r="P88" s="415"/>
    </row>
    <row r="89" spans="1:16" x14ac:dyDescent="0.35">
      <c r="A89" s="49"/>
      <c r="B89" s="414"/>
      <c r="C89" s="399"/>
      <c r="D89" s="245"/>
      <c r="E89" s="402"/>
      <c r="F89" s="289"/>
      <c r="G89" s="289"/>
      <c r="H89" s="407"/>
      <c r="I89" s="407"/>
      <c r="J89" s="407"/>
      <c r="K89" s="407"/>
      <c r="L89" s="407"/>
      <c r="M89" s="407"/>
      <c r="N89" s="407"/>
      <c r="O89" s="407"/>
      <c r="P89" s="415"/>
    </row>
    <row r="90" spans="1:16" x14ac:dyDescent="0.35">
      <c r="A90" s="49"/>
      <c r="B90" s="414"/>
      <c r="C90" s="399"/>
      <c r="D90" s="245"/>
      <c r="E90" s="402"/>
      <c r="F90" s="289"/>
      <c r="G90" s="289"/>
      <c r="H90" s="407"/>
      <c r="I90" s="407"/>
      <c r="J90" s="407"/>
      <c r="K90" s="407"/>
      <c r="L90" s="407"/>
      <c r="M90" s="407"/>
      <c r="N90" s="407"/>
      <c r="O90" s="407"/>
      <c r="P90" s="415"/>
    </row>
    <row r="91" spans="1:16" x14ac:dyDescent="0.35">
      <c r="A91" s="49"/>
      <c r="B91" s="414"/>
      <c r="C91" s="399"/>
      <c r="D91" s="245"/>
      <c r="E91" s="402"/>
      <c r="F91" s="407"/>
      <c r="G91" s="407"/>
      <c r="H91" s="407"/>
      <c r="I91" s="407"/>
      <c r="J91" s="407"/>
      <c r="K91" s="407"/>
      <c r="L91" s="407"/>
      <c r="M91" s="407"/>
      <c r="N91" s="407"/>
      <c r="O91" s="407"/>
      <c r="P91" s="415">
        <f t="shared" si="1"/>
        <v>0</v>
      </c>
    </row>
    <row r="92" spans="1:16" ht="24" customHeight="1" x14ac:dyDescent="0.35">
      <c r="A92" s="49"/>
      <c r="B92" s="1304" t="s">
        <v>184</v>
      </c>
      <c r="C92" s="1279"/>
      <c r="D92" s="1279"/>
      <c r="E92" s="1279"/>
      <c r="F92" s="1279"/>
      <c r="G92" s="1279"/>
      <c r="H92" s="1279"/>
      <c r="I92" s="1279"/>
      <c r="J92" s="1279"/>
      <c r="K92" s="1279"/>
      <c r="L92" s="1279"/>
      <c r="M92" s="1279"/>
      <c r="N92" s="1279"/>
      <c r="O92" s="1279"/>
      <c r="P92" s="1305"/>
    </row>
    <row r="93" spans="1:16" ht="42" x14ac:dyDescent="0.35">
      <c r="A93" s="49"/>
      <c r="B93" s="414">
        <v>36</v>
      </c>
      <c r="C93" s="399" t="s">
        <v>185</v>
      </c>
      <c r="D93" s="245" t="s">
        <v>34</v>
      </c>
      <c r="E93" s="402"/>
      <c r="F93" s="289"/>
      <c r="G93" s="289"/>
      <c r="H93" s="407"/>
      <c r="I93" s="407"/>
      <c r="J93" s="407"/>
      <c r="K93" s="407"/>
      <c r="L93" s="407"/>
      <c r="M93" s="407"/>
      <c r="N93" s="407"/>
      <c r="O93" s="407"/>
      <c r="P93" s="415">
        <f t="shared" si="1"/>
        <v>0</v>
      </c>
    </row>
    <row r="94" spans="1:16" x14ac:dyDescent="0.35">
      <c r="A94" s="49"/>
      <c r="B94" s="414">
        <v>37</v>
      </c>
      <c r="C94" s="399" t="s">
        <v>186</v>
      </c>
      <c r="D94" s="245" t="s">
        <v>34</v>
      </c>
      <c r="E94" s="402"/>
      <c r="F94" s="289"/>
      <c r="G94" s="289"/>
      <c r="H94" s="407"/>
      <c r="I94" s="407"/>
      <c r="J94" s="407"/>
      <c r="K94" s="407"/>
      <c r="L94" s="407"/>
      <c r="M94" s="407"/>
      <c r="N94" s="407"/>
      <c r="O94" s="407"/>
      <c r="P94" s="415">
        <f t="shared" si="1"/>
        <v>0</v>
      </c>
    </row>
    <row r="95" spans="1:16" x14ac:dyDescent="0.35">
      <c r="A95" s="49"/>
      <c r="B95" s="414">
        <v>38</v>
      </c>
      <c r="C95" s="399" t="s">
        <v>187</v>
      </c>
      <c r="D95" s="245" t="s">
        <v>34</v>
      </c>
      <c r="E95" s="402"/>
      <c r="F95" s="289"/>
      <c r="G95" s="289"/>
      <c r="H95" s="407"/>
      <c r="I95" s="407"/>
      <c r="J95" s="407"/>
      <c r="K95" s="407"/>
      <c r="L95" s="407"/>
      <c r="M95" s="407"/>
      <c r="N95" s="407"/>
      <c r="O95" s="407"/>
      <c r="P95" s="415">
        <f t="shared" si="1"/>
        <v>0</v>
      </c>
    </row>
    <row r="96" spans="1:16" ht="28" x14ac:dyDescent="0.35">
      <c r="A96" s="49"/>
      <c r="B96" s="414">
        <v>39</v>
      </c>
      <c r="C96" s="399" t="s">
        <v>188</v>
      </c>
      <c r="D96" s="245" t="s">
        <v>34</v>
      </c>
      <c r="E96" s="402"/>
      <c r="F96" s="289"/>
      <c r="G96" s="289"/>
      <c r="H96" s="407"/>
      <c r="I96" s="407"/>
      <c r="J96" s="407"/>
      <c r="K96" s="407"/>
      <c r="L96" s="407"/>
      <c r="M96" s="407"/>
      <c r="N96" s="407"/>
      <c r="O96" s="407"/>
      <c r="P96" s="415">
        <f t="shared" si="1"/>
        <v>0</v>
      </c>
    </row>
    <row r="97" spans="1:16" ht="28" x14ac:dyDescent="0.35">
      <c r="A97" s="49"/>
      <c r="B97" s="414">
        <v>40</v>
      </c>
      <c r="C97" s="399" t="s">
        <v>189</v>
      </c>
      <c r="D97" s="245" t="s">
        <v>34</v>
      </c>
      <c r="E97" s="402"/>
      <c r="F97" s="289"/>
      <c r="G97" s="289"/>
      <c r="H97" s="407"/>
      <c r="I97" s="407"/>
      <c r="J97" s="407"/>
      <c r="K97" s="407"/>
      <c r="L97" s="407"/>
      <c r="M97" s="407"/>
      <c r="N97" s="407"/>
      <c r="O97" s="407"/>
      <c r="P97" s="415">
        <f t="shared" si="1"/>
        <v>0</v>
      </c>
    </row>
    <row r="98" spans="1:16" ht="28" x14ac:dyDescent="0.35">
      <c r="A98" s="49"/>
      <c r="B98" s="414">
        <v>41</v>
      </c>
      <c r="C98" s="399" t="s">
        <v>190</v>
      </c>
      <c r="D98" s="245" t="s">
        <v>34</v>
      </c>
      <c r="E98" s="402"/>
      <c r="F98" s="289"/>
      <c r="G98" s="289"/>
      <c r="H98" s="407"/>
      <c r="I98" s="407"/>
      <c r="J98" s="407"/>
      <c r="K98" s="407"/>
      <c r="L98" s="407"/>
      <c r="M98" s="407"/>
      <c r="N98" s="407"/>
      <c r="O98" s="407"/>
      <c r="P98" s="415">
        <f t="shared" si="1"/>
        <v>0</v>
      </c>
    </row>
    <row r="99" spans="1:16" ht="28" x14ac:dyDescent="0.35">
      <c r="A99" s="49"/>
      <c r="B99" s="414">
        <v>42</v>
      </c>
      <c r="C99" s="399" t="s">
        <v>191</v>
      </c>
      <c r="D99" s="245" t="s">
        <v>34</v>
      </c>
      <c r="E99" s="402"/>
      <c r="F99" s="289"/>
      <c r="G99" s="289"/>
      <c r="H99" s="407"/>
      <c r="I99" s="407"/>
      <c r="J99" s="407"/>
      <c r="K99" s="407"/>
      <c r="L99" s="407"/>
      <c r="M99" s="407"/>
      <c r="N99" s="407"/>
      <c r="O99" s="407"/>
      <c r="P99" s="415">
        <f t="shared" si="1"/>
        <v>0</v>
      </c>
    </row>
    <row r="100" spans="1:16" x14ac:dyDescent="0.35">
      <c r="A100" s="49"/>
      <c r="B100" s="414">
        <v>43</v>
      </c>
      <c r="C100" s="399" t="s">
        <v>192</v>
      </c>
      <c r="D100" s="245" t="s">
        <v>34</v>
      </c>
      <c r="E100" s="402"/>
      <c r="F100" s="289"/>
      <c r="G100" s="289"/>
      <c r="H100" s="407"/>
      <c r="I100" s="407"/>
      <c r="J100" s="407"/>
      <c r="K100" s="407"/>
      <c r="L100" s="407"/>
      <c r="M100" s="407"/>
      <c r="N100" s="407"/>
      <c r="O100" s="407"/>
      <c r="P100" s="415">
        <f t="shared" si="1"/>
        <v>0</v>
      </c>
    </row>
    <row r="101" spans="1:16" ht="42" x14ac:dyDescent="0.35">
      <c r="A101" s="49"/>
      <c r="B101" s="414">
        <v>44</v>
      </c>
      <c r="C101" s="399" t="s">
        <v>193</v>
      </c>
      <c r="D101" s="245" t="s">
        <v>34</v>
      </c>
      <c r="E101" s="402"/>
      <c r="F101" s="289"/>
      <c r="G101" s="289"/>
      <c r="H101" s="407"/>
      <c r="I101" s="407"/>
      <c r="J101" s="407"/>
      <c r="K101" s="407"/>
      <c r="L101" s="407"/>
      <c r="M101" s="407"/>
      <c r="N101" s="407"/>
      <c r="O101" s="407"/>
      <c r="P101" s="415">
        <f t="shared" si="1"/>
        <v>0</v>
      </c>
    </row>
    <row r="102" spans="1:16" ht="28" x14ac:dyDescent="0.35">
      <c r="A102" s="49"/>
      <c r="B102" s="414">
        <v>45</v>
      </c>
      <c r="C102" s="399" t="s">
        <v>194</v>
      </c>
      <c r="D102" s="245" t="s">
        <v>34</v>
      </c>
      <c r="E102" s="402"/>
      <c r="F102" s="289"/>
      <c r="G102" s="289"/>
      <c r="H102" s="407"/>
      <c r="I102" s="407"/>
      <c r="J102" s="407"/>
      <c r="K102" s="407"/>
      <c r="L102" s="407"/>
      <c r="M102" s="407"/>
      <c r="N102" s="407"/>
      <c r="O102" s="407"/>
      <c r="P102" s="415">
        <f t="shared" si="1"/>
        <v>0</v>
      </c>
    </row>
    <row r="103" spans="1:16" ht="28" x14ac:dyDescent="0.35">
      <c r="A103" s="49"/>
      <c r="B103" s="414">
        <v>46</v>
      </c>
      <c r="C103" s="399" t="s">
        <v>195</v>
      </c>
      <c r="D103" s="245" t="s">
        <v>34</v>
      </c>
      <c r="E103" s="402"/>
      <c r="F103" s="289"/>
      <c r="G103" s="289"/>
      <c r="H103" s="407"/>
      <c r="I103" s="407"/>
      <c r="J103" s="407"/>
      <c r="K103" s="407"/>
      <c r="L103" s="407"/>
      <c r="M103" s="407"/>
      <c r="N103" s="407"/>
      <c r="O103" s="407"/>
      <c r="P103" s="415">
        <f t="shared" si="1"/>
        <v>0</v>
      </c>
    </row>
    <row r="104" spans="1:16" ht="28" x14ac:dyDescent="0.35">
      <c r="A104" s="49"/>
      <c r="B104" s="414">
        <v>47</v>
      </c>
      <c r="C104" s="399" t="s">
        <v>196</v>
      </c>
      <c r="D104" s="245" t="s">
        <v>34</v>
      </c>
      <c r="E104" s="402"/>
      <c r="F104" s="289"/>
      <c r="G104" s="289"/>
      <c r="H104" s="407"/>
      <c r="I104" s="407"/>
      <c r="J104" s="407"/>
      <c r="K104" s="407"/>
      <c r="L104" s="407"/>
      <c r="M104" s="407"/>
      <c r="N104" s="407"/>
      <c r="O104" s="407"/>
      <c r="P104" s="415">
        <f t="shared" si="1"/>
        <v>0</v>
      </c>
    </row>
    <row r="105" spans="1:16" ht="28" x14ac:dyDescent="0.35">
      <c r="A105" s="49"/>
      <c r="B105" s="414">
        <v>48</v>
      </c>
      <c r="C105" s="399" t="s">
        <v>197</v>
      </c>
      <c r="D105" s="245" t="s">
        <v>34</v>
      </c>
      <c r="E105" s="402"/>
      <c r="F105" s="289"/>
      <c r="G105" s="289"/>
      <c r="H105" s="407"/>
      <c r="I105" s="407"/>
      <c r="J105" s="407"/>
      <c r="K105" s="407"/>
      <c r="L105" s="407"/>
      <c r="M105" s="407"/>
      <c r="N105" s="407"/>
      <c r="O105" s="407"/>
      <c r="P105" s="415">
        <f t="shared" si="1"/>
        <v>0</v>
      </c>
    </row>
    <row r="106" spans="1:16" ht="28" x14ac:dyDescent="0.35">
      <c r="A106" s="49"/>
      <c r="B106" s="414">
        <v>49</v>
      </c>
      <c r="C106" s="399" t="s">
        <v>198</v>
      </c>
      <c r="D106" s="245" t="s">
        <v>34</v>
      </c>
      <c r="E106" s="402"/>
      <c r="F106" s="289"/>
      <c r="G106" s="289"/>
      <c r="H106" s="407"/>
      <c r="I106" s="407"/>
      <c r="J106" s="407"/>
      <c r="K106" s="407"/>
      <c r="L106" s="407"/>
      <c r="M106" s="407"/>
      <c r="N106" s="407"/>
      <c r="O106" s="407"/>
      <c r="P106" s="415">
        <f t="shared" si="1"/>
        <v>0</v>
      </c>
    </row>
    <row r="107" spans="1:16" x14ac:dyDescent="0.35">
      <c r="A107" s="49"/>
      <c r="B107" s="416" t="s">
        <v>280</v>
      </c>
      <c r="C107" s="399"/>
      <c r="D107" s="245" t="s">
        <v>253</v>
      </c>
      <c r="E107" s="402"/>
      <c r="F107" s="289"/>
      <c r="G107" s="289"/>
      <c r="H107" s="407"/>
      <c r="I107" s="407"/>
      <c r="J107" s="407"/>
      <c r="K107" s="407"/>
      <c r="L107" s="407"/>
      <c r="M107" s="407"/>
      <c r="N107" s="407"/>
      <c r="O107" s="407"/>
      <c r="P107" s="415"/>
    </row>
    <row r="108" spans="1:16" x14ac:dyDescent="0.35">
      <c r="A108" s="49"/>
      <c r="B108" s="414"/>
      <c r="C108" s="399"/>
      <c r="D108" s="245"/>
      <c r="E108" s="402"/>
      <c r="F108" s="289"/>
      <c r="G108" s="289"/>
      <c r="H108" s="407"/>
      <c r="I108" s="407"/>
      <c r="J108" s="407"/>
      <c r="K108" s="407"/>
      <c r="L108" s="407"/>
      <c r="M108" s="407"/>
      <c r="N108" s="407"/>
      <c r="O108" s="407"/>
      <c r="P108" s="415"/>
    </row>
    <row r="109" spans="1:16" x14ac:dyDescent="0.35">
      <c r="A109" s="49"/>
      <c r="B109" s="414"/>
      <c r="C109" s="399"/>
      <c r="D109" s="245"/>
      <c r="E109" s="402"/>
      <c r="F109" s="289"/>
      <c r="G109" s="289"/>
      <c r="H109" s="407"/>
      <c r="I109" s="407"/>
      <c r="J109" s="407"/>
      <c r="K109" s="407"/>
      <c r="L109" s="407"/>
      <c r="M109" s="407"/>
      <c r="N109" s="407"/>
      <c r="O109" s="407"/>
      <c r="P109" s="415"/>
    </row>
    <row r="110" spans="1:16" x14ac:dyDescent="0.35">
      <c r="A110" s="49"/>
      <c r="B110" s="414"/>
      <c r="C110" s="399"/>
      <c r="D110" s="245"/>
      <c r="E110" s="402"/>
      <c r="F110" s="289"/>
      <c r="G110" s="289"/>
      <c r="H110" s="407"/>
      <c r="I110" s="407"/>
      <c r="J110" s="407"/>
      <c r="K110" s="407"/>
      <c r="L110" s="407"/>
      <c r="M110" s="407"/>
      <c r="N110" s="407"/>
      <c r="O110" s="407"/>
      <c r="P110" s="415"/>
    </row>
    <row r="111" spans="1:16" x14ac:dyDescent="0.35">
      <c r="B111" s="345"/>
      <c r="C111" s="1266" t="s">
        <v>221</v>
      </c>
      <c r="D111" s="1266"/>
      <c r="E111" s="346"/>
      <c r="F111" s="347"/>
      <c r="G111" s="347"/>
      <c r="H111" s="348">
        <f>SUM(F17*H17,F18*H18,F19*H19,F20*H20,F21*H21,F22*H22,F46*H46,F63*H63,F64*H64,F65*H65,F66*H66)</f>
        <v>0</v>
      </c>
      <c r="I111" s="348">
        <f>SUM(F28*I28,F29*I29,F30*I30,F31*I31,F32*I32,F72*I72,F73*I73,F74*I74,F75*I75,F76*I76,F77*I77,F78*I78,F79*I79,F85*I85,F86*I86,F87*I87)</f>
        <v>0</v>
      </c>
      <c r="J111" s="349"/>
      <c r="K111" s="346"/>
      <c r="L111" s="346"/>
      <c r="M111" s="346"/>
      <c r="N111" s="348"/>
      <c r="O111" s="346"/>
      <c r="P111" s="350">
        <f>SUM(H111:O111)</f>
        <v>0</v>
      </c>
    </row>
    <row r="112" spans="1:16" x14ac:dyDescent="0.35">
      <c r="B112" s="266"/>
      <c r="C112" s="1267" t="s">
        <v>260</v>
      </c>
      <c r="D112" s="1267"/>
      <c r="E112" s="260"/>
      <c r="F112" s="258"/>
      <c r="G112" s="258"/>
      <c r="H112" s="260"/>
      <c r="I112" s="260"/>
      <c r="J112" s="261">
        <f>SUM(E28*G28*J28,E29*G29*J29,E30*G30*J30,E31*G31,J31*E32*G32*J32,E38*G38*J38,E39*G39*J39,E40*G40*J40)</f>
        <v>0</v>
      </c>
      <c r="K112" s="261">
        <f>SUM(E28*G28*K28,E29*G29*K29,E30*G30*K30,E31*G31*K31,E32*G32*K32,E38*G38*K38,E39*G39*K39,E40*G40*K40)</f>
        <v>0</v>
      </c>
      <c r="L112" s="261"/>
      <c r="M112" s="261"/>
      <c r="N112" s="260"/>
      <c r="O112" s="260"/>
      <c r="P112" s="267">
        <f>SUM(H112:O112)</f>
        <v>0</v>
      </c>
    </row>
    <row r="113" spans="2:16" x14ac:dyDescent="0.35">
      <c r="B113" s="266"/>
      <c r="C113" s="1267" t="s">
        <v>261</v>
      </c>
      <c r="D113" s="1267"/>
      <c r="E113" s="260"/>
      <c r="F113" s="258"/>
      <c r="G113" s="258"/>
      <c r="H113" s="260"/>
      <c r="I113" s="260"/>
      <c r="J113" s="261">
        <f>J112-(E32*G32*J32)</f>
        <v>0</v>
      </c>
      <c r="K113" s="260">
        <f>K112-(E32*G32*K32)</f>
        <v>0</v>
      </c>
      <c r="L113" s="260"/>
      <c r="M113" s="260"/>
      <c r="N113" s="260"/>
      <c r="O113" s="260"/>
      <c r="P113" s="267"/>
    </row>
    <row r="114" spans="2:16" x14ac:dyDescent="0.35">
      <c r="B114" s="345"/>
      <c r="C114" s="1266"/>
      <c r="D114" s="1266"/>
      <c r="E114" s="346"/>
      <c r="F114" s="347"/>
      <c r="G114" s="347"/>
      <c r="H114" s="346"/>
      <c r="I114" s="346"/>
      <c r="J114" s="346"/>
      <c r="K114" s="346"/>
      <c r="L114" s="346"/>
      <c r="M114" s="346"/>
      <c r="N114" s="346"/>
      <c r="O114" s="346"/>
      <c r="P114" s="350"/>
    </row>
    <row r="115" spans="2:16" x14ac:dyDescent="0.35">
      <c r="B115" s="268"/>
      <c r="C115" s="253"/>
      <c r="D115" s="254"/>
      <c r="E115" s="254"/>
      <c r="F115" s="252"/>
      <c r="G115" s="252"/>
      <c r="H115" s="254"/>
      <c r="I115" s="254"/>
      <c r="J115" s="254"/>
      <c r="K115" s="254"/>
      <c r="L115" s="254"/>
      <c r="M115" s="254"/>
      <c r="N115" s="254"/>
      <c r="O115" s="254"/>
      <c r="P115" s="269"/>
    </row>
    <row r="116" spans="2:16" x14ac:dyDescent="0.35">
      <c r="B116" s="373"/>
      <c r="C116" s="1269" t="s">
        <v>327</v>
      </c>
      <c r="D116" s="1269"/>
      <c r="E116" s="245"/>
      <c r="F116" s="255"/>
      <c r="G116" s="245"/>
      <c r="H116" s="256" t="e">
        <f>'3.  Distribution Rates'!#REF!</f>
        <v>#REF!</v>
      </c>
      <c r="I116" s="256" t="e">
        <f>'3.  Distribution Rates'!#REF!</f>
        <v>#REF!</v>
      </c>
      <c r="J116" s="256" t="e">
        <f>'3.  Distribution Rates'!#REF!</f>
        <v>#REF!</v>
      </c>
      <c r="K116" s="256" t="e">
        <f>'3.  Distribution Rates'!#REF!</f>
        <v>#REF!</v>
      </c>
      <c r="L116" s="256" t="e">
        <f>'3.  Distribution Rates'!#REF!</f>
        <v>#REF!</v>
      </c>
      <c r="M116" s="256" t="e">
        <f>'3.  Distribution Rates'!#REF!</f>
        <v>#REF!</v>
      </c>
      <c r="N116" s="256" t="e">
        <f>'3.  Distribution Rates'!#REF!</f>
        <v>#REF!</v>
      </c>
      <c r="O116" s="256"/>
      <c r="P116" s="374"/>
    </row>
    <row r="117" spans="2:16" x14ac:dyDescent="0.35">
      <c r="B117" s="373"/>
      <c r="C117" s="1269" t="s">
        <v>281</v>
      </c>
      <c r="D117" s="1269"/>
      <c r="E117" s="254"/>
      <c r="F117" s="255"/>
      <c r="G117" s="255"/>
      <c r="H117" s="348"/>
      <c r="I117" s="348"/>
      <c r="J117" s="348"/>
      <c r="K117" s="348"/>
      <c r="L117" s="348"/>
      <c r="M117" s="348"/>
      <c r="N117" s="348"/>
      <c r="O117" s="245"/>
      <c r="P117" s="270">
        <f>SUM(H117:O117)</f>
        <v>0</v>
      </c>
    </row>
    <row r="118" spans="2:16" x14ac:dyDescent="0.35">
      <c r="B118" s="373"/>
      <c r="C118" s="1269" t="s">
        <v>282</v>
      </c>
      <c r="D118" s="1269"/>
      <c r="E118" s="254"/>
      <c r="F118" s="255"/>
      <c r="G118" s="255"/>
      <c r="H118" s="348"/>
      <c r="I118" s="348"/>
      <c r="J118" s="348"/>
      <c r="K118" s="348"/>
      <c r="L118" s="348"/>
      <c r="M118" s="348"/>
      <c r="N118" s="348"/>
      <c r="O118" s="245"/>
      <c r="P118" s="270">
        <f>SUM(H118:O118)</f>
        <v>0</v>
      </c>
    </row>
    <row r="119" spans="2:16" x14ac:dyDescent="0.35">
      <c r="B119" s="373"/>
      <c r="C119" s="1269" t="s">
        <v>283</v>
      </c>
      <c r="D119" s="1269"/>
      <c r="E119" s="254"/>
      <c r="F119" s="255"/>
      <c r="G119" s="255"/>
      <c r="H119" s="348"/>
      <c r="I119" s="348"/>
      <c r="J119" s="348"/>
      <c r="K119" s="348"/>
      <c r="L119" s="348"/>
      <c r="M119" s="348"/>
      <c r="N119" s="348"/>
      <c r="O119" s="245"/>
      <c r="P119" s="270">
        <f t="shared" ref="P119" si="2">SUM(H119:O119)</f>
        <v>0</v>
      </c>
    </row>
    <row r="120" spans="2:16" x14ac:dyDescent="0.35">
      <c r="B120" s="373"/>
      <c r="C120" s="1269" t="s">
        <v>284</v>
      </c>
      <c r="D120" s="1269"/>
      <c r="E120" s="254"/>
      <c r="F120" s="255"/>
      <c r="G120" s="255"/>
      <c r="H120" s="348"/>
      <c r="I120" s="348"/>
      <c r="J120" s="348"/>
      <c r="K120" s="348"/>
      <c r="L120" s="348"/>
      <c r="M120" s="348"/>
      <c r="N120" s="348"/>
      <c r="O120" s="245"/>
      <c r="P120" s="270">
        <f>SUM(H120:O120)</f>
        <v>0</v>
      </c>
    </row>
    <row r="121" spans="2:16" x14ac:dyDescent="0.35">
      <c r="B121" s="373"/>
      <c r="C121" s="1269" t="s">
        <v>285</v>
      </c>
      <c r="D121" s="1269"/>
      <c r="E121" s="254"/>
      <c r="F121" s="255"/>
      <c r="G121" s="255"/>
      <c r="H121" s="370" t="e">
        <f>'5.  2015 LRAM'!H128*H116</f>
        <v>#REF!</v>
      </c>
      <c r="I121" s="370" t="e">
        <f>'5.  2015 LRAM'!I128*I116</f>
        <v>#REF!</v>
      </c>
      <c r="J121" s="370" t="e">
        <f>'5.  2015 LRAM'!J128*J116</f>
        <v>#REF!</v>
      </c>
      <c r="K121" s="370" t="e">
        <f>'5.  2015 LRAM'!K128*K116</f>
        <v>#REF!</v>
      </c>
      <c r="L121" s="370" t="e">
        <f>'5.  2015 LRAM'!L128*L116</f>
        <v>#REF!</v>
      </c>
      <c r="M121" s="370" t="e">
        <f>'5.  2015 LRAM'!M128*M116</f>
        <v>#REF!</v>
      </c>
      <c r="N121" s="370" t="e">
        <f>'5.  2015 LRAM'!N128*N116</f>
        <v>#REF!</v>
      </c>
      <c r="O121" s="245"/>
      <c r="P121" s="270" t="e">
        <f t="shared" ref="P121:P122" si="3">SUM(H121:O121)</f>
        <v>#REF!</v>
      </c>
    </row>
    <row r="122" spans="2:16" x14ac:dyDescent="0.35">
      <c r="B122" s="373"/>
      <c r="C122" s="1269" t="s">
        <v>286</v>
      </c>
      <c r="D122" s="1269"/>
      <c r="E122" s="254"/>
      <c r="F122" s="255"/>
      <c r="G122" s="255"/>
      <c r="H122" s="370" t="e">
        <f>'5-b. 2016 LRAM'!H126*H116</f>
        <v>#DIV/0!</v>
      </c>
      <c r="I122" s="370" t="e">
        <f>'5-b. 2016 LRAM'!I126*I116</f>
        <v>#DIV/0!</v>
      </c>
      <c r="J122" s="370" t="e">
        <f>'5-b. 2016 LRAM'!J126*J116</f>
        <v>#DIV/0!</v>
      </c>
      <c r="K122" s="370" t="e">
        <f>'5-b. 2016 LRAM'!K126*K116</f>
        <v>#DIV/0!</v>
      </c>
      <c r="L122" s="370" t="e">
        <f>'5-b. 2016 LRAM'!L126*L116</f>
        <v>#REF!</v>
      </c>
      <c r="M122" s="370" t="e">
        <f>'5-b. 2016 LRAM'!M126*M116</f>
        <v>#REF!</v>
      </c>
      <c r="N122" s="370" t="e">
        <f>'5-b. 2016 LRAM'!N126*N116</f>
        <v>#REF!</v>
      </c>
      <c r="O122" s="245"/>
      <c r="P122" s="270" t="e">
        <f t="shared" si="3"/>
        <v>#DIV/0!</v>
      </c>
    </row>
    <row r="123" spans="2:16" x14ac:dyDescent="0.35">
      <c r="B123" s="373"/>
      <c r="C123" s="1269" t="s">
        <v>287</v>
      </c>
      <c r="D123" s="1269"/>
      <c r="E123" s="254"/>
      <c r="F123" s="255"/>
      <c r="G123" s="255"/>
      <c r="H123" s="370" t="e">
        <f>'5-c.  2017 LRAM'!H127*H116</f>
        <v>#DIV/0!</v>
      </c>
      <c r="I123" s="370" t="e">
        <f>'5-c.  2017 LRAM'!I127*I116</f>
        <v>#DIV/0!</v>
      </c>
      <c r="J123" s="370" t="e">
        <f>'5-c.  2017 LRAM'!J127*J116</f>
        <v>#DIV/0!</v>
      </c>
      <c r="K123" s="370" t="e">
        <f>'5-c.  2017 LRAM'!K127*K116</f>
        <v>#DIV/0!</v>
      </c>
      <c r="L123" s="370" t="e">
        <f>'5-c.  2017 LRAM'!L127*L116</f>
        <v>#REF!</v>
      </c>
      <c r="M123" s="370" t="e">
        <f>'5-c.  2017 LRAM'!M127*M116</f>
        <v>#REF!</v>
      </c>
      <c r="N123" s="370" t="e">
        <f>'5-c.  2017 LRAM'!N127*N116</f>
        <v>#DIV/0!</v>
      </c>
      <c r="O123" s="245"/>
      <c r="P123" s="270" t="e">
        <f>SUM(H123:O123)</f>
        <v>#DIV/0!</v>
      </c>
    </row>
    <row r="124" spans="2:16" x14ac:dyDescent="0.35">
      <c r="B124" s="373"/>
      <c r="C124" s="1269" t="s">
        <v>288</v>
      </c>
      <c r="D124" s="1269"/>
      <c r="E124" s="254"/>
      <c r="F124" s="255"/>
      <c r="G124" s="255"/>
      <c r="H124" s="370" t="e">
        <f>H111*H116</f>
        <v>#REF!</v>
      </c>
      <c r="I124" s="370" t="e">
        <f>I111*I116</f>
        <v>#REF!</v>
      </c>
      <c r="J124" s="370" t="e">
        <f>J112*J116</f>
        <v>#REF!</v>
      </c>
      <c r="K124" s="370" t="e">
        <f>K112*K116</f>
        <v>#REF!</v>
      </c>
      <c r="L124" s="370" t="e">
        <f>L112*L116</f>
        <v>#REF!</v>
      </c>
      <c r="M124" s="370" t="e">
        <f>M112*M116</f>
        <v>#REF!</v>
      </c>
      <c r="N124" s="370" t="e">
        <f>N111*N116</f>
        <v>#REF!</v>
      </c>
      <c r="O124" s="245"/>
      <c r="P124" s="270" t="e">
        <f>SUM(H124:O124)</f>
        <v>#REF!</v>
      </c>
    </row>
    <row r="125" spans="2:16" x14ac:dyDescent="0.35">
      <c r="B125" s="268"/>
      <c r="C125" s="371" t="s">
        <v>289</v>
      </c>
      <c r="D125" s="254"/>
      <c r="E125" s="254"/>
      <c r="F125" s="252"/>
      <c r="G125" s="252"/>
      <c r="H125" s="257" t="e">
        <f t="shared" ref="H125:N125" si="4">SUM(H117:H124)</f>
        <v>#REF!</v>
      </c>
      <c r="I125" s="257" t="e">
        <f t="shared" si="4"/>
        <v>#REF!</v>
      </c>
      <c r="J125" s="257" t="e">
        <f>SUM(J117:J124)</f>
        <v>#REF!</v>
      </c>
      <c r="K125" s="257" t="e">
        <f t="shared" si="4"/>
        <v>#REF!</v>
      </c>
      <c r="L125" s="257" t="e">
        <f t="shared" si="4"/>
        <v>#REF!</v>
      </c>
      <c r="M125" s="257" t="e">
        <f t="shared" si="4"/>
        <v>#REF!</v>
      </c>
      <c r="N125" s="257" t="e">
        <f t="shared" si="4"/>
        <v>#REF!</v>
      </c>
      <c r="O125" s="254"/>
      <c r="P125" s="271" t="e">
        <f>SUM(P117:P124)</f>
        <v>#REF!</v>
      </c>
    </row>
    <row r="126" spans="2:16" x14ac:dyDescent="0.35">
      <c r="B126" s="268"/>
      <c r="C126" s="371"/>
      <c r="D126" s="254"/>
      <c r="E126" s="254"/>
      <c r="F126" s="252"/>
      <c r="G126" s="252"/>
      <c r="H126" s="257"/>
      <c r="I126" s="257"/>
      <c r="J126" s="257"/>
      <c r="K126" s="257"/>
      <c r="L126" s="257"/>
      <c r="M126" s="257"/>
      <c r="N126" s="257"/>
      <c r="O126" s="254"/>
      <c r="P126" s="271"/>
    </row>
    <row r="127" spans="2:16" x14ac:dyDescent="0.35">
      <c r="B127" s="408"/>
      <c r="C127" s="1269" t="s">
        <v>290</v>
      </c>
      <c r="D127" s="1269"/>
      <c r="E127" s="400"/>
      <c r="F127" s="154"/>
      <c r="G127" s="154"/>
      <c r="H127" s="289" t="e">
        <f>$H$111*'6.  Persistence Rates'!$H$47</f>
        <v>#DIV/0!</v>
      </c>
      <c r="I127" s="289" t="e">
        <f>$H$111*'6.  Persistence Rates'!$H$47</f>
        <v>#DIV/0!</v>
      </c>
      <c r="J127" s="289" t="e">
        <f>J112*'6.  Persistence Rates'!$U$47</f>
        <v>#DIV/0!</v>
      </c>
      <c r="K127" s="289" t="e">
        <f>K112*'6.  Persistence Rates'!$U$47</f>
        <v>#DIV/0!</v>
      </c>
      <c r="L127" s="289">
        <f>L112*'6.  Persistence Rates'!$R$44</f>
        <v>0</v>
      </c>
      <c r="M127" s="289">
        <f>M112*'6.  Persistence Rates'!$R$44</f>
        <v>0</v>
      </c>
      <c r="N127" s="289">
        <f>N111*'6.  Persistence Rates'!$E$44</f>
        <v>0</v>
      </c>
      <c r="O127" s="154"/>
      <c r="P127" s="343"/>
    </row>
    <row r="128" spans="2:16" x14ac:dyDescent="0.35">
      <c r="B128" s="409"/>
      <c r="C128" s="1283" t="s">
        <v>291</v>
      </c>
      <c r="D128" s="1283"/>
      <c r="E128" s="410"/>
      <c r="F128" s="323"/>
      <c r="G128" s="323"/>
      <c r="H128" s="289" t="e">
        <f>H111*'6.  Persistence Rates'!$I$47</f>
        <v>#DIV/0!</v>
      </c>
      <c r="I128" s="289" t="e">
        <f>I111*'6.  Persistence Rates'!$I$47</f>
        <v>#DIV/0!</v>
      </c>
      <c r="J128" s="289" t="e">
        <f>$J$113*'6.  Persistence Rates'!$V$47</f>
        <v>#DIV/0!</v>
      </c>
      <c r="K128" s="289" t="e">
        <f>$K$113*'6.  Persistence Rates'!$V$47</f>
        <v>#DIV/0!</v>
      </c>
      <c r="L128" s="289"/>
      <c r="M128" s="289"/>
      <c r="N128" s="289" t="e">
        <f>N111*'6.  Persistence Rates'!$I$47</f>
        <v>#DIV/0!</v>
      </c>
      <c r="O128" s="323"/>
      <c r="P128" s="390"/>
    </row>
  </sheetData>
  <mergeCells count="35">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E4:P4"/>
    <mergeCell ref="E9:F9"/>
    <mergeCell ref="E10:F10"/>
    <mergeCell ref="C13:C14"/>
    <mergeCell ref="B13:B14"/>
    <mergeCell ref="E13:E14"/>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workbookViewId="0">
      <pane ySplit="14" topLeftCell="A15" activePane="bottomLeft" state="frozen"/>
      <selection pane="bottomLeft" activeCell="B13" sqref="B13:B14"/>
    </sheetView>
  </sheetViews>
  <sheetFormatPr defaultColWidth="9.1796875" defaultRowHeight="14.5" outlineLevelRow="1" x14ac:dyDescent="0.35"/>
  <cols>
    <col min="1" max="1" width="6.54296875" style="67" customWidth="1"/>
    <col min="2" max="2" width="5.1796875" style="67" customWidth="1"/>
    <col min="3" max="3" width="44.26953125" style="422" customWidth="1"/>
    <col min="4" max="4" width="12.26953125" style="423" customWidth="1"/>
    <col min="5" max="5" width="13.26953125" style="423" customWidth="1"/>
    <col min="6" max="7" width="19.453125" style="67" customWidth="1"/>
    <col min="8" max="14" width="12.7265625" style="67" customWidth="1"/>
    <col min="15" max="15" width="8.1796875" style="67" customWidth="1"/>
    <col min="16" max="16" width="11.26953125" style="67" customWidth="1"/>
    <col min="17" max="17" width="13.1796875" style="67" customWidth="1"/>
    <col min="18" max="16384" width="9.1796875" style="67"/>
  </cols>
  <sheetData>
    <row r="2" spans="1:18" ht="18.75" customHeight="1" x14ac:dyDescent="0.4">
      <c r="B2" s="1316" t="s">
        <v>293</v>
      </c>
      <c r="C2" s="1316"/>
      <c r="D2" s="1316"/>
      <c r="E2" s="1316"/>
      <c r="F2" s="1316"/>
      <c r="G2" s="1316"/>
      <c r="H2" s="1316"/>
      <c r="I2" s="1316"/>
      <c r="J2" s="1316"/>
      <c r="K2" s="1316"/>
      <c r="L2" s="1316"/>
      <c r="M2" s="1316"/>
      <c r="N2" s="1316"/>
      <c r="O2" s="1316"/>
      <c r="P2" s="1316"/>
    </row>
    <row r="3" spans="1:18" ht="18.5" outlineLevel="1" x14ac:dyDescent="0.45">
      <c r="B3" s="425"/>
      <c r="C3" s="425"/>
      <c r="D3" s="425"/>
      <c r="E3" s="425"/>
      <c r="F3" s="425"/>
      <c r="G3" s="425"/>
      <c r="H3" s="425"/>
      <c r="I3" s="425"/>
      <c r="J3" s="425"/>
      <c r="K3" s="425"/>
      <c r="L3" s="425"/>
      <c r="M3" s="425"/>
      <c r="N3" s="425"/>
      <c r="O3" s="425"/>
      <c r="P3" s="425"/>
    </row>
    <row r="4" spans="1:18" ht="35.25" customHeight="1" outlineLevel="1" x14ac:dyDescent="0.45">
      <c r="A4" s="329"/>
      <c r="B4" s="425"/>
      <c r="C4" s="361" t="s">
        <v>399</v>
      </c>
      <c r="D4" s="426"/>
      <c r="E4" s="1315" t="s">
        <v>362</v>
      </c>
      <c r="F4" s="1315"/>
      <c r="G4" s="1315"/>
      <c r="H4" s="1315"/>
      <c r="I4" s="1315"/>
      <c r="J4" s="1315"/>
      <c r="K4" s="1315"/>
      <c r="L4" s="1315"/>
      <c r="M4" s="1315"/>
      <c r="N4" s="1315"/>
      <c r="O4" s="1315"/>
      <c r="P4" s="1315"/>
    </row>
    <row r="5" spans="1:18" ht="18.75" customHeight="1" outlineLevel="1" x14ac:dyDescent="0.45">
      <c r="B5" s="425"/>
      <c r="C5" s="427"/>
      <c r="D5" s="426"/>
      <c r="E5" s="364" t="s">
        <v>356</v>
      </c>
      <c r="F5" s="426"/>
      <c r="G5" s="426"/>
      <c r="H5" s="426"/>
      <c r="I5" s="426"/>
      <c r="J5" s="426"/>
      <c r="K5" s="426"/>
      <c r="L5" s="426"/>
      <c r="M5" s="426"/>
      <c r="N5" s="426"/>
      <c r="O5" s="426"/>
      <c r="P5" s="426"/>
    </row>
    <row r="6" spans="1:18" ht="18.75" customHeight="1" outlineLevel="1" x14ac:dyDescent="0.45">
      <c r="B6" s="425"/>
      <c r="C6" s="427"/>
      <c r="D6" s="426"/>
      <c r="E6" s="364" t="s">
        <v>357</v>
      </c>
      <c r="F6" s="426"/>
      <c r="G6" s="426"/>
      <c r="H6" s="426"/>
      <c r="I6" s="426"/>
      <c r="J6" s="426"/>
      <c r="K6" s="426"/>
      <c r="L6" s="426"/>
      <c r="M6" s="426"/>
      <c r="N6" s="426"/>
      <c r="O6" s="426"/>
      <c r="P6" s="426"/>
    </row>
    <row r="7" spans="1:18" ht="18.75" customHeight="1" outlineLevel="1" x14ac:dyDescent="0.45">
      <c r="B7" s="425"/>
      <c r="C7" s="427"/>
      <c r="D7" s="426"/>
      <c r="E7" s="364" t="s">
        <v>417</v>
      </c>
      <c r="F7" s="426"/>
      <c r="G7" s="426"/>
      <c r="H7" s="426"/>
      <c r="I7" s="426"/>
      <c r="J7" s="426"/>
      <c r="K7" s="426"/>
      <c r="L7" s="426"/>
      <c r="M7" s="426"/>
      <c r="N7" s="426"/>
      <c r="O7" s="426"/>
      <c r="P7" s="426"/>
    </row>
    <row r="8" spans="1:18" ht="18.75" customHeight="1" outlineLevel="1" x14ac:dyDescent="0.45">
      <c r="B8" s="425"/>
      <c r="C8" s="431"/>
      <c r="D8" s="425"/>
      <c r="E8" s="165"/>
      <c r="F8" s="425"/>
      <c r="G8" s="425"/>
      <c r="H8" s="425"/>
      <c r="I8" s="425"/>
      <c r="J8" s="425"/>
      <c r="K8" s="425"/>
      <c r="L8" s="425"/>
      <c r="M8" s="425"/>
      <c r="N8" s="425"/>
      <c r="O8" s="425"/>
      <c r="P8" s="425"/>
    </row>
    <row r="9" spans="1:18" ht="18.75" customHeight="1" outlineLevel="1" x14ac:dyDescent="0.45">
      <c r="B9" s="425"/>
      <c r="C9" s="228" t="s">
        <v>337</v>
      </c>
      <c r="D9" s="425"/>
      <c r="E9" s="1300" t="s">
        <v>363</v>
      </c>
      <c r="F9" s="1300"/>
      <c r="G9" s="425"/>
      <c r="H9" s="425"/>
      <c r="I9" s="425"/>
      <c r="J9" s="425"/>
      <c r="K9" s="425"/>
      <c r="L9" s="425"/>
      <c r="M9" s="425"/>
      <c r="N9" s="425"/>
      <c r="O9" s="425"/>
      <c r="P9" s="425"/>
      <c r="R9" s="81"/>
    </row>
    <row r="10" spans="1:18" ht="18.75" customHeight="1" outlineLevel="1" x14ac:dyDescent="0.45">
      <c r="B10" s="425"/>
      <c r="C10" s="425"/>
      <c r="D10" s="425"/>
      <c r="E10" s="1317" t="s">
        <v>338</v>
      </c>
      <c r="F10" s="1317"/>
      <c r="G10" s="425"/>
      <c r="H10" s="425"/>
      <c r="I10" s="425"/>
      <c r="J10" s="425"/>
      <c r="K10" s="425"/>
      <c r="L10" s="425"/>
      <c r="M10" s="425"/>
      <c r="N10" s="425"/>
      <c r="O10" s="425"/>
      <c r="P10" s="425"/>
    </row>
    <row r="11" spans="1:18" x14ac:dyDescent="0.35">
      <c r="A11" s="432"/>
      <c r="C11" s="429"/>
      <c r="D11" s="430"/>
      <c r="E11" s="430"/>
    </row>
    <row r="12" spans="1:18" ht="15.5" x14ac:dyDescent="0.35">
      <c r="A12" s="432"/>
      <c r="B12" s="428" t="s">
        <v>477</v>
      </c>
      <c r="C12" s="429"/>
      <c r="D12" s="430"/>
      <c r="E12" s="430"/>
    </row>
    <row r="13" spans="1:18" ht="42" x14ac:dyDescent="0.35">
      <c r="A13" s="432"/>
      <c r="B13" s="1307" t="s">
        <v>59</v>
      </c>
      <c r="C13" s="1309" t="s">
        <v>0</v>
      </c>
      <c r="D13" s="1309" t="s">
        <v>45</v>
      </c>
      <c r="E13" s="1309" t="s">
        <v>205</v>
      </c>
      <c r="F13" s="231" t="s">
        <v>202</v>
      </c>
      <c r="G13" s="231" t="s">
        <v>46</v>
      </c>
      <c r="H13" s="1311" t="s">
        <v>60</v>
      </c>
      <c r="I13" s="1311"/>
      <c r="J13" s="1311"/>
      <c r="K13" s="1311"/>
      <c r="L13" s="1311"/>
      <c r="M13" s="1311"/>
      <c r="N13" s="1311"/>
      <c r="O13" s="1311"/>
      <c r="P13" s="1312"/>
    </row>
    <row r="14" spans="1:18" ht="56" x14ac:dyDescent="0.35">
      <c r="A14" s="432"/>
      <c r="B14" s="1308"/>
      <c r="C14" s="1310"/>
      <c r="D14" s="1310"/>
      <c r="E14" s="1310"/>
      <c r="F14" s="420" t="s">
        <v>213</v>
      </c>
      <c r="G14" s="420" t="s">
        <v>214</v>
      </c>
      <c r="H14" s="421" t="s">
        <v>38</v>
      </c>
      <c r="I14" s="421" t="s">
        <v>40</v>
      </c>
      <c r="J14" s="421" t="s">
        <v>109</v>
      </c>
      <c r="K14" s="421" t="s">
        <v>110</v>
      </c>
      <c r="L14" s="421" t="s">
        <v>41</v>
      </c>
      <c r="M14" s="421" t="s">
        <v>42</v>
      </c>
      <c r="N14" s="421" t="s">
        <v>43</v>
      </c>
      <c r="O14" s="421" t="s">
        <v>106</v>
      </c>
      <c r="P14" s="424" t="s">
        <v>35</v>
      </c>
    </row>
    <row r="15" spans="1:18" ht="29.25" customHeight="1" x14ac:dyDescent="0.35">
      <c r="B15" s="1288" t="s">
        <v>141</v>
      </c>
      <c r="C15" s="1289"/>
      <c r="D15" s="1289"/>
      <c r="E15" s="1289"/>
      <c r="F15" s="1289"/>
      <c r="G15" s="1289"/>
      <c r="H15" s="1289"/>
      <c r="I15" s="1289"/>
      <c r="J15" s="1289"/>
      <c r="K15" s="1289"/>
      <c r="L15" s="1289"/>
      <c r="M15" s="1289"/>
      <c r="N15" s="1289"/>
      <c r="O15" s="1289"/>
      <c r="P15" s="1290"/>
    </row>
    <row r="16" spans="1:18" ht="26.25" customHeight="1" x14ac:dyDescent="0.35">
      <c r="A16" s="433"/>
      <c r="B16" s="1301" t="s">
        <v>142</v>
      </c>
      <c r="C16" s="1302"/>
      <c r="D16" s="1302"/>
      <c r="E16" s="1302"/>
      <c r="F16" s="1302"/>
      <c r="G16" s="1302"/>
      <c r="H16" s="1302"/>
      <c r="I16" s="1302"/>
      <c r="J16" s="1302"/>
      <c r="K16" s="1302"/>
      <c r="L16" s="1302"/>
      <c r="M16" s="1302"/>
      <c r="N16" s="1302"/>
      <c r="O16" s="1302"/>
      <c r="P16" s="1303"/>
    </row>
    <row r="17" spans="1:16" x14ac:dyDescent="0.35">
      <c r="A17" s="433"/>
      <c r="B17" s="414">
        <v>1</v>
      </c>
      <c r="C17" s="399" t="s">
        <v>143</v>
      </c>
      <c r="D17" s="245" t="s">
        <v>34</v>
      </c>
      <c r="E17" s="400"/>
      <c r="F17" s="289"/>
      <c r="G17" s="289"/>
      <c r="H17" s="411">
        <v>1</v>
      </c>
      <c r="I17" s="401"/>
      <c r="J17" s="401"/>
      <c r="K17" s="401"/>
      <c r="L17" s="401"/>
      <c r="M17" s="401"/>
      <c r="N17" s="401"/>
      <c r="O17" s="401"/>
      <c r="P17" s="415">
        <f>SUM(H17:O17)</f>
        <v>1</v>
      </c>
    </row>
    <row r="18" spans="1:16" x14ac:dyDescent="0.35">
      <c r="A18" s="39"/>
      <c r="B18" s="414">
        <v>2</v>
      </c>
      <c r="C18" s="399" t="s">
        <v>144</v>
      </c>
      <c r="D18" s="245" t="s">
        <v>34</v>
      </c>
      <c r="E18" s="402"/>
      <c r="F18" s="289"/>
      <c r="G18" s="289"/>
      <c r="H18" s="411">
        <v>1</v>
      </c>
      <c r="I18" s="401"/>
      <c r="J18" s="401"/>
      <c r="K18" s="401"/>
      <c r="L18" s="401"/>
      <c r="M18" s="401"/>
      <c r="N18" s="401"/>
      <c r="O18" s="401"/>
      <c r="P18" s="415">
        <f t="shared" ref="P18:P79" si="0">SUM(H18:O18)</f>
        <v>1</v>
      </c>
    </row>
    <row r="19" spans="1:16" x14ac:dyDescent="0.35">
      <c r="A19" s="433"/>
      <c r="B19" s="414">
        <v>3</v>
      </c>
      <c r="C19" s="399" t="s">
        <v>145</v>
      </c>
      <c r="D19" s="245" t="s">
        <v>34</v>
      </c>
      <c r="E19" s="402"/>
      <c r="F19" s="289"/>
      <c r="G19" s="289"/>
      <c r="H19" s="411">
        <v>1</v>
      </c>
      <c r="I19" s="401"/>
      <c r="J19" s="401"/>
      <c r="K19" s="401"/>
      <c r="L19" s="401"/>
      <c r="M19" s="401"/>
      <c r="N19" s="401"/>
      <c r="O19" s="401"/>
      <c r="P19" s="415">
        <f t="shared" si="0"/>
        <v>1</v>
      </c>
    </row>
    <row r="20" spans="1:16" x14ac:dyDescent="0.35">
      <c r="A20" s="433"/>
      <c r="B20" s="414">
        <v>4</v>
      </c>
      <c r="C20" s="399" t="s">
        <v>146</v>
      </c>
      <c r="D20" s="245" t="s">
        <v>34</v>
      </c>
      <c r="E20" s="402"/>
      <c r="F20" s="289"/>
      <c r="G20" s="289"/>
      <c r="H20" s="411">
        <v>1</v>
      </c>
      <c r="I20" s="401"/>
      <c r="J20" s="401"/>
      <c r="K20" s="401"/>
      <c r="L20" s="401"/>
      <c r="M20" s="401"/>
      <c r="N20" s="401"/>
      <c r="O20" s="401"/>
      <c r="P20" s="415">
        <f t="shared" si="0"/>
        <v>1</v>
      </c>
    </row>
    <row r="21" spans="1:16" x14ac:dyDescent="0.35">
      <c r="A21" s="433"/>
      <c r="B21" s="414">
        <v>5</v>
      </c>
      <c r="C21" s="399" t="s">
        <v>147</v>
      </c>
      <c r="D21" s="245" t="s">
        <v>34</v>
      </c>
      <c r="E21" s="402"/>
      <c r="F21" s="289"/>
      <c r="G21" s="289"/>
      <c r="H21" s="411">
        <v>1</v>
      </c>
      <c r="I21" s="401"/>
      <c r="J21" s="401"/>
      <c r="K21" s="401"/>
      <c r="L21" s="401"/>
      <c r="M21" s="401"/>
      <c r="N21" s="401"/>
      <c r="O21" s="401"/>
      <c r="P21" s="415">
        <f t="shared" si="0"/>
        <v>1</v>
      </c>
    </row>
    <row r="22" spans="1:16" ht="28" x14ac:dyDescent="0.35">
      <c r="A22" s="433"/>
      <c r="B22" s="414">
        <v>6</v>
      </c>
      <c r="C22" s="399" t="s">
        <v>148</v>
      </c>
      <c r="D22" s="245" t="s">
        <v>34</v>
      </c>
      <c r="E22" s="402"/>
      <c r="F22" s="289"/>
      <c r="G22" s="289"/>
      <c r="H22" s="411">
        <v>1</v>
      </c>
      <c r="I22" s="401"/>
      <c r="J22" s="401"/>
      <c r="K22" s="401"/>
      <c r="L22" s="401"/>
      <c r="M22" s="401"/>
      <c r="N22" s="401"/>
      <c r="O22" s="401"/>
      <c r="P22" s="415">
        <f t="shared" si="0"/>
        <v>1</v>
      </c>
    </row>
    <row r="23" spans="1:16" x14ac:dyDescent="0.35">
      <c r="A23" s="433"/>
      <c r="B23" s="416" t="s">
        <v>294</v>
      </c>
      <c r="C23" s="399"/>
      <c r="D23" s="245" t="s">
        <v>253</v>
      </c>
      <c r="E23" s="402"/>
      <c r="F23" s="289"/>
      <c r="G23" s="289"/>
      <c r="H23" s="411"/>
      <c r="I23" s="401"/>
      <c r="J23" s="401"/>
      <c r="K23" s="401"/>
      <c r="L23" s="401"/>
      <c r="M23" s="401"/>
      <c r="N23" s="401"/>
      <c r="O23" s="401"/>
      <c r="P23" s="415">
        <f t="shared" si="0"/>
        <v>0</v>
      </c>
    </row>
    <row r="24" spans="1:16" x14ac:dyDescent="0.35">
      <c r="A24" s="433"/>
      <c r="B24" s="414"/>
      <c r="C24" s="399"/>
      <c r="D24" s="245"/>
      <c r="E24" s="402"/>
      <c r="F24" s="289"/>
      <c r="G24" s="289"/>
      <c r="H24" s="411"/>
      <c r="I24" s="401"/>
      <c r="J24" s="401"/>
      <c r="K24" s="401"/>
      <c r="L24" s="401"/>
      <c r="M24" s="401"/>
      <c r="N24" s="401"/>
      <c r="O24" s="401"/>
      <c r="P24" s="415">
        <f t="shared" si="0"/>
        <v>0</v>
      </c>
    </row>
    <row r="25" spans="1:16" x14ac:dyDescent="0.35">
      <c r="A25" s="433"/>
      <c r="B25" s="414"/>
      <c r="C25" s="399"/>
      <c r="D25" s="245"/>
      <c r="E25" s="402"/>
      <c r="F25" s="289"/>
      <c r="G25" s="289"/>
      <c r="H25" s="411"/>
      <c r="I25" s="401"/>
      <c r="J25" s="401"/>
      <c r="K25" s="401"/>
      <c r="L25" s="401"/>
      <c r="M25" s="401"/>
      <c r="N25" s="401"/>
      <c r="O25" s="401"/>
      <c r="P25" s="415">
        <f t="shared" si="0"/>
        <v>0</v>
      </c>
    </row>
    <row r="26" spans="1:16" x14ac:dyDescent="0.35">
      <c r="A26" s="433"/>
      <c r="B26" s="414"/>
      <c r="C26" s="399"/>
      <c r="D26" s="245"/>
      <c r="E26" s="402"/>
      <c r="F26" s="289"/>
      <c r="G26" s="289"/>
      <c r="H26" s="411"/>
      <c r="I26" s="401"/>
      <c r="J26" s="401"/>
      <c r="K26" s="401"/>
      <c r="L26" s="401"/>
      <c r="M26" s="401"/>
      <c r="N26" s="401"/>
      <c r="O26" s="401"/>
      <c r="P26" s="415">
        <f t="shared" si="0"/>
        <v>0</v>
      </c>
    </row>
    <row r="27" spans="1:16" ht="25.5" customHeight="1" x14ac:dyDescent="0.35">
      <c r="A27" s="433"/>
      <c r="B27" s="1301" t="s">
        <v>149</v>
      </c>
      <c r="C27" s="1302"/>
      <c r="D27" s="1302"/>
      <c r="E27" s="1302"/>
      <c r="F27" s="1302"/>
      <c r="G27" s="1302"/>
      <c r="H27" s="1302"/>
      <c r="I27" s="1302"/>
      <c r="J27" s="1302"/>
      <c r="K27" s="1302"/>
      <c r="L27" s="1302"/>
      <c r="M27" s="1302"/>
      <c r="N27" s="1302"/>
      <c r="O27" s="1302"/>
      <c r="P27" s="1303"/>
    </row>
    <row r="28" spans="1:16" x14ac:dyDescent="0.35">
      <c r="A28" s="433"/>
      <c r="B28" s="414">
        <v>7</v>
      </c>
      <c r="C28" s="399" t="s">
        <v>150</v>
      </c>
      <c r="D28" s="245" t="s">
        <v>34</v>
      </c>
      <c r="E28" s="402">
        <v>12</v>
      </c>
      <c r="F28" s="289"/>
      <c r="G28" s="289"/>
      <c r="H28" s="401"/>
      <c r="I28" s="411">
        <v>0.2</v>
      </c>
      <c r="J28" s="411">
        <v>0.5</v>
      </c>
      <c r="K28" s="411">
        <v>0.3</v>
      </c>
      <c r="L28" s="401"/>
      <c r="M28" s="401"/>
      <c r="N28" s="401"/>
      <c r="O28" s="401"/>
      <c r="P28" s="415">
        <f t="shared" si="0"/>
        <v>1</v>
      </c>
    </row>
    <row r="29" spans="1:16" ht="28" x14ac:dyDescent="0.35">
      <c r="A29" s="433"/>
      <c r="B29" s="414">
        <v>8</v>
      </c>
      <c r="C29" s="399" t="s">
        <v>151</v>
      </c>
      <c r="D29" s="245" t="s">
        <v>34</v>
      </c>
      <c r="E29" s="402">
        <v>12</v>
      </c>
      <c r="F29" s="289"/>
      <c r="G29" s="289"/>
      <c r="H29" s="401"/>
      <c r="I29" s="411">
        <v>0.8</v>
      </c>
      <c r="J29" s="411">
        <v>0.2</v>
      </c>
      <c r="K29" s="401"/>
      <c r="L29" s="401"/>
      <c r="M29" s="401"/>
      <c r="N29" s="401"/>
      <c r="O29" s="401"/>
      <c r="P29" s="415">
        <f t="shared" si="0"/>
        <v>1</v>
      </c>
    </row>
    <row r="30" spans="1:16" x14ac:dyDescent="0.35">
      <c r="A30" s="433"/>
      <c r="B30" s="414">
        <v>9</v>
      </c>
      <c r="C30" s="399" t="s">
        <v>152</v>
      </c>
      <c r="D30" s="245" t="s">
        <v>34</v>
      </c>
      <c r="E30" s="402">
        <v>12</v>
      </c>
      <c r="F30" s="289"/>
      <c r="G30" s="289"/>
      <c r="H30" s="401"/>
      <c r="I30" s="411">
        <v>0.5</v>
      </c>
      <c r="J30" s="411">
        <v>0.5</v>
      </c>
      <c r="K30" s="401"/>
      <c r="L30" s="401"/>
      <c r="M30" s="401"/>
      <c r="N30" s="401"/>
      <c r="O30" s="401"/>
      <c r="P30" s="415">
        <f t="shared" si="0"/>
        <v>1</v>
      </c>
    </row>
    <row r="31" spans="1:16" ht="28" x14ac:dyDescent="0.35">
      <c r="A31" s="433"/>
      <c r="B31" s="414">
        <v>10</v>
      </c>
      <c r="C31" s="399" t="s">
        <v>153</v>
      </c>
      <c r="D31" s="245" t="s">
        <v>34</v>
      </c>
      <c r="E31" s="402">
        <v>12</v>
      </c>
      <c r="F31" s="289"/>
      <c r="G31" s="289"/>
      <c r="H31" s="401"/>
      <c r="I31" s="411">
        <v>1</v>
      </c>
      <c r="J31" s="401"/>
      <c r="K31" s="401"/>
      <c r="L31" s="401"/>
      <c r="M31" s="401"/>
      <c r="N31" s="401"/>
      <c r="O31" s="401"/>
      <c r="P31" s="415">
        <f t="shared" si="0"/>
        <v>1</v>
      </c>
    </row>
    <row r="32" spans="1:16" ht="28" x14ac:dyDescent="0.35">
      <c r="A32" s="433"/>
      <c r="B32" s="414">
        <v>11</v>
      </c>
      <c r="C32" s="399" t="s">
        <v>154</v>
      </c>
      <c r="D32" s="245" t="s">
        <v>34</v>
      </c>
      <c r="E32" s="402">
        <v>3</v>
      </c>
      <c r="F32" s="289"/>
      <c r="G32" s="289"/>
      <c r="H32" s="401"/>
      <c r="I32" s="401"/>
      <c r="J32" s="411">
        <v>1</v>
      </c>
      <c r="K32" s="401"/>
      <c r="L32" s="401"/>
      <c r="M32" s="401"/>
      <c r="N32" s="401"/>
      <c r="O32" s="401"/>
      <c r="P32" s="415">
        <f t="shared" si="0"/>
        <v>1</v>
      </c>
    </row>
    <row r="33" spans="1:16" x14ac:dyDescent="0.35">
      <c r="A33" s="433"/>
      <c r="B33" s="416" t="s">
        <v>294</v>
      </c>
      <c r="C33" s="399"/>
      <c r="D33" s="245" t="s">
        <v>253</v>
      </c>
      <c r="E33" s="402"/>
      <c r="F33" s="289"/>
      <c r="G33" s="289"/>
      <c r="H33" s="401"/>
      <c r="I33" s="401"/>
      <c r="J33" s="401"/>
      <c r="K33" s="401"/>
      <c r="L33" s="401"/>
      <c r="M33" s="401"/>
      <c r="N33" s="401"/>
      <c r="O33" s="401"/>
      <c r="P33" s="415">
        <f t="shared" si="0"/>
        <v>0</v>
      </c>
    </row>
    <row r="34" spans="1:16" x14ac:dyDescent="0.35">
      <c r="A34" s="433"/>
      <c r="B34" s="414"/>
      <c r="C34" s="399"/>
      <c r="D34" s="245"/>
      <c r="E34" s="402"/>
      <c r="F34" s="289"/>
      <c r="G34" s="289"/>
      <c r="H34" s="401"/>
      <c r="I34" s="401"/>
      <c r="J34" s="401"/>
      <c r="K34" s="401"/>
      <c r="L34" s="401"/>
      <c r="M34" s="401"/>
      <c r="N34" s="401"/>
      <c r="O34" s="401"/>
      <c r="P34" s="415">
        <f t="shared" si="0"/>
        <v>0</v>
      </c>
    </row>
    <row r="35" spans="1:16" x14ac:dyDescent="0.35">
      <c r="A35" s="433"/>
      <c r="B35" s="414"/>
      <c r="C35" s="399"/>
      <c r="D35" s="245"/>
      <c r="E35" s="402"/>
      <c r="F35" s="289"/>
      <c r="G35" s="289"/>
      <c r="H35" s="401"/>
      <c r="I35" s="401"/>
      <c r="J35" s="401"/>
      <c r="K35" s="401"/>
      <c r="L35" s="401"/>
      <c r="M35" s="401"/>
      <c r="N35" s="401"/>
      <c r="O35" s="401"/>
      <c r="P35" s="415">
        <f t="shared" si="0"/>
        <v>0</v>
      </c>
    </row>
    <row r="36" spans="1:16" x14ac:dyDescent="0.35">
      <c r="A36" s="433"/>
      <c r="B36" s="414"/>
      <c r="C36" s="399"/>
      <c r="D36" s="245"/>
      <c r="E36" s="402"/>
      <c r="F36" s="289"/>
      <c r="G36" s="289"/>
      <c r="H36" s="401"/>
      <c r="I36" s="401"/>
      <c r="J36" s="401"/>
      <c r="K36" s="401"/>
      <c r="L36" s="401"/>
      <c r="M36" s="401"/>
      <c r="N36" s="401"/>
      <c r="O36" s="401"/>
      <c r="P36" s="415">
        <f t="shared" si="0"/>
        <v>0</v>
      </c>
    </row>
    <row r="37" spans="1:16" ht="26.25" customHeight="1" x14ac:dyDescent="0.35">
      <c r="A37" s="433"/>
      <c r="B37" s="1301" t="s">
        <v>11</v>
      </c>
      <c r="C37" s="1302"/>
      <c r="D37" s="1302"/>
      <c r="E37" s="1302"/>
      <c r="F37" s="1302"/>
      <c r="G37" s="1302"/>
      <c r="H37" s="1302"/>
      <c r="I37" s="1302"/>
      <c r="J37" s="1302"/>
      <c r="K37" s="1302"/>
      <c r="L37" s="1302"/>
      <c r="M37" s="1302"/>
      <c r="N37" s="1302"/>
      <c r="O37" s="1302"/>
      <c r="P37" s="1303"/>
    </row>
    <row r="38" spans="1:16" ht="28" x14ac:dyDescent="0.35">
      <c r="A38" s="433"/>
      <c r="B38" s="414">
        <v>12</v>
      </c>
      <c r="C38" s="399" t="s">
        <v>155</v>
      </c>
      <c r="D38" s="245" t="s">
        <v>34</v>
      </c>
      <c r="E38" s="402">
        <v>12</v>
      </c>
      <c r="F38" s="289"/>
      <c r="G38" s="289"/>
      <c r="H38" s="401"/>
      <c r="I38" s="401"/>
      <c r="J38" s="411">
        <v>1</v>
      </c>
      <c r="K38" s="401"/>
      <c r="L38" s="401"/>
      <c r="M38" s="401"/>
      <c r="N38" s="401"/>
      <c r="O38" s="401"/>
      <c r="P38" s="415">
        <f t="shared" si="0"/>
        <v>1</v>
      </c>
    </row>
    <row r="39" spans="1:16" ht="28" x14ac:dyDescent="0.35">
      <c r="A39" s="433"/>
      <c r="B39" s="414">
        <v>13</v>
      </c>
      <c r="C39" s="399" t="s">
        <v>156</v>
      </c>
      <c r="D39" s="245" t="s">
        <v>34</v>
      </c>
      <c r="E39" s="402">
        <v>12</v>
      </c>
      <c r="F39" s="289"/>
      <c r="G39" s="289"/>
      <c r="H39" s="401"/>
      <c r="I39" s="401"/>
      <c r="J39" s="411">
        <v>1</v>
      </c>
      <c r="K39" s="401"/>
      <c r="L39" s="401"/>
      <c r="M39" s="401"/>
      <c r="N39" s="401"/>
      <c r="O39" s="401"/>
      <c r="P39" s="415">
        <f t="shared" si="0"/>
        <v>1</v>
      </c>
    </row>
    <row r="40" spans="1:16" ht="28" x14ac:dyDescent="0.35">
      <c r="A40" s="433"/>
      <c r="B40" s="414">
        <v>14</v>
      </c>
      <c r="C40" s="399" t="s">
        <v>157</v>
      </c>
      <c r="D40" s="245" t="s">
        <v>34</v>
      </c>
      <c r="E40" s="402">
        <v>12</v>
      </c>
      <c r="F40" s="289"/>
      <c r="G40" s="289"/>
      <c r="H40" s="401"/>
      <c r="I40" s="401"/>
      <c r="J40" s="411">
        <v>1</v>
      </c>
      <c r="K40" s="401"/>
      <c r="L40" s="401"/>
      <c r="M40" s="401"/>
      <c r="N40" s="401"/>
      <c r="O40" s="401"/>
      <c r="P40" s="415">
        <f t="shared" si="0"/>
        <v>1</v>
      </c>
    </row>
    <row r="41" spans="1:16" x14ac:dyDescent="0.35">
      <c r="A41" s="433"/>
      <c r="B41" s="416" t="s">
        <v>294</v>
      </c>
      <c r="C41" s="399"/>
      <c r="D41" s="245" t="s">
        <v>253</v>
      </c>
      <c r="E41" s="402"/>
      <c r="F41" s="289"/>
      <c r="G41" s="289"/>
      <c r="H41" s="401"/>
      <c r="I41" s="401"/>
      <c r="J41" s="401"/>
      <c r="K41" s="401"/>
      <c r="L41" s="401"/>
      <c r="M41" s="401"/>
      <c r="N41" s="401"/>
      <c r="O41" s="401"/>
      <c r="P41" s="415">
        <f t="shared" si="0"/>
        <v>0</v>
      </c>
    </row>
    <row r="42" spans="1:16" x14ac:dyDescent="0.35">
      <c r="A42" s="433"/>
      <c r="B42" s="414"/>
      <c r="C42" s="399"/>
      <c r="D42" s="245"/>
      <c r="E42" s="402"/>
      <c r="F42" s="289"/>
      <c r="G42" s="289"/>
      <c r="H42" s="401"/>
      <c r="I42" s="401"/>
      <c r="J42" s="401"/>
      <c r="K42" s="401"/>
      <c r="L42" s="401"/>
      <c r="M42" s="401"/>
      <c r="N42" s="401"/>
      <c r="O42" s="401"/>
      <c r="P42" s="415">
        <f t="shared" si="0"/>
        <v>0</v>
      </c>
    </row>
    <row r="43" spans="1:16" x14ac:dyDescent="0.35">
      <c r="A43" s="433"/>
      <c r="B43" s="414"/>
      <c r="C43" s="399"/>
      <c r="D43" s="245"/>
      <c r="E43" s="402"/>
      <c r="F43" s="289"/>
      <c r="G43" s="289"/>
      <c r="H43" s="401"/>
      <c r="I43" s="401"/>
      <c r="J43" s="401"/>
      <c r="K43" s="401"/>
      <c r="L43" s="401"/>
      <c r="M43" s="401"/>
      <c r="N43" s="401"/>
      <c r="O43" s="401"/>
      <c r="P43" s="415">
        <f t="shared" si="0"/>
        <v>0</v>
      </c>
    </row>
    <row r="44" spans="1:16" x14ac:dyDescent="0.35">
      <c r="A44" s="433"/>
      <c r="B44" s="414"/>
      <c r="C44" s="399"/>
      <c r="D44" s="245"/>
      <c r="E44" s="402"/>
      <c r="F44" s="289"/>
      <c r="G44" s="289"/>
      <c r="H44" s="401"/>
      <c r="I44" s="401"/>
      <c r="J44" s="401"/>
      <c r="K44" s="401"/>
      <c r="L44" s="401"/>
      <c r="M44" s="401"/>
      <c r="N44" s="401"/>
      <c r="O44" s="401"/>
      <c r="P44" s="415">
        <f t="shared" si="0"/>
        <v>0</v>
      </c>
    </row>
    <row r="45" spans="1:16" ht="24" customHeight="1" x14ac:dyDescent="0.35">
      <c r="A45" s="433"/>
      <c r="B45" s="1301" t="s">
        <v>158</v>
      </c>
      <c r="C45" s="1302"/>
      <c r="D45" s="1302"/>
      <c r="E45" s="1302"/>
      <c r="F45" s="1302"/>
      <c r="G45" s="1302"/>
      <c r="H45" s="1302"/>
      <c r="I45" s="1302"/>
      <c r="J45" s="1302"/>
      <c r="K45" s="1302"/>
      <c r="L45" s="1302"/>
      <c r="M45" s="1302"/>
      <c r="N45" s="1302"/>
      <c r="O45" s="1302"/>
      <c r="P45" s="1303"/>
    </row>
    <row r="46" spans="1:16" x14ac:dyDescent="0.35">
      <c r="A46" s="433"/>
      <c r="B46" s="414">
        <v>15</v>
      </c>
      <c r="C46" s="399" t="s">
        <v>159</v>
      </c>
      <c r="D46" s="245" t="s">
        <v>34</v>
      </c>
      <c r="E46" s="402"/>
      <c r="F46" s="289"/>
      <c r="G46" s="289"/>
      <c r="H46" s="411">
        <v>1</v>
      </c>
      <c r="I46" s="401"/>
      <c r="J46" s="401"/>
      <c r="K46" s="401"/>
      <c r="L46" s="401"/>
      <c r="M46" s="401"/>
      <c r="N46" s="401"/>
      <c r="O46" s="401"/>
      <c r="P46" s="415">
        <f t="shared" si="0"/>
        <v>1</v>
      </c>
    </row>
    <row r="47" spans="1:16" x14ac:dyDescent="0.35">
      <c r="A47" s="433"/>
      <c r="B47" s="416" t="s">
        <v>294</v>
      </c>
      <c r="C47" s="399"/>
      <c r="D47" s="245" t="s">
        <v>253</v>
      </c>
      <c r="E47" s="402"/>
      <c r="F47" s="289"/>
      <c r="G47" s="289"/>
      <c r="H47" s="411"/>
      <c r="I47" s="401"/>
      <c r="J47" s="401"/>
      <c r="K47" s="401"/>
      <c r="L47" s="401"/>
      <c r="M47" s="401"/>
      <c r="N47" s="401"/>
      <c r="O47" s="401"/>
      <c r="P47" s="415">
        <f t="shared" si="0"/>
        <v>0</v>
      </c>
    </row>
    <row r="48" spans="1:16" x14ac:dyDescent="0.35">
      <c r="A48" s="433"/>
      <c r="B48" s="414"/>
      <c r="C48" s="399"/>
      <c r="D48" s="245"/>
      <c r="E48" s="402"/>
      <c r="F48" s="289"/>
      <c r="G48" s="289"/>
      <c r="H48" s="411"/>
      <c r="I48" s="401"/>
      <c r="J48" s="401"/>
      <c r="K48" s="401"/>
      <c r="L48" s="401"/>
      <c r="M48" s="401"/>
      <c r="N48" s="401"/>
      <c r="O48" s="401"/>
      <c r="P48" s="415">
        <f t="shared" si="0"/>
        <v>0</v>
      </c>
    </row>
    <row r="49" spans="1:16" x14ac:dyDescent="0.35">
      <c r="A49" s="433"/>
      <c r="B49" s="414"/>
      <c r="C49" s="399"/>
      <c r="D49" s="245"/>
      <c r="E49" s="402"/>
      <c r="F49" s="289"/>
      <c r="G49" s="289"/>
      <c r="H49" s="411"/>
      <c r="I49" s="401"/>
      <c r="J49" s="401"/>
      <c r="K49" s="401"/>
      <c r="L49" s="401"/>
      <c r="M49" s="401"/>
      <c r="N49" s="401"/>
      <c r="O49" s="401"/>
      <c r="P49" s="415"/>
    </row>
    <row r="50" spans="1:16" x14ac:dyDescent="0.35">
      <c r="A50" s="433"/>
      <c r="B50" s="414"/>
      <c r="C50" s="399"/>
      <c r="D50" s="245"/>
      <c r="E50" s="402"/>
      <c r="F50" s="289"/>
      <c r="G50" s="289"/>
      <c r="H50" s="411"/>
      <c r="I50" s="401"/>
      <c r="J50" s="401"/>
      <c r="K50" s="401"/>
      <c r="L50" s="401"/>
      <c r="M50" s="401"/>
      <c r="N50" s="401"/>
      <c r="O50" s="401"/>
      <c r="P50" s="415">
        <f t="shared" si="0"/>
        <v>0</v>
      </c>
    </row>
    <row r="51" spans="1:16" ht="21" customHeight="1" x14ac:dyDescent="0.35">
      <c r="A51" s="432"/>
      <c r="B51" s="1301" t="s">
        <v>160</v>
      </c>
      <c r="C51" s="1302"/>
      <c r="D51" s="1302"/>
      <c r="E51" s="1302"/>
      <c r="F51" s="1302"/>
      <c r="G51" s="1302"/>
      <c r="H51" s="1302"/>
      <c r="I51" s="1302"/>
      <c r="J51" s="1302"/>
      <c r="K51" s="1302"/>
      <c r="L51" s="1302"/>
      <c r="M51" s="1302"/>
      <c r="N51" s="1302"/>
      <c r="O51" s="1302"/>
      <c r="P51" s="1303"/>
    </row>
    <row r="52" spans="1:16" x14ac:dyDescent="0.35">
      <c r="A52" s="433"/>
      <c r="B52" s="414">
        <v>16</v>
      </c>
      <c r="C52" s="399" t="s">
        <v>161</v>
      </c>
      <c r="D52" s="245" t="s">
        <v>34</v>
      </c>
      <c r="E52" s="402"/>
      <c r="F52" s="289"/>
      <c r="G52" s="289"/>
      <c r="H52" s="401"/>
      <c r="I52" s="401"/>
      <c r="J52" s="401"/>
      <c r="K52" s="401"/>
      <c r="L52" s="401"/>
      <c r="M52" s="401"/>
      <c r="N52" s="401"/>
      <c r="O52" s="401"/>
      <c r="P52" s="415">
        <f t="shared" si="0"/>
        <v>0</v>
      </c>
    </row>
    <row r="53" spans="1:16" x14ac:dyDescent="0.35">
      <c r="A53" s="433"/>
      <c r="B53" s="414">
        <v>17</v>
      </c>
      <c r="C53" s="399" t="s">
        <v>162</v>
      </c>
      <c r="D53" s="245" t="s">
        <v>34</v>
      </c>
      <c r="E53" s="402"/>
      <c r="F53" s="289"/>
      <c r="G53" s="289"/>
      <c r="H53" s="401"/>
      <c r="I53" s="401"/>
      <c r="J53" s="401"/>
      <c r="K53" s="401"/>
      <c r="L53" s="401"/>
      <c r="M53" s="401"/>
      <c r="N53" s="401"/>
      <c r="O53" s="401"/>
      <c r="P53" s="415">
        <f t="shared" si="0"/>
        <v>0</v>
      </c>
    </row>
    <row r="54" spans="1:16" x14ac:dyDescent="0.35">
      <c r="A54" s="433"/>
      <c r="B54" s="414">
        <v>18</v>
      </c>
      <c r="C54" s="399" t="s">
        <v>163</v>
      </c>
      <c r="D54" s="245" t="s">
        <v>34</v>
      </c>
      <c r="E54" s="402"/>
      <c r="F54" s="289"/>
      <c r="G54" s="289"/>
      <c r="H54" s="401"/>
      <c r="I54" s="401"/>
      <c r="J54" s="401"/>
      <c r="K54" s="401"/>
      <c r="L54" s="401"/>
      <c r="M54" s="401"/>
      <c r="N54" s="401"/>
      <c r="O54" s="401"/>
      <c r="P54" s="415">
        <f t="shared" si="0"/>
        <v>0</v>
      </c>
    </row>
    <row r="55" spans="1:16" x14ac:dyDescent="0.35">
      <c r="A55" s="433"/>
      <c r="B55" s="414">
        <v>19</v>
      </c>
      <c r="C55" s="399" t="s">
        <v>164</v>
      </c>
      <c r="D55" s="245" t="s">
        <v>34</v>
      </c>
      <c r="E55" s="402"/>
      <c r="F55" s="289"/>
      <c r="G55" s="289"/>
      <c r="H55" s="401"/>
      <c r="I55" s="401"/>
      <c r="J55" s="401"/>
      <c r="K55" s="401"/>
      <c r="L55" s="401"/>
      <c r="M55" s="401"/>
      <c r="N55" s="401"/>
      <c r="O55" s="401"/>
      <c r="P55" s="415">
        <f t="shared" si="0"/>
        <v>0</v>
      </c>
    </row>
    <row r="56" spans="1:16" x14ac:dyDescent="0.35">
      <c r="A56" s="433"/>
      <c r="B56" s="416" t="s">
        <v>294</v>
      </c>
      <c r="C56" s="399"/>
      <c r="D56" s="245" t="s">
        <v>253</v>
      </c>
      <c r="E56" s="402"/>
      <c r="F56" s="289"/>
      <c r="G56" s="289"/>
      <c r="H56" s="401"/>
      <c r="I56" s="401"/>
      <c r="J56" s="401"/>
      <c r="K56" s="401"/>
      <c r="L56" s="401"/>
      <c r="M56" s="401"/>
      <c r="N56" s="401"/>
      <c r="O56" s="401"/>
      <c r="P56" s="415">
        <f t="shared" si="0"/>
        <v>0</v>
      </c>
    </row>
    <row r="57" spans="1:16" x14ac:dyDescent="0.35">
      <c r="A57" s="433"/>
      <c r="B57" s="416"/>
      <c r="C57" s="399"/>
      <c r="D57" s="245"/>
      <c r="E57" s="402"/>
      <c r="F57" s="289"/>
      <c r="G57" s="289"/>
      <c r="H57" s="401"/>
      <c r="I57" s="401"/>
      <c r="J57" s="401"/>
      <c r="K57" s="401"/>
      <c r="L57" s="401"/>
      <c r="M57" s="401"/>
      <c r="N57" s="401"/>
      <c r="O57" s="401"/>
      <c r="P57" s="415"/>
    </row>
    <row r="58" spans="1:16" x14ac:dyDescent="0.35">
      <c r="A58" s="433"/>
      <c r="B58" s="416"/>
      <c r="C58" s="399"/>
      <c r="D58" s="245"/>
      <c r="E58" s="402"/>
      <c r="F58" s="289"/>
      <c r="G58" s="289"/>
      <c r="H58" s="401"/>
      <c r="I58" s="401"/>
      <c r="J58" s="401"/>
      <c r="K58" s="401"/>
      <c r="L58" s="401"/>
      <c r="M58" s="401"/>
      <c r="N58" s="401"/>
      <c r="O58" s="401"/>
      <c r="P58" s="415"/>
    </row>
    <row r="59" spans="1:16" x14ac:dyDescent="0.35">
      <c r="A59" s="432"/>
      <c r="B59" s="417"/>
      <c r="C59" s="403"/>
      <c r="D59" s="404"/>
      <c r="E59" s="404"/>
      <c r="F59" s="289"/>
      <c r="G59" s="289"/>
      <c r="H59" s="405"/>
      <c r="I59" s="405"/>
      <c r="J59" s="405"/>
      <c r="K59" s="405"/>
      <c r="L59" s="405"/>
      <c r="M59" s="405"/>
      <c r="N59" s="405"/>
      <c r="O59" s="405"/>
      <c r="P59" s="415"/>
    </row>
    <row r="60" spans="1:16" ht="27" customHeight="1" x14ac:dyDescent="0.35">
      <c r="B60" s="1288" t="s">
        <v>165</v>
      </c>
      <c r="C60" s="1289"/>
      <c r="D60" s="1289"/>
      <c r="E60" s="1289"/>
      <c r="F60" s="1289"/>
      <c r="G60" s="1289"/>
      <c r="H60" s="1289"/>
      <c r="I60" s="1289"/>
      <c r="J60" s="1289"/>
      <c r="K60" s="1289"/>
      <c r="L60" s="1289"/>
      <c r="M60" s="1289"/>
      <c r="N60" s="1289"/>
      <c r="O60" s="1289"/>
      <c r="P60" s="1290"/>
    </row>
    <row r="61" spans="1:16" ht="16.5" x14ac:dyDescent="0.35">
      <c r="B61" s="418"/>
      <c r="C61" s="399"/>
      <c r="D61" s="402"/>
      <c r="E61" s="402"/>
      <c r="F61" s="398"/>
      <c r="G61" s="398"/>
      <c r="H61" s="398"/>
      <c r="I61" s="398"/>
      <c r="J61" s="398"/>
      <c r="K61" s="398"/>
      <c r="L61" s="398"/>
      <c r="M61" s="398"/>
      <c r="N61" s="398"/>
      <c r="O61" s="398"/>
      <c r="P61" s="419"/>
    </row>
    <row r="62" spans="1:16" ht="25.5" customHeight="1" x14ac:dyDescent="0.35">
      <c r="A62" s="433"/>
      <c r="B62" s="1304" t="s">
        <v>166</v>
      </c>
      <c r="C62" s="1279"/>
      <c r="D62" s="1279"/>
      <c r="E62" s="1279"/>
      <c r="F62" s="1279"/>
      <c r="G62" s="1279"/>
      <c r="H62" s="1279"/>
      <c r="I62" s="1279"/>
      <c r="J62" s="1279"/>
      <c r="K62" s="1279"/>
      <c r="L62" s="1279"/>
      <c r="M62" s="1279"/>
      <c r="N62" s="1279"/>
      <c r="O62" s="1279"/>
      <c r="P62" s="1305"/>
    </row>
    <row r="63" spans="1:16" x14ac:dyDescent="0.35">
      <c r="A63" s="433"/>
      <c r="B63" s="414">
        <v>21</v>
      </c>
      <c r="C63" s="399" t="s">
        <v>167</v>
      </c>
      <c r="D63" s="245" t="s">
        <v>34</v>
      </c>
      <c r="E63" s="402"/>
      <c r="F63" s="289"/>
      <c r="G63" s="289"/>
      <c r="H63" s="411">
        <v>1</v>
      </c>
      <c r="I63" s="401"/>
      <c r="J63" s="401"/>
      <c r="K63" s="401"/>
      <c r="L63" s="401"/>
      <c r="M63" s="401"/>
      <c r="N63" s="401"/>
      <c r="O63" s="401"/>
      <c r="P63" s="415">
        <f t="shared" si="0"/>
        <v>1</v>
      </c>
    </row>
    <row r="64" spans="1:16" x14ac:dyDescent="0.35">
      <c r="A64" s="433"/>
      <c r="B64" s="414">
        <v>22</v>
      </c>
      <c r="C64" s="399" t="s">
        <v>168</v>
      </c>
      <c r="D64" s="245" t="s">
        <v>34</v>
      </c>
      <c r="E64" s="402"/>
      <c r="F64" s="289"/>
      <c r="G64" s="289"/>
      <c r="H64" s="411">
        <v>1</v>
      </c>
      <c r="I64" s="401"/>
      <c r="J64" s="401"/>
      <c r="K64" s="401"/>
      <c r="L64" s="401"/>
      <c r="M64" s="401"/>
      <c r="N64" s="401"/>
      <c r="O64" s="401"/>
      <c r="P64" s="415">
        <f t="shared" si="0"/>
        <v>1</v>
      </c>
    </row>
    <row r="65" spans="1:16" x14ac:dyDescent="0.35">
      <c r="A65" s="433"/>
      <c r="B65" s="414">
        <v>23</v>
      </c>
      <c r="C65" s="399" t="s">
        <v>169</v>
      </c>
      <c r="D65" s="245" t="s">
        <v>34</v>
      </c>
      <c r="E65" s="402"/>
      <c r="F65" s="289"/>
      <c r="G65" s="289"/>
      <c r="H65" s="411">
        <v>1</v>
      </c>
      <c r="I65" s="401"/>
      <c r="J65" s="401"/>
      <c r="K65" s="401"/>
      <c r="L65" s="401"/>
      <c r="M65" s="401"/>
      <c r="N65" s="401"/>
      <c r="O65" s="401"/>
      <c r="P65" s="415">
        <f t="shared" si="0"/>
        <v>1</v>
      </c>
    </row>
    <row r="66" spans="1:16" x14ac:dyDescent="0.35">
      <c r="A66" s="433"/>
      <c r="B66" s="414">
        <v>24</v>
      </c>
      <c r="C66" s="399" t="s">
        <v>170</v>
      </c>
      <c r="D66" s="245" t="s">
        <v>34</v>
      </c>
      <c r="E66" s="402"/>
      <c r="F66" s="289"/>
      <c r="G66" s="289"/>
      <c r="H66" s="411">
        <v>1</v>
      </c>
      <c r="I66" s="401"/>
      <c r="J66" s="401"/>
      <c r="K66" s="401"/>
      <c r="L66" s="401"/>
      <c r="M66" s="401"/>
      <c r="N66" s="401"/>
      <c r="O66" s="401"/>
      <c r="P66" s="415">
        <f t="shared" si="0"/>
        <v>1</v>
      </c>
    </row>
    <row r="67" spans="1:16" x14ac:dyDescent="0.35">
      <c r="A67" s="433"/>
      <c r="B67" s="416" t="s">
        <v>294</v>
      </c>
      <c r="C67" s="399"/>
      <c r="D67" s="245" t="s">
        <v>253</v>
      </c>
      <c r="E67" s="402"/>
      <c r="F67" s="289"/>
      <c r="G67" s="289"/>
      <c r="H67" s="411"/>
      <c r="I67" s="401"/>
      <c r="J67" s="401"/>
      <c r="K67" s="401"/>
      <c r="L67" s="401"/>
      <c r="M67" s="401"/>
      <c r="N67" s="401"/>
      <c r="O67" s="401"/>
      <c r="P67" s="415"/>
    </row>
    <row r="68" spans="1:16" x14ac:dyDescent="0.35">
      <c r="A68" s="433"/>
      <c r="B68" s="414"/>
      <c r="C68" s="399"/>
      <c r="D68" s="245"/>
      <c r="E68" s="402"/>
      <c r="F68" s="289"/>
      <c r="G68" s="289"/>
      <c r="H68" s="411"/>
      <c r="I68" s="401"/>
      <c r="J68" s="401"/>
      <c r="K68" s="401"/>
      <c r="L68" s="401"/>
      <c r="M68" s="401"/>
      <c r="N68" s="401"/>
      <c r="O68" s="401"/>
      <c r="P68" s="415"/>
    </row>
    <row r="69" spans="1:16" x14ac:dyDescent="0.35">
      <c r="A69" s="433"/>
      <c r="B69" s="414"/>
      <c r="C69" s="399"/>
      <c r="D69" s="245"/>
      <c r="E69" s="402"/>
      <c r="F69" s="289"/>
      <c r="G69" s="289"/>
      <c r="H69" s="411"/>
      <c r="I69" s="401"/>
      <c r="J69" s="401"/>
      <c r="K69" s="401"/>
      <c r="L69" s="401"/>
      <c r="M69" s="401"/>
      <c r="N69" s="401"/>
      <c r="O69" s="401"/>
      <c r="P69" s="415"/>
    </row>
    <row r="70" spans="1:16" x14ac:dyDescent="0.35">
      <c r="A70" s="433"/>
      <c r="B70" s="414"/>
      <c r="C70" s="399"/>
      <c r="D70" s="245"/>
      <c r="E70" s="402"/>
      <c r="F70" s="289"/>
      <c r="G70" s="289"/>
      <c r="H70" s="401"/>
      <c r="I70" s="401"/>
      <c r="J70" s="401"/>
      <c r="K70" s="401"/>
      <c r="L70" s="401"/>
      <c r="M70" s="401"/>
      <c r="N70" s="401"/>
      <c r="O70" s="401"/>
      <c r="P70" s="415">
        <f t="shared" si="0"/>
        <v>0</v>
      </c>
    </row>
    <row r="71" spans="1:16" ht="28.5" customHeight="1" x14ac:dyDescent="0.35">
      <c r="A71" s="433"/>
      <c r="B71" s="1304" t="s">
        <v>171</v>
      </c>
      <c r="C71" s="1279"/>
      <c r="D71" s="1279"/>
      <c r="E71" s="1279"/>
      <c r="F71" s="1279"/>
      <c r="G71" s="1279"/>
      <c r="H71" s="1279"/>
      <c r="I71" s="1279"/>
      <c r="J71" s="1279"/>
      <c r="K71" s="1279"/>
      <c r="L71" s="1279"/>
      <c r="M71" s="1279"/>
      <c r="N71" s="1279"/>
      <c r="O71" s="1279"/>
      <c r="P71" s="1305"/>
    </row>
    <row r="72" spans="1:16" x14ac:dyDescent="0.35">
      <c r="A72" s="433"/>
      <c r="B72" s="414">
        <v>25</v>
      </c>
      <c r="C72" s="399" t="s">
        <v>172</v>
      </c>
      <c r="D72" s="245" t="s">
        <v>34</v>
      </c>
      <c r="E72" s="402"/>
      <c r="F72" s="289"/>
      <c r="G72" s="289"/>
      <c r="H72" s="401"/>
      <c r="I72" s="411">
        <v>1</v>
      </c>
      <c r="J72" s="401"/>
      <c r="K72" s="401"/>
      <c r="L72" s="401"/>
      <c r="M72" s="401"/>
      <c r="N72" s="401"/>
      <c r="O72" s="401"/>
      <c r="P72" s="415">
        <f t="shared" si="0"/>
        <v>1</v>
      </c>
    </row>
    <row r="73" spans="1:16" x14ac:dyDescent="0.35">
      <c r="A73" s="433"/>
      <c r="B73" s="414">
        <v>26</v>
      </c>
      <c r="C73" s="399" t="s">
        <v>173</v>
      </c>
      <c r="D73" s="245" t="s">
        <v>34</v>
      </c>
      <c r="E73" s="402"/>
      <c r="F73" s="289"/>
      <c r="G73" s="289"/>
      <c r="H73" s="401"/>
      <c r="I73" s="411">
        <v>1</v>
      </c>
      <c r="J73" s="401"/>
      <c r="K73" s="401"/>
      <c r="L73" s="401"/>
      <c r="M73" s="401"/>
      <c r="N73" s="401"/>
      <c r="O73" s="401"/>
      <c r="P73" s="415">
        <f t="shared" si="0"/>
        <v>1</v>
      </c>
    </row>
    <row r="74" spans="1:16" ht="28" x14ac:dyDescent="0.35">
      <c r="A74" s="433"/>
      <c r="B74" s="414">
        <v>27</v>
      </c>
      <c r="C74" s="399" t="s">
        <v>174</v>
      </c>
      <c r="D74" s="245" t="s">
        <v>34</v>
      </c>
      <c r="E74" s="402"/>
      <c r="F74" s="289"/>
      <c r="G74" s="289"/>
      <c r="H74" s="401"/>
      <c r="I74" s="411">
        <v>0.8</v>
      </c>
      <c r="J74" s="411">
        <v>0.2</v>
      </c>
      <c r="K74" s="401"/>
      <c r="L74" s="401"/>
      <c r="M74" s="401"/>
      <c r="N74" s="401"/>
      <c r="O74" s="401"/>
      <c r="P74" s="415">
        <f t="shared" si="0"/>
        <v>1</v>
      </c>
    </row>
    <row r="75" spans="1:16" ht="28" x14ac:dyDescent="0.35">
      <c r="A75" s="433"/>
      <c r="B75" s="414">
        <v>28</v>
      </c>
      <c r="C75" s="399" t="s">
        <v>175</v>
      </c>
      <c r="D75" s="245" t="s">
        <v>34</v>
      </c>
      <c r="E75" s="402"/>
      <c r="F75" s="289"/>
      <c r="G75" s="289"/>
      <c r="H75" s="401"/>
      <c r="I75" s="401"/>
      <c r="J75" s="401"/>
      <c r="K75" s="401"/>
      <c r="L75" s="401"/>
      <c r="M75" s="401"/>
      <c r="N75" s="401"/>
      <c r="O75" s="401"/>
      <c r="P75" s="415">
        <f t="shared" si="0"/>
        <v>0</v>
      </c>
    </row>
    <row r="76" spans="1:16" ht="28" x14ac:dyDescent="0.35">
      <c r="A76" s="433"/>
      <c r="B76" s="414">
        <v>29</v>
      </c>
      <c r="C76" s="399" t="s">
        <v>176</v>
      </c>
      <c r="D76" s="245" t="s">
        <v>34</v>
      </c>
      <c r="E76" s="402"/>
      <c r="F76" s="289"/>
      <c r="G76" s="289"/>
      <c r="H76" s="401"/>
      <c r="I76" s="401"/>
      <c r="J76" s="401"/>
      <c r="K76" s="401"/>
      <c r="L76" s="401"/>
      <c r="M76" s="401"/>
      <c r="N76" s="401"/>
      <c r="O76" s="401"/>
      <c r="P76" s="415">
        <f t="shared" si="0"/>
        <v>0</v>
      </c>
    </row>
    <row r="77" spans="1:16" ht="28" x14ac:dyDescent="0.35">
      <c r="A77" s="433"/>
      <c r="B77" s="414">
        <v>30</v>
      </c>
      <c r="C77" s="399" t="s">
        <v>177</v>
      </c>
      <c r="D77" s="245" t="s">
        <v>34</v>
      </c>
      <c r="E77" s="402"/>
      <c r="F77" s="289"/>
      <c r="G77" s="289"/>
      <c r="H77" s="401"/>
      <c r="I77" s="401"/>
      <c r="J77" s="401"/>
      <c r="K77" s="401"/>
      <c r="L77" s="401"/>
      <c r="M77" s="401"/>
      <c r="N77" s="401"/>
      <c r="O77" s="401"/>
      <c r="P77" s="415">
        <f t="shared" si="0"/>
        <v>0</v>
      </c>
    </row>
    <row r="78" spans="1:16" x14ac:dyDescent="0.35">
      <c r="A78" s="433"/>
      <c r="B78" s="414">
        <v>31</v>
      </c>
      <c r="C78" s="399" t="s">
        <v>178</v>
      </c>
      <c r="D78" s="245" t="s">
        <v>34</v>
      </c>
      <c r="E78" s="402"/>
      <c r="F78" s="289"/>
      <c r="G78" s="289"/>
      <c r="H78" s="401"/>
      <c r="I78" s="401"/>
      <c r="J78" s="401"/>
      <c r="K78" s="401"/>
      <c r="L78" s="401"/>
      <c r="M78" s="401"/>
      <c r="N78" s="401"/>
      <c r="O78" s="401"/>
      <c r="P78" s="415">
        <f t="shared" si="0"/>
        <v>0</v>
      </c>
    </row>
    <row r="79" spans="1:16" x14ac:dyDescent="0.35">
      <c r="A79" s="433"/>
      <c r="B79" s="414">
        <v>32</v>
      </c>
      <c r="C79" s="399" t="s">
        <v>179</v>
      </c>
      <c r="D79" s="245" t="s">
        <v>34</v>
      </c>
      <c r="E79" s="402"/>
      <c r="F79" s="289"/>
      <c r="G79" s="289"/>
      <c r="H79" s="401"/>
      <c r="I79" s="401"/>
      <c r="J79" s="401"/>
      <c r="K79" s="401"/>
      <c r="L79" s="401"/>
      <c r="M79" s="401"/>
      <c r="N79" s="401"/>
      <c r="O79" s="401"/>
      <c r="P79" s="415">
        <f t="shared" si="0"/>
        <v>0</v>
      </c>
    </row>
    <row r="80" spans="1:16" x14ac:dyDescent="0.35">
      <c r="A80" s="433"/>
      <c r="B80" s="416" t="s">
        <v>294</v>
      </c>
      <c r="C80" s="399"/>
      <c r="D80" s="245" t="s">
        <v>253</v>
      </c>
      <c r="E80" s="402"/>
      <c r="F80" s="289"/>
      <c r="G80" s="289"/>
      <c r="H80" s="401"/>
      <c r="I80" s="401"/>
      <c r="J80" s="401"/>
      <c r="K80" s="401"/>
      <c r="L80" s="401"/>
      <c r="M80" s="401"/>
      <c r="N80" s="401"/>
      <c r="O80" s="401"/>
      <c r="P80" s="415"/>
    </row>
    <row r="81" spans="1:16" x14ac:dyDescent="0.35">
      <c r="A81" s="433"/>
      <c r="B81" s="414"/>
      <c r="C81" s="399"/>
      <c r="D81" s="245"/>
      <c r="E81" s="402"/>
      <c r="F81" s="289"/>
      <c r="G81" s="289"/>
      <c r="H81" s="401"/>
      <c r="I81" s="401"/>
      <c r="J81" s="401"/>
      <c r="K81" s="401"/>
      <c r="L81" s="401"/>
      <c r="M81" s="401"/>
      <c r="N81" s="401"/>
      <c r="O81" s="401"/>
      <c r="P81" s="415"/>
    </row>
    <row r="82" spans="1:16" x14ac:dyDescent="0.35">
      <c r="A82" s="433"/>
      <c r="B82" s="414"/>
      <c r="C82" s="399"/>
      <c r="D82" s="245"/>
      <c r="E82" s="402"/>
      <c r="F82" s="289"/>
      <c r="G82" s="289"/>
      <c r="H82" s="401"/>
      <c r="I82" s="401"/>
      <c r="J82" s="401"/>
      <c r="K82" s="401"/>
      <c r="L82" s="401"/>
      <c r="M82" s="401"/>
      <c r="N82" s="401"/>
      <c r="O82" s="401"/>
      <c r="P82" s="415"/>
    </row>
    <row r="83" spans="1:16" x14ac:dyDescent="0.35">
      <c r="A83" s="433"/>
      <c r="B83" s="414"/>
      <c r="C83" s="399"/>
      <c r="D83" s="245"/>
      <c r="E83" s="402"/>
      <c r="F83" s="289"/>
      <c r="G83" s="289"/>
      <c r="H83" s="401"/>
      <c r="I83" s="401"/>
      <c r="J83" s="401"/>
      <c r="K83" s="401"/>
      <c r="L83" s="401"/>
      <c r="M83" s="401"/>
      <c r="N83" s="401"/>
      <c r="O83" s="401"/>
      <c r="P83" s="415">
        <f t="shared" ref="P83:P106" si="1">SUM(H83:O83)</f>
        <v>0</v>
      </c>
    </row>
    <row r="84" spans="1:16" ht="25.5" customHeight="1" x14ac:dyDescent="0.35">
      <c r="A84" s="433"/>
      <c r="B84" s="1304" t="s">
        <v>180</v>
      </c>
      <c r="C84" s="1279"/>
      <c r="D84" s="1279"/>
      <c r="E84" s="1279"/>
      <c r="F84" s="1279"/>
      <c r="G84" s="1279"/>
      <c r="H84" s="1279"/>
      <c r="I84" s="1279"/>
      <c r="J84" s="1279"/>
      <c r="K84" s="1279"/>
      <c r="L84" s="1279"/>
      <c r="M84" s="1279"/>
      <c r="N84" s="1279"/>
      <c r="O84" s="1279"/>
      <c r="P84" s="1305"/>
    </row>
    <row r="85" spans="1:16" x14ac:dyDescent="0.35">
      <c r="A85" s="433"/>
      <c r="B85" s="414">
        <v>33</v>
      </c>
      <c r="C85" s="399" t="s">
        <v>181</v>
      </c>
      <c r="D85" s="245" t="s">
        <v>34</v>
      </c>
      <c r="E85" s="402"/>
      <c r="F85" s="289"/>
      <c r="G85" s="289"/>
      <c r="H85" s="407"/>
      <c r="I85" s="407"/>
      <c r="J85" s="407"/>
      <c r="K85" s="407"/>
      <c r="L85" s="407"/>
      <c r="M85" s="407"/>
      <c r="N85" s="407"/>
      <c r="O85" s="407"/>
      <c r="P85" s="415">
        <f t="shared" si="1"/>
        <v>0</v>
      </c>
    </row>
    <row r="86" spans="1:16" x14ac:dyDescent="0.35">
      <c r="A86" s="433"/>
      <c r="B86" s="414">
        <v>34</v>
      </c>
      <c r="C86" s="399" t="s">
        <v>182</v>
      </c>
      <c r="D86" s="245" t="s">
        <v>34</v>
      </c>
      <c r="E86" s="402"/>
      <c r="F86" s="289"/>
      <c r="G86" s="289"/>
      <c r="H86" s="407"/>
      <c r="I86" s="407"/>
      <c r="J86" s="407"/>
      <c r="K86" s="407"/>
      <c r="L86" s="407"/>
      <c r="M86" s="407"/>
      <c r="N86" s="407"/>
      <c r="O86" s="407"/>
      <c r="P86" s="415">
        <f t="shared" si="1"/>
        <v>0</v>
      </c>
    </row>
    <row r="87" spans="1:16" x14ac:dyDescent="0.35">
      <c r="A87" s="433"/>
      <c r="B87" s="414">
        <v>35</v>
      </c>
      <c r="C87" s="399" t="s">
        <v>183</v>
      </c>
      <c r="D87" s="245" t="s">
        <v>34</v>
      </c>
      <c r="E87" s="402"/>
      <c r="F87" s="289"/>
      <c r="G87" s="289"/>
      <c r="H87" s="407"/>
      <c r="I87" s="407"/>
      <c r="J87" s="407"/>
      <c r="K87" s="407"/>
      <c r="L87" s="407"/>
      <c r="M87" s="407"/>
      <c r="N87" s="407"/>
      <c r="O87" s="407"/>
      <c r="P87" s="415">
        <f t="shared" si="1"/>
        <v>0</v>
      </c>
    </row>
    <row r="88" spans="1:16" x14ac:dyDescent="0.35">
      <c r="A88" s="433"/>
      <c r="B88" s="416" t="s">
        <v>294</v>
      </c>
      <c r="C88" s="399"/>
      <c r="D88" s="245" t="s">
        <v>253</v>
      </c>
      <c r="E88" s="402"/>
      <c r="F88" s="289"/>
      <c r="G88" s="289"/>
      <c r="H88" s="407"/>
      <c r="I88" s="407"/>
      <c r="J88" s="407"/>
      <c r="K88" s="407"/>
      <c r="L88" s="407"/>
      <c r="M88" s="407"/>
      <c r="N88" s="407"/>
      <c r="O88" s="407"/>
      <c r="P88" s="415"/>
    </row>
    <row r="89" spans="1:16" x14ac:dyDescent="0.35">
      <c r="A89" s="433"/>
      <c r="B89" s="414"/>
      <c r="C89" s="399"/>
      <c r="D89" s="245"/>
      <c r="E89" s="402"/>
      <c r="F89" s="289"/>
      <c r="G89" s="289"/>
      <c r="H89" s="407"/>
      <c r="I89" s="407"/>
      <c r="J89" s="407"/>
      <c r="K89" s="407"/>
      <c r="L89" s="407"/>
      <c r="M89" s="407"/>
      <c r="N89" s="407"/>
      <c r="O89" s="407"/>
      <c r="P89" s="415"/>
    </row>
    <row r="90" spans="1:16" x14ac:dyDescent="0.35">
      <c r="A90" s="433"/>
      <c r="B90" s="414"/>
      <c r="C90" s="399"/>
      <c r="D90" s="245"/>
      <c r="E90" s="402"/>
      <c r="F90" s="289"/>
      <c r="G90" s="289"/>
      <c r="H90" s="407"/>
      <c r="I90" s="407"/>
      <c r="J90" s="407"/>
      <c r="K90" s="407"/>
      <c r="L90" s="407"/>
      <c r="M90" s="407"/>
      <c r="N90" s="407"/>
      <c r="O90" s="407"/>
      <c r="P90" s="415"/>
    </row>
    <row r="91" spans="1:16" x14ac:dyDescent="0.35">
      <c r="A91" s="433"/>
      <c r="B91" s="414"/>
      <c r="C91" s="399"/>
      <c r="D91" s="245"/>
      <c r="E91" s="402"/>
      <c r="F91" s="289"/>
      <c r="G91" s="289"/>
      <c r="H91" s="407"/>
      <c r="I91" s="407"/>
      <c r="J91" s="407"/>
      <c r="K91" s="407"/>
      <c r="L91" s="407"/>
      <c r="M91" s="407"/>
      <c r="N91" s="407"/>
      <c r="O91" s="407"/>
      <c r="P91" s="415">
        <f t="shared" si="1"/>
        <v>0</v>
      </c>
    </row>
    <row r="92" spans="1:16" ht="24" customHeight="1" x14ac:dyDescent="0.35">
      <c r="A92" s="433"/>
      <c r="B92" s="1304" t="s">
        <v>184</v>
      </c>
      <c r="C92" s="1279"/>
      <c r="D92" s="1279"/>
      <c r="E92" s="1279"/>
      <c r="F92" s="1279"/>
      <c r="G92" s="1279"/>
      <c r="H92" s="1279"/>
      <c r="I92" s="1279"/>
      <c r="J92" s="1279"/>
      <c r="K92" s="1279"/>
      <c r="L92" s="1279"/>
      <c r="M92" s="1279"/>
      <c r="N92" s="1279"/>
      <c r="O92" s="1279"/>
      <c r="P92" s="1305"/>
    </row>
    <row r="93" spans="1:16" ht="42" x14ac:dyDescent="0.35">
      <c r="A93" s="433"/>
      <c r="B93" s="414">
        <v>36</v>
      </c>
      <c r="C93" s="399" t="s">
        <v>185</v>
      </c>
      <c r="D93" s="245" t="s">
        <v>34</v>
      </c>
      <c r="E93" s="402"/>
      <c r="F93" s="289"/>
      <c r="G93" s="289"/>
      <c r="H93" s="407"/>
      <c r="I93" s="407"/>
      <c r="J93" s="407"/>
      <c r="K93" s="407"/>
      <c r="L93" s="407"/>
      <c r="M93" s="407"/>
      <c r="N93" s="407"/>
      <c r="O93" s="407"/>
      <c r="P93" s="415">
        <f t="shared" si="1"/>
        <v>0</v>
      </c>
    </row>
    <row r="94" spans="1:16" x14ac:dyDescent="0.35">
      <c r="A94" s="433"/>
      <c r="B94" s="414">
        <v>37</v>
      </c>
      <c r="C94" s="399" t="s">
        <v>186</v>
      </c>
      <c r="D94" s="245" t="s">
        <v>34</v>
      </c>
      <c r="E94" s="402"/>
      <c r="F94" s="289"/>
      <c r="G94" s="289"/>
      <c r="H94" s="407"/>
      <c r="I94" s="407"/>
      <c r="J94" s="407"/>
      <c r="K94" s="407"/>
      <c r="L94" s="407"/>
      <c r="M94" s="407"/>
      <c r="N94" s="407"/>
      <c r="O94" s="407"/>
      <c r="P94" s="415">
        <f t="shared" si="1"/>
        <v>0</v>
      </c>
    </row>
    <row r="95" spans="1:16" x14ac:dyDescent="0.35">
      <c r="A95" s="433"/>
      <c r="B95" s="414">
        <v>38</v>
      </c>
      <c r="C95" s="399" t="s">
        <v>187</v>
      </c>
      <c r="D95" s="245" t="s">
        <v>34</v>
      </c>
      <c r="E95" s="402"/>
      <c r="F95" s="289"/>
      <c r="G95" s="289"/>
      <c r="H95" s="407"/>
      <c r="I95" s="407"/>
      <c r="J95" s="407"/>
      <c r="K95" s="407"/>
      <c r="L95" s="407"/>
      <c r="M95" s="407"/>
      <c r="N95" s="407"/>
      <c r="O95" s="407"/>
      <c r="P95" s="415">
        <f t="shared" si="1"/>
        <v>0</v>
      </c>
    </row>
    <row r="96" spans="1:16" ht="28" x14ac:dyDescent="0.35">
      <c r="A96" s="433"/>
      <c r="B96" s="414">
        <v>39</v>
      </c>
      <c r="C96" s="399" t="s">
        <v>188</v>
      </c>
      <c r="D96" s="245" t="s">
        <v>34</v>
      </c>
      <c r="E96" s="402"/>
      <c r="F96" s="289"/>
      <c r="G96" s="289"/>
      <c r="H96" s="407"/>
      <c r="I96" s="407"/>
      <c r="J96" s="407"/>
      <c r="K96" s="407"/>
      <c r="L96" s="407"/>
      <c r="M96" s="407"/>
      <c r="N96" s="407"/>
      <c r="O96" s="407"/>
      <c r="P96" s="415">
        <f t="shared" si="1"/>
        <v>0</v>
      </c>
    </row>
    <row r="97" spans="1:16" ht="28" x14ac:dyDescent="0.35">
      <c r="A97" s="433"/>
      <c r="B97" s="414">
        <v>40</v>
      </c>
      <c r="C97" s="399" t="s">
        <v>189</v>
      </c>
      <c r="D97" s="245" t="s">
        <v>34</v>
      </c>
      <c r="E97" s="402"/>
      <c r="F97" s="289"/>
      <c r="G97" s="289"/>
      <c r="H97" s="407"/>
      <c r="I97" s="407"/>
      <c r="J97" s="407"/>
      <c r="K97" s="407"/>
      <c r="L97" s="407"/>
      <c r="M97" s="407"/>
      <c r="N97" s="407"/>
      <c r="O97" s="407"/>
      <c r="P97" s="415">
        <f t="shared" si="1"/>
        <v>0</v>
      </c>
    </row>
    <row r="98" spans="1:16" ht="28" x14ac:dyDescent="0.35">
      <c r="A98" s="433"/>
      <c r="B98" s="414">
        <v>41</v>
      </c>
      <c r="C98" s="399" t="s">
        <v>190</v>
      </c>
      <c r="D98" s="245" t="s">
        <v>34</v>
      </c>
      <c r="E98" s="402"/>
      <c r="F98" s="289"/>
      <c r="G98" s="289"/>
      <c r="H98" s="407"/>
      <c r="I98" s="407"/>
      <c r="J98" s="407"/>
      <c r="K98" s="407"/>
      <c r="L98" s="407"/>
      <c r="M98" s="407"/>
      <c r="N98" s="407"/>
      <c r="O98" s="407"/>
      <c r="P98" s="415">
        <f t="shared" si="1"/>
        <v>0</v>
      </c>
    </row>
    <row r="99" spans="1:16" ht="28" x14ac:dyDescent="0.35">
      <c r="A99" s="433"/>
      <c r="B99" s="414">
        <v>42</v>
      </c>
      <c r="C99" s="399" t="s">
        <v>191</v>
      </c>
      <c r="D99" s="245" t="s">
        <v>34</v>
      </c>
      <c r="E99" s="402"/>
      <c r="F99" s="289"/>
      <c r="G99" s="289"/>
      <c r="H99" s="407"/>
      <c r="I99" s="407"/>
      <c r="J99" s="407"/>
      <c r="K99" s="407"/>
      <c r="L99" s="407"/>
      <c r="M99" s="407"/>
      <c r="N99" s="407"/>
      <c r="O99" s="407"/>
      <c r="P99" s="415">
        <f t="shared" si="1"/>
        <v>0</v>
      </c>
    </row>
    <row r="100" spans="1:16" x14ac:dyDescent="0.35">
      <c r="A100" s="433"/>
      <c r="B100" s="414">
        <v>43</v>
      </c>
      <c r="C100" s="399" t="s">
        <v>192</v>
      </c>
      <c r="D100" s="245" t="s">
        <v>34</v>
      </c>
      <c r="E100" s="402"/>
      <c r="F100" s="289"/>
      <c r="G100" s="289"/>
      <c r="H100" s="407"/>
      <c r="I100" s="407"/>
      <c r="J100" s="407"/>
      <c r="K100" s="407"/>
      <c r="L100" s="407"/>
      <c r="M100" s="407"/>
      <c r="N100" s="407"/>
      <c r="O100" s="407"/>
      <c r="P100" s="415">
        <f t="shared" si="1"/>
        <v>0</v>
      </c>
    </row>
    <row r="101" spans="1:16" ht="42" x14ac:dyDescent="0.35">
      <c r="A101" s="433"/>
      <c r="B101" s="414">
        <v>44</v>
      </c>
      <c r="C101" s="399" t="s">
        <v>193</v>
      </c>
      <c r="D101" s="245" t="s">
        <v>34</v>
      </c>
      <c r="E101" s="402"/>
      <c r="F101" s="289"/>
      <c r="G101" s="289"/>
      <c r="H101" s="407"/>
      <c r="I101" s="407"/>
      <c r="J101" s="407"/>
      <c r="K101" s="407"/>
      <c r="L101" s="407"/>
      <c r="M101" s="407"/>
      <c r="N101" s="407"/>
      <c r="O101" s="407"/>
      <c r="P101" s="415">
        <f t="shared" si="1"/>
        <v>0</v>
      </c>
    </row>
    <row r="102" spans="1:16" ht="28" x14ac:dyDescent="0.35">
      <c r="A102" s="433"/>
      <c r="B102" s="414">
        <v>45</v>
      </c>
      <c r="C102" s="399" t="s">
        <v>194</v>
      </c>
      <c r="D102" s="245" t="s">
        <v>34</v>
      </c>
      <c r="E102" s="402"/>
      <c r="F102" s="289"/>
      <c r="G102" s="289"/>
      <c r="H102" s="407"/>
      <c r="I102" s="407"/>
      <c r="J102" s="407"/>
      <c r="K102" s="407"/>
      <c r="L102" s="407"/>
      <c r="M102" s="407"/>
      <c r="N102" s="407"/>
      <c r="O102" s="407"/>
      <c r="P102" s="415">
        <f t="shared" si="1"/>
        <v>0</v>
      </c>
    </row>
    <row r="103" spans="1:16" ht="28" x14ac:dyDescent="0.35">
      <c r="A103" s="433"/>
      <c r="B103" s="414">
        <v>46</v>
      </c>
      <c r="C103" s="399" t="s">
        <v>195</v>
      </c>
      <c r="D103" s="245" t="s">
        <v>34</v>
      </c>
      <c r="E103" s="402"/>
      <c r="F103" s="289"/>
      <c r="G103" s="289"/>
      <c r="H103" s="407"/>
      <c r="I103" s="407"/>
      <c r="J103" s="407"/>
      <c r="K103" s="407"/>
      <c r="L103" s="407"/>
      <c r="M103" s="407"/>
      <c r="N103" s="407"/>
      <c r="O103" s="407"/>
      <c r="P103" s="415">
        <f t="shared" si="1"/>
        <v>0</v>
      </c>
    </row>
    <row r="104" spans="1:16" ht="28" x14ac:dyDescent="0.35">
      <c r="A104" s="433"/>
      <c r="B104" s="414">
        <v>47</v>
      </c>
      <c r="C104" s="399" t="s">
        <v>196</v>
      </c>
      <c r="D104" s="245" t="s">
        <v>34</v>
      </c>
      <c r="E104" s="402"/>
      <c r="F104" s="289"/>
      <c r="G104" s="289"/>
      <c r="H104" s="407"/>
      <c r="I104" s="407"/>
      <c r="J104" s="407"/>
      <c r="K104" s="407"/>
      <c r="L104" s="407"/>
      <c r="M104" s="407"/>
      <c r="N104" s="407"/>
      <c r="O104" s="407"/>
      <c r="P104" s="415">
        <f t="shared" si="1"/>
        <v>0</v>
      </c>
    </row>
    <row r="105" spans="1:16" ht="28" x14ac:dyDescent="0.35">
      <c r="A105" s="433"/>
      <c r="B105" s="414">
        <v>48</v>
      </c>
      <c r="C105" s="399" t="s">
        <v>197</v>
      </c>
      <c r="D105" s="245" t="s">
        <v>34</v>
      </c>
      <c r="E105" s="402"/>
      <c r="F105" s="289"/>
      <c r="G105" s="289"/>
      <c r="H105" s="407"/>
      <c r="I105" s="407"/>
      <c r="J105" s="407"/>
      <c r="K105" s="407"/>
      <c r="L105" s="407"/>
      <c r="M105" s="407"/>
      <c r="N105" s="407"/>
      <c r="O105" s="407"/>
      <c r="P105" s="415">
        <f t="shared" si="1"/>
        <v>0</v>
      </c>
    </row>
    <row r="106" spans="1:16" ht="28" x14ac:dyDescent="0.35">
      <c r="A106" s="433"/>
      <c r="B106" s="414">
        <v>49</v>
      </c>
      <c r="C106" s="399" t="s">
        <v>198</v>
      </c>
      <c r="D106" s="245" t="s">
        <v>34</v>
      </c>
      <c r="E106" s="402"/>
      <c r="F106" s="289"/>
      <c r="G106" s="289"/>
      <c r="H106" s="407"/>
      <c r="I106" s="407"/>
      <c r="J106" s="407"/>
      <c r="K106" s="407"/>
      <c r="L106" s="407"/>
      <c r="M106" s="407"/>
      <c r="N106" s="407"/>
      <c r="O106" s="407"/>
      <c r="P106" s="415">
        <f t="shared" si="1"/>
        <v>0</v>
      </c>
    </row>
    <row r="107" spans="1:16" x14ac:dyDescent="0.35">
      <c r="A107" s="433"/>
      <c r="B107" s="416" t="s">
        <v>294</v>
      </c>
      <c r="C107" s="399"/>
      <c r="D107" s="245" t="s">
        <v>253</v>
      </c>
      <c r="E107" s="402"/>
      <c r="F107" s="289"/>
      <c r="G107" s="289"/>
      <c r="H107" s="407"/>
      <c r="I107" s="407"/>
      <c r="J107" s="407"/>
      <c r="K107" s="407"/>
      <c r="L107" s="407"/>
      <c r="M107" s="407"/>
      <c r="N107" s="407"/>
      <c r="O107" s="407"/>
      <c r="P107" s="415"/>
    </row>
    <row r="108" spans="1:16" x14ac:dyDescent="0.35">
      <c r="A108" s="433"/>
      <c r="B108" s="414"/>
      <c r="C108" s="399"/>
      <c r="D108" s="245"/>
      <c r="E108" s="402"/>
      <c r="F108" s="289"/>
      <c r="G108" s="289"/>
      <c r="H108" s="407"/>
      <c r="I108" s="407"/>
      <c r="J108" s="407"/>
      <c r="K108" s="407"/>
      <c r="L108" s="407"/>
      <c r="M108" s="407"/>
      <c r="N108" s="407"/>
      <c r="O108" s="407"/>
      <c r="P108" s="415"/>
    </row>
    <row r="109" spans="1:16" x14ac:dyDescent="0.35">
      <c r="A109" s="433"/>
      <c r="B109" s="414"/>
      <c r="C109" s="399"/>
      <c r="D109" s="245"/>
      <c r="E109" s="402"/>
      <c r="F109" s="289"/>
      <c r="G109" s="289"/>
      <c r="H109" s="407"/>
      <c r="I109" s="407"/>
      <c r="J109" s="407"/>
      <c r="K109" s="407"/>
      <c r="L109" s="407"/>
      <c r="M109" s="407"/>
      <c r="N109" s="407"/>
      <c r="O109" s="407"/>
      <c r="P109" s="415"/>
    </row>
    <row r="110" spans="1:16" x14ac:dyDescent="0.35">
      <c r="A110" s="433"/>
      <c r="B110" s="414"/>
      <c r="C110" s="399"/>
      <c r="D110" s="245"/>
      <c r="E110" s="402"/>
      <c r="F110" s="289"/>
      <c r="G110" s="289"/>
      <c r="H110" s="407"/>
      <c r="I110" s="407"/>
      <c r="J110" s="407"/>
      <c r="K110" s="407"/>
      <c r="L110" s="407"/>
      <c r="M110" s="407"/>
      <c r="N110" s="407"/>
      <c r="O110" s="407"/>
      <c r="P110" s="415"/>
    </row>
    <row r="111" spans="1:16" x14ac:dyDescent="0.35">
      <c r="B111" s="345"/>
      <c r="C111" s="1266" t="s">
        <v>221</v>
      </c>
      <c r="D111" s="1266"/>
      <c r="E111" s="346"/>
      <c r="F111" s="347"/>
      <c r="G111" s="347"/>
      <c r="H111" s="348">
        <f>SUM(F17*H17,F18*H18,F19*H19,F20*H20,F21*H21,F22*H22,F46*H46,F63*H63,F64*H64,F65*H65,F66*H66)</f>
        <v>0</v>
      </c>
      <c r="I111" s="348">
        <f>SUM(F28*I28,F29*I29,F30*I30,F31*I31,F32*I32,F72*I72,F73*I73,F74*I74,F75*I75,F76*I76,F77*I77,F78*I78,F79*I79,F85*I85,F86*I86,F87*I87)</f>
        <v>0</v>
      </c>
      <c r="J111" s="349"/>
      <c r="K111" s="346"/>
      <c r="L111" s="346"/>
      <c r="M111" s="346"/>
      <c r="N111" s="348"/>
      <c r="O111" s="346"/>
      <c r="P111" s="350">
        <f>SUM(H111:O111)</f>
        <v>0</v>
      </c>
    </row>
    <row r="112" spans="1:16" x14ac:dyDescent="0.35">
      <c r="B112" s="266"/>
      <c r="C112" s="1267" t="s">
        <v>260</v>
      </c>
      <c r="D112" s="1267"/>
      <c r="E112" s="260"/>
      <c r="F112" s="258"/>
      <c r="G112" s="258"/>
      <c r="H112" s="260"/>
      <c r="I112" s="260"/>
      <c r="J112" s="261">
        <f>SUM(E28*G28*J28,E29*G29*J29,E30*G30*J30,E31*G31,J31*E32*G32*J32,E38*G38*J38,E39*G39*J39,E40*G40*J40)</f>
        <v>0</v>
      </c>
      <c r="K112" s="261">
        <f>SUM(E28*G28*K28,E29*G29*K29,E30*G30*K30,E31*G31*K31,E32*G32*K32,E38*G38*K38,E39*G39*K39,E40*G40*K40)</f>
        <v>0</v>
      </c>
      <c r="L112" s="261"/>
      <c r="M112" s="261"/>
      <c r="N112" s="260"/>
      <c r="O112" s="260"/>
      <c r="P112" s="267">
        <f>SUM(H112:O112)</f>
        <v>0</v>
      </c>
    </row>
    <row r="113" spans="2:16" x14ac:dyDescent="0.35">
      <c r="B113" s="266"/>
      <c r="C113" s="1267" t="s">
        <v>261</v>
      </c>
      <c r="D113" s="1267"/>
      <c r="E113" s="260"/>
      <c r="F113" s="258"/>
      <c r="G113" s="258"/>
      <c r="H113" s="260"/>
      <c r="I113" s="260"/>
      <c r="J113" s="261">
        <f>J112-(E32*G32*J32)</f>
        <v>0</v>
      </c>
      <c r="K113" s="260">
        <f>K112-(E32*G32*K32)</f>
        <v>0</v>
      </c>
      <c r="L113" s="260"/>
      <c r="M113" s="260"/>
      <c r="N113" s="260"/>
      <c r="O113" s="260"/>
      <c r="P113" s="267"/>
    </row>
    <row r="114" spans="2:16" x14ac:dyDescent="0.35">
      <c r="B114" s="268"/>
      <c r="C114" s="1268"/>
      <c r="D114" s="1268"/>
      <c r="E114" s="254"/>
      <c r="F114" s="252"/>
      <c r="G114" s="252"/>
      <c r="H114" s="254"/>
      <c r="I114" s="254"/>
      <c r="J114" s="254"/>
      <c r="K114" s="254"/>
      <c r="L114" s="254"/>
      <c r="M114" s="254"/>
      <c r="N114" s="254"/>
      <c r="O114" s="254"/>
      <c r="P114" s="269"/>
    </row>
    <row r="115" spans="2:16" x14ac:dyDescent="0.35">
      <c r="B115" s="268"/>
      <c r="C115" s="253"/>
      <c r="D115" s="254"/>
      <c r="E115" s="254"/>
      <c r="F115" s="252"/>
      <c r="G115" s="252"/>
      <c r="H115" s="254"/>
      <c r="I115" s="254"/>
      <c r="J115" s="254"/>
      <c r="K115" s="254"/>
      <c r="L115" s="254"/>
      <c r="M115" s="254"/>
      <c r="N115" s="254"/>
      <c r="O115" s="254"/>
      <c r="P115" s="269"/>
    </row>
    <row r="116" spans="2:16" x14ac:dyDescent="0.35">
      <c r="B116" s="373"/>
      <c r="C116" s="1269" t="s">
        <v>328</v>
      </c>
      <c r="D116" s="1269"/>
      <c r="E116" s="245"/>
      <c r="F116" s="255"/>
      <c r="G116" s="245"/>
      <c r="H116" s="256" t="e">
        <f>'3.  Distribution Rates'!#REF!</f>
        <v>#REF!</v>
      </c>
      <c r="I116" s="256" t="e">
        <f>'3.  Distribution Rates'!#REF!</f>
        <v>#REF!</v>
      </c>
      <c r="J116" s="256" t="e">
        <f>'3.  Distribution Rates'!#REF!</f>
        <v>#REF!</v>
      </c>
      <c r="K116" s="256" t="e">
        <f>'3.  Distribution Rates'!#REF!</f>
        <v>#REF!</v>
      </c>
      <c r="L116" s="256" t="e">
        <f>'3.  Distribution Rates'!#REF!</f>
        <v>#REF!</v>
      </c>
      <c r="M116" s="256" t="e">
        <f>'3.  Distribution Rates'!#REF!</f>
        <v>#REF!</v>
      </c>
      <c r="N116" s="256" t="e">
        <f>'3.  Distribution Rates'!#REF!</f>
        <v>#REF!</v>
      </c>
      <c r="O116" s="256"/>
      <c r="P116" s="374"/>
    </row>
    <row r="117" spans="2:16" x14ac:dyDescent="0.35">
      <c r="B117" s="373"/>
      <c r="C117" s="1269" t="s">
        <v>296</v>
      </c>
      <c r="D117" s="1269"/>
      <c r="E117" s="254"/>
      <c r="F117" s="255"/>
      <c r="G117" s="255"/>
      <c r="H117" s="289"/>
      <c r="I117" s="289"/>
      <c r="J117" s="289"/>
      <c r="K117" s="289"/>
      <c r="L117" s="289"/>
      <c r="M117" s="289"/>
      <c r="N117" s="289"/>
      <c r="O117" s="245"/>
      <c r="P117" s="270">
        <f>SUM(H117:O117)</f>
        <v>0</v>
      </c>
    </row>
    <row r="118" spans="2:16" x14ac:dyDescent="0.35">
      <c r="B118" s="373"/>
      <c r="C118" s="1269" t="s">
        <v>297</v>
      </c>
      <c r="D118" s="1269"/>
      <c r="E118" s="254"/>
      <c r="F118" s="255"/>
      <c r="G118" s="255"/>
      <c r="H118" s="289"/>
      <c r="I118" s="289"/>
      <c r="J118" s="289"/>
      <c r="K118" s="289"/>
      <c r="L118" s="289"/>
      <c r="M118" s="289"/>
      <c r="N118" s="289"/>
      <c r="O118" s="245"/>
      <c r="P118" s="270">
        <f>SUM(H118:O118)</f>
        <v>0</v>
      </c>
    </row>
    <row r="119" spans="2:16" x14ac:dyDescent="0.35">
      <c r="B119" s="373"/>
      <c r="C119" s="1269" t="s">
        <v>298</v>
      </c>
      <c r="D119" s="1269"/>
      <c r="E119" s="254"/>
      <c r="F119" s="255"/>
      <c r="G119" s="255"/>
      <c r="H119" s="289"/>
      <c r="I119" s="289"/>
      <c r="J119" s="289"/>
      <c r="K119" s="289"/>
      <c r="L119" s="289"/>
      <c r="M119" s="289"/>
      <c r="N119" s="289"/>
      <c r="O119" s="245"/>
      <c r="P119" s="270">
        <f t="shared" ref="P119" si="2">SUM(H119:O119)</f>
        <v>0</v>
      </c>
    </row>
    <row r="120" spans="2:16" x14ac:dyDescent="0.35">
      <c r="B120" s="373"/>
      <c r="C120" s="1269" t="s">
        <v>299</v>
      </c>
      <c r="D120" s="1269"/>
      <c r="E120" s="254"/>
      <c r="F120" s="255"/>
      <c r="G120" s="255"/>
      <c r="H120" s="289"/>
      <c r="I120" s="289"/>
      <c r="J120" s="289"/>
      <c r="K120" s="289"/>
      <c r="L120" s="289"/>
      <c r="M120" s="289"/>
      <c r="N120" s="289"/>
      <c r="O120" s="245"/>
      <c r="P120" s="270">
        <f>SUM(H120:O120)</f>
        <v>0</v>
      </c>
    </row>
    <row r="121" spans="2:16" x14ac:dyDescent="0.35">
      <c r="B121" s="373"/>
      <c r="C121" s="1269" t="s">
        <v>300</v>
      </c>
      <c r="D121" s="1269"/>
      <c r="E121" s="254"/>
      <c r="F121" s="255"/>
      <c r="G121" s="255"/>
      <c r="H121" s="370" t="e">
        <f>'5.  2015 LRAM'!H129*H116</f>
        <v>#REF!</v>
      </c>
      <c r="I121" s="370" t="e">
        <f>'5.  2015 LRAM'!I129*I116</f>
        <v>#REF!</v>
      </c>
      <c r="J121" s="370" t="e">
        <f>'5.  2015 LRAM'!J129*J116</f>
        <v>#REF!</v>
      </c>
      <c r="K121" s="370" t="e">
        <f>'5.  2015 LRAM'!K129*K116</f>
        <v>#REF!</v>
      </c>
      <c r="L121" s="370" t="e">
        <f>'5.  2015 LRAM'!L129*L116</f>
        <v>#REF!</v>
      </c>
      <c r="M121" s="370" t="e">
        <f>'5.  2015 LRAM'!M129*M116</f>
        <v>#REF!</v>
      </c>
      <c r="N121" s="370" t="e">
        <f>'5.  2015 LRAM'!N129*N116</f>
        <v>#REF!</v>
      </c>
      <c r="O121" s="245"/>
      <c r="P121" s="270" t="e">
        <f t="shared" ref="P121:P122" si="3">SUM(H121:O121)</f>
        <v>#REF!</v>
      </c>
    </row>
    <row r="122" spans="2:16" x14ac:dyDescent="0.35">
      <c r="B122" s="373"/>
      <c r="C122" s="1269" t="s">
        <v>301</v>
      </c>
      <c r="D122" s="1269"/>
      <c r="E122" s="254"/>
      <c r="F122" s="255"/>
      <c r="G122" s="255"/>
      <c r="H122" s="370" t="e">
        <f>'5-b. 2016 LRAM'!H127*H116</f>
        <v>#DIV/0!</v>
      </c>
      <c r="I122" s="370" t="e">
        <f>'5-b. 2016 LRAM'!I127*I116</f>
        <v>#DIV/0!</v>
      </c>
      <c r="J122" s="370" t="e">
        <f>'5-b. 2016 LRAM'!J127*J116</f>
        <v>#DIV/0!</v>
      </c>
      <c r="K122" s="370" t="e">
        <f>'5-b. 2016 LRAM'!K127*K116</f>
        <v>#DIV/0!</v>
      </c>
      <c r="L122" s="370" t="e">
        <f>'5-b. 2016 LRAM'!L127*L116</f>
        <v>#REF!</v>
      </c>
      <c r="M122" s="370" t="e">
        <f>'5-b. 2016 LRAM'!M127*M116</f>
        <v>#REF!</v>
      </c>
      <c r="N122" s="370" t="e">
        <f>'5-b. 2016 LRAM'!N127*N116</f>
        <v>#REF!</v>
      </c>
      <c r="O122" s="245"/>
      <c r="P122" s="270" t="e">
        <f t="shared" si="3"/>
        <v>#DIV/0!</v>
      </c>
    </row>
    <row r="123" spans="2:16" x14ac:dyDescent="0.35">
      <c r="B123" s="373"/>
      <c r="C123" s="1269" t="s">
        <v>302</v>
      </c>
      <c r="D123" s="1269"/>
      <c r="E123" s="254"/>
      <c r="F123" s="255"/>
      <c r="G123" s="255"/>
      <c r="H123" s="370" t="e">
        <f>'5-c.  2017 LRAM'!H128*H116</f>
        <v>#DIV/0!</v>
      </c>
      <c r="I123" s="370" t="e">
        <f>'5-c.  2017 LRAM'!I128*I116</f>
        <v>#DIV/0!</v>
      </c>
      <c r="J123" s="370" t="e">
        <f>'5-c.  2017 LRAM'!J128*J116</f>
        <v>#DIV/0!</v>
      </c>
      <c r="K123" s="370" t="e">
        <f>'5-c.  2017 LRAM'!K128*K116</f>
        <v>#DIV/0!</v>
      </c>
      <c r="L123" s="370" t="e">
        <f>'5-c.  2017 LRAM'!L128*L116</f>
        <v>#REF!</v>
      </c>
      <c r="M123" s="370" t="e">
        <f>'5-c.  2017 LRAM'!M128*M116</f>
        <v>#REF!</v>
      </c>
      <c r="N123" s="370" t="e">
        <f>'5-c.  2017 LRAM'!N128*N116</f>
        <v>#DIV/0!</v>
      </c>
      <c r="O123" s="245"/>
      <c r="P123" s="270" t="e">
        <f>SUM(H123:O123)</f>
        <v>#DIV/0!</v>
      </c>
    </row>
    <row r="124" spans="2:16" x14ac:dyDescent="0.35">
      <c r="B124" s="373"/>
      <c r="C124" s="1269" t="s">
        <v>303</v>
      </c>
      <c r="D124" s="1269"/>
      <c r="E124" s="254"/>
      <c r="F124" s="255"/>
      <c r="G124" s="255"/>
      <c r="H124" s="370" t="e">
        <f>'5-d.  2018 LRAM'!H127*H116</f>
        <v>#DIV/0!</v>
      </c>
      <c r="I124" s="370" t="e">
        <f>'5-d.  2018 LRAM'!I127*I116</f>
        <v>#DIV/0!</v>
      </c>
      <c r="J124" s="370" t="e">
        <f>'5-d.  2018 LRAM'!J127*J116</f>
        <v>#DIV/0!</v>
      </c>
      <c r="K124" s="370" t="e">
        <f>'5-d.  2018 LRAM'!K127*K116</f>
        <v>#DIV/0!</v>
      </c>
      <c r="L124" s="370" t="e">
        <f>'5-d.  2018 LRAM'!L127*L116</f>
        <v>#REF!</v>
      </c>
      <c r="M124" s="370" t="e">
        <f>'5-d.  2018 LRAM'!M127*M116</f>
        <v>#REF!</v>
      </c>
      <c r="N124" s="370" t="e">
        <f>'5-d.  2018 LRAM'!N127*N116</f>
        <v>#REF!</v>
      </c>
      <c r="O124" s="245"/>
      <c r="P124" s="270" t="e">
        <f t="shared" ref="P124:P125" si="4">SUM(H124:O124)</f>
        <v>#DIV/0!</v>
      </c>
    </row>
    <row r="125" spans="2:16" x14ac:dyDescent="0.35">
      <c r="B125" s="373"/>
      <c r="C125" s="1269" t="s">
        <v>304</v>
      </c>
      <c r="D125" s="1269"/>
      <c r="E125" s="254"/>
      <c r="F125" s="255"/>
      <c r="G125" s="255"/>
      <c r="H125" s="370" t="e">
        <f>H111*H116</f>
        <v>#REF!</v>
      </c>
      <c r="I125" s="370" t="e">
        <f>I111*I116</f>
        <v>#REF!</v>
      </c>
      <c r="J125" s="370" t="e">
        <f>J112*J116</f>
        <v>#REF!</v>
      </c>
      <c r="K125" s="370" t="e">
        <f>K112*K116</f>
        <v>#REF!</v>
      </c>
      <c r="L125" s="370" t="e">
        <f>L112*L116</f>
        <v>#REF!</v>
      </c>
      <c r="M125" s="370" t="e">
        <f>M112*M116</f>
        <v>#REF!</v>
      </c>
      <c r="N125" s="370" t="e">
        <f>N111*N116</f>
        <v>#REF!</v>
      </c>
      <c r="O125" s="245"/>
      <c r="P125" s="270" t="e">
        <f t="shared" si="4"/>
        <v>#REF!</v>
      </c>
    </row>
    <row r="126" spans="2:16" x14ac:dyDescent="0.35">
      <c r="B126" s="268"/>
      <c r="C126" s="371" t="s">
        <v>295</v>
      </c>
      <c r="D126" s="254"/>
      <c r="E126" s="254"/>
      <c r="F126" s="252"/>
      <c r="G126" s="252"/>
      <c r="H126" s="257" t="e">
        <f t="shared" ref="H126:N126" si="5">SUM(H117:H125)</f>
        <v>#REF!</v>
      </c>
      <c r="I126" s="257" t="e">
        <f t="shared" si="5"/>
        <v>#REF!</v>
      </c>
      <c r="J126" s="257" t="e">
        <f t="shared" si="5"/>
        <v>#REF!</v>
      </c>
      <c r="K126" s="257" t="e">
        <f t="shared" si="5"/>
        <v>#REF!</v>
      </c>
      <c r="L126" s="257" t="e">
        <f t="shared" si="5"/>
        <v>#REF!</v>
      </c>
      <c r="M126" s="257" t="e">
        <f t="shared" si="5"/>
        <v>#REF!</v>
      </c>
      <c r="N126" s="257" t="e">
        <f t="shared" si="5"/>
        <v>#REF!</v>
      </c>
      <c r="O126" s="254"/>
      <c r="P126" s="271" t="e">
        <f>SUM(P117:P125)</f>
        <v>#REF!</v>
      </c>
    </row>
    <row r="127" spans="2:16" x14ac:dyDescent="0.35">
      <c r="B127" s="268"/>
      <c r="C127" s="371"/>
      <c r="D127" s="254"/>
      <c r="E127" s="254"/>
      <c r="F127" s="252"/>
      <c r="G127" s="252"/>
      <c r="H127" s="257"/>
      <c r="I127" s="257"/>
      <c r="J127" s="257"/>
      <c r="K127" s="257"/>
      <c r="L127" s="257"/>
      <c r="M127" s="257"/>
      <c r="N127" s="257"/>
      <c r="O127" s="254"/>
      <c r="P127" s="271"/>
    </row>
    <row r="128" spans="2:16" x14ac:dyDescent="0.35">
      <c r="B128" s="409"/>
      <c r="C128" s="1283" t="s">
        <v>305</v>
      </c>
      <c r="D128" s="1283"/>
      <c r="E128" s="410"/>
      <c r="F128" s="323"/>
      <c r="G128" s="323"/>
      <c r="H128" s="393" t="e">
        <f>H111*'6.  Persistence Rates'!$I$48</f>
        <v>#DIV/0!</v>
      </c>
      <c r="I128" s="393" t="e">
        <f>I111*'6.  Persistence Rates'!$I$48</f>
        <v>#DIV/0!</v>
      </c>
      <c r="J128" s="393" t="e">
        <f>J112*'6.  Persistence Rates'!$V$48</f>
        <v>#DIV/0!</v>
      </c>
      <c r="K128" s="393" t="e">
        <f>K112*'6.  Persistence Rates'!$V$48</f>
        <v>#DIV/0!</v>
      </c>
      <c r="L128" s="393" t="e">
        <f>L112*'6.  Persistence Rates'!$V$48</f>
        <v>#DIV/0!</v>
      </c>
      <c r="M128" s="393" t="e">
        <f>M112*'6.  Persistence Rates'!$V$48</f>
        <v>#DIV/0!</v>
      </c>
      <c r="N128" s="393" t="e">
        <f>N111*'6.  Persistence Rates'!$I$48</f>
        <v>#DIV/0!</v>
      </c>
      <c r="O128" s="323"/>
      <c r="P128" s="390"/>
    </row>
  </sheetData>
  <mergeCells count="35">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E4:P4"/>
    <mergeCell ref="E9:F9"/>
    <mergeCell ref="E10:F10"/>
    <mergeCell ref="C13:C14"/>
    <mergeCell ref="B13:B14"/>
    <mergeCell ref="E13:E1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workbookViewId="0">
      <pane ySplit="14" topLeftCell="A15" activePane="bottomLeft" state="frozen"/>
      <selection pane="bottomLeft" activeCell="B13" sqref="B13:B14"/>
    </sheetView>
  </sheetViews>
  <sheetFormatPr defaultColWidth="9.1796875" defaultRowHeight="14.5" outlineLevelRow="1" x14ac:dyDescent="0.35"/>
  <cols>
    <col min="1" max="1" width="6.453125" style="67" customWidth="1"/>
    <col min="2" max="2" width="5.1796875" style="67" customWidth="1"/>
    <col min="3" max="3" width="44.26953125" style="422" customWidth="1"/>
    <col min="4" max="4" width="12.26953125" style="423" customWidth="1"/>
    <col min="5" max="5" width="13.26953125" style="423" customWidth="1"/>
    <col min="6" max="7" width="19.453125" style="67" customWidth="1"/>
    <col min="8" max="14" width="12.7265625" style="67" customWidth="1"/>
    <col min="15" max="15" width="8.1796875" style="67" customWidth="1"/>
    <col min="16" max="16" width="11.26953125" style="67" customWidth="1"/>
    <col min="17" max="17" width="13.1796875" style="67" customWidth="1"/>
    <col min="18" max="16384" width="9.1796875" style="67"/>
  </cols>
  <sheetData>
    <row r="2" spans="1:18" ht="18.75" customHeight="1" x14ac:dyDescent="0.4">
      <c r="B2" s="1316" t="s">
        <v>306</v>
      </c>
      <c r="C2" s="1316"/>
      <c r="D2" s="1316"/>
      <c r="E2" s="1316"/>
      <c r="F2" s="1316"/>
      <c r="G2" s="1316"/>
      <c r="H2" s="1316"/>
      <c r="I2" s="1316"/>
      <c r="J2" s="1316"/>
      <c r="K2" s="1316"/>
      <c r="L2" s="1316"/>
      <c r="M2" s="1316"/>
      <c r="N2" s="1316"/>
      <c r="O2" s="1316"/>
      <c r="P2" s="1316"/>
    </row>
    <row r="3" spans="1:18" ht="18.5" outlineLevel="1" x14ac:dyDescent="0.45">
      <c r="B3" s="425"/>
      <c r="C3" s="425"/>
      <c r="D3" s="425"/>
      <c r="E3" s="425"/>
      <c r="F3" s="425"/>
      <c r="G3" s="425"/>
      <c r="H3" s="425"/>
      <c r="I3" s="425"/>
      <c r="J3" s="425"/>
      <c r="K3" s="425"/>
      <c r="L3" s="425"/>
      <c r="M3" s="425"/>
      <c r="N3" s="425"/>
      <c r="O3" s="425"/>
      <c r="P3" s="425"/>
    </row>
    <row r="4" spans="1:18" ht="35.25" customHeight="1" outlineLevel="1" x14ac:dyDescent="0.45">
      <c r="A4" s="329"/>
      <c r="B4" s="425"/>
      <c r="C4" s="361" t="s">
        <v>399</v>
      </c>
      <c r="D4" s="426"/>
      <c r="E4" s="1315" t="s">
        <v>362</v>
      </c>
      <c r="F4" s="1315"/>
      <c r="G4" s="1315"/>
      <c r="H4" s="1315"/>
      <c r="I4" s="1315"/>
      <c r="J4" s="1315"/>
      <c r="K4" s="1315"/>
      <c r="L4" s="1315"/>
      <c r="M4" s="1315"/>
      <c r="N4" s="1315"/>
      <c r="O4" s="1315"/>
      <c r="P4" s="1315"/>
    </row>
    <row r="5" spans="1:18" ht="18.75" customHeight="1" outlineLevel="1" x14ac:dyDescent="0.45">
      <c r="B5" s="425"/>
      <c r="C5" s="427"/>
      <c r="D5" s="426"/>
      <c r="E5" s="364" t="s">
        <v>356</v>
      </c>
      <c r="F5" s="426"/>
      <c r="G5" s="426"/>
      <c r="H5" s="426"/>
      <c r="I5" s="426"/>
      <c r="J5" s="426"/>
      <c r="K5" s="426"/>
      <c r="L5" s="426"/>
      <c r="M5" s="426"/>
      <c r="N5" s="426"/>
      <c r="O5" s="426"/>
      <c r="P5" s="426"/>
    </row>
    <row r="6" spans="1:18" ht="18.75" customHeight="1" outlineLevel="1" x14ac:dyDescent="0.45">
      <c r="B6" s="425"/>
      <c r="C6" s="427"/>
      <c r="D6" s="426"/>
      <c r="E6" s="364" t="s">
        <v>357</v>
      </c>
      <c r="F6" s="426"/>
      <c r="G6" s="426"/>
      <c r="H6" s="426"/>
      <c r="I6" s="426"/>
      <c r="J6" s="426"/>
      <c r="K6" s="426"/>
      <c r="L6" s="426"/>
      <c r="M6" s="426"/>
      <c r="N6" s="426"/>
      <c r="O6" s="426"/>
      <c r="P6" s="426"/>
    </row>
    <row r="7" spans="1:18" ht="18.75" customHeight="1" outlineLevel="1" x14ac:dyDescent="0.45">
      <c r="B7" s="425"/>
      <c r="C7" s="427"/>
      <c r="D7" s="426"/>
      <c r="E7" s="364" t="s">
        <v>417</v>
      </c>
      <c r="F7" s="426"/>
      <c r="G7" s="426"/>
      <c r="H7" s="426"/>
      <c r="I7" s="426"/>
      <c r="J7" s="426"/>
      <c r="K7" s="426"/>
      <c r="L7" s="426"/>
      <c r="M7" s="426"/>
      <c r="N7" s="426"/>
      <c r="O7" s="426"/>
      <c r="P7" s="426"/>
    </row>
    <row r="8" spans="1:18" ht="18.75" customHeight="1" outlineLevel="1" x14ac:dyDescent="0.45">
      <c r="B8" s="425"/>
      <c r="C8" s="427"/>
      <c r="D8" s="426"/>
      <c r="E8" s="364"/>
      <c r="F8" s="426"/>
      <c r="G8" s="426"/>
      <c r="H8" s="426"/>
      <c r="I8" s="426"/>
      <c r="J8" s="426"/>
      <c r="K8" s="426"/>
      <c r="L8" s="426"/>
      <c r="M8" s="426"/>
      <c r="N8" s="426"/>
      <c r="O8" s="426"/>
      <c r="P8" s="426"/>
    </row>
    <row r="9" spans="1:18" ht="18.75" customHeight="1" outlineLevel="1" x14ac:dyDescent="0.45">
      <c r="B9" s="425"/>
      <c r="C9" s="228" t="s">
        <v>337</v>
      </c>
      <c r="D9" s="425"/>
      <c r="E9" s="229" t="s">
        <v>363</v>
      </c>
      <c r="F9" s="434"/>
      <c r="G9" s="425"/>
      <c r="H9" s="425"/>
      <c r="I9" s="425"/>
      <c r="J9" s="425"/>
      <c r="K9" s="425"/>
      <c r="L9" s="425"/>
      <c r="M9" s="425"/>
      <c r="N9" s="425"/>
      <c r="O9" s="425"/>
      <c r="P9" s="425"/>
      <c r="R9" s="81"/>
    </row>
    <row r="10" spans="1:18" ht="18.75" customHeight="1" outlineLevel="1" x14ac:dyDescent="0.45">
      <c r="B10" s="425"/>
      <c r="C10" s="425"/>
      <c r="D10" s="425"/>
      <c r="E10" s="1317" t="s">
        <v>338</v>
      </c>
      <c r="F10" s="1317"/>
      <c r="G10" s="425"/>
      <c r="H10" s="425"/>
      <c r="I10" s="425"/>
      <c r="J10" s="425"/>
      <c r="K10" s="425"/>
      <c r="L10" s="425"/>
      <c r="M10" s="425"/>
      <c r="N10" s="425"/>
      <c r="O10" s="425"/>
      <c r="P10" s="425"/>
    </row>
    <row r="11" spans="1:18" x14ac:dyDescent="0.35">
      <c r="A11" s="432"/>
      <c r="C11" s="429"/>
      <c r="D11" s="430"/>
      <c r="E11" s="430"/>
    </row>
    <row r="12" spans="1:18" ht="18.5" x14ac:dyDescent="0.45">
      <c r="B12" s="428" t="s">
        <v>478</v>
      </c>
      <c r="C12" s="425"/>
      <c r="D12" s="425"/>
      <c r="E12" s="425"/>
      <c r="F12" s="425"/>
      <c r="G12" s="425"/>
      <c r="H12" s="425"/>
      <c r="I12" s="425"/>
      <c r="J12" s="425"/>
      <c r="K12" s="425"/>
      <c r="L12" s="425"/>
      <c r="M12" s="425"/>
      <c r="N12" s="425"/>
      <c r="O12" s="425"/>
      <c r="P12" s="425"/>
    </row>
    <row r="13" spans="1:18" ht="42" x14ac:dyDescent="0.35">
      <c r="B13" s="1307" t="s">
        <v>59</v>
      </c>
      <c r="C13" s="1309" t="s">
        <v>0</v>
      </c>
      <c r="D13" s="1309" t="s">
        <v>45</v>
      </c>
      <c r="E13" s="1309" t="s">
        <v>205</v>
      </c>
      <c r="F13" s="231" t="s">
        <v>202</v>
      </c>
      <c r="G13" s="231" t="s">
        <v>46</v>
      </c>
      <c r="H13" s="1311" t="s">
        <v>60</v>
      </c>
      <c r="I13" s="1311"/>
      <c r="J13" s="1311"/>
      <c r="K13" s="1311"/>
      <c r="L13" s="1311"/>
      <c r="M13" s="1311"/>
      <c r="N13" s="1311"/>
      <c r="O13" s="1311"/>
      <c r="P13" s="1312"/>
    </row>
    <row r="14" spans="1:18" ht="56" x14ac:dyDescent="0.35">
      <c r="B14" s="1308"/>
      <c r="C14" s="1310"/>
      <c r="D14" s="1310"/>
      <c r="E14" s="1310"/>
      <c r="F14" s="420" t="s">
        <v>213</v>
      </c>
      <c r="G14" s="420" t="s">
        <v>214</v>
      </c>
      <c r="H14" s="421" t="s">
        <v>38</v>
      </c>
      <c r="I14" s="421" t="s">
        <v>40</v>
      </c>
      <c r="J14" s="421" t="s">
        <v>109</v>
      </c>
      <c r="K14" s="421" t="s">
        <v>110</v>
      </c>
      <c r="L14" s="421" t="s">
        <v>41</v>
      </c>
      <c r="M14" s="421" t="s">
        <v>42</v>
      </c>
      <c r="N14" s="421" t="s">
        <v>43</v>
      </c>
      <c r="O14" s="421" t="s">
        <v>106</v>
      </c>
      <c r="P14" s="424" t="s">
        <v>35</v>
      </c>
    </row>
    <row r="15" spans="1:18" ht="29.25" customHeight="1" x14ac:dyDescent="0.35">
      <c r="B15" s="1288" t="s">
        <v>141</v>
      </c>
      <c r="C15" s="1289"/>
      <c r="D15" s="1289"/>
      <c r="E15" s="1289"/>
      <c r="F15" s="1289"/>
      <c r="G15" s="1289"/>
      <c r="H15" s="1289"/>
      <c r="I15" s="1289"/>
      <c r="J15" s="1289"/>
      <c r="K15" s="1289"/>
      <c r="L15" s="1289"/>
      <c r="M15" s="1289"/>
      <c r="N15" s="1289"/>
      <c r="O15" s="1289"/>
      <c r="P15" s="1290"/>
    </row>
    <row r="16" spans="1:18" ht="26.25" customHeight="1" x14ac:dyDescent="0.35">
      <c r="A16" s="433"/>
      <c r="B16" s="1301" t="s">
        <v>142</v>
      </c>
      <c r="C16" s="1302"/>
      <c r="D16" s="1302"/>
      <c r="E16" s="1302"/>
      <c r="F16" s="1302"/>
      <c r="G16" s="1302"/>
      <c r="H16" s="1302"/>
      <c r="I16" s="1302"/>
      <c r="J16" s="1302"/>
      <c r="K16" s="1302"/>
      <c r="L16" s="1302"/>
      <c r="M16" s="1302"/>
      <c r="N16" s="1302"/>
      <c r="O16" s="1302"/>
      <c r="P16" s="1303"/>
    </row>
    <row r="17" spans="1:16" x14ac:dyDescent="0.35">
      <c r="A17" s="433"/>
      <c r="B17" s="414">
        <v>1</v>
      </c>
      <c r="C17" s="399" t="s">
        <v>143</v>
      </c>
      <c r="D17" s="245" t="s">
        <v>34</v>
      </c>
      <c r="E17" s="400"/>
      <c r="F17" s="289"/>
      <c r="G17" s="289"/>
      <c r="H17" s="411">
        <v>1</v>
      </c>
      <c r="I17" s="401"/>
      <c r="J17" s="401"/>
      <c r="K17" s="401"/>
      <c r="L17" s="401"/>
      <c r="M17" s="401"/>
      <c r="N17" s="401"/>
      <c r="O17" s="401"/>
      <c r="P17" s="415">
        <f>SUM(H17:O17)</f>
        <v>1</v>
      </c>
    </row>
    <row r="18" spans="1:16" x14ac:dyDescent="0.35">
      <c r="A18" s="39"/>
      <c r="B18" s="414">
        <v>2</v>
      </c>
      <c r="C18" s="399" t="s">
        <v>144</v>
      </c>
      <c r="D18" s="245" t="s">
        <v>34</v>
      </c>
      <c r="E18" s="402"/>
      <c r="F18" s="289"/>
      <c r="G18" s="289"/>
      <c r="H18" s="411">
        <v>1</v>
      </c>
      <c r="I18" s="401"/>
      <c r="J18" s="401"/>
      <c r="K18" s="401"/>
      <c r="L18" s="401"/>
      <c r="M18" s="401"/>
      <c r="N18" s="401"/>
      <c r="O18" s="401"/>
      <c r="P18" s="415">
        <f t="shared" ref="P18:P79" si="0">SUM(H18:O18)</f>
        <v>1</v>
      </c>
    </row>
    <row r="19" spans="1:16" x14ac:dyDescent="0.35">
      <c r="A19" s="433"/>
      <c r="B19" s="414">
        <v>3</v>
      </c>
      <c r="C19" s="399" t="s">
        <v>145</v>
      </c>
      <c r="D19" s="245" t="s">
        <v>34</v>
      </c>
      <c r="E19" s="402"/>
      <c r="F19" s="289"/>
      <c r="G19" s="289"/>
      <c r="H19" s="411">
        <v>1</v>
      </c>
      <c r="I19" s="401"/>
      <c r="J19" s="401"/>
      <c r="K19" s="401"/>
      <c r="L19" s="401"/>
      <c r="M19" s="401"/>
      <c r="N19" s="401"/>
      <c r="O19" s="401"/>
      <c r="P19" s="415">
        <f t="shared" si="0"/>
        <v>1</v>
      </c>
    </row>
    <row r="20" spans="1:16" x14ac:dyDescent="0.35">
      <c r="A20" s="433"/>
      <c r="B20" s="414">
        <v>4</v>
      </c>
      <c r="C20" s="399" t="s">
        <v>146</v>
      </c>
      <c r="D20" s="245" t="s">
        <v>34</v>
      </c>
      <c r="E20" s="402"/>
      <c r="F20" s="289"/>
      <c r="G20" s="289"/>
      <c r="H20" s="411">
        <v>1</v>
      </c>
      <c r="I20" s="401"/>
      <c r="J20" s="401"/>
      <c r="K20" s="401"/>
      <c r="L20" s="401"/>
      <c r="M20" s="401"/>
      <c r="N20" s="401"/>
      <c r="O20" s="401"/>
      <c r="P20" s="415">
        <f t="shared" si="0"/>
        <v>1</v>
      </c>
    </row>
    <row r="21" spans="1:16" x14ac:dyDescent="0.35">
      <c r="A21" s="433"/>
      <c r="B21" s="414">
        <v>5</v>
      </c>
      <c r="C21" s="399" t="s">
        <v>147</v>
      </c>
      <c r="D21" s="245" t="s">
        <v>34</v>
      </c>
      <c r="E21" s="402"/>
      <c r="F21" s="289"/>
      <c r="G21" s="289"/>
      <c r="H21" s="411">
        <v>1</v>
      </c>
      <c r="I21" s="401"/>
      <c r="J21" s="401"/>
      <c r="K21" s="401"/>
      <c r="L21" s="401"/>
      <c r="M21" s="401"/>
      <c r="N21" s="401"/>
      <c r="O21" s="401"/>
      <c r="P21" s="415">
        <f t="shared" si="0"/>
        <v>1</v>
      </c>
    </row>
    <row r="22" spans="1:16" ht="28" x14ac:dyDescent="0.35">
      <c r="A22" s="433"/>
      <c r="B22" s="414">
        <v>6</v>
      </c>
      <c r="C22" s="399" t="s">
        <v>148</v>
      </c>
      <c r="D22" s="245" t="s">
        <v>34</v>
      </c>
      <c r="E22" s="402"/>
      <c r="F22" s="289"/>
      <c r="G22" s="289"/>
      <c r="H22" s="411">
        <v>1</v>
      </c>
      <c r="I22" s="401"/>
      <c r="J22" s="401"/>
      <c r="K22" s="401"/>
      <c r="L22" s="401"/>
      <c r="M22" s="401"/>
      <c r="N22" s="401"/>
      <c r="O22" s="401"/>
      <c r="P22" s="415">
        <f t="shared" si="0"/>
        <v>1</v>
      </c>
    </row>
    <row r="23" spans="1:16" x14ac:dyDescent="0.35">
      <c r="A23" s="433"/>
      <c r="B23" s="416" t="s">
        <v>319</v>
      </c>
      <c r="C23" s="399"/>
      <c r="D23" s="245" t="s">
        <v>253</v>
      </c>
      <c r="E23" s="402"/>
      <c r="F23" s="289"/>
      <c r="G23" s="289"/>
      <c r="H23" s="411"/>
      <c r="I23" s="401"/>
      <c r="J23" s="401"/>
      <c r="K23" s="401"/>
      <c r="L23" s="401"/>
      <c r="M23" s="401"/>
      <c r="N23" s="401"/>
      <c r="O23" s="401"/>
      <c r="P23" s="415">
        <f t="shared" si="0"/>
        <v>0</v>
      </c>
    </row>
    <row r="24" spans="1:16" x14ac:dyDescent="0.35">
      <c r="A24" s="433"/>
      <c r="B24" s="414"/>
      <c r="C24" s="399"/>
      <c r="D24" s="245"/>
      <c r="E24" s="402"/>
      <c r="F24" s="289"/>
      <c r="G24" s="289"/>
      <c r="H24" s="411"/>
      <c r="I24" s="401"/>
      <c r="J24" s="401"/>
      <c r="K24" s="401"/>
      <c r="L24" s="401"/>
      <c r="M24" s="401"/>
      <c r="N24" s="401"/>
      <c r="O24" s="401"/>
      <c r="P24" s="415">
        <f t="shared" si="0"/>
        <v>0</v>
      </c>
    </row>
    <row r="25" spans="1:16" x14ac:dyDescent="0.35">
      <c r="A25" s="433"/>
      <c r="B25" s="414"/>
      <c r="C25" s="399"/>
      <c r="D25" s="245"/>
      <c r="E25" s="402"/>
      <c r="F25" s="289"/>
      <c r="G25" s="289"/>
      <c r="H25" s="411"/>
      <c r="I25" s="401"/>
      <c r="J25" s="401"/>
      <c r="K25" s="401"/>
      <c r="L25" s="401"/>
      <c r="M25" s="401"/>
      <c r="N25" s="401"/>
      <c r="O25" s="401"/>
      <c r="P25" s="415">
        <f t="shared" si="0"/>
        <v>0</v>
      </c>
    </row>
    <row r="26" spans="1:16" x14ac:dyDescent="0.35">
      <c r="A26" s="433"/>
      <c r="B26" s="414"/>
      <c r="C26" s="399"/>
      <c r="D26" s="245"/>
      <c r="E26" s="402"/>
      <c r="F26" s="289"/>
      <c r="G26" s="289"/>
      <c r="H26" s="411"/>
      <c r="I26" s="401"/>
      <c r="J26" s="401"/>
      <c r="K26" s="401"/>
      <c r="L26" s="401"/>
      <c r="M26" s="401"/>
      <c r="N26" s="401"/>
      <c r="O26" s="401"/>
      <c r="P26" s="415">
        <f t="shared" si="0"/>
        <v>0</v>
      </c>
    </row>
    <row r="27" spans="1:16" ht="25.5" customHeight="1" x14ac:dyDescent="0.35">
      <c r="A27" s="433"/>
      <c r="B27" s="1301" t="s">
        <v>149</v>
      </c>
      <c r="C27" s="1302"/>
      <c r="D27" s="1302"/>
      <c r="E27" s="1302"/>
      <c r="F27" s="1302"/>
      <c r="G27" s="1302"/>
      <c r="H27" s="1302"/>
      <c r="I27" s="1302"/>
      <c r="J27" s="1302"/>
      <c r="K27" s="1302"/>
      <c r="L27" s="1302"/>
      <c r="M27" s="1302"/>
      <c r="N27" s="1302"/>
      <c r="O27" s="1302"/>
      <c r="P27" s="1303"/>
    </row>
    <row r="28" spans="1:16" x14ac:dyDescent="0.35">
      <c r="A28" s="433"/>
      <c r="B28" s="414">
        <v>7</v>
      </c>
      <c r="C28" s="399" t="s">
        <v>150</v>
      </c>
      <c r="D28" s="245" t="s">
        <v>34</v>
      </c>
      <c r="E28" s="402">
        <v>12</v>
      </c>
      <c r="F28" s="289"/>
      <c r="G28" s="289"/>
      <c r="H28" s="401"/>
      <c r="I28" s="411">
        <v>0.2</v>
      </c>
      <c r="J28" s="411">
        <v>0.5</v>
      </c>
      <c r="K28" s="411">
        <v>0.3</v>
      </c>
      <c r="L28" s="401"/>
      <c r="M28" s="401"/>
      <c r="N28" s="401"/>
      <c r="O28" s="401"/>
      <c r="P28" s="415">
        <f t="shared" si="0"/>
        <v>1</v>
      </c>
    </row>
    <row r="29" spans="1:16" ht="28" x14ac:dyDescent="0.35">
      <c r="A29" s="433"/>
      <c r="B29" s="414">
        <v>8</v>
      </c>
      <c r="C29" s="399" t="s">
        <v>151</v>
      </c>
      <c r="D29" s="245" t="s">
        <v>34</v>
      </c>
      <c r="E29" s="402">
        <v>12</v>
      </c>
      <c r="F29" s="289"/>
      <c r="G29" s="289"/>
      <c r="H29" s="401"/>
      <c r="I29" s="411">
        <v>0.8</v>
      </c>
      <c r="J29" s="411">
        <v>0.2</v>
      </c>
      <c r="K29" s="401"/>
      <c r="L29" s="401"/>
      <c r="M29" s="401"/>
      <c r="N29" s="401"/>
      <c r="O29" s="401"/>
      <c r="P29" s="415">
        <f t="shared" si="0"/>
        <v>1</v>
      </c>
    </row>
    <row r="30" spans="1:16" x14ac:dyDescent="0.35">
      <c r="A30" s="433"/>
      <c r="B30" s="414">
        <v>9</v>
      </c>
      <c r="C30" s="399" t="s">
        <v>152</v>
      </c>
      <c r="D30" s="245" t="s">
        <v>34</v>
      </c>
      <c r="E30" s="402">
        <v>12</v>
      </c>
      <c r="F30" s="289"/>
      <c r="G30" s="289"/>
      <c r="H30" s="401"/>
      <c r="I30" s="411">
        <v>0.5</v>
      </c>
      <c r="J30" s="411">
        <v>0.5</v>
      </c>
      <c r="K30" s="401"/>
      <c r="L30" s="401"/>
      <c r="M30" s="401"/>
      <c r="N30" s="401"/>
      <c r="O30" s="401"/>
      <c r="P30" s="415">
        <f t="shared" si="0"/>
        <v>1</v>
      </c>
    </row>
    <row r="31" spans="1:16" ht="28" x14ac:dyDescent="0.35">
      <c r="A31" s="433"/>
      <c r="B31" s="414">
        <v>10</v>
      </c>
      <c r="C31" s="399" t="s">
        <v>153</v>
      </c>
      <c r="D31" s="245" t="s">
        <v>34</v>
      </c>
      <c r="E31" s="402">
        <v>12</v>
      </c>
      <c r="F31" s="289"/>
      <c r="G31" s="289"/>
      <c r="H31" s="401"/>
      <c r="I31" s="411">
        <v>1</v>
      </c>
      <c r="J31" s="401"/>
      <c r="K31" s="401"/>
      <c r="L31" s="401"/>
      <c r="M31" s="401"/>
      <c r="N31" s="401"/>
      <c r="O31" s="401"/>
      <c r="P31" s="415">
        <f t="shared" si="0"/>
        <v>1</v>
      </c>
    </row>
    <row r="32" spans="1:16" ht="28" x14ac:dyDescent="0.35">
      <c r="A32" s="433"/>
      <c r="B32" s="414">
        <v>11</v>
      </c>
      <c r="C32" s="399" t="s">
        <v>154</v>
      </c>
      <c r="D32" s="245" t="s">
        <v>34</v>
      </c>
      <c r="E32" s="402">
        <v>3</v>
      </c>
      <c r="F32" s="289"/>
      <c r="G32" s="289"/>
      <c r="H32" s="401"/>
      <c r="I32" s="401"/>
      <c r="J32" s="411">
        <v>1</v>
      </c>
      <c r="K32" s="401"/>
      <c r="L32" s="401"/>
      <c r="M32" s="401"/>
      <c r="N32" s="401"/>
      <c r="O32" s="401"/>
      <c r="P32" s="415">
        <f t="shared" si="0"/>
        <v>1</v>
      </c>
    </row>
    <row r="33" spans="1:16" x14ac:dyDescent="0.35">
      <c r="A33" s="433"/>
      <c r="B33" s="416" t="s">
        <v>319</v>
      </c>
      <c r="C33" s="399"/>
      <c r="D33" s="245" t="s">
        <v>253</v>
      </c>
      <c r="E33" s="402"/>
      <c r="F33" s="289"/>
      <c r="G33" s="289"/>
      <c r="H33" s="401"/>
      <c r="I33" s="401"/>
      <c r="J33" s="401"/>
      <c r="K33" s="401"/>
      <c r="L33" s="401"/>
      <c r="M33" s="401"/>
      <c r="N33" s="401"/>
      <c r="O33" s="401"/>
      <c r="P33" s="415">
        <f t="shared" si="0"/>
        <v>0</v>
      </c>
    </row>
    <row r="34" spans="1:16" x14ac:dyDescent="0.35">
      <c r="A34" s="433"/>
      <c r="B34" s="414"/>
      <c r="C34" s="399"/>
      <c r="D34" s="245"/>
      <c r="E34" s="402"/>
      <c r="F34" s="289"/>
      <c r="G34" s="289"/>
      <c r="H34" s="401"/>
      <c r="I34" s="401"/>
      <c r="J34" s="401"/>
      <c r="K34" s="401"/>
      <c r="L34" s="401"/>
      <c r="M34" s="401"/>
      <c r="N34" s="401"/>
      <c r="O34" s="401"/>
      <c r="P34" s="415">
        <f t="shared" si="0"/>
        <v>0</v>
      </c>
    </row>
    <row r="35" spans="1:16" x14ac:dyDescent="0.35">
      <c r="A35" s="433"/>
      <c r="B35" s="414"/>
      <c r="C35" s="399"/>
      <c r="D35" s="245"/>
      <c r="E35" s="402"/>
      <c r="F35" s="289"/>
      <c r="G35" s="289"/>
      <c r="H35" s="401"/>
      <c r="I35" s="401"/>
      <c r="J35" s="401"/>
      <c r="K35" s="401"/>
      <c r="L35" s="401"/>
      <c r="M35" s="401"/>
      <c r="N35" s="401"/>
      <c r="O35" s="401"/>
      <c r="P35" s="415">
        <f t="shared" si="0"/>
        <v>0</v>
      </c>
    </row>
    <row r="36" spans="1:16" x14ac:dyDescent="0.35">
      <c r="A36" s="433"/>
      <c r="B36" s="414"/>
      <c r="C36" s="399"/>
      <c r="D36" s="245"/>
      <c r="E36" s="402"/>
      <c r="F36" s="289"/>
      <c r="G36" s="289"/>
      <c r="H36" s="401"/>
      <c r="I36" s="401"/>
      <c r="J36" s="401"/>
      <c r="K36" s="401"/>
      <c r="L36" s="401"/>
      <c r="M36" s="401"/>
      <c r="N36" s="401"/>
      <c r="O36" s="401"/>
      <c r="P36" s="415">
        <f t="shared" si="0"/>
        <v>0</v>
      </c>
    </row>
    <row r="37" spans="1:16" ht="26.25" customHeight="1" x14ac:dyDescent="0.35">
      <c r="A37" s="433"/>
      <c r="B37" s="1301" t="s">
        <v>11</v>
      </c>
      <c r="C37" s="1302"/>
      <c r="D37" s="1302"/>
      <c r="E37" s="1302"/>
      <c r="F37" s="1302"/>
      <c r="G37" s="1302"/>
      <c r="H37" s="1302"/>
      <c r="I37" s="1302"/>
      <c r="J37" s="1302"/>
      <c r="K37" s="1302"/>
      <c r="L37" s="1302"/>
      <c r="M37" s="1302"/>
      <c r="N37" s="1302"/>
      <c r="O37" s="1302"/>
      <c r="P37" s="1303"/>
    </row>
    <row r="38" spans="1:16" ht="28" x14ac:dyDescent="0.35">
      <c r="A38" s="433"/>
      <c r="B38" s="414">
        <v>12</v>
      </c>
      <c r="C38" s="399" t="s">
        <v>155</v>
      </c>
      <c r="D38" s="245" t="s">
        <v>34</v>
      </c>
      <c r="E38" s="402">
        <v>12</v>
      </c>
      <c r="F38" s="289"/>
      <c r="G38" s="289"/>
      <c r="H38" s="401"/>
      <c r="I38" s="401"/>
      <c r="J38" s="411">
        <v>1</v>
      </c>
      <c r="K38" s="401"/>
      <c r="L38" s="401"/>
      <c r="M38" s="401"/>
      <c r="N38" s="401"/>
      <c r="O38" s="401"/>
      <c r="P38" s="415">
        <f t="shared" si="0"/>
        <v>1</v>
      </c>
    </row>
    <row r="39" spans="1:16" ht="28" x14ac:dyDescent="0.35">
      <c r="A39" s="433"/>
      <c r="B39" s="414">
        <v>13</v>
      </c>
      <c r="C39" s="399" t="s">
        <v>156</v>
      </c>
      <c r="D39" s="245" t="s">
        <v>34</v>
      </c>
      <c r="E39" s="402">
        <v>12</v>
      </c>
      <c r="F39" s="289"/>
      <c r="G39" s="289"/>
      <c r="H39" s="401"/>
      <c r="I39" s="401"/>
      <c r="J39" s="411">
        <v>1</v>
      </c>
      <c r="K39" s="401"/>
      <c r="L39" s="401"/>
      <c r="M39" s="401"/>
      <c r="N39" s="401"/>
      <c r="O39" s="401"/>
      <c r="P39" s="415">
        <f t="shared" si="0"/>
        <v>1</v>
      </c>
    </row>
    <row r="40" spans="1:16" ht="28" x14ac:dyDescent="0.35">
      <c r="A40" s="433"/>
      <c r="B40" s="414">
        <v>14</v>
      </c>
      <c r="C40" s="399" t="s">
        <v>157</v>
      </c>
      <c r="D40" s="245" t="s">
        <v>34</v>
      </c>
      <c r="E40" s="402">
        <v>12</v>
      </c>
      <c r="F40" s="289"/>
      <c r="G40" s="289"/>
      <c r="H40" s="401"/>
      <c r="I40" s="401"/>
      <c r="J40" s="411">
        <v>1</v>
      </c>
      <c r="K40" s="401"/>
      <c r="L40" s="401"/>
      <c r="M40" s="401"/>
      <c r="N40" s="401"/>
      <c r="O40" s="401"/>
      <c r="P40" s="415">
        <f t="shared" si="0"/>
        <v>1</v>
      </c>
    </row>
    <row r="41" spans="1:16" x14ac:dyDescent="0.35">
      <c r="A41" s="433"/>
      <c r="B41" s="416" t="s">
        <v>319</v>
      </c>
      <c r="C41" s="399"/>
      <c r="D41" s="245" t="s">
        <v>253</v>
      </c>
      <c r="E41" s="402"/>
      <c r="F41" s="289"/>
      <c r="G41" s="289"/>
      <c r="H41" s="401"/>
      <c r="I41" s="401"/>
      <c r="J41" s="401"/>
      <c r="K41" s="401"/>
      <c r="L41" s="401"/>
      <c r="M41" s="401"/>
      <c r="N41" s="401"/>
      <c r="O41" s="401"/>
      <c r="P41" s="415">
        <f t="shared" si="0"/>
        <v>0</v>
      </c>
    </row>
    <row r="42" spans="1:16" x14ac:dyDescent="0.35">
      <c r="A42" s="433"/>
      <c r="B42" s="414"/>
      <c r="C42" s="399"/>
      <c r="D42" s="245"/>
      <c r="E42" s="402"/>
      <c r="F42" s="289"/>
      <c r="G42" s="289"/>
      <c r="H42" s="401"/>
      <c r="I42" s="401"/>
      <c r="J42" s="401"/>
      <c r="K42" s="401"/>
      <c r="L42" s="401"/>
      <c r="M42" s="401"/>
      <c r="N42" s="401"/>
      <c r="O42" s="401"/>
      <c r="P42" s="415">
        <f t="shared" si="0"/>
        <v>0</v>
      </c>
    </row>
    <row r="43" spans="1:16" x14ac:dyDescent="0.35">
      <c r="A43" s="433"/>
      <c r="B43" s="414"/>
      <c r="C43" s="399"/>
      <c r="D43" s="245"/>
      <c r="E43" s="402"/>
      <c r="F43" s="289"/>
      <c r="G43" s="289"/>
      <c r="H43" s="401"/>
      <c r="I43" s="401"/>
      <c r="J43" s="401"/>
      <c r="K43" s="401"/>
      <c r="L43" s="401"/>
      <c r="M43" s="401"/>
      <c r="N43" s="401"/>
      <c r="O43" s="401"/>
      <c r="P43" s="415">
        <f t="shared" si="0"/>
        <v>0</v>
      </c>
    </row>
    <row r="44" spans="1:16" x14ac:dyDescent="0.35">
      <c r="A44" s="433"/>
      <c r="B44" s="414"/>
      <c r="C44" s="399"/>
      <c r="D44" s="245"/>
      <c r="E44" s="402"/>
      <c r="F44" s="289"/>
      <c r="G44" s="289"/>
      <c r="H44" s="401"/>
      <c r="I44" s="401"/>
      <c r="J44" s="401"/>
      <c r="K44" s="401"/>
      <c r="L44" s="401"/>
      <c r="M44" s="401"/>
      <c r="N44" s="401"/>
      <c r="O44" s="401"/>
      <c r="P44" s="415">
        <f t="shared" si="0"/>
        <v>0</v>
      </c>
    </row>
    <row r="45" spans="1:16" ht="24" customHeight="1" x14ac:dyDescent="0.35">
      <c r="A45" s="433"/>
      <c r="B45" s="1301" t="s">
        <v>158</v>
      </c>
      <c r="C45" s="1302"/>
      <c r="D45" s="1302"/>
      <c r="E45" s="1302"/>
      <c r="F45" s="1302"/>
      <c r="G45" s="1302"/>
      <c r="H45" s="1302"/>
      <c r="I45" s="1302"/>
      <c r="J45" s="1302"/>
      <c r="K45" s="1302"/>
      <c r="L45" s="1302"/>
      <c r="M45" s="1302"/>
      <c r="N45" s="1302"/>
      <c r="O45" s="1302"/>
      <c r="P45" s="1303"/>
    </row>
    <row r="46" spans="1:16" x14ac:dyDescent="0.35">
      <c r="A46" s="433"/>
      <c r="B46" s="414">
        <v>15</v>
      </c>
      <c r="C46" s="399" t="s">
        <v>159</v>
      </c>
      <c r="D46" s="245" t="s">
        <v>34</v>
      </c>
      <c r="E46" s="402"/>
      <c r="F46" s="289"/>
      <c r="G46" s="289"/>
      <c r="H46" s="411">
        <v>1</v>
      </c>
      <c r="I46" s="401"/>
      <c r="J46" s="401"/>
      <c r="K46" s="401"/>
      <c r="L46" s="401"/>
      <c r="M46" s="401"/>
      <c r="N46" s="401"/>
      <c r="O46" s="401"/>
      <c r="P46" s="415">
        <f t="shared" si="0"/>
        <v>1</v>
      </c>
    </row>
    <row r="47" spans="1:16" x14ac:dyDescent="0.35">
      <c r="A47" s="433"/>
      <c r="B47" s="416" t="s">
        <v>319</v>
      </c>
      <c r="C47" s="399"/>
      <c r="D47" s="245" t="s">
        <v>253</v>
      </c>
      <c r="E47" s="402"/>
      <c r="F47" s="289"/>
      <c r="G47" s="289"/>
      <c r="H47" s="411"/>
      <c r="I47" s="401"/>
      <c r="J47" s="401"/>
      <c r="K47" s="401"/>
      <c r="L47" s="401"/>
      <c r="M47" s="401"/>
      <c r="N47" s="401"/>
      <c r="O47" s="401"/>
      <c r="P47" s="415">
        <f t="shared" si="0"/>
        <v>0</v>
      </c>
    </row>
    <row r="48" spans="1:16" x14ac:dyDescent="0.35">
      <c r="A48" s="433"/>
      <c r="B48" s="414"/>
      <c r="C48" s="399"/>
      <c r="D48" s="245"/>
      <c r="E48" s="402"/>
      <c r="F48" s="289"/>
      <c r="G48" s="289"/>
      <c r="H48" s="411"/>
      <c r="I48" s="401"/>
      <c r="J48" s="401"/>
      <c r="K48" s="401"/>
      <c r="L48" s="401"/>
      <c r="M48" s="401"/>
      <c r="N48" s="401"/>
      <c r="O48" s="401"/>
      <c r="P48" s="415">
        <f t="shared" si="0"/>
        <v>0</v>
      </c>
    </row>
    <row r="49" spans="1:16" x14ac:dyDescent="0.35">
      <c r="A49" s="433"/>
      <c r="B49" s="414"/>
      <c r="C49" s="399"/>
      <c r="D49" s="245"/>
      <c r="E49" s="402"/>
      <c r="F49" s="289"/>
      <c r="G49" s="289"/>
      <c r="H49" s="411"/>
      <c r="I49" s="401"/>
      <c r="J49" s="401"/>
      <c r="K49" s="401"/>
      <c r="L49" s="401"/>
      <c r="M49" s="401"/>
      <c r="N49" s="401"/>
      <c r="O49" s="401"/>
      <c r="P49" s="415"/>
    </row>
    <row r="50" spans="1:16" x14ac:dyDescent="0.35">
      <c r="A50" s="433"/>
      <c r="B50" s="414"/>
      <c r="C50" s="399"/>
      <c r="D50" s="245"/>
      <c r="E50" s="402"/>
      <c r="F50" s="289"/>
      <c r="G50" s="289"/>
      <c r="H50" s="411"/>
      <c r="I50" s="401"/>
      <c r="J50" s="401"/>
      <c r="K50" s="401"/>
      <c r="L50" s="401"/>
      <c r="M50" s="401"/>
      <c r="N50" s="401"/>
      <c r="O50" s="401"/>
      <c r="P50" s="415">
        <f t="shared" si="0"/>
        <v>0</v>
      </c>
    </row>
    <row r="51" spans="1:16" ht="21" customHeight="1" x14ac:dyDescent="0.35">
      <c r="A51" s="432"/>
      <c r="B51" s="1301" t="s">
        <v>160</v>
      </c>
      <c r="C51" s="1302"/>
      <c r="D51" s="1302"/>
      <c r="E51" s="1302"/>
      <c r="F51" s="1302"/>
      <c r="G51" s="1302"/>
      <c r="H51" s="1302"/>
      <c r="I51" s="1302"/>
      <c r="J51" s="1302"/>
      <c r="K51" s="1302"/>
      <c r="L51" s="1302"/>
      <c r="M51" s="1302"/>
      <c r="N51" s="1302"/>
      <c r="O51" s="1302"/>
      <c r="P51" s="1303"/>
    </row>
    <row r="52" spans="1:16" x14ac:dyDescent="0.35">
      <c r="A52" s="433"/>
      <c r="B52" s="414">
        <v>16</v>
      </c>
      <c r="C52" s="399" t="s">
        <v>161</v>
      </c>
      <c r="D52" s="245" t="s">
        <v>34</v>
      </c>
      <c r="E52" s="402"/>
      <c r="F52" s="289"/>
      <c r="G52" s="289"/>
      <c r="H52" s="401"/>
      <c r="I52" s="401"/>
      <c r="J52" s="401"/>
      <c r="K52" s="401"/>
      <c r="L52" s="401"/>
      <c r="M52" s="401"/>
      <c r="N52" s="401"/>
      <c r="O52" s="401"/>
      <c r="P52" s="415">
        <f t="shared" si="0"/>
        <v>0</v>
      </c>
    </row>
    <row r="53" spans="1:16" x14ac:dyDescent="0.35">
      <c r="A53" s="433"/>
      <c r="B53" s="414">
        <v>17</v>
      </c>
      <c r="C53" s="399" t="s">
        <v>162</v>
      </c>
      <c r="D53" s="245" t="s">
        <v>34</v>
      </c>
      <c r="E53" s="402"/>
      <c r="F53" s="289"/>
      <c r="G53" s="289"/>
      <c r="H53" s="401"/>
      <c r="I53" s="401"/>
      <c r="J53" s="401"/>
      <c r="K53" s="401"/>
      <c r="L53" s="401"/>
      <c r="M53" s="401"/>
      <c r="N53" s="401"/>
      <c r="O53" s="401"/>
      <c r="P53" s="415">
        <f t="shared" si="0"/>
        <v>0</v>
      </c>
    </row>
    <row r="54" spans="1:16" x14ac:dyDescent="0.35">
      <c r="A54" s="433"/>
      <c r="B54" s="414">
        <v>18</v>
      </c>
      <c r="C54" s="399" t="s">
        <v>163</v>
      </c>
      <c r="D54" s="245" t="s">
        <v>34</v>
      </c>
      <c r="E54" s="402"/>
      <c r="F54" s="289"/>
      <c r="G54" s="289"/>
      <c r="H54" s="401"/>
      <c r="I54" s="401"/>
      <c r="J54" s="401"/>
      <c r="K54" s="401"/>
      <c r="L54" s="401"/>
      <c r="M54" s="401"/>
      <c r="N54" s="401"/>
      <c r="O54" s="401"/>
      <c r="P54" s="415">
        <f t="shared" si="0"/>
        <v>0</v>
      </c>
    </row>
    <row r="55" spans="1:16" x14ac:dyDescent="0.35">
      <c r="A55" s="433"/>
      <c r="B55" s="414">
        <v>19</v>
      </c>
      <c r="C55" s="399" t="s">
        <v>164</v>
      </c>
      <c r="D55" s="245" t="s">
        <v>34</v>
      </c>
      <c r="E55" s="402"/>
      <c r="F55" s="289"/>
      <c r="G55" s="289"/>
      <c r="H55" s="401"/>
      <c r="I55" s="401"/>
      <c r="J55" s="401"/>
      <c r="K55" s="401"/>
      <c r="L55" s="401"/>
      <c r="M55" s="401"/>
      <c r="N55" s="401"/>
      <c r="O55" s="401"/>
      <c r="P55" s="415">
        <f t="shared" si="0"/>
        <v>0</v>
      </c>
    </row>
    <row r="56" spans="1:16" x14ac:dyDescent="0.35">
      <c r="A56" s="433"/>
      <c r="B56" s="416" t="s">
        <v>319</v>
      </c>
      <c r="C56" s="399"/>
      <c r="D56" s="245" t="s">
        <v>253</v>
      </c>
      <c r="E56" s="402"/>
      <c r="F56" s="289"/>
      <c r="G56" s="289"/>
      <c r="H56" s="401"/>
      <c r="I56" s="401"/>
      <c r="J56" s="401"/>
      <c r="K56" s="401"/>
      <c r="L56" s="401"/>
      <c r="M56" s="401"/>
      <c r="N56" s="401"/>
      <c r="O56" s="401"/>
      <c r="P56" s="415">
        <f t="shared" si="0"/>
        <v>0</v>
      </c>
    </row>
    <row r="57" spans="1:16" x14ac:dyDescent="0.35">
      <c r="A57" s="433"/>
      <c r="B57" s="416"/>
      <c r="C57" s="399"/>
      <c r="D57" s="245"/>
      <c r="E57" s="402"/>
      <c r="F57" s="289"/>
      <c r="G57" s="289"/>
      <c r="H57" s="401"/>
      <c r="I57" s="401"/>
      <c r="J57" s="401"/>
      <c r="K57" s="401"/>
      <c r="L57" s="401"/>
      <c r="M57" s="401"/>
      <c r="N57" s="401"/>
      <c r="O57" s="401"/>
      <c r="P57" s="415"/>
    </row>
    <row r="58" spans="1:16" x14ac:dyDescent="0.35">
      <c r="A58" s="433"/>
      <c r="B58" s="416"/>
      <c r="C58" s="399"/>
      <c r="D58" s="245"/>
      <c r="E58" s="402"/>
      <c r="F58" s="289"/>
      <c r="G58" s="289"/>
      <c r="H58" s="401"/>
      <c r="I58" s="401"/>
      <c r="J58" s="401"/>
      <c r="K58" s="401"/>
      <c r="L58" s="401"/>
      <c r="M58" s="401"/>
      <c r="N58" s="401"/>
      <c r="O58" s="401"/>
      <c r="P58" s="415"/>
    </row>
    <row r="59" spans="1:16" x14ac:dyDescent="0.35">
      <c r="A59" s="432"/>
      <c r="B59" s="417"/>
      <c r="C59" s="403"/>
      <c r="D59" s="404"/>
      <c r="E59" s="404"/>
      <c r="F59" s="289"/>
      <c r="G59" s="289"/>
      <c r="H59" s="405"/>
      <c r="I59" s="405"/>
      <c r="J59" s="405"/>
      <c r="K59" s="405"/>
      <c r="L59" s="405"/>
      <c r="M59" s="405"/>
      <c r="N59" s="405"/>
      <c r="O59" s="405"/>
      <c r="P59" s="415"/>
    </row>
    <row r="60" spans="1:16" ht="27" customHeight="1" x14ac:dyDescent="0.35">
      <c r="B60" s="1288" t="s">
        <v>165</v>
      </c>
      <c r="C60" s="1289"/>
      <c r="D60" s="1289"/>
      <c r="E60" s="1289"/>
      <c r="F60" s="1289"/>
      <c r="G60" s="1289"/>
      <c r="H60" s="1289"/>
      <c r="I60" s="1289"/>
      <c r="J60" s="1289"/>
      <c r="K60" s="1289"/>
      <c r="L60" s="1289"/>
      <c r="M60" s="1289"/>
      <c r="N60" s="1289"/>
      <c r="O60" s="1289"/>
      <c r="P60" s="1290"/>
    </row>
    <row r="61" spans="1:16" ht="16.5" x14ac:dyDescent="0.35">
      <c r="B61" s="418"/>
      <c r="C61" s="399"/>
      <c r="D61" s="402"/>
      <c r="E61" s="402"/>
      <c r="F61" s="398"/>
      <c r="G61" s="398"/>
      <c r="H61" s="398"/>
      <c r="I61" s="398"/>
      <c r="J61" s="398"/>
      <c r="K61" s="398"/>
      <c r="L61" s="398"/>
      <c r="M61" s="398"/>
      <c r="N61" s="398"/>
      <c r="O61" s="398"/>
      <c r="P61" s="419"/>
    </row>
    <row r="62" spans="1:16" ht="25.5" customHeight="1" x14ac:dyDescent="0.35">
      <c r="A62" s="433"/>
      <c r="B62" s="1304" t="s">
        <v>166</v>
      </c>
      <c r="C62" s="1279"/>
      <c r="D62" s="1279"/>
      <c r="E62" s="1279"/>
      <c r="F62" s="1279"/>
      <c r="G62" s="1279"/>
      <c r="H62" s="1279"/>
      <c r="I62" s="1279"/>
      <c r="J62" s="1279"/>
      <c r="K62" s="1279"/>
      <c r="L62" s="1279"/>
      <c r="M62" s="1279"/>
      <c r="N62" s="1279"/>
      <c r="O62" s="1279"/>
      <c r="P62" s="1305"/>
    </row>
    <row r="63" spans="1:16" x14ac:dyDescent="0.35">
      <c r="A63" s="433"/>
      <c r="B63" s="414">
        <v>21</v>
      </c>
      <c r="C63" s="399" t="s">
        <v>167</v>
      </c>
      <c r="D63" s="245" t="s">
        <v>34</v>
      </c>
      <c r="E63" s="402"/>
      <c r="F63" s="289"/>
      <c r="G63" s="289"/>
      <c r="H63" s="411">
        <v>1</v>
      </c>
      <c r="I63" s="401"/>
      <c r="J63" s="401"/>
      <c r="K63" s="401"/>
      <c r="L63" s="401"/>
      <c r="M63" s="401"/>
      <c r="N63" s="401"/>
      <c r="O63" s="401"/>
      <c r="P63" s="415">
        <f t="shared" si="0"/>
        <v>1</v>
      </c>
    </row>
    <row r="64" spans="1:16" x14ac:dyDescent="0.35">
      <c r="A64" s="433"/>
      <c r="B64" s="414">
        <v>22</v>
      </c>
      <c r="C64" s="399" t="s">
        <v>168</v>
      </c>
      <c r="D64" s="245" t="s">
        <v>34</v>
      </c>
      <c r="E64" s="402"/>
      <c r="F64" s="289"/>
      <c r="G64" s="289"/>
      <c r="H64" s="411">
        <v>1</v>
      </c>
      <c r="I64" s="401"/>
      <c r="J64" s="401"/>
      <c r="K64" s="401"/>
      <c r="L64" s="401"/>
      <c r="M64" s="401"/>
      <c r="N64" s="401"/>
      <c r="O64" s="401"/>
      <c r="P64" s="415">
        <f t="shared" si="0"/>
        <v>1</v>
      </c>
    </row>
    <row r="65" spans="1:16" x14ac:dyDescent="0.35">
      <c r="A65" s="433"/>
      <c r="B65" s="414">
        <v>23</v>
      </c>
      <c r="C65" s="399" t="s">
        <v>169</v>
      </c>
      <c r="D65" s="245" t="s">
        <v>34</v>
      </c>
      <c r="E65" s="402"/>
      <c r="F65" s="289"/>
      <c r="G65" s="289"/>
      <c r="H65" s="411">
        <v>1</v>
      </c>
      <c r="I65" s="401"/>
      <c r="J65" s="401"/>
      <c r="K65" s="401"/>
      <c r="L65" s="401"/>
      <c r="M65" s="401"/>
      <c r="N65" s="401"/>
      <c r="O65" s="401"/>
      <c r="P65" s="415">
        <f t="shared" si="0"/>
        <v>1</v>
      </c>
    </row>
    <row r="66" spans="1:16" x14ac:dyDescent="0.35">
      <c r="A66" s="433"/>
      <c r="B66" s="414">
        <v>24</v>
      </c>
      <c r="C66" s="399" t="s">
        <v>170</v>
      </c>
      <c r="D66" s="245" t="s">
        <v>34</v>
      </c>
      <c r="E66" s="402"/>
      <c r="F66" s="289"/>
      <c r="G66" s="289"/>
      <c r="H66" s="411">
        <v>1</v>
      </c>
      <c r="I66" s="401"/>
      <c r="J66" s="401"/>
      <c r="K66" s="401"/>
      <c r="L66" s="401"/>
      <c r="M66" s="401"/>
      <c r="N66" s="401"/>
      <c r="O66" s="401"/>
      <c r="P66" s="415">
        <f t="shared" si="0"/>
        <v>1</v>
      </c>
    </row>
    <row r="67" spans="1:16" x14ac:dyDescent="0.35">
      <c r="A67" s="433"/>
      <c r="B67" s="416" t="s">
        <v>319</v>
      </c>
      <c r="C67" s="399"/>
      <c r="D67" s="245" t="s">
        <v>253</v>
      </c>
      <c r="E67" s="402"/>
      <c r="F67" s="289"/>
      <c r="G67" s="289"/>
      <c r="H67" s="411"/>
      <c r="I67" s="401"/>
      <c r="J67" s="401"/>
      <c r="K67" s="401"/>
      <c r="L67" s="401"/>
      <c r="M67" s="401"/>
      <c r="N67" s="401"/>
      <c r="O67" s="401"/>
      <c r="P67" s="415"/>
    </row>
    <row r="68" spans="1:16" x14ac:dyDescent="0.35">
      <c r="A68" s="433"/>
      <c r="B68" s="414"/>
      <c r="C68" s="399"/>
      <c r="D68" s="245"/>
      <c r="E68" s="402"/>
      <c r="F68" s="289"/>
      <c r="G68" s="289"/>
      <c r="H68" s="411"/>
      <c r="I68" s="401"/>
      <c r="J68" s="401"/>
      <c r="K68" s="401"/>
      <c r="L68" s="401"/>
      <c r="M68" s="401"/>
      <c r="N68" s="401"/>
      <c r="O68" s="401"/>
      <c r="P68" s="415"/>
    </row>
    <row r="69" spans="1:16" x14ac:dyDescent="0.35">
      <c r="A69" s="433"/>
      <c r="B69" s="414"/>
      <c r="C69" s="399"/>
      <c r="D69" s="245"/>
      <c r="E69" s="402"/>
      <c r="F69" s="289"/>
      <c r="G69" s="289"/>
      <c r="H69" s="411"/>
      <c r="I69" s="401"/>
      <c r="J69" s="401"/>
      <c r="K69" s="401"/>
      <c r="L69" s="401"/>
      <c r="M69" s="401"/>
      <c r="N69" s="401"/>
      <c r="O69" s="401"/>
      <c r="P69" s="415"/>
    </row>
    <row r="70" spans="1:16" x14ac:dyDescent="0.35">
      <c r="A70" s="433"/>
      <c r="B70" s="414"/>
      <c r="C70" s="399"/>
      <c r="D70" s="245"/>
      <c r="E70" s="402"/>
      <c r="F70" s="289"/>
      <c r="G70" s="289"/>
      <c r="H70" s="401"/>
      <c r="I70" s="401"/>
      <c r="J70" s="401"/>
      <c r="K70" s="401"/>
      <c r="L70" s="401"/>
      <c r="M70" s="401"/>
      <c r="N70" s="401"/>
      <c r="O70" s="401"/>
      <c r="P70" s="415">
        <f t="shared" si="0"/>
        <v>0</v>
      </c>
    </row>
    <row r="71" spans="1:16" ht="28.5" customHeight="1" x14ac:dyDescent="0.35">
      <c r="A71" s="433"/>
      <c r="B71" s="1304" t="s">
        <v>171</v>
      </c>
      <c r="C71" s="1279"/>
      <c r="D71" s="1279"/>
      <c r="E71" s="1279"/>
      <c r="F71" s="1279"/>
      <c r="G71" s="1279"/>
      <c r="H71" s="1279"/>
      <c r="I71" s="1279"/>
      <c r="J71" s="1279"/>
      <c r="K71" s="1279"/>
      <c r="L71" s="1279"/>
      <c r="M71" s="1279"/>
      <c r="N71" s="1279"/>
      <c r="O71" s="1279"/>
      <c r="P71" s="1305"/>
    </row>
    <row r="72" spans="1:16" x14ac:dyDescent="0.35">
      <c r="A72" s="433"/>
      <c r="B72" s="414">
        <v>25</v>
      </c>
      <c r="C72" s="399" t="s">
        <v>172</v>
      </c>
      <c r="D72" s="245" t="s">
        <v>34</v>
      </c>
      <c r="E72" s="402"/>
      <c r="F72" s="289"/>
      <c r="G72" s="289"/>
      <c r="H72" s="401"/>
      <c r="I72" s="411">
        <v>1</v>
      </c>
      <c r="J72" s="401"/>
      <c r="K72" s="401"/>
      <c r="L72" s="401"/>
      <c r="M72" s="401"/>
      <c r="N72" s="401"/>
      <c r="O72" s="401"/>
      <c r="P72" s="415">
        <f t="shared" si="0"/>
        <v>1</v>
      </c>
    </row>
    <row r="73" spans="1:16" x14ac:dyDescent="0.35">
      <c r="A73" s="433"/>
      <c r="B73" s="414">
        <v>26</v>
      </c>
      <c r="C73" s="399" t="s">
        <v>173</v>
      </c>
      <c r="D73" s="245" t="s">
        <v>34</v>
      </c>
      <c r="E73" s="402"/>
      <c r="F73" s="289"/>
      <c r="G73" s="289"/>
      <c r="H73" s="401"/>
      <c r="I73" s="411">
        <v>1</v>
      </c>
      <c r="J73" s="401"/>
      <c r="K73" s="401"/>
      <c r="L73" s="401"/>
      <c r="M73" s="401"/>
      <c r="N73" s="401"/>
      <c r="O73" s="401"/>
      <c r="P73" s="415">
        <f t="shared" si="0"/>
        <v>1</v>
      </c>
    </row>
    <row r="74" spans="1:16" ht="28" x14ac:dyDescent="0.35">
      <c r="A74" s="433"/>
      <c r="B74" s="414">
        <v>27</v>
      </c>
      <c r="C74" s="399" t="s">
        <v>174</v>
      </c>
      <c r="D74" s="245" t="s">
        <v>34</v>
      </c>
      <c r="E74" s="402"/>
      <c r="F74" s="289"/>
      <c r="G74" s="289"/>
      <c r="H74" s="401"/>
      <c r="I74" s="411">
        <v>0.8</v>
      </c>
      <c r="J74" s="411">
        <v>0.2</v>
      </c>
      <c r="K74" s="401"/>
      <c r="L74" s="401"/>
      <c r="M74" s="401"/>
      <c r="N74" s="401"/>
      <c r="O74" s="401"/>
      <c r="P74" s="415">
        <f t="shared" si="0"/>
        <v>1</v>
      </c>
    </row>
    <row r="75" spans="1:16" ht="28" x14ac:dyDescent="0.35">
      <c r="A75" s="433"/>
      <c r="B75" s="414">
        <v>28</v>
      </c>
      <c r="C75" s="399" t="s">
        <v>175</v>
      </c>
      <c r="D75" s="245" t="s">
        <v>34</v>
      </c>
      <c r="E75" s="402"/>
      <c r="F75" s="289"/>
      <c r="G75" s="289"/>
      <c r="H75" s="401"/>
      <c r="I75" s="401"/>
      <c r="J75" s="401"/>
      <c r="K75" s="401"/>
      <c r="L75" s="401"/>
      <c r="M75" s="401"/>
      <c r="N75" s="401"/>
      <c r="O75" s="401"/>
      <c r="P75" s="415">
        <f t="shared" si="0"/>
        <v>0</v>
      </c>
    </row>
    <row r="76" spans="1:16" ht="28" x14ac:dyDescent="0.35">
      <c r="A76" s="433"/>
      <c r="B76" s="414">
        <v>29</v>
      </c>
      <c r="C76" s="399" t="s">
        <v>176</v>
      </c>
      <c r="D76" s="245" t="s">
        <v>34</v>
      </c>
      <c r="E76" s="402"/>
      <c r="F76" s="289"/>
      <c r="G76" s="289"/>
      <c r="H76" s="401"/>
      <c r="I76" s="401"/>
      <c r="J76" s="401"/>
      <c r="K76" s="401"/>
      <c r="L76" s="401"/>
      <c r="M76" s="401"/>
      <c r="N76" s="401"/>
      <c r="O76" s="401"/>
      <c r="P76" s="415">
        <f t="shared" si="0"/>
        <v>0</v>
      </c>
    </row>
    <row r="77" spans="1:16" ht="28" x14ac:dyDescent="0.35">
      <c r="A77" s="433"/>
      <c r="B77" s="414">
        <v>30</v>
      </c>
      <c r="C77" s="399" t="s">
        <v>177</v>
      </c>
      <c r="D77" s="245" t="s">
        <v>34</v>
      </c>
      <c r="E77" s="402"/>
      <c r="F77" s="289"/>
      <c r="G77" s="289"/>
      <c r="H77" s="401"/>
      <c r="I77" s="401"/>
      <c r="J77" s="401"/>
      <c r="K77" s="401"/>
      <c r="L77" s="401"/>
      <c r="M77" s="401"/>
      <c r="N77" s="401"/>
      <c r="O77" s="401"/>
      <c r="P77" s="415">
        <f t="shared" si="0"/>
        <v>0</v>
      </c>
    </row>
    <row r="78" spans="1:16" x14ac:dyDescent="0.35">
      <c r="A78" s="433"/>
      <c r="B78" s="414">
        <v>31</v>
      </c>
      <c r="C78" s="399" t="s">
        <v>178</v>
      </c>
      <c r="D78" s="245" t="s">
        <v>34</v>
      </c>
      <c r="E78" s="402"/>
      <c r="F78" s="289"/>
      <c r="G78" s="289"/>
      <c r="H78" s="401"/>
      <c r="I78" s="401"/>
      <c r="J78" s="401"/>
      <c r="K78" s="401"/>
      <c r="L78" s="401"/>
      <c r="M78" s="401"/>
      <c r="N78" s="401"/>
      <c r="O78" s="401"/>
      <c r="P78" s="415">
        <f t="shared" si="0"/>
        <v>0</v>
      </c>
    </row>
    <row r="79" spans="1:16" x14ac:dyDescent="0.35">
      <c r="A79" s="433"/>
      <c r="B79" s="414">
        <v>32</v>
      </c>
      <c r="C79" s="399" t="s">
        <v>179</v>
      </c>
      <c r="D79" s="245" t="s">
        <v>34</v>
      </c>
      <c r="E79" s="402"/>
      <c r="F79" s="289"/>
      <c r="G79" s="289"/>
      <c r="H79" s="401"/>
      <c r="I79" s="401"/>
      <c r="J79" s="401"/>
      <c r="K79" s="401"/>
      <c r="L79" s="401"/>
      <c r="M79" s="401"/>
      <c r="N79" s="401"/>
      <c r="O79" s="401"/>
      <c r="P79" s="415">
        <f t="shared" si="0"/>
        <v>0</v>
      </c>
    </row>
    <row r="80" spans="1:16" x14ac:dyDescent="0.35">
      <c r="A80" s="433"/>
      <c r="B80" s="416" t="s">
        <v>319</v>
      </c>
      <c r="C80" s="399"/>
      <c r="D80" s="245" t="s">
        <v>253</v>
      </c>
      <c r="E80" s="402"/>
      <c r="F80" s="289"/>
      <c r="G80" s="289"/>
      <c r="H80" s="401"/>
      <c r="I80" s="401"/>
      <c r="J80" s="401"/>
      <c r="K80" s="401"/>
      <c r="L80" s="401"/>
      <c r="M80" s="401"/>
      <c r="N80" s="401"/>
      <c r="O80" s="401"/>
      <c r="P80" s="415"/>
    </row>
    <row r="81" spans="1:16" x14ac:dyDescent="0.35">
      <c r="A81" s="433"/>
      <c r="B81" s="414"/>
      <c r="C81" s="399"/>
      <c r="D81" s="245"/>
      <c r="E81" s="402"/>
      <c r="F81" s="289"/>
      <c r="G81" s="289"/>
      <c r="H81" s="401"/>
      <c r="I81" s="401"/>
      <c r="J81" s="401"/>
      <c r="K81" s="401"/>
      <c r="L81" s="401"/>
      <c r="M81" s="401"/>
      <c r="N81" s="401"/>
      <c r="O81" s="401"/>
      <c r="P81" s="415"/>
    </row>
    <row r="82" spans="1:16" x14ac:dyDescent="0.35">
      <c r="A82" s="433"/>
      <c r="B82" s="414"/>
      <c r="C82" s="399"/>
      <c r="D82" s="245"/>
      <c r="E82" s="402"/>
      <c r="F82" s="289"/>
      <c r="G82" s="289"/>
      <c r="H82" s="401"/>
      <c r="I82" s="401"/>
      <c r="J82" s="401"/>
      <c r="K82" s="401"/>
      <c r="L82" s="401"/>
      <c r="M82" s="401"/>
      <c r="N82" s="401"/>
      <c r="O82" s="401"/>
      <c r="P82" s="415"/>
    </row>
    <row r="83" spans="1:16" x14ac:dyDescent="0.35">
      <c r="A83" s="433"/>
      <c r="B83" s="414"/>
      <c r="C83" s="399"/>
      <c r="D83" s="245"/>
      <c r="E83" s="402"/>
      <c r="F83" s="289"/>
      <c r="G83" s="289"/>
      <c r="H83" s="401"/>
      <c r="I83" s="401"/>
      <c r="J83" s="401"/>
      <c r="K83" s="401"/>
      <c r="L83" s="401"/>
      <c r="M83" s="401"/>
      <c r="N83" s="401"/>
      <c r="O83" s="401"/>
      <c r="P83" s="415">
        <f t="shared" ref="P83:P106" si="1">SUM(H83:O83)</f>
        <v>0</v>
      </c>
    </row>
    <row r="84" spans="1:16" ht="25.5" customHeight="1" x14ac:dyDescent="0.35">
      <c r="A84" s="433"/>
      <c r="B84" s="1304" t="s">
        <v>180</v>
      </c>
      <c r="C84" s="1279"/>
      <c r="D84" s="1279"/>
      <c r="E84" s="1279"/>
      <c r="F84" s="1279"/>
      <c r="G84" s="1279"/>
      <c r="H84" s="1279"/>
      <c r="I84" s="1279"/>
      <c r="J84" s="1279"/>
      <c r="K84" s="1279"/>
      <c r="L84" s="1279"/>
      <c r="M84" s="1279"/>
      <c r="N84" s="1279"/>
      <c r="O84" s="1279"/>
      <c r="P84" s="1305"/>
    </row>
    <row r="85" spans="1:16" x14ac:dyDescent="0.35">
      <c r="A85" s="433"/>
      <c r="B85" s="414">
        <v>33</v>
      </c>
      <c r="C85" s="399" t="s">
        <v>181</v>
      </c>
      <c r="D85" s="245" t="s">
        <v>34</v>
      </c>
      <c r="E85" s="402"/>
      <c r="F85" s="289"/>
      <c r="G85" s="289"/>
      <c r="H85" s="407"/>
      <c r="I85" s="407"/>
      <c r="J85" s="407"/>
      <c r="K85" s="407"/>
      <c r="L85" s="407"/>
      <c r="M85" s="407"/>
      <c r="N85" s="407"/>
      <c r="O85" s="407"/>
      <c r="P85" s="415">
        <f t="shared" si="1"/>
        <v>0</v>
      </c>
    </row>
    <row r="86" spans="1:16" x14ac:dyDescent="0.35">
      <c r="A86" s="433"/>
      <c r="B86" s="414">
        <v>34</v>
      </c>
      <c r="C86" s="399" t="s">
        <v>182</v>
      </c>
      <c r="D86" s="245" t="s">
        <v>34</v>
      </c>
      <c r="E86" s="402"/>
      <c r="F86" s="289"/>
      <c r="G86" s="289"/>
      <c r="H86" s="407"/>
      <c r="I86" s="407"/>
      <c r="J86" s="407"/>
      <c r="K86" s="407"/>
      <c r="L86" s="407"/>
      <c r="M86" s="407"/>
      <c r="N86" s="407"/>
      <c r="O86" s="407"/>
      <c r="P86" s="415">
        <f t="shared" si="1"/>
        <v>0</v>
      </c>
    </row>
    <row r="87" spans="1:16" x14ac:dyDescent="0.35">
      <c r="A87" s="433"/>
      <c r="B87" s="414">
        <v>35</v>
      </c>
      <c r="C87" s="399" t="s">
        <v>183</v>
      </c>
      <c r="D87" s="245" t="s">
        <v>34</v>
      </c>
      <c r="E87" s="402"/>
      <c r="F87" s="289"/>
      <c r="G87" s="289"/>
      <c r="H87" s="407"/>
      <c r="I87" s="407"/>
      <c r="J87" s="407"/>
      <c r="K87" s="407"/>
      <c r="L87" s="407"/>
      <c r="M87" s="407"/>
      <c r="N87" s="407"/>
      <c r="O87" s="407"/>
      <c r="P87" s="415">
        <f t="shared" si="1"/>
        <v>0</v>
      </c>
    </row>
    <row r="88" spans="1:16" x14ac:dyDescent="0.35">
      <c r="A88" s="433"/>
      <c r="B88" s="416" t="s">
        <v>319</v>
      </c>
      <c r="C88" s="399"/>
      <c r="D88" s="245" t="s">
        <v>253</v>
      </c>
      <c r="E88" s="402"/>
      <c r="F88" s="289"/>
      <c r="G88" s="289"/>
      <c r="H88" s="407"/>
      <c r="I88" s="407"/>
      <c r="J88" s="407"/>
      <c r="K88" s="407"/>
      <c r="L88" s="407"/>
      <c r="M88" s="407"/>
      <c r="N88" s="407"/>
      <c r="O88" s="407"/>
      <c r="P88" s="415"/>
    </row>
    <row r="89" spans="1:16" x14ac:dyDescent="0.35">
      <c r="A89" s="433"/>
      <c r="B89" s="414"/>
      <c r="C89" s="399"/>
      <c r="D89" s="245"/>
      <c r="E89" s="402"/>
      <c r="F89" s="289"/>
      <c r="G89" s="289"/>
      <c r="H89" s="407"/>
      <c r="I89" s="407"/>
      <c r="J89" s="407"/>
      <c r="K89" s="407"/>
      <c r="L89" s="407"/>
      <c r="M89" s="407"/>
      <c r="N89" s="407"/>
      <c r="O89" s="407"/>
      <c r="P89" s="415"/>
    </row>
    <row r="90" spans="1:16" x14ac:dyDescent="0.35">
      <c r="A90" s="433"/>
      <c r="B90" s="414"/>
      <c r="C90" s="399"/>
      <c r="D90" s="245"/>
      <c r="E90" s="402"/>
      <c r="F90" s="289"/>
      <c r="G90" s="289"/>
      <c r="H90" s="407"/>
      <c r="I90" s="407"/>
      <c r="J90" s="407"/>
      <c r="K90" s="407"/>
      <c r="L90" s="407"/>
      <c r="M90" s="407"/>
      <c r="N90" s="407"/>
      <c r="O90" s="407"/>
      <c r="P90" s="415"/>
    </row>
    <row r="91" spans="1:16" x14ac:dyDescent="0.35">
      <c r="A91" s="433"/>
      <c r="B91" s="414"/>
      <c r="C91" s="399"/>
      <c r="D91" s="245"/>
      <c r="E91" s="402"/>
      <c r="F91" s="289"/>
      <c r="G91" s="289"/>
      <c r="H91" s="407"/>
      <c r="I91" s="407"/>
      <c r="J91" s="407"/>
      <c r="K91" s="407"/>
      <c r="L91" s="407"/>
      <c r="M91" s="407"/>
      <c r="N91" s="407"/>
      <c r="O91" s="407"/>
      <c r="P91" s="415">
        <f t="shared" si="1"/>
        <v>0</v>
      </c>
    </row>
    <row r="92" spans="1:16" ht="24" customHeight="1" x14ac:dyDescent="0.35">
      <c r="A92" s="433"/>
      <c r="B92" s="1304" t="s">
        <v>184</v>
      </c>
      <c r="C92" s="1279"/>
      <c r="D92" s="1279"/>
      <c r="E92" s="1279"/>
      <c r="F92" s="1279"/>
      <c r="G92" s="1279"/>
      <c r="H92" s="1279"/>
      <c r="I92" s="1279"/>
      <c r="J92" s="1279"/>
      <c r="K92" s="1279"/>
      <c r="L92" s="1279"/>
      <c r="M92" s="1279"/>
      <c r="N92" s="1279"/>
      <c r="O92" s="1279"/>
      <c r="P92" s="1305"/>
    </row>
    <row r="93" spans="1:16" ht="42" x14ac:dyDescent="0.35">
      <c r="A93" s="433"/>
      <c r="B93" s="414">
        <v>36</v>
      </c>
      <c r="C93" s="399" t="s">
        <v>185</v>
      </c>
      <c r="D93" s="245" t="s">
        <v>34</v>
      </c>
      <c r="E93" s="402"/>
      <c r="F93" s="289"/>
      <c r="G93" s="289"/>
      <c r="H93" s="407"/>
      <c r="I93" s="407"/>
      <c r="J93" s="407"/>
      <c r="K93" s="407"/>
      <c r="L93" s="407"/>
      <c r="M93" s="407"/>
      <c r="N93" s="407"/>
      <c r="O93" s="407"/>
      <c r="P93" s="415">
        <f t="shared" si="1"/>
        <v>0</v>
      </c>
    </row>
    <row r="94" spans="1:16" x14ac:dyDescent="0.35">
      <c r="A94" s="433"/>
      <c r="B94" s="414">
        <v>37</v>
      </c>
      <c r="C94" s="399" t="s">
        <v>186</v>
      </c>
      <c r="D94" s="245" t="s">
        <v>34</v>
      </c>
      <c r="E94" s="402"/>
      <c r="F94" s="289"/>
      <c r="G94" s="289"/>
      <c r="H94" s="407"/>
      <c r="I94" s="407"/>
      <c r="J94" s="407"/>
      <c r="K94" s="407"/>
      <c r="L94" s="407"/>
      <c r="M94" s="407"/>
      <c r="N94" s="407"/>
      <c r="O94" s="407"/>
      <c r="P94" s="415">
        <f t="shared" si="1"/>
        <v>0</v>
      </c>
    </row>
    <row r="95" spans="1:16" x14ac:dyDescent="0.35">
      <c r="A95" s="433"/>
      <c r="B95" s="414">
        <v>38</v>
      </c>
      <c r="C95" s="399" t="s">
        <v>187</v>
      </c>
      <c r="D95" s="245" t="s">
        <v>34</v>
      </c>
      <c r="E95" s="402"/>
      <c r="F95" s="289"/>
      <c r="G95" s="289"/>
      <c r="H95" s="407"/>
      <c r="I95" s="407"/>
      <c r="J95" s="407"/>
      <c r="K95" s="407"/>
      <c r="L95" s="407"/>
      <c r="M95" s="407"/>
      <c r="N95" s="407"/>
      <c r="O95" s="407"/>
      <c r="P95" s="415">
        <f t="shared" si="1"/>
        <v>0</v>
      </c>
    </row>
    <row r="96" spans="1:16" ht="28" x14ac:dyDescent="0.35">
      <c r="A96" s="433"/>
      <c r="B96" s="414">
        <v>39</v>
      </c>
      <c r="C96" s="399" t="s">
        <v>188</v>
      </c>
      <c r="D96" s="245" t="s">
        <v>34</v>
      </c>
      <c r="E96" s="402"/>
      <c r="F96" s="289"/>
      <c r="G96" s="289"/>
      <c r="H96" s="407"/>
      <c r="I96" s="407"/>
      <c r="J96" s="407"/>
      <c r="K96" s="407"/>
      <c r="L96" s="407"/>
      <c r="M96" s="407"/>
      <c r="N96" s="407"/>
      <c r="O96" s="407"/>
      <c r="P96" s="415">
        <f t="shared" si="1"/>
        <v>0</v>
      </c>
    </row>
    <row r="97" spans="1:16" ht="28" x14ac:dyDescent="0.35">
      <c r="A97" s="433"/>
      <c r="B97" s="414">
        <v>40</v>
      </c>
      <c r="C97" s="399" t="s">
        <v>189</v>
      </c>
      <c r="D97" s="245" t="s">
        <v>34</v>
      </c>
      <c r="E97" s="402"/>
      <c r="F97" s="289"/>
      <c r="G97" s="289"/>
      <c r="H97" s="407"/>
      <c r="I97" s="407"/>
      <c r="J97" s="407"/>
      <c r="K97" s="407"/>
      <c r="L97" s="407"/>
      <c r="M97" s="407"/>
      <c r="N97" s="407"/>
      <c r="O97" s="407"/>
      <c r="P97" s="415">
        <f t="shared" si="1"/>
        <v>0</v>
      </c>
    </row>
    <row r="98" spans="1:16" ht="28" x14ac:dyDescent="0.35">
      <c r="A98" s="433"/>
      <c r="B98" s="414">
        <v>41</v>
      </c>
      <c r="C98" s="399" t="s">
        <v>190</v>
      </c>
      <c r="D98" s="245" t="s">
        <v>34</v>
      </c>
      <c r="E98" s="402"/>
      <c r="F98" s="289"/>
      <c r="G98" s="289"/>
      <c r="H98" s="407"/>
      <c r="I98" s="407"/>
      <c r="J98" s="407"/>
      <c r="K98" s="407"/>
      <c r="L98" s="407"/>
      <c r="M98" s="407"/>
      <c r="N98" s="407"/>
      <c r="O98" s="407"/>
      <c r="P98" s="415">
        <f t="shared" si="1"/>
        <v>0</v>
      </c>
    </row>
    <row r="99" spans="1:16" ht="28" x14ac:dyDescent="0.35">
      <c r="A99" s="433"/>
      <c r="B99" s="414">
        <v>42</v>
      </c>
      <c r="C99" s="399" t="s">
        <v>191</v>
      </c>
      <c r="D99" s="245" t="s">
        <v>34</v>
      </c>
      <c r="E99" s="402"/>
      <c r="F99" s="289"/>
      <c r="G99" s="289"/>
      <c r="H99" s="407"/>
      <c r="I99" s="407"/>
      <c r="J99" s="407"/>
      <c r="K99" s="407"/>
      <c r="L99" s="407"/>
      <c r="M99" s="407"/>
      <c r="N99" s="407"/>
      <c r="O99" s="407"/>
      <c r="P99" s="415">
        <f t="shared" si="1"/>
        <v>0</v>
      </c>
    </row>
    <row r="100" spans="1:16" x14ac:dyDescent="0.35">
      <c r="A100" s="433"/>
      <c r="B100" s="414">
        <v>43</v>
      </c>
      <c r="C100" s="399" t="s">
        <v>192</v>
      </c>
      <c r="D100" s="245" t="s">
        <v>34</v>
      </c>
      <c r="E100" s="402"/>
      <c r="F100" s="289"/>
      <c r="G100" s="289"/>
      <c r="H100" s="407"/>
      <c r="I100" s="407"/>
      <c r="J100" s="407"/>
      <c r="K100" s="407"/>
      <c r="L100" s="407"/>
      <c r="M100" s="407"/>
      <c r="N100" s="407"/>
      <c r="O100" s="407"/>
      <c r="P100" s="415">
        <f t="shared" si="1"/>
        <v>0</v>
      </c>
    </row>
    <row r="101" spans="1:16" ht="42" x14ac:dyDescent="0.35">
      <c r="A101" s="433"/>
      <c r="B101" s="414">
        <v>44</v>
      </c>
      <c r="C101" s="399" t="s">
        <v>193</v>
      </c>
      <c r="D101" s="245" t="s">
        <v>34</v>
      </c>
      <c r="E101" s="402"/>
      <c r="F101" s="289"/>
      <c r="G101" s="289"/>
      <c r="H101" s="407"/>
      <c r="I101" s="407"/>
      <c r="J101" s="407"/>
      <c r="K101" s="407"/>
      <c r="L101" s="407"/>
      <c r="M101" s="407"/>
      <c r="N101" s="407"/>
      <c r="O101" s="407"/>
      <c r="P101" s="415">
        <f t="shared" si="1"/>
        <v>0</v>
      </c>
    </row>
    <row r="102" spans="1:16" ht="28" x14ac:dyDescent="0.35">
      <c r="A102" s="433"/>
      <c r="B102" s="414">
        <v>45</v>
      </c>
      <c r="C102" s="399" t="s">
        <v>194</v>
      </c>
      <c r="D102" s="245" t="s">
        <v>34</v>
      </c>
      <c r="E102" s="402"/>
      <c r="F102" s="289"/>
      <c r="G102" s="289"/>
      <c r="H102" s="407"/>
      <c r="I102" s="407"/>
      <c r="J102" s="407"/>
      <c r="K102" s="407"/>
      <c r="L102" s="407"/>
      <c r="M102" s="407"/>
      <c r="N102" s="407"/>
      <c r="O102" s="407"/>
      <c r="P102" s="415">
        <f t="shared" si="1"/>
        <v>0</v>
      </c>
    </row>
    <row r="103" spans="1:16" ht="28" x14ac:dyDescent="0.35">
      <c r="A103" s="433"/>
      <c r="B103" s="414">
        <v>46</v>
      </c>
      <c r="C103" s="399" t="s">
        <v>195</v>
      </c>
      <c r="D103" s="245" t="s">
        <v>34</v>
      </c>
      <c r="E103" s="402"/>
      <c r="F103" s="289"/>
      <c r="G103" s="289"/>
      <c r="H103" s="407"/>
      <c r="I103" s="407"/>
      <c r="J103" s="407"/>
      <c r="K103" s="407"/>
      <c r="L103" s="407"/>
      <c r="M103" s="407"/>
      <c r="N103" s="407"/>
      <c r="O103" s="407"/>
      <c r="P103" s="415">
        <f t="shared" si="1"/>
        <v>0</v>
      </c>
    </row>
    <row r="104" spans="1:16" ht="28" x14ac:dyDescent="0.35">
      <c r="A104" s="433"/>
      <c r="B104" s="414">
        <v>47</v>
      </c>
      <c r="C104" s="399" t="s">
        <v>196</v>
      </c>
      <c r="D104" s="245" t="s">
        <v>34</v>
      </c>
      <c r="E104" s="402"/>
      <c r="F104" s="289"/>
      <c r="G104" s="289"/>
      <c r="H104" s="407"/>
      <c r="I104" s="407"/>
      <c r="J104" s="407"/>
      <c r="K104" s="407"/>
      <c r="L104" s="407"/>
      <c r="M104" s="407"/>
      <c r="N104" s="407"/>
      <c r="O104" s="407"/>
      <c r="P104" s="415">
        <f t="shared" si="1"/>
        <v>0</v>
      </c>
    </row>
    <row r="105" spans="1:16" ht="28" x14ac:dyDescent="0.35">
      <c r="A105" s="433"/>
      <c r="B105" s="414">
        <v>48</v>
      </c>
      <c r="C105" s="399" t="s">
        <v>197</v>
      </c>
      <c r="D105" s="245" t="s">
        <v>34</v>
      </c>
      <c r="E105" s="402"/>
      <c r="F105" s="289"/>
      <c r="G105" s="289"/>
      <c r="H105" s="407"/>
      <c r="I105" s="407"/>
      <c r="J105" s="407"/>
      <c r="K105" s="407"/>
      <c r="L105" s="407"/>
      <c r="M105" s="407"/>
      <c r="N105" s="407"/>
      <c r="O105" s="407"/>
      <c r="P105" s="415">
        <f t="shared" si="1"/>
        <v>0</v>
      </c>
    </row>
    <row r="106" spans="1:16" ht="28" x14ac:dyDescent="0.35">
      <c r="A106" s="433"/>
      <c r="B106" s="414">
        <v>49</v>
      </c>
      <c r="C106" s="399" t="s">
        <v>198</v>
      </c>
      <c r="D106" s="245" t="s">
        <v>34</v>
      </c>
      <c r="E106" s="402"/>
      <c r="F106" s="289"/>
      <c r="G106" s="289"/>
      <c r="H106" s="407"/>
      <c r="I106" s="407"/>
      <c r="J106" s="407"/>
      <c r="K106" s="407"/>
      <c r="L106" s="407"/>
      <c r="M106" s="407"/>
      <c r="N106" s="407"/>
      <c r="O106" s="407"/>
      <c r="P106" s="415">
        <f t="shared" si="1"/>
        <v>0</v>
      </c>
    </row>
    <row r="107" spans="1:16" x14ac:dyDescent="0.35">
      <c r="A107" s="433"/>
      <c r="B107" s="416" t="s">
        <v>319</v>
      </c>
      <c r="C107" s="399"/>
      <c r="D107" s="245" t="s">
        <v>253</v>
      </c>
      <c r="E107" s="402"/>
      <c r="F107" s="289"/>
      <c r="G107" s="289"/>
      <c r="H107" s="407"/>
      <c r="I107" s="407"/>
      <c r="J107" s="407"/>
      <c r="K107" s="407"/>
      <c r="L107" s="407"/>
      <c r="M107" s="407"/>
      <c r="N107" s="407"/>
      <c r="O107" s="407"/>
      <c r="P107" s="415"/>
    </row>
    <row r="108" spans="1:16" x14ac:dyDescent="0.35">
      <c r="A108" s="433"/>
      <c r="B108" s="414"/>
      <c r="C108" s="399"/>
      <c r="D108" s="245"/>
      <c r="E108" s="402"/>
      <c r="F108" s="289"/>
      <c r="G108" s="289"/>
      <c r="H108" s="407"/>
      <c r="I108" s="407"/>
      <c r="J108" s="407"/>
      <c r="K108" s="407"/>
      <c r="L108" s="407"/>
      <c r="M108" s="407"/>
      <c r="N108" s="407"/>
      <c r="O108" s="407"/>
      <c r="P108" s="415"/>
    </row>
    <row r="109" spans="1:16" x14ac:dyDescent="0.35">
      <c r="A109" s="433"/>
      <c r="B109" s="414"/>
      <c r="C109" s="399"/>
      <c r="D109" s="245"/>
      <c r="E109" s="402"/>
      <c r="F109" s="289"/>
      <c r="G109" s="289"/>
      <c r="H109" s="407"/>
      <c r="I109" s="407"/>
      <c r="J109" s="407"/>
      <c r="K109" s="407"/>
      <c r="L109" s="407"/>
      <c r="M109" s="407"/>
      <c r="N109" s="407"/>
      <c r="O109" s="407"/>
      <c r="P109" s="415"/>
    </row>
    <row r="110" spans="1:16" x14ac:dyDescent="0.35">
      <c r="A110" s="433"/>
      <c r="B110" s="414"/>
      <c r="C110" s="399"/>
      <c r="D110" s="245"/>
      <c r="E110" s="402"/>
      <c r="F110" s="289"/>
      <c r="G110" s="289"/>
      <c r="H110" s="407"/>
      <c r="I110" s="407"/>
      <c r="J110" s="407"/>
      <c r="K110" s="407"/>
      <c r="L110" s="407"/>
      <c r="M110" s="407"/>
      <c r="N110" s="407"/>
      <c r="O110" s="407"/>
      <c r="P110" s="415"/>
    </row>
    <row r="111" spans="1:16" x14ac:dyDescent="0.35">
      <c r="B111" s="345"/>
      <c r="C111" s="1266" t="s">
        <v>221</v>
      </c>
      <c r="D111" s="1266"/>
      <c r="E111" s="346"/>
      <c r="F111" s="347"/>
      <c r="G111" s="347"/>
      <c r="H111" s="348">
        <f>SUM(F17*H17,F18*H18,F19*H19,F20*H20,F21*H21,F22*H22,F46*H46,F63*H63,F64*H64,F65*H65,F66*H66)</f>
        <v>0</v>
      </c>
      <c r="I111" s="348">
        <f>SUM(F28*I28,F29*I29,F30*I30,F31*I31,F32*I32,F72*I72,F73*I73,F74*I74,F75*I75,F76*I76,F77*I77,F78*I78,F79*I79,F85*I85,F86*I86,F87*I87)</f>
        <v>0</v>
      </c>
      <c r="J111" s="349"/>
      <c r="K111" s="346"/>
      <c r="L111" s="346"/>
      <c r="M111" s="346"/>
      <c r="N111" s="348"/>
      <c r="O111" s="346"/>
      <c r="P111" s="350">
        <f>SUM(H111:O111)</f>
        <v>0</v>
      </c>
    </row>
    <row r="112" spans="1:16" x14ac:dyDescent="0.35">
      <c r="B112" s="266"/>
      <c r="C112" s="1267" t="s">
        <v>260</v>
      </c>
      <c r="D112" s="1267"/>
      <c r="E112" s="260"/>
      <c r="F112" s="258"/>
      <c r="G112" s="258"/>
      <c r="H112" s="260"/>
      <c r="I112" s="260"/>
      <c r="J112" s="261">
        <f>SUM(E28*G28*J28,E29*G29*J29,E30*G30*J30,E31*G31,J31*E32*G32*J32,E38*G38*J38,E39*G39*J39,E40*G40*J40)</f>
        <v>0</v>
      </c>
      <c r="K112" s="261">
        <f>SUM(E28*G28*K28,E29*G29*K29,E30*G30*K30,E31*G31*K31,E32*G32*K32,E38*G38*K38,E39*G39*K39,E40*G40*K40)</f>
        <v>0</v>
      </c>
      <c r="L112" s="261"/>
      <c r="M112" s="261"/>
      <c r="N112" s="260"/>
      <c r="O112" s="260"/>
      <c r="P112" s="267">
        <f>SUM(H112:O112)</f>
        <v>0</v>
      </c>
    </row>
    <row r="113" spans="2:16" x14ac:dyDescent="0.35">
      <c r="B113" s="266"/>
      <c r="C113" s="1267" t="s">
        <v>261</v>
      </c>
      <c r="D113" s="1267"/>
      <c r="E113" s="260"/>
      <c r="F113" s="258"/>
      <c r="G113" s="258"/>
      <c r="H113" s="260"/>
      <c r="I113" s="260"/>
      <c r="J113" s="261">
        <f>J112-(E32*G32*J32)</f>
        <v>0</v>
      </c>
      <c r="K113" s="260">
        <f>K112-(E32*G32*K32)</f>
        <v>0</v>
      </c>
      <c r="L113" s="260"/>
      <c r="M113" s="260"/>
      <c r="N113" s="260"/>
      <c r="O113" s="260"/>
      <c r="P113" s="267"/>
    </row>
    <row r="114" spans="2:16" x14ac:dyDescent="0.35">
      <c r="B114" s="268"/>
      <c r="C114" s="1268"/>
      <c r="D114" s="1268"/>
      <c r="E114" s="254"/>
      <c r="F114" s="252"/>
      <c r="G114" s="252"/>
      <c r="H114" s="254"/>
      <c r="I114" s="254"/>
      <c r="J114" s="254"/>
      <c r="K114" s="254"/>
      <c r="L114" s="254"/>
      <c r="M114" s="254"/>
      <c r="N114" s="254"/>
      <c r="O114" s="254"/>
      <c r="P114" s="269"/>
    </row>
    <row r="115" spans="2:16" x14ac:dyDescent="0.35">
      <c r="B115" s="268"/>
      <c r="C115" s="253"/>
      <c r="D115" s="254"/>
      <c r="E115" s="254"/>
      <c r="F115" s="252"/>
      <c r="G115" s="252"/>
      <c r="H115" s="254"/>
      <c r="I115" s="254"/>
      <c r="J115" s="254"/>
      <c r="K115" s="254"/>
      <c r="L115" s="254"/>
      <c r="M115" s="254"/>
      <c r="N115" s="254"/>
      <c r="O115" s="254"/>
      <c r="P115" s="269"/>
    </row>
    <row r="116" spans="2:16" x14ac:dyDescent="0.35">
      <c r="B116" s="373"/>
      <c r="C116" s="1269" t="s">
        <v>329</v>
      </c>
      <c r="D116" s="1269"/>
      <c r="E116" s="245"/>
      <c r="F116" s="255"/>
      <c r="G116" s="245"/>
      <c r="H116" s="256" t="e">
        <f>'3.  Distribution Rates'!#REF!</f>
        <v>#REF!</v>
      </c>
      <c r="I116" s="256" t="e">
        <f>'3.  Distribution Rates'!#REF!</f>
        <v>#REF!</v>
      </c>
      <c r="J116" s="256" t="e">
        <f>'3.  Distribution Rates'!#REF!</f>
        <v>#REF!</v>
      </c>
      <c r="K116" s="256" t="e">
        <f>'3.  Distribution Rates'!#REF!</f>
        <v>#REF!</v>
      </c>
      <c r="L116" s="256" t="e">
        <f>'3.  Distribution Rates'!#REF!</f>
        <v>#REF!</v>
      </c>
      <c r="M116" s="256" t="e">
        <f>'3.  Distribution Rates'!#REF!</f>
        <v>#REF!</v>
      </c>
      <c r="N116" s="256" t="e">
        <f>'3.  Distribution Rates'!#REF!</f>
        <v>#REF!</v>
      </c>
      <c r="O116" s="256"/>
      <c r="P116" s="374"/>
    </row>
    <row r="117" spans="2:16" x14ac:dyDescent="0.35">
      <c r="B117" s="373"/>
      <c r="C117" s="1269" t="s">
        <v>308</v>
      </c>
      <c r="D117" s="1269"/>
      <c r="E117" s="254"/>
      <c r="F117" s="255"/>
      <c r="G117" s="255"/>
      <c r="H117" s="393"/>
      <c r="I117" s="393"/>
      <c r="J117" s="393"/>
      <c r="K117" s="393"/>
      <c r="L117" s="393"/>
      <c r="M117" s="393"/>
      <c r="N117" s="393"/>
      <c r="O117" s="245"/>
      <c r="P117" s="270">
        <f>SUM(H117:O117)</f>
        <v>0</v>
      </c>
    </row>
    <row r="118" spans="2:16" x14ac:dyDescent="0.35">
      <c r="B118" s="373"/>
      <c r="C118" s="1269" t="s">
        <v>309</v>
      </c>
      <c r="D118" s="1269"/>
      <c r="E118" s="254"/>
      <c r="F118" s="255"/>
      <c r="G118" s="255"/>
      <c r="H118" s="393"/>
      <c r="I118" s="393"/>
      <c r="J118" s="393"/>
      <c r="K118" s="393"/>
      <c r="L118" s="393"/>
      <c r="M118" s="393"/>
      <c r="N118" s="393"/>
      <c r="O118" s="245"/>
      <c r="P118" s="270">
        <f>SUM(H118:O118)</f>
        <v>0</v>
      </c>
    </row>
    <row r="119" spans="2:16" x14ac:dyDescent="0.35">
      <c r="B119" s="373"/>
      <c r="C119" s="1269" t="s">
        <v>310</v>
      </c>
      <c r="D119" s="1269"/>
      <c r="E119" s="254"/>
      <c r="F119" s="255"/>
      <c r="G119" s="255"/>
      <c r="H119" s="393"/>
      <c r="I119" s="393"/>
      <c r="J119" s="393"/>
      <c r="K119" s="393"/>
      <c r="L119" s="393"/>
      <c r="M119" s="393"/>
      <c r="N119" s="393"/>
      <c r="O119" s="245"/>
      <c r="P119" s="270">
        <f t="shared" ref="P119" si="2">SUM(H119:O119)</f>
        <v>0</v>
      </c>
    </row>
    <row r="120" spans="2:16" x14ac:dyDescent="0.35">
      <c r="B120" s="373"/>
      <c r="C120" s="1269" t="s">
        <v>311</v>
      </c>
      <c r="D120" s="1269"/>
      <c r="E120" s="254"/>
      <c r="F120" s="255"/>
      <c r="G120" s="255"/>
      <c r="H120" s="393"/>
      <c r="I120" s="393"/>
      <c r="J120" s="393"/>
      <c r="K120" s="393"/>
      <c r="L120" s="393"/>
      <c r="M120" s="393"/>
      <c r="N120" s="393"/>
      <c r="O120" s="245"/>
      <c r="P120" s="270">
        <f>SUM(H120:O120)</f>
        <v>0</v>
      </c>
    </row>
    <row r="121" spans="2:16" x14ac:dyDescent="0.35">
      <c r="B121" s="373"/>
      <c r="C121" s="1269" t="s">
        <v>312</v>
      </c>
      <c r="D121" s="1269"/>
      <c r="E121" s="254"/>
      <c r="F121" s="255"/>
      <c r="G121" s="255"/>
      <c r="H121" s="370" t="e">
        <f>'5.  2015 LRAM'!H130*H116</f>
        <v>#REF!</v>
      </c>
      <c r="I121" s="370" t="e">
        <f>'5.  2015 LRAM'!I130*I116</f>
        <v>#REF!</v>
      </c>
      <c r="J121" s="370" t="e">
        <f>'5.  2015 LRAM'!J130*J116</f>
        <v>#REF!</v>
      </c>
      <c r="K121" s="370" t="e">
        <f>'5.  2015 LRAM'!K130*K116</f>
        <v>#REF!</v>
      </c>
      <c r="L121" s="370" t="e">
        <f>'5.  2015 LRAM'!L130*L116</f>
        <v>#REF!</v>
      </c>
      <c r="M121" s="370" t="e">
        <f>'5.  2015 LRAM'!M130*M116</f>
        <v>#REF!</v>
      </c>
      <c r="N121" s="370" t="e">
        <f>'5.  2015 LRAM'!N130*N116</f>
        <v>#REF!</v>
      </c>
      <c r="O121" s="245"/>
      <c r="P121" s="270" t="e">
        <f t="shared" ref="P121:P122" si="3">SUM(H121:O121)</f>
        <v>#REF!</v>
      </c>
    </row>
    <row r="122" spans="2:16" x14ac:dyDescent="0.35">
      <c r="B122" s="373"/>
      <c r="C122" s="1269" t="s">
        <v>313</v>
      </c>
      <c r="D122" s="1269"/>
      <c r="E122" s="254"/>
      <c r="F122" s="255"/>
      <c r="G122" s="255"/>
      <c r="H122" s="370" t="e">
        <f>'5-b. 2016 LRAM'!H128*H116</f>
        <v>#DIV/0!</v>
      </c>
      <c r="I122" s="370" t="e">
        <f>'5-b. 2016 LRAM'!I128*I116</f>
        <v>#DIV/0!</v>
      </c>
      <c r="J122" s="370" t="e">
        <f>'5-b. 2016 LRAM'!J128*J116</f>
        <v>#DIV/0!</v>
      </c>
      <c r="K122" s="370" t="e">
        <f>'5-b. 2016 LRAM'!K128*K116</f>
        <v>#DIV/0!</v>
      </c>
      <c r="L122" s="370" t="e">
        <f>'5-b. 2016 LRAM'!L128*L116</f>
        <v>#REF!</v>
      </c>
      <c r="M122" s="370" t="e">
        <f>'5-b. 2016 LRAM'!M128*M116</f>
        <v>#REF!</v>
      </c>
      <c r="N122" s="370" t="e">
        <f>'5-b. 2016 LRAM'!N128*N116</f>
        <v>#REF!</v>
      </c>
      <c r="O122" s="245"/>
      <c r="P122" s="270" t="e">
        <f t="shared" si="3"/>
        <v>#DIV/0!</v>
      </c>
    </row>
    <row r="123" spans="2:16" x14ac:dyDescent="0.35">
      <c r="B123" s="373"/>
      <c r="C123" s="1269" t="s">
        <v>314</v>
      </c>
      <c r="D123" s="1269"/>
      <c r="E123" s="254"/>
      <c r="F123" s="255"/>
      <c r="G123" s="255"/>
      <c r="H123" s="370" t="e">
        <f>'5-c.  2017 LRAM'!H129*H116</f>
        <v>#DIV/0!</v>
      </c>
      <c r="I123" s="370" t="e">
        <f>'5-c.  2017 LRAM'!I129*I116</f>
        <v>#DIV/0!</v>
      </c>
      <c r="J123" s="370" t="e">
        <f>'5-c.  2017 LRAM'!J129*J116</f>
        <v>#DIV/0!</v>
      </c>
      <c r="K123" s="370" t="e">
        <f>'5-c.  2017 LRAM'!K129*K116</f>
        <v>#DIV/0!</v>
      </c>
      <c r="L123" s="370" t="e">
        <f>'5-c.  2017 LRAM'!L129*L116</f>
        <v>#REF!</v>
      </c>
      <c r="M123" s="370" t="e">
        <f>'5-c.  2017 LRAM'!M129*M116</f>
        <v>#REF!</v>
      </c>
      <c r="N123" s="370" t="e">
        <f>'5-c.  2017 LRAM'!N129*N116</f>
        <v>#DIV/0!</v>
      </c>
      <c r="O123" s="245"/>
      <c r="P123" s="270" t="e">
        <f>SUM(H123:O123)</f>
        <v>#DIV/0!</v>
      </c>
    </row>
    <row r="124" spans="2:16" x14ac:dyDescent="0.35">
      <c r="B124" s="373"/>
      <c r="C124" s="1269" t="s">
        <v>315</v>
      </c>
      <c r="D124" s="1269"/>
      <c r="E124" s="254"/>
      <c r="F124" s="255"/>
      <c r="G124" s="255"/>
      <c r="H124" s="370" t="e">
        <f>'5-d.  2018 LRAM'!H128*H116</f>
        <v>#DIV/0!</v>
      </c>
      <c r="I124" s="370" t="e">
        <f>'5-d.  2018 LRAM'!I128*I116</f>
        <v>#DIV/0!</v>
      </c>
      <c r="J124" s="370" t="e">
        <f>'5-d.  2018 LRAM'!J128*J116</f>
        <v>#DIV/0!</v>
      </c>
      <c r="K124" s="370" t="e">
        <f>'5-d.  2018 LRAM'!K128*K116</f>
        <v>#DIV/0!</v>
      </c>
      <c r="L124" s="370" t="e">
        <f>'5-d.  2018 LRAM'!L128*L116</f>
        <v>#REF!</v>
      </c>
      <c r="M124" s="370" t="e">
        <f>'5-d.  2018 LRAM'!M128*M116</f>
        <v>#REF!</v>
      </c>
      <c r="N124" s="370" t="e">
        <f>'5-d.  2018 LRAM'!N128*N116</f>
        <v>#DIV/0!</v>
      </c>
      <c r="O124" s="245"/>
      <c r="P124" s="270" t="e">
        <f t="shared" ref="P124:P126" si="4">SUM(H124:O124)</f>
        <v>#DIV/0!</v>
      </c>
    </row>
    <row r="125" spans="2:16" x14ac:dyDescent="0.35">
      <c r="B125" s="373"/>
      <c r="C125" s="1269" t="s">
        <v>316</v>
      </c>
      <c r="D125" s="1269"/>
      <c r="E125" s="254"/>
      <c r="F125" s="255"/>
      <c r="G125" s="255"/>
      <c r="H125" s="370" t="e">
        <f>'5-e.  2019 LRAM'!H128*H116</f>
        <v>#DIV/0!</v>
      </c>
      <c r="I125" s="370" t="e">
        <f>'5-e.  2019 LRAM'!I128*I116</f>
        <v>#DIV/0!</v>
      </c>
      <c r="J125" s="370" t="e">
        <f>'5-e.  2019 LRAM'!J128*J116</f>
        <v>#DIV/0!</v>
      </c>
      <c r="K125" s="370" t="e">
        <f>'5-e.  2019 LRAM'!K128*K116</f>
        <v>#DIV/0!</v>
      </c>
      <c r="L125" s="370" t="e">
        <f>'5-e.  2019 LRAM'!L128*L116</f>
        <v>#DIV/0!</v>
      </c>
      <c r="M125" s="370" t="e">
        <f>'5-e.  2019 LRAM'!M128*M116</f>
        <v>#DIV/0!</v>
      </c>
      <c r="N125" s="370" t="e">
        <f>'5-e.  2019 LRAM'!N128*N116</f>
        <v>#DIV/0!</v>
      </c>
      <c r="O125" s="245"/>
      <c r="P125" s="270" t="e">
        <f t="shared" si="4"/>
        <v>#DIV/0!</v>
      </c>
    </row>
    <row r="126" spans="2:16" x14ac:dyDescent="0.35">
      <c r="B126" s="373"/>
      <c r="C126" s="1269" t="s">
        <v>317</v>
      </c>
      <c r="D126" s="1269"/>
      <c r="E126" s="254"/>
      <c r="F126" s="255"/>
      <c r="G126" s="255"/>
      <c r="H126" s="370" t="e">
        <f>H111*H116</f>
        <v>#REF!</v>
      </c>
      <c r="I126" s="370" t="e">
        <f>I111*I116</f>
        <v>#REF!</v>
      </c>
      <c r="J126" s="370" t="e">
        <f>J112*J116</f>
        <v>#REF!</v>
      </c>
      <c r="K126" s="370" t="e">
        <f>K112*K116</f>
        <v>#REF!</v>
      </c>
      <c r="L126" s="370" t="e">
        <f>L112*L116</f>
        <v>#REF!</v>
      </c>
      <c r="M126" s="370" t="e">
        <f>M112*M116</f>
        <v>#REF!</v>
      </c>
      <c r="N126" s="370" t="e">
        <f>N111*N116</f>
        <v>#REF!</v>
      </c>
      <c r="O126" s="245"/>
      <c r="P126" s="270" t="e">
        <f t="shared" si="4"/>
        <v>#REF!</v>
      </c>
    </row>
    <row r="127" spans="2:16" x14ac:dyDescent="0.35">
      <c r="B127" s="272"/>
      <c r="C127" s="435" t="s">
        <v>307</v>
      </c>
      <c r="D127" s="273"/>
      <c r="E127" s="273"/>
      <c r="F127" s="274"/>
      <c r="G127" s="274"/>
      <c r="H127" s="436" t="e">
        <f t="shared" ref="H127:N127" si="5">SUM(H117:H126)</f>
        <v>#REF!</v>
      </c>
      <c r="I127" s="436" t="e">
        <f t="shared" si="5"/>
        <v>#REF!</v>
      </c>
      <c r="J127" s="436" t="e">
        <f t="shared" si="5"/>
        <v>#REF!</v>
      </c>
      <c r="K127" s="436" t="e">
        <f t="shared" si="5"/>
        <v>#REF!</v>
      </c>
      <c r="L127" s="436" t="e">
        <f t="shared" si="5"/>
        <v>#REF!</v>
      </c>
      <c r="M127" s="436" t="e">
        <f t="shared" si="5"/>
        <v>#REF!</v>
      </c>
      <c r="N127" s="436" t="e">
        <f t="shared" si="5"/>
        <v>#REF!</v>
      </c>
      <c r="O127" s="273"/>
      <c r="P127" s="437" t="e">
        <f>SUM(P117:P126)</f>
        <v>#REF!</v>
      </c>
    </row>
  </sheetData>
  <mergeCells count="34">
    <mergeCell ref="B84:P84"/>
    <mergeCell ref="B92:P92"/>
    <mergeCell ref="B37:P37"/>
    <mergeCell ref="B45:P45"/>
    <mergeCell ref="B51:P51"/>
    <mergeCell ref="B60:P60"/>
    <mergeCell ref="B62:P62"/>
    <mergeCell ref="C126:D126"/>
    <mergeCell ref="C122:D122"/>
    <mergeCell ref="C123:D123"/>
    <mergeCell ref="C124:D124"/>
    <mergeCell ref="C125:D125"/>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1:D121"/>
    <mergeCell ref="C116:D116"/>
    <mergeCell ref="C117:D117"/>
    <mergeCell ref="C118:D118"/>
    <mergeCell ref="C119:D119"/>
    <mergeCell ref="C120:D120"/>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Y54"/>
  <sheetViews>
    <sheetView topLeftCell="I13" zoomScale="93" zoomScaleNormal="93" zoomScaleSheetLayoutView="100" zoomScalePageLayoutView="85" workbookViewId="0">
      <selection activeCell="R26" sqref="R26"/>
    </sheetView>
  </sheetViews>
  <sheetFormatPr defaultColWidth="9.1796875" defaultRowHeight="14" outlineLevelRow="1" x14ac:dyDescent="0.3"/>
  <cols>
    <col min="1" max="1" width="3.26953125" style="65" customWidth="1"/>
    <col min="2" max="2" width="4" style="65" customWidth="1"/>
    <col min="3" max="3" width="26.453125" style="68" customWidth="1"/>
    <col min="4" max="4" width="15.1796875" style="68" customWidth="1"/>
    <col min="5" max="5" width="10.81640625" style="65" customWidth="1"/>
    <col min="6" max="7" width="11.81640625" style="65" customWidth="1"/>
    <col min="8" max="8" width="10.7265625" style="65" customWidth="1"/>
    <col min="9" max="13" width="11.26953125" style="65" customWidth="1"/>
    <col min="14" max="14" width="4" style="65" customWidth="1"/>
    <col min="15" max="15" width="25.81640625" style="68" customWidth="1"/>
    <col min="16" max="16" width="10.81640625" style="65" customWidth="1"/>
    <col min="17" max="17" width="10.7265625" style="65" customWidth="1"/>
    <col min="18" max="18" width="11.1796875" style="65" customWidth="1"/>
    <col min="19" max="19" width="11.26953125" style="65" customWidth="1"/>
    <col min="20" max="22" width="9.90625" style="65" bestFit="1" customWidth="1"/>
    <col min="23" max="16384" width="9.1796875" style="65"/>
  </cols>
  <sheetData>
    <row r="1" spans="1:25" ht="155.25" customHeight="1" x14ac:dyDescent="0.3">
      <c r="C1" s="65"/>
      <c r="D1" s="65"/>
    </row>
    <row r="2" spans="1:25" ht="29.25" customHeight="1" x14ac:dyDescent="0.4">
      <c r="B2" s="68"/>
      <c r="C2" s="1240" t="s">
        <v>349</v>
      </c>
      <c r="D2" s="1240"/>
      <c r="E2" s="1240"/>
      <c r="F2" s="1240"/>
      <c r="G2" s="1240"/>
      <c r="H2" s="1240"/>
      <c r="I2" s="1240"/>
      <c r="J2" s="1240"/>
      <c r="K2" s="1240"/>
      <c r="L2" s="1240"/>
      <c r="M2" s="1240"/>
      <c r="N2" s="1240"/>
      <c r="O2" s="1240"/>
      <c r="P2" s="1240"/>
      <c r="Q2" s="1240"/>
      <c r="R2" s="1240"/>
      <c r="S2" s="1240"/>
      <c r="T2" s="1240"/>
      <c r="U2" s="1240"/>
    </row>
    <row r="3" spans="1:25" ht="8.25" customHeight="1" outlineLevel="1" x14ac:dyDescent="0.4">
      <c r="B3" s="68"/>
      <c r="C3" s="125"/>
      <c r="D3" s="125"/>
      <c r="E3" s="125"/>
      <c r="F3" s="125"/>
      <c r="G3" s="125"/>
      <c r="H3" s="125"/>
      <c r="I3" s="125"/>
      <c r="J3" s="486"/>
      <c r="K3" s="486"/>
      <c r="L3" s="486"/>
      <c r="M3" s="486"/>
      <c r="N3" s="125"/>
      <c r="O3" s="125"/>
      <c r="P3" s="125"/>
      <c r="Q3" s="125"/>
      <c r="R3" s="125"/>
    </row>
    <row r="4" spans="1:25" ht="9" hidden="1" customHeight="1" outlineLevel="1" x14ac:dyDescent="0.3">
      <c r="C4" s="65"/>
      <c r="D4" s="378"/>
      <c r="E4" s="379"/>
      <c r="F4" s="379"/>
      <c r="G4" s="379"/>
      <c r="H4" s="379"/>
      <c r="I4" s="379"/>
      <c r="J4" s="379"/>
      <c r="K4" s="379"/>
      <c r="L4" s="379"/>
      <c r="M4" s="379"/>
      <c r="N4" s="379"/>
      <c r="O4" s="379"/>
      <c r="P4" s="379"/>
      <c r="Q4" s="379"/>
      <c r="R4" s="379"/>
      <c r="S4" s="380"/>
    </row>
    <row r="5" spans="1:25" ht="80.25" customHeight="1" outlineLevel="1" x14ac:dyDescent="0.3">
      <c r="D5" s="361" t="s">
        <v>399</v>
      </c>
      <c r="E5" s="69"/>
      <c r="F5" s="1320" t="s">
        <v>498</v>
      </c>
      <c r="G5" s="1320"/>
      <c r="H5" s="1320"/>
      <c r="I5" s="1320"/>
      <c r="J5" s="1320"/>
      <c r="K5" s="1320"/>
      <c r="L5" s="1320"/>
      <c r="M5" s="1320"/>
      <c r="N5" s="1320"/>
      <c r="O5" s="1320"/>
      <c r="P5" s="1320"/>
      <c r="Q5" s="1320"/>
      <c r="R5" s="1320"/>
      <c r="S5" s="1320"/>
    </row>
    <row r="6" spans="1:25" ht="14.25" customHeight="1" outlineLevel="1" x14ac:dyDescent="0.3">
      <c r="D6" s="378"/>
      <c r="E6" s="69"/>
      <c r="F6" s="167" t="s">
        <v>491</v>
      </c>
      <c r="G6" s="69"/>
      <c r="H6" s="163"/>
      <c r="I6" s="163"/>
      <c r="J6" s="163"/>
      <c r="K6" s="163"/>
      <c r="L6" s="163"/>
      <c r="M6" s="163"/>
      <c r="N6" s="163"/>
      <c r="O6" s="163"/>
      <c r="P6" s="280"/>
      <c r="Q6" s="163"/>
      <c r="R6" s="163"/>
      <c r="S6" s="69"/>
    </row>
    <row r="7" spans="1:25" ht="6.75" hidden="1" customHeight="1" outlineLevel="1" x14ac:dyDescent="0.3">
      <c r="D7" s="378"/>
      <c r="E7" s="69"/>
      <c r="F7" s="167"/>
      <c r="G7" s="69"/>
      <c r="H7" s="163"/>
      <c r="I7" s="163"/>
      <c r="J7" s="163"/>
      <c r="K7" s="163"/>
      <c r="L7" s="163"/>
      <c r="M7" s="163"/>
      <c r="N7" s="163"/>
      <c r="O7" s="163"/>
      <c r="P7" s="280"/>
      <c r="Q7" s="163"/>
      <c r="R7" s="163"/>
      <c r="S7" s="69"/>
    </row>
    <row r="8" spans="1:25" outlineLevel="1" x14ac:dyDescent="0.3">
      <c r="A8" s="123"/>
      <c r="D8" s="82"/>
      <c r="F8" s="163" t="s">
        <v>259</v>
      </c>
      <c r="H8" s="163"/>
      <c r="I8" s="163"/>
      <c r="J8" s="163"/>
      <c r="K8" s="163"/>
      <c r="L8" s="163"/>
      <c r="M8" s="163"/>
      <c r="N8" s="163"/>
      <c r="O8" s="163"/>
      <c r="P8" s="164"/>
      <c r="Q8" s="163"/>
      <c r="R8" s="163"/>
    </row>
    <row r="9" spans="1:25" ht="12" customHeight="1" outlineLevel="1" x14ac:dyDescent="0.45">
      <c r="A9" s="123"/>
      <c r="D9" s="82"/>
      <c r="F9" s="163"/>
      <c r="H9" s="163"/>
      <c r="I9" s="163"/>
      <c r="J9" s="163"/>
      <c r="K9" s="163"/>
      <c r="L9" s="163"/>
      <c r="M9" s="163"/>
      <c r="N9" s="163"/>
      <c r="O9" s="163"/>
      <c r="P9" s="164"/>
      <c r="Q9" s="163"/>
      <c r="R9" s="163"/>
      <c r="U9" s="62"/>
    </row>
    <row r="10" spans="1:25" ht="18.5" outlineLevel="1" x14ac:dyDescent="0.45">
      <c r="A10" s="123"/>
      <c r="D10" s="83" t="s">
        <v>337</v>
      </c>
      <c r="E10" s="62"/>
      <c r="F10" s="1300" t="s">
        <v>363</v>
      </c>
      <c r="G10" s="1300"/>
      <c r="H10" s="205"/>
      <c r="I10" s="163"/>
      <c r="J10" s="163"/>
      <c r="K10" s="163"/>
      <c r="L10" s="163"/>
      <c r="M10" s="163"/>
      <c r="N10" s="163"/>
      <c r="O10" s="163"/>
      <c r="P10" s="164"/>
      <c r="Q10" s="163"/>
      <c r="R10" s="163"/>
      <c r="U10" s="62"/>
    </row>
    <row r="11" spans="1:25" ht="16.5" customHeight="1" outlineLevel="1" x14ac:dyDescent="0.45">
      <c r="A11" s="123"/>
      <c r="D11" s="62"/>
      <c r="E11" s="62"/>
      <c r="F11" s="1317" t="s">
        <v>338</v>
      </c>
      <c r="G11" s="1317"/>
      <c r="H11" s="1317"/>
      <c r="I11" s="163"/>
      <c r="J11" s="163"/>
      <c r="K11" s="163"/>
      <c r="L11" s="163"/>
      <c r="M11" s="163"/>
      <c r="N11" s="163"/>
      <c r="O11" s="164"/>
      <c r="P11" s="163"/>
      <c r="Q11" s="163"/>
    </row>
    <row r="12" spans="1:25" ht="12.75" customHeight="1" x14ac:dyDescent="0.3">
      <c r="A12" s="123"/>
    </row>
    <row r="13" spans="1:25" ht="9.75" customHeight="1" x14ac:dyDescent="0.3">
      <c r="A13" s="123"/>
    </row>
    <row r="14" spans="1:25" ht="15.5" x14ac:dyDescent="0.3">
      <c r="A14" s="123"/>
      <c r="C14" s="166" t="s">
        <v>486</v>
      </c>
    </row>
    <row r="15" spans="1:25" ht="11.25" customHeight="1" x14ac:dyDescent="0.3">
      <c r="A15" s="123"/>
    </row>
    <row r="16" spans="1:25" ht="15" customHeight="1" x14ac:dyDescent="0.3">
      <c r="A16" s="123"/>
      <c r="C16" s="232" t="s">
        <v>21</v>
      </c>
      <c r="D16" s="1308" t="s">
        <v>360</v>
      </c>
      <c r="E16" s="1310"/>
      <c r="F16" s="1310"/>
      <c r="G16" s="1310"/>
      <c r="H16" s="1310"/>
      <c r="I16" s="1310"/>
      <c r="J16" s="1310"/>
      <c r="K16" s="1310"/>
      <c r="L16" s="1310"/>
      <c r="M16" s="1310"/>
      <c r="O16" s="303" t="s">
        <v>21</v>
      </c>
      <c r="P16" s="1318" t="s">
        <v>359</v>
      </c>
      <c r="Q16" s="1319"/>
      <c r="R16" s="1319"/>
      <c r="S16" s="1319"/>
      <c r="T16" s="1319"/>
      <c r="U16" s="1319"/>
      <c r="V16" s="1319"/>
      <c r="W16" s="1319"/>
      <c r="X16" s="1319"/>
      <c r="Y16" s="1319"/>
    </row>
    <row r="17" spans="1:25" ht="15" customHeight="1" x14ac:dyDescent="0.3">
      <c r="A17" s="42"/>
      <c r="C17" s="232"/>
      <c r="D17" s="168">
        <v>2011</v>
      </c>
      <c r="E17" s="168">
        <v>2012</v>
      </c>
      <c r="F17" s="168">
        <v>2013</v>
      </c>
      <c r="G17" s="168">
        <v>2014</v>
      </c>
      <c r="H17" s="487">
        <v>2015</v>
      </c>
      <c r="I17" s="487">
        <v>2016</v>
      </c>
      <c r="J17" s="487">
        <v>2017</v>
      </c>
      <c r="K17" s="487">
        <v>2018</v>
      </c>
      <c r="L17" s="487">
        <v>2019</v>
      </c>
      <c r="M17" s="1090">
        <v>2020</v>
      </c>
      <c r="O17" s="302"/>
      <c r="P17" s="168">
        <v>2011</v>
      </c>
      <c r="Q17" s="168">
        <v>2012</v>
      </c>
      <c r="R17" s="168">
        <v>2013</v>
      </c>
      <c r="S17" s="168">
        <v>2014</v>
      </c>
      <c r="T17" s="487">
        <v>2015</v>
      </c>
      <c r="U17" s="487">
        <v>2016</v>
      </c>
      <c r="V17" s="487">
        <v>2017</v>
      </c>
      <c r="W17" s="487">
        <v>2018</v>
      </c>
      <c r="X17" s="487">
        <v>2019</v>
      </c>
      <c r="Y17" s="1090">
        <v>2020</v>
      </c>
    </row>
    <row r="18" spans="1:25" ht="15" customHeight="1" x14ac:dyDescent="0.3">
      <c r="A18" s="42"/>
      <c r="C18" s="148" t="s">
        <v>22</v>
      </c>
      <c r="D18" s="527">
        <f>+'10. Guelph_CDM Prgs'!G13/1000000</f>
        <v>14.406162999999999</v>
      </c>
      <c r="E18" s="527">
        <f>+'10. Guelph_CDM Prgs'!T13/1000000</f>
        <v>14.394162864223238</v>
      </c>
      <c r="F18" s="527">
        <f>+'10. Guelph_CDM Prgs'!AF13/1000000</f>
        <v>14.382162728446479</v>
      </c>
      <c r="G18" s="527">
        <f>+'10. Guelph_CDM Prgs'!AR13/1000000</f>
        <v>14.229160997292793</v>
      </c>
      <c r="H18" s="528">
        <f>+'10. Guelph_CDM Prgs'!BE13/1000000</f>
        <v>14.099856076036621</v>
      </c>
      <c r="I18" s="1105">
        <f>$D18*I25</f>
        <v>13.838212750172895</v>
      </c>
      <c r="J18" s="1105">
        <f t="shared" ref="J18:M18" si="0">$D18*J25</f>
        <v>13.356468337063195</v>
      </c>
      <c r="K18" s="1105">
        <f t="shared" si="0"/>
        <v>13.353376147973155</v>
      </c>
      <c r="L18" s="1105">
        <f t="shared" si="0"/>
        <v>11.316267353955352</v>
      </c>
      <c r="M18" s="1105">
        <f t="shared" si="0"/>
        <v>11.088123213262211</v>
      </c>
      <c r="O18" s="148" t="s">
        <v>22</v>
      </c>
      <c r="P18" s="528">
        <f>+'10. Guelph_CDM Prgs'!G26/1000</f>
        <v>3.419</v>
      </c>
      <c r="Q18" s="528">
        <f>+'10. Guelph_CDM Prgs'!T26/1000</f>
        <v>2.9860000000000007</v>
      </c>
      <c r="R18" s="528">
        <f>+'10. Guelph_CDM Prgs'!AF26/1000</f>
        <v>2.9809999999999999</v>
      </c>
      <c r="S18" s="528">
        <f>+'10. Guelph_CDM Prgs'!AR26/1000</f>
        <v>2.9279999999999999</v>
      </c>
      <c r="T18" s="528">
        <f>+'10. Guelph_CDM Prgs'!BE26/1000</f>
        <v>3.2994042982684997</v>
      </c>
      <c r="U18" s="1105">
        <f>$P18*U25</f>
        <v>3.1016510598037019</v>
      </c>
      <c r="V18" s="1105">
        <f t="shared" ref="V18:Y18" si="1">$P18*V25</f>
        <v>3.0987475309638906</v>
      </c>
      <c r="W18" s="1105">
        <f t="shared" si="1"/>
        <v>2.7346176218264788</v>
      </c>
      <c r="X18" s="1105">
        <f t="shared" si="1"/>
        <v>2.722521469669263</v>
      </c>
      <c r="Y18" s="1105">
        <f t="shared" si="1"/>
        <v>2.7087023841965721</v>
      </c>
    </row>
    <row r="19" spans="1:25" x14ac:dyDescent="0.3">
      <c r="A19" s="42"/>
      <c r="C19" s="149" t="s">
        <v>32</v>
      </c>
      <c r="D19" s="150" t="s">
        <v>24</v>
      </c>
      <c r="E19" s="528">
        <f>+'10. Guelph_CDM Prgs'!R13/1000000</f>
        <v>8.948635135</v>
      </c>
      <c r="F19" s="528">
        <f>+'10. Guelph_CDM Prgs'!AG13/1000000</f>
        <v>8.9116366435490022</v>
      </c>
      <c r="G19" s="528">
        <f>+'10. Guelph_CDM Prgs'!AS13/1000000</f>
        <v>8.7986412507391876</v>
      </c>
      <c r="H19" s="528">
        <f>+'10. Guelph_CDM Prgs'!BF13/1000000</f>
        <v>8.1816344316415552</v>
      </c>
      <c r="I19" s="1105">
        <f>$E19*I26</f>
        <v>7.6829892791950574</v>
      </c>
      <c r="J19" s="1105">
        <f t="shared" ref="J19:M19" si="2">$E19*J26</f>
        <v>6.8204685121659923</v>
      </c>
      <c r="K19" s="1105">
        <f t="shared" si="2"/>
        <v>6.0216420788925422</v>
      </c>
      <c r="L19" s="1105">
        <f t="shared" si="2"/>
        <v>5.9632940225520805</v>
      </c>
      <c r="M19" s="1105">
        <f t="shared" si="2"/>
        <v>5.8973553175863707</v>
      </c>
      <c r="O19" s="149" t="s">
        <v>32</v>
      </c>
      <c r="P19" s="529"/>
      <c r="Q19" s="528">
        <f>+'10. Guelph_CDM Prgs'!R26/1000</f>
        <v>5.0663689999999999</v>
      </c>
      <c r="R19" s="528">
        <f>+'10. Guelph_CDM Prgs'!AG26/1000</f>
        <v>3.9905029956581801</v>
      </c>
      <c r="S19" s="528">
        <f>+'10. Guelph_CDM Prgs'!AS26/1000</f>
        <v>3.9565072297217285</v>
      </c>
      <c r="T19" s="528">
        <f>+'10. Guelph_CDM Prgs'!BF26/1000</f>
        <v>1.6943516427472565</v>
      </c>
      <c r="U19" s="1105">
        <f>$Q19*U26</f>
        <v>1.5979957854453424</v>
      </c>
      <c r="V19" s="1105">
        <f t="shared" ref="V19:Y19" si="3">$Q19*V26</f>
        <v>1.3725040338935244</v>
      </c>
      <c r="W19" s="1105">
        <f t="shared" si="3"/>
        <v>1.2791314551895283</v>
      </c>
      <c r="X19" s="1105">
        <f t="shared" si="3"/>
        <v>1.2639359608729264</v>
      </c>
      <c r="Y19" s="1105">
        <f t="shared" si="3"/>
        <v>1.2553626342096875</v>
      </c>
    </row>
    <row r="20" spans="1:25" ht="15" customHeight="1" x14ac:dyDescent="0.3">
      <c r="A20" s="42"/>
      <c r="C20" s="148" t="s">
        <v>203</v>
      </c>
      <c r="D20" s="150" t="s">
        <v>24</v>
      </c>
      <c r="E20" s="150"/>
      <c r="F20" s="528">
        <f>+'10. Guelph_CDM Prgs'!AD13/1000000</f>
        <v>8.1018228010000009</v>
      </c>
      <c r="G20" s="528">
        <f>+'10. Guelph_CDM Prgs'!AT13/1000000</f>
        <v>8.000825009972969</v>
      </c>
      <c r="H20" s="528">
        <f>+'10. Guelph_CDM Prgs'!BG13/1000000</f>
        <v>7.9757250469581216</v>
      </c>
      <c r="I20" s="1105">
        <f>$F20*I27</f>
        <v>7.8421983587426505</v>
      </c>
      <c r="J20" s="1105">
        <f t="shared" ref="J20:M20" si="4">$F20*J27</f>
        <v>7.4623320687254688</v>
      </c>
      <c r="K20" s="1105">
        <f t="shared" si="4"/>
        <v>7.36889631316531</v>
      </c>
      <c r="L20" s="1105">
        <f t="shared" si="4"/>
        <v>7.36889631316531</v>
      </c>
      <c r="M20" s="1105">
        <f t="shared" si="4"/>
        <v>7.3519480671198822</v>
      </c>
      <c r="O20" s="148" t="s">
        <v>203</v>
      </c>
      <c r="P20" s="529"/>
      <c r="Q20" s="529"/>
      <c r="R20" s="528">
        <f>+'10. Guelph_CDM Prgs'!AD26/1000</f>
        <v>6.0908190000000006</v>
      </c>
      <c r="S20" s="528">
        <f>+'10. Guelph_CDM Prgs'!AT26/1000</f>
        <v>1.4489569415531114</v>
      </c>
      <c r="T20" s="528">
        <f>+'10. Guelph_CDM Prgs'!BG26/1000</f>
        <v>1.4443632332154015</v>
      </c>
      <c r="U20" s="1105">
        <f>$R20*U27</f>
        <v>1.4216678804305087</v>
      </c>
      <c r="V20" s="1105">
        <f t="shared" ref="V20:Y20" si="5">$R20*V27</f>
        <v>1.3102261324232072</v>
      </c>
      <c r="W20" s="1105">
        <f t="shared" si="5"/>
        <v>1.2951871989295953</v>
      </c>
      <c r="X20" s="1105">
        <f t="shared" si="5"/>
        <v>1.2951871989295953</v>
      </c>
      <c r="Y20" s="1105">
        <f t="shared" si="5"/>
        <v>1.2910052064120046</v>
      </c>
    </row>
    <row r="21" spans="1:25" ht="15" customHeight="1" x14ac:dyDescent="0.3">
      <c r="A21" s="42"/>
      <c r="C21" s="148" t="s">
        <v>204</v>
      </c>
      <c r="D21" s="150"/>
      <c r="E21" s="150"/>
      <c r="F21" s="150"/>
      <c r="G21" s="528">
        <f>+'10. Guelph_CDM Prgs'!AP13/1000000</f>
        <v>18.790542330000001</v>
      </c>
      <c r="H21" s="528">
        <f>+'10. Guelph_CDM Prgs'!BH13/1000000</f>
        <v>18.59599278051936</v>
      </c>
      <c r="I21" s="1105">
        <f>$G21*I28</f>
        <v>18.46642635406759</v>
      </c>
      <c r="J21" s="1105">
        <f t="shared" ref="J21:M21" si="6">$G21*J28</f>
        <v>12.502440113369774</v>
      </c>
      <c r="K21" s="1105">
        <f t="shared" si="6"/>
        <v>11.899586243263499</v>
      </c>
      <c r="L21" s="1105">
        <f t="shared" si="6"/>
        <v>11.84934032419361</v>
      </c>
      <c r="M21" s="1105">
        <f t="shared" si="6"/>
        <v>11.74728785119852</v>
      </c>
      <c r="O21" s="148" t="s">
        <v>204</v>
      </c>
      <c r="P21" s="529"/>
      <c r="Q21" s="529"/>
      <c r="R21" s="529"/>
      <c r="S21" s="528">
        <f>+'10. Guelph_CDM Prgs'!AP26/1000</f>
        <v>6.7927020000000011</v>
      </c>
      <c r="T21" s="528">
        <f>+'10. Guelph_CDM Prgs'!BH26/1000</f>
        <v>3.3904063973532486</v>
      </c>
      <c r="U21" s="1105">
        <f>$S21*U28</f>
        <v>3.3830901085939034</v>
      </c>
      <c r="V21" s="1105">
        <f t="shared" ref="V21:Y21" si="7">$S21*V28</f>
        <v>2.7358352392642087</v>
      </c>
      <c r="W21" s="1105">
        <f t="shared" si="7"/>
        <v>2.6551664970587581</v>
      </c>
      <c r="X21" s="1105">
        <f t="shared" si="7"/>
        <v>2.6508730326891561</v>
      </c>
      <c r="Y21" s="1105">
        <f t="shared" si="7"/>
        <v>2.6394422943004754</v>
      </c>
    </row>
    <row r="22" spans="1:25" ht="15" customHeight="1" x14ac:dyDescent="0.3">
      <c r="A22" s="42"/>
      <c r="C22" s="1"/>
      <c r="D22" s="1"/>
      <c r="E22" s="1"/>
      <c r="F22" s="1"/>
      <c r="G22" s="1"/>
      <c r="P22" s="68"/>
      <c r="Q22" s="68"/>
      <c r="R22" s="68"/>
      <c r="S22" s="68"/>
      <c r="W22" s="151"/>
    </row>
    <row r="23" spans="1:25" ht="15" customHeight="1" x14ac:dyDescent="0.3">
      <c r="A23" s="42"/>
      <c r="C23" s="232" t="s">
        <v>21</v>
      </c>
      <c r="D23" s="1318" t="s">
        <v>44</v>
      </c>
      <c r="E23" s="1319"/>
      <c r="F23" s="1319"/>
      <c r="G23" s="1319"/>
      <c r="H23" s="1319"/>
      <c r="I23" s="1319"/>
      <c r="J23" s="1319"/>
      <c r="K23" s="1319"/>
      <c r="L23" s="1319"/>
      <c r="M23" s="1319"/>
      <c r="O23" s="305" t="s">
        <v>21</v>
      </c>
      <c r="P23" s="1308" t="s">
        <v>262</v>
      </c>
      <c r="Q23" s="1310"/>
      <c r="R23" s="1310"/>
      <c r="S23" s="1310"/>
      <c r="T23" s="1310"/>
      <c r="U23" s="1310"/>
      <c r="V23" s="1310"/>
      <c r="W23" s="1310"/>
      <c r="X23" s="1310"/>
      <c r="Y23" s="1310"/>
    </row>
    <row r="24" spans="1:25" ht="15" customHeight="1" x14ac:dyDescent="0.3">
      <c r="A24" s="42"/>
      <c r="C24" s="232"/>
      <c r="D24" s="295">
        <v>2011</v>
      </c>
      <c r="E24" s="295">
        <v>2012</v>
      </c>
      <c r="F24" s="295">
        <v>2013</v>
      </c>
      <c r="G24" s="295">
        <v>2014</v>
      </c>
      <c r="H24" s="487">
        <v>2015</v>
      </c>
      <c r="I24" s="487">
        <v>2016</v>
      </c>
      <c r="J24" s="487">
        <v>2017</v>
      </c>
      <c r="K24" s="487">
        <v>2018</v>
      </c>
      <c r="L24" s="487">
        <v>2019</v>
      </c>
      <c r="M24" s="1090">
        <v>2020</v>
      </c>
      <c r="O24" s="304"/>
      <c r="P24" s="295">
        <v>2011</v>
      </c>
      <c r="Q24" s="295">
        <v>2012</v>
      </c>
      <c r="R24" s="295">
        <v>2013</v>
      </c>
      <c r="S24" s="295">
        <v>2014</v>
      </c>
      <c r="T24" s="295">
        <v>2015</v>
      </c>
      <c r="U24" s="1110">
        <v>2016</v>
      </c>
      <c r="V24" s="1110">
        <v>2017</v>
      </c>
      <c r="W24" s="1110">
        <v>2018</v>
      </c>
      <c r="X24" s="1110">
        <v>2019</v>
      </c>
      <c r="Y24" s="1090">
        <v>2020</v>
      </c>
    </row>
    <row r="25" spans="1:25" ht="16.5" customHeight="1" x14ac:dyDescent="0.3">
      <c r="A25" s="42"/>
      <c r="C25" s="30">
        <v>2011</v>
      </c>
      <c r="D25" s="22"/>
      <c r="E25" s="530">
        <f t="shared" ref="E25:H25" si="8">E18/$D$18</f>
        <v>0.99916701374427308</v>
      </c>
      <c r="F25" s="530">
        <f t="shared" si="8"/>
        <v>0.99833402748854638</v>
      </c>
      <c r="G25" s="530">
        <f t="shared" si="8"/>
        <v>0.98771345272802991</v>
      </c>
      <c r="H25" s="530">
        <f t="shared" si="8"/>
        <v>0.97873778576825921</v>
      </c>
      <c r="I25" s="1106">
        <f>'10. Guelph_CDM Prgs'!G109</f>
        <v>0.96057588340301958</v>
      </c>
      <c r="J25" s="1106">
        <f>'10. Guelph_CDM Prgs'!H109</f>
        <v>0.92713572219495188</v>
      </c>
      <c r="K25" s="1106">
        <f>'10. Guelph_CDM Prgs'!I109</f>
        <v>0.92692107870590912</v>
      </c>
      <c r="L25" s="1106">
        <f>'10. Guelph_CDM Prgs'!K109</f>
        <v>0.78551570976639318</v>
      </c>
      <c r="M25" s="1106">
        <f>'10. Guelph_CDM Prgs'!L109</f>
        <v>0.76967914449268771</v>
      </c>
      <c r="O25" s="489">
        <v>2011</v>
      </c>
      <c r="P25" s="490"/>
      <c r="Q25" s="1199"/>
      <c r="R25" s="1199"/>
      <c r="S25" s="534">
        <f>S18/$P$18</f>
        <v>0.85639075753144189</v>
      </c>
      <c r="T25" s="534">
        <f t="shared" ref="T25" si="9">T18/$P$18</f>
        <v>0.96502026857809287</v>
      </c>
      <c r="U25" s="1106">
        <f>'10. Guelph_CDM Prgs'!G121</f>
        <v>0.90718077209818715</v>
      </c>
      <c r="V25" s="1106">
        <f>'10. Guelph_CDM Prgs'!H121</f>
        <v>0.90633153874346029</v>
      </c>
      <c r="W25" s="1106">
        <f>'10. Guelph_CDM Prgs'!I121</f>
        <v>0.79982966417855483</v>
      </c>
      <c r="X25" s="1106">
        <f>'10. Guelph_CDM Prgs'!K121</f>
        <v>0.79629174310303097</v>
      </c>
      <c r="Y25" s="1106">
        <f>'10. Guelph_CDM Prgs'!L121</f>
        <v>0.79224989300864934</v>
      </c>
    </row>
    <row r="26" spans="1:25" ht="16.5" customHeight="1" x14ac:dyDescent="0.3">
      <c r="A26" s="42"/>
      <c r="C26" s="30">
        <v>2012</v>
      </c>
      <c r="D26" s="22"/>
      <c r="E26" s="531"/>
      <c r="F26" s="530">
        <f>F19/$E$19</f>
        <v>0.99586545982791397</v>
      </c>
      <c r="G26" s="530">
        <f>G19/$E$19</f>
        <v>0.98323835065370424</v>
      </c>
      <c r="H26" s="530">
        <f>H19/$E$19</f>
        <v>0.91428852648617409</v>
      </c>
      <c r="I26" s="1106">
        <f>'10. Guelph_CDM Prgs'!G110</f>
        <v>0.85856548661206056</v>
      </c>
      <c r="J26" s="1106">
        <f>'10. Guelph_CDM Prgs'!H110</f>
        <v>0.76217975247305603</v>
      </c>
      <c r="K26" s="1106">
        <f>'10. Guelph_CDM Prgs'!I110</f>
        <v>0.6729117891219667</v>
      </c>
      <c r="L26" s="1106">
        <f>'10. Guelph_CDM Prgs'!K110</f>
        <v>0.66639145887492712</v>
      </c>
      <c r="M26" s="1106">
        <f>'10. Guelph_CDM Prgs'!L110</f>
        <v>0.65902288210640858</v>
      </c>
      <c r="O26" s="489">
        <v>2012</v>
      </c>
      <c r="P26" s="490"/>
      <c r="Q26" s="535"/>
      <c r="R26" s="1199"/>
      <c r="S26" s="534">
        <f>S19/$Q$19</f>
        <v>0.78093546477205444</v>
      </c>
      <c r="T26" s="534">
        <f t="shared" ref="T26" si="10">T19/$Q$19</f>
        <v>0.33443115626738923</v>
      </c>
      <c r="U26" s="1106">
        <f>'10. Guelph_CDM Prgs'!G122</f>
        <v>0.31541243550269282</v>
      </c>
      <c r="V26" s="1106">
        <f>'10. Guelph_CDM Prgs'!H122</f>
        <v>0.27090486971902844</v>
      </c>
      <c r="W26" s="1106">
        <f>'10. Guelph_CDM Prgs'!I122</f>
        <v>0.2524749885350886</v>
      </c>
      <c r="X26" s="1106">
        <f>'10. Guelph_CDM Prgs'!K122</f>
        <v>0.2494757016065996</v>
      </c>
      <c r="Y26" s="1106">
        <f>'10. Guelph_CDM Prgs'!L122</f>
        <v>0.24778349824296009</v>
      </c>
    </row>
    <row r="27" spans="1:25" ht="16.5" customHeight="1" x14ac:dyDescent="0.3">
      <c r="A27" s="42"/>
      <c r="C27" s="489">
        <v>2013</v>
      </c>
      <c r="D27" s="490"/>
      <c r="E27" s="532"/>
      <c r="F27" s="533"/>
      <c r="G27" s="534">
        <f>G20/$F$20</f>
        <v>0.98753394223648461</v>
      </c>
      <c r="H27" s="534">
        <f>H20/$F$20</f>
        <v>0.9844358785499091</v>
      </c>
      <c r="I27" s="1106">
        <f>'10. Guelph_CDM Prgs'!G111</f>
        <v>0.96795481107963688</v>
      </c>
      <c r="J27" s="1106">
        <f>'10. Guelph_CDM Prgs'!H111</f>
        <v>0.92106828944770303</v>
      </c>
      <c r="K27" s="1106">
        <f>'10. Guelph_CDM Prgs'!I111</f>
        <v>0.90953560626576202</v>
      </c>
      <c r="L27" s="1106">
        <f>'10. Guelph_CDM Prgs'!K111</f>
        <v>0.90953560626576202</v>
      </c>
      <c r="M27" s="1106">
        <f>'10. Guelph_CDM Prgs'!L111</f>
        <v>0.9074437009671994</v>
      </c>
      <c r="O27" s="489">
        <v>2013</v>
      </c>
      <c r="P27" s="490"/>
      <c r="Q27" s="532"/>
      <c r="R27" s="533"/>
      <c r="S27" s="534">
        <f>S20/$R$20</f>
        <v>0.2378919717616155</v>
      </c>
      <c r="T27" s="534">
        <f t="shared" ref="T27" si="11">T20/$R$20</f>
        <v>0.23713776968506228</v>
      </c>
      <c r="U27" s="1106">
        <f>'10. Guelph_CDM Prgs'!G123</f>
        <v>0.2334116118752681</v>
      </c>
      <c r="V27" s="1106">
        <f>'10. Guelph_CDM Prgs'!H123</f>
        <v>0.21511493485904062</v>
      </c>
      <c r="W27" s="1106">
        <f>'10. Guelph_CDM Prgs'!I123</f>
        <v>0.21264581970496829</v>
      </c>
      <c r="X27" s="1106">
        <f>'10. Guelph_CDM Prgs'!K123</f>
        <v>0.21264581970496829</v>
      </c>
      <c r="Y27" s="1106">
        <f>'10. Guelph_CDM Prgs'!L123</f>
        <v>0.21195921376287893</v>
      </c>
    </row>
    <row r="28" spans="1:25" ht="16.5" customHeight="1" x14ac:dyDescent="0.3">
      <c r="A28" s="42"/>
      <c r="C28" s="489">
        <v>2014</v>
      </c>
      <c r="D28" s="490"/>
      <c r="E28" s="532"/>
      <c r="F28" s="533"/>
      <c r="G28" s="534"/>
      <c r="H28" s="530">
        <f t="shared" ref="H28" si="12">H21/$G$21</f>
        <v>0.98964641115386898</v>
      </c>
      <c r="I28" s="1106">
        <f>'10. Guelph_CDM Prgs'!G112</f>
        <v>0.98275111115792835</v>
      </c>
      <c r="J28" s="1106">
        <f>'10. Guelph_CDM Prgs'!H112</f>
        <v>0.66535813037226865</v>
      </c>
      <c r="K28" s="1106">
        <f>'10. Guelph_CDM Prgs'!I112</f>
        <v>0.63327529532052085</v>
      </c>
      <c r="L28" s="1106">
        <f>'10. Guelph_CDM Prgs'!K112</f>
        <v>0.63060129484797101</v>
      </c>
      <c r="M28" s="1106">
        <f>'10. Guelph_CDM Prgs'!L112</f>
        <v>0.62517023962865681</v>
      </c>
      <c r="O28" s="489">
        <v>2014</v>
      </c>
      <c r="P28" s="490"/>
      <c r="Q28" s="532"/>
      <c r="R28" s="533"/>
      <c r="S28" s="534"/>
      <c r="T28" s="536">
        <f>T21/$S$21</f>
        <v>0.49912485449137145</v>
      </c>
      <c r="U28" s="1106">
        <f>'10. Guelph_CDM Prgs'!G124</f>
        <v>0.49804777371271441</v>
      </c>
      <c r="V28" s="1106">
        <f>'10. Guelph_CDM Prgs'!H124</f>
        <v>0.40276096894346436</v>
      </c>
      <c r="W28" s="1106">
        <f>'10. Guelph_CDM Prgs'!I124</f>
        <v>0.390885173095884</v>
      </c>
      <c r="X28" s="1106">
        <f>'10. Guelph_CDM Prgs'!K124</f>
        <v>0.39025310291680038</v>
      </c>
      <c r="Y28" s="1106">
        <f>'10. Guelph_CDM Prgs'!L124</f>
        <v>0.38857030594018038</v>
      </c>
    </row>
    <row r="29" spans="1:25" ht="9" customHeight="1" x14ac:dyDescent="0.3">
      <c r="A29" s="42"/>
      <c r="C29" s="31"/>
      <c r="D29" s="291"/>
      <c r="E29" s="291"/>
      <c r="F29" s="292"/>
      <c r="G29" s="293"/>
      <c r="O29" s="31"/>
      <c r="P29" s="291"/>
      <c r="Q29" s="291"/>
      <c r="R29" s="292"/>
      <c r="S29" s="293"/>
      <c r="V29" s="151"/>
      <c r="W29" s="151"/>
    </row>
    <row r="30" spans="1:25" ht="9.75" customHeight="1" x14ac:dyDescent="0.3">
      <c r="A30" s="42"/>
      <c r="U30" s="151"/>
      <c r="V30" s="151"/>
      <c r="W30" s="151"/>
    </row>
    <row r="31" spans="1:25" ht="17.5" x14ac:dyDescent="0.3">
      <c r="A31" s="42"/>
      <c r="C31" s="166" t="s">
        <v>487</v>
      </c>
      <c r="E31" s="147"/>
      <c r="F31" s="147"/>
      <c r="G31" s="147"/>
      <c r="H31" s="147"/>
      <c r="I31" s="147"/>
      <c r="J31" s="147"/>
      <c r="K31" s="147"/>
      <c r="L31" s="147"/>
      <c r="M31" s="147"/>
      <c r="N31" s="147"/>
      <c r="O31" s="147"/>
      <c r="P31" s="147"/>
      <c r="Q31" s="147"/>
      <c r="R31" s="147"/>
      <c r="S31" s="147"/>
    </row>
    <row r="32" spans="1:25" ht="8.25" customHeight="1" x14ac:dyDescent="0.3">
      <c r="D32" s="65"/>
      <c r="J32" s="147"/>
      <c r="K32" s="147"/>
      <c r="L32" s="147"/>
      <c r="M32" s="147"/>
    </row>
    <row r="33" spans="1:24" ht="17.5" x14ac:dyDescent="0.3">
      <c r="C33" s="1323" t="s">
        <v>21</v>
      </c>
      <c r="D33" s="1307" t="s">
        <v>360</v>
      </c>
      <c r="E33" s="1309"/>
      <c r="F33" s="1309"/>
      <c r="G33" s="1309"/>
      <c r="H33" s="1309"/>
      <c r="I33" s="1322"/>
      <c r="J33" s="147"/>
      <c r="K33" s="147"/>
      <c r="L33" s="147"/>
      <c r="M33" s="147"/>
      <c r="N33" s="152"/>
      <c r="O33" s="1325" t="s">
        <v>21</v>
      </c>
      <c r="P33" s="1326" t="s">
        <v>359</v>
      </c>
      <c r="Q33" s="1327"/>
      <c r="R33" s="1327"/>
      <c r="S33" s="1327"/>
      <c r="T33" s="1327"/>
      <c r="U33" s="1327"/>
      <c r="V33" s="1328"/>
      <c r="W33" s="152"/>
    </row>
    <row r="34" spans="1:24" ht="14.25" customHeight="1" x14ac:dyDescent="0.3">
      <c r="C34" s="1324"/>
      <c r="D34" s="487">
        <v>2015</v>
      </c>
      <c r="E34" s="487">
        <v>2016</v>
      </c>
      <c r="F34" s="487">
        <v>2017</v>
      </c>
      <c r="G34" s="487">
        <v>2018</v>
      </c>
      <c r="H34" s="170">
        <v>2019</v>
      </c>
      <c r="I34" s="1090">
        <v>2020</v>
      </c>
      <c r="J34" s="147"/>
      <c r="K34" s="147"/>
      <c r="L34" s="147"/>
      <c r="M34" s="147"/>
      <c r="N34" s="153"/>
      <c r="O34" s="1325"/>
      <c r="P34" s="169"/>
      <c r="Q34" s="169">
        <v>2015</v>
      </c>
      <c r="R34" s="169">
        <v>2016</v>
      </c>
      <c r="S34" s="169">
        <v>2017</v>
      </c>
      <c r="T34" s="169">
        <v>2018</v>
      </c>
      <c r="U34" s="169">
        <v>2019</v>
      </c>
      <c r="V34" s="1090">
        <v>2020</v>
      </c>
      <c r="W34" s="154"/>
    </row>
    <row r="35" spans="1:24" ht="17.5" x14ac:dyDescent="0.3">
      <c r="C35" s="155" t="s">
        <v>215</v>
      </c>
      <c r="D35" s="1107">
        <f>+'10. Guelph_CDM Prgs'!BC13/1000000</f>
        <v>56.715164999999999</v>
      </c>
      <c r="E35" s="1108">
        <f>$D35*E44</f>
        <v>56.584683699501056</v>
      </c>
      <c r="F35" s="1108">
        <f t="shared" ref="F35:I35" si="13">$D35*F44</f>
        <v>56.483533148411617</v>
      </c>
      <c r="G35" s="1108">
        <f t="shared" si="13"/>
        <v>56.463560844492577</v>
      </c>
      <c r="H35" s="1108">
        <f t="shared" si="13"/>
        <v>56.306849385987505</v>
      </c>
      <c r="I35" s="1108">
        <f t="shared" si="13"/>
        <v>56.281831417061646</v>
      </c>
      <c r="J35" s="147"/>
      <c r="K35" s="147"/>
      <c r="L35" s="147"/>
      <c r="M35" s="147"/>
      <c r="N35" s="156"/>
      <c r="O35" s="155" t="s">
        <v>215</v>
      </c>
      <c r="P35" s="157"/>
      <c r="Q35" s="1107">
        <f>+'10. Guelph_CDM Prgs'!BC26/1000</f>
        <v>12.032</v>
      </c>
      <c r="R35" s="1111">
        <f>$Q35*R44</f>
        <v>12.024233034777698</v>
      </c>
      <c r="S35" s="1111">
        <f t="shared" ref="S35:V35" si="14">$Q35*S44</f>
        <v>12.000932139110787</v>
      </c>
      <c r="T35" s="1111">
        <f t="shared" si="14"/>
        <v>11.999961268458001</v>
      </c>
      <c r="U35" s="1111">
        <f t="shared" si="14"/>
        <v>11.967922536916001</v>
      </c>
      <c r="V35" s="1111">
        <f t="shared" si="14"/>
        <v>11.96403905430485</v>
      </c>
      <c r="W35" s="158"/>
    </row>
    <row r="36" spans="1:24" ht="17.5" x14ac:dyDescent="0.3">
      <c r="C36" s="155" t="s">
        <v>216</v>
      </c>
      <c r="D36" s="159"/>
      <c r="E36" s="206"/>
      <c r="F36" s="206"/>
      <c r="G36" s="206"/>
      <c r="H36" s="206"/>
      <c r="I36" s="206"/>
      <c r="J36" s="147"/>
      <c r="K36" s="147"/>
      <c r="L36" s="147"/>
      <c r="M36" s="147"/>
      <c r="N36" s="156"/>
      <c r="O36" s="155" t="s">
        <v>216</v>
      </c>
      <c r="P36" s="157"/>
      <c r="Q36" s="160"/>
      <c r="R36" s="207"/>
      <c r="S36" s="207"/>
      <c r="T36" s="207"/>
      <c r="U36" s="207"/>
      <c r="V36" s="207"/>
      <c r="W36" s="158"/>
    </row>
    <row r="37" spans="1:24" ht="17.5" x14ac:dyDescent="0.3">
      <c r="C37" s="155" t="s">
        <v>217</v>
      </c>
      <c r="D37" s="159"/>
      <c r="E37" s="159"/>
      <c r="F37" s="206"/>
      <c r="G37" s="206"/>
      <c r="H37" s="206"/>
      <c r="I37" s="206"/>
      <c r="J37" s="147"/>
      <c r="K37" s="147"/>
      <c r="L37" s="147"/>
      <c r="M37" s="147"/>
      <c r="N37" s="156"/>
      <c r="O37" s="155" t="s">
        <v>217</v>
      </c>
      <c r="P37" s="157"/>
      <c r="Q37" s="160"/>
      <c r="R37" s="160"/>
      <c r="S37" s="207"/>
      <c r="T37" s="207"/>
      <c r="U37" s="207"/>
      <c r="V37" s="207"/>
      <c r="W37" s="158"/>
    </row>
    <row r="38" spans="1:24" ht="17.5" x14ac:dyDescent="0.3">
      <c r="C38" s="155" t="s">
        <v>218</v>
      </c>
      <c r="D38" s="159"/>
      <c r="E38" s="159"/>
      <c r="F38" s="159"/>
      <c r="G38" s="206"/>
      <c r="H38" s="206"/>
      <c r="I38" s="206"/>
      <c r="J38" s="147"/>
      <c r="K38" s="147"/>
      <c r="L38" s="147"/>
      <c r="M38" s="147"/>
      <c r="N38" s="156"/>
      <c r="O38" s="155" t="s">
        <v>218</v>
      </c>
      <c r="P38" s="157"/>
      <c r="Q38" s="160"/>
      <c r="R38" s="160"/>
      <c r="S38" s="160"/>
      <c r="T38" s="207"/>
      <c r="U38" s="207"/>
      <c r="V38" s="207"/>
      <c r="W38" s="158"/>
    </row>
    <row r="39" spans="1:24" ht="17.5" x14ac:dyDescent="0.3">
      <c r="C39" s="155" t="s">
        <v>219</v>
      </c>
      <c r="D39" s="159"/>
      <c r="E39" s="159"/>
      <c r="F39" s="159"/>
      <c r="G39" s="159"/>
      <c r="H39" s="206"/>
      <c r="I39" s="206"/>
      <c r="J39" s="147"/>
      <c r="K39" s="147"/>
      <c r="L39" s="147"/>
      <c r="M39" s="147"/>
      <c r="N39" s="156"/>
      <c r="O39" s="155" t="s">
        <v>219</v>
      </c>
      <c r="P39" s="157"/>
      <c r="Q39" s="160"/>
      <c r="R39" s="160"/>
      <c r="S39" s="160"/>
      <c r="T39" s="160"/>
      <c r="U39" s="207"/>
      <c r="V39" s="207"/>
      <c r="W39" s="158"/>
    </row>
    <row r="40" spans="1:24" ht="17.5" x14ac:dyDescent="0.3">
      <c r="C40" s="155" t="s">
        <v>220</v>
      </c>
      <c r="D40" s="159"/>
      <c r="E40" s="159"/>
      <c r="F40" s="159"/>
      <c r="G40" s="159"/>
      <c r="H40" s="159"/>
      <c r="I40" s="206"/>
      <c r="J40" s="147"/>
      <c r="K40" s="147"/>
      <c r="L40" s="147"/>
      <c r="M40" s="147"/>
      <c r="N40" s="156"/>
      <c r="O40" s="155" t="s">
        <v>220</v>
      </c>
      <c r="P40" s="157"/>
      <c r="Q40" s="160"/>
      <c r="R40" s="160"/>
      <c r="S40" s="160"/>
      <c r="T40" s="160"/>
      <c r="U40" s="160"/>
      <c r="V40" s="207"/>
      <c r="W40" s="158"/>
    </row>
    <row r="41" spans="1:24" ht="9.75" customHeight="1" x14ac:dyDescent="0.3">
      <c r="D41" s="82"/>
      <c r="E41" s="82"/>
      <c r="F41" s="82"/>
      <c r="G41" s="82"/>
      <c r="H41" s="82"/>
      <c r="I41" s="82"/>
      <c r="J41" s="147"/>
      <c r="K41" s="147"/>
      <c r="L41" s="147"/>
      <c r="M41" s="147"/>
      <c r="N41" s="82"/>
    </row>
    <row r="42" spans="1:24" ht="14.25" customHeight="1" x14ac:dyDescent="0.3">
      <c r="C42" s="1323" t="s">
        <v>21</v>
      </c>
      <c r="D42" s="1329" t="s">
        <v>44</v>
      </c>
      <c r="E42" s="1330"/>
      <c r="F42" s="1330"/>
      <c r="G42" s="1330"/>
      <c r="H42" s="1330"/>
      <c r="I42" s="1331"/>
      <c r="J42" s="147"/>
      <c r="K42" s="147"/>
      <c r="L42" s="147"/>
      <c r="M42" s="147"/>
      <c r="O42" s="1325" t="s">
        <v>21</v>
      </c>
      <c r="P42" s="1318" t="s">
        <v>262</v>
      </c>
      <c r="Q42" s="1319"/>
      <c r="R42" s="1319"/>
      <c r="S42" s="1319"/>
      <c r="T42" s="1319"/>
      <c r="U42" s="1319"/>
      <c r="V42" s="1319"/>
      <c r="W42" s="154"/>
    </row>
    <row r="43" spans="1:24" ht="14.25" customHeight="1" x14ac:dyDescent="0.3">
      <c r="A43" s="1321"/>
      <c r="C43" s="1324"/>
      <c r="D43" s="169">
        <v>2015</v>
      </c>
      <c r="E43" s="169">
        <v>2016</v>
      </c>
      <c r="F43" s="169">
        <v>2017</v>
      </c>
      <c r="G43" s="169">
        <v>2018</v>
      </c>
      <c r="H43" s="169">
        <v>2019</v>
      </c>
      <c r="I43" s="1090">
        <v>2020</v>
      </c>
      <c r="J43" s="147"/>
      <c r="K43" s="147"/>
      <c r="L43" s="147"/>
      <c r="M43" s="147"/>
      <c r="O43" s="1325"/>
      <c r="P43" s="169"/>
      <c r="Q43" s="169">
        <v>2015</v>
      </c>
      <c r="R43" s="169">
        <v>2016</v>
      </c>
      <c r="S43" s="169">
        <v>2017</v>
      </c>
      <c r="T43" s="169">
        <v>2018</v>
      </c>
      <c r="U43" s="169">
        <v>2019</v>
      </c>
      <c r="V43" s="1090">
        <v>2020</v>
      </c>
      <c r="W43" s="154"/>
      <c r="X43" s="13"/>
    </row>
    <row r="44" spans="1:24" ht="17.5" x14ac:dyDescent="0.3">
      <c r="A44" s="1321"/>
      <c r="C44" s="155" t="s">
        <v>215</v>
      </c>
      <c r="D44" s="111"/>
      <c r="E44" s="1109">
        <f>'10. Guelph_CDM Prgs'!G113</f>
        <v>0.99769935782609565</v>
      </c>
      <c r="F44" s="1109">
        <f>'10. Guelph_CDM Prgs'!H113</f>
        <v>0.99591587450043773</v>
      </c>
      <c r="G44" s="1109">
        <f>'10. Guelph_CDM Prgs'!I113</f>
        <v>0.99556372346783395</v>
      </c>
      <c r="H44" s="1109">
        <f>'10. Guelph_CDM Prgs'!K113</f>
        <v>0.99280059197548853</v>
      </c>
      <c r="I44" s="1109">
        <f>'10. Guelph_CDM Prgs'!L113</f>
        <v>0.99235947593666785</v>
      </c>
      <c r="J44" s="147"/>
      <c r="K44" s="147"/>
      <c r="L44" s="147"/>
      <c r="M44" s="147"/>
      <c r="N44" s="161"/>
      <c r="O44" s="155" t="s">
        <v>215</v>
      </c>
      <c r="P44" s="157"/>
      <c r="Q44" s="111"/>
      <c r="R44" s="1109">
        <f>'10. Guelph_CDM Prgs'!G125</f>
        <v>0.99935447430000812</v>
      </c>
      <c r="S44" s="1109">
        <f>'10. Guelph_CDM Prgs'!H125</f>
        <v>0.99741789720003227</v>
      </c>
      <c r="T44" s="1109">
        <f>'10. Guelph_CDM Prgs'!I125</f>
        <v>0.99733720648753332</v>
      </c>
      <c r="U44" s="1109">
        <f>'10. Guelph_CDM Prgs'!K125</f>
        <v>0.99467441297506654</v>
      </c>
      <c r="V44" s="1109">
        <f>'10. Guelph_CDM Prgs'!L125</f>
        <v>0.99435165012507065</v>
      </c>
      <c r="W44" s="162"/>
      <c r="X44" s="13"/>
    </row>
    <row r="45" spans="1:24" ht="17.5" x14ac:dyDescent="0.3">
      <c r="A45" s="1321"/>
      <c r="C45" s="155" t="s">
        <v>216</v>
      </c>
      <c r="D45" s="111"/>
      <c r="E45" s="480"/>
      <c r="F45" s="480" t="e">
        <f>F36/$E$36</f>
        <v>#DIV/0!</v>
      </c>
      <c r="G45" s="480" t="e">
        <f>G36/$E$36</f>
        <v>#DIV/0!</v>
      </c>
      <c r="H45" s="480" t="e">
        <f>H36/$E$36</f>
        <v>#DIV/0!</v>
      </c>
      <c r="I45" s="480" t="e">
        <f>I36/$E$36</f>
        <v>#DIV/0!</v>
      </c>
      <c r="J45" s="147"/>
      <c r="K45" s="147"/>
      <c r="L45" s="147"/>
      <c r="M45" s="147"/>
      <c r="O45" s="155" t="s">
        <v>216</v>
      </c>
      <c r="P45" s="157"/>
      <c r="Q45" s="111"/>
      <c r="R45" s="480"/>
      <c r="S45" s="480" t="e">
        <f>S36/$R$36</f>
        <v>#DIV/0!</v>
      </c>
      <c r="T45" s="480" t="e">
        <f>T36/$R$36</f>
        <v>#DIV/0!</v>
      </c>
      <c r="U45" s="480" t="e">
        <f>U36/$R$36</f>
        <v>#DIV/0!</v>
      </c>
      <c r="V45" s="480" t="e">
        <f>V36/$R$36</f>
        <v>#DIV/0!</v>
      </c>
      <c r="W45" s="154"/>
      <c r="X45" s="13"/>
    </row>
    <row r="46" spans="1:24" x14ac:dyDescent="0.3">
      <c r="A46" s="1321"/>
      <c r="C46" s="155" t="s">
        <v>217</v>
      </c>
      <c r="D46" s="111"/>
      <c r="E46" s="480"/>
      <c r="F46" s="480"/>
      <c r="G46" s="480" t="e">
        <f>G37/$F$37</f>
        <v>#DIV/0!</v>
      </c>
      <c r="H46" s="480" t="e">
        <f>H37/$F$37</f>
        <v>#DIV/0!</v>
      </c>
      <c r="I46" s="480" t="e">
        <f>I37/$F$37</f>
        <v>#DIV/0!</v>
      </c>
      <c r="J46" s="488"/>
      <c r="K46" s="488"/>
      <c r="L46" s="488"/>
      <c r="M46" s="488"/>
      <c r="O46" s="155" t="s">
        <v>217</v>
      </c>
      <c r="P46" s="157"/>
      <c r="Q46" s="111"/>
      <c r="R46" s="480"/>
      <c r="S46" s="480"/>
      <c r="T46" s="480" t="e">
        <f>T37/$S$37</f>
        <v>#DIV/0!</v>
      </c>
      <c r="U46" s="480" t="e">
        <f>U37/$S$37</f>
        <v>#DIV/0!</v>
      </c>
      <c r="V46" s="480" t="e">
        <f>V37/$S$37</f>
        <v>#DIV/0!</v>
      </c>
      <c r="W46" s="162"/>
      <c r="X46" s="13"/>
    </row>
    <row r="47" spans="1:24" x14ac:dyDescent="0.3">
      <c r="C47" s="155" t="s">
        <v>218</v>
      </c>
      <c r="D47" s="111"/>
      <c r="E47" s="480"/>
      <c r="F47" s="480"/>
      <c r="G47" s="480"/>
      <c r="H47" s="480" t="e">
        <f>H38/$G$38</f>
        <v>#DIV/0!</v>
      </c>
      <c r="I47" s="480" t="e">
        <f>I38/$G$38</f>
        <v>#DIV/0!</v>
      </c>
      <c r="J47" s="488"/>
      <c r="K47" s="488"/>
      <c r="L47" s="488"/>
      <c r="M47" s="488"/>
      <c r="O47" s="155" t="s">
        <v>218</v>
      </c>
      <c r="P47" s="157"/>
      <c r="Q47" s="111"/>
      <c r="R47" s="480"/>
      <c r="S47" s="480"/>
      <c r="T47" s="480"/>
      <c r="U47" s="480" t="e">
        <f>U38/$T$38</f>
        <v>#DIV/0!</v>
      </c>
      <c r="V47" s="480" t="e">
        <f>V38/$T$38</f>
        <v>#DIV/0!</v>
      </c>
      <c r="W47" s="154"/>
    </row>
    <row r="48" spans="1:24" x14ac:dyDescent="0.3">
      <c r="C48" s="155" t="s">
        <v>219</v>
      </c>
      <c r="D48" s="111"/>
      <c r="E48" s="480"/>
      <c r="F48" s="480"/>
      <c r="G48" s="480"/>
      <c r="H48" s="480"/>
      <c r="I48" s="480" t="e">
        <f>I39/H39</f>
        <v>#DIV/0!</v>
      </c>
      <c r="J48" s="488"/>
      <c r="K48" s="488"/>
      <c r="L48" s="488"/>
      <c r="M48" s="488"/>
      <c r="O48" s="155" t="s">
        <v>219</v>
      </c>
      <c r="P48" s="157"/>
      <c r="Q48" s="111"/>
      <c r="R48" s="480"/>
      <c r="S48" s="480"/>
      <c r="T48" s="480"/>
      <c r="U48" s="480"/>
      <c r="V48" s="480" t="e">
        <f>V39/U39</f>
        <v>#DIV/0!</v>
      </c>
      <c r="W48" s="154"/>
    </row>
    <row r="51" spans="3:4" x14ac:dyDescent="0.3">
      <c r="C51" s="65"/>
      <c r="D51" s="65"/>
    </row>
    <row r="52" spans="3:4" x14ac:dyDescent="0.3">
      <c r="C52" s="65"/>
      <c r="D52" s="65"/>
    </row>
    <row r="53" spans="3:4" x14ac:dyDescent="0.3">
      <c r="C53" s="65"/>
      <c r="D53" s="65"/>
    </row>
    <row r="54" spans="3:4" x14ac:dyDescent="0.3">
      <c r="C54" s="65"/>
      <c r="D54" s="65"/>
    </row>
  </sheetData>
  <mergeCells count="17">
    <mergeCell ref="A43:A46"/>
    <mergeCell ref="D33:I33"/>
    <mergeCell ref="C33:C34"/>
    <mergeCell ref="O33:O34"/>
    <mergeCell ref="P33:V33"/>
    <mergeCell ref="C42:C43"/>
    <mergeCell ref="D42:I42"/>
    <mergeCell ref="O42:O43"/>
    <mergeCell ref="P42:V42"/>
    <mergeCell ref="D23:M23"/>
    <mergeCell ref="P23:Y23"/>
    <mergeCell ref="F10:G10"/>
    <mergeCell ref="F11:H11"/>
    <mergeCell ref="C2:U2"/>
    <mergeCell ref="F5:S5"/>
    <mergeCell ref="D16:M16"/>
    <mergeCell ref="P16:Y16"/>
  </mergeCells>
  <pageMargins left="0.55118110236220474" right="0.47244094488188981" top="0.74803149606299213" bottom="0.74803149606299213" header="0.31496062992125984" footer="0.31496062992125984"/>
  <pageSetup paperSize="3" scale="70" orientation="landscape" cellComments="asDisplayed" r:id="rId1"/>
  <headerFooter>
    <oddHeader>&amp;L&amp;G</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64"/>
  <sheetViews>
    <sheetView topLeftCell="D74" zoomScale="90" zoomScaleNormal="90" workbookViewId="0">
      <selection activeCell="Q88" sqref="Q88"/>
    </sheetView>
  </sheetViews>
  <sheetFormatPr defaultColWidth="9.1796875" defaultRowHeight="14.5" outlineLevelRow="1" x14ac:dyDescent="0.35"/>
  <cols>
    <col min="1" max="1" width="4.54296875" style="26" customWidth="1"/>
    <col min="2" max="2" width="17.453125" style="25" customWidth="1"/>
    <col min="3" max="3" width="22.26953125" style="26" customWidth="1"/>
    <col min="4" max="4" width="5" style="26" customWidth="1"/>
    <col min="5" max="5" width="12.1796875" style="26" customWidth="1"/>
    <col min="6" max="6" width="11.453125" style="26" customWidth="1"/>
    <col min="7" max="7" width="10.453125" style="26" customWidth="1"/>
    <col min="8" max="8" width="14.54296875" style="46" customWidth="1"/>
    <col min="9" max="9" width="12" style="26" customWidth="1"/>
    <col min="10" max="10" width="11.54296875" style="26" customWidth="1"/>
    <col min="11" max="11" width="12.54296875" style="26" customWidth="1"/>
    <col min="12" max="12" width="11.54296875" style="26" customWidth="1"/>
    <col min="13" max="14" width="9.1796875" style="26"/>
    <col min="15" max="15" width="12" style="26" customWidth="1"/>
    <col min="16" max="16" width="10.1796875" style="26" customWidth="1"/>
    <col min="17" max="17" width="10.54296875" style="26" bestFit="1" customWidth="1"/>
    <col min="18" max="18" width="4.1796875" style="26" customWidth="1"/>
    <col min="19" max="16384" width="9.1796875" style="26"/>
  </cols>
  <sheetData>
    <row r="1" spans="1:21" ht="153" customHeight="1" x14ac:dyDescent="0.35">
      <c r="E1" s="2"/>
      <c r="G1" s="2"/>
      <c r="I1" s="2"/>
      <c r="J1" s="2"/>
      <c r="K1" s="2"/>
      <c r="L1" s="2"/>
      <c r="M1" s="2"/>
      <c r="N1" s="2"/>
      <c r="O1" s="2"/>
      <c r="P1" s="2"/>
      <c r="Q1" s="2"/>
      <c r="R1" s="2"/>
      <c r="S1" s="2"/>
      <c r="T1" s="2"/>
      <c r="U1" s="2"/>
    </row>
    <row r="3" spans="1:21" ht="20" x14ac:dyDescent="0.35">
      <c r="A3" s="2"/>
      <c r="B3" s="1332" t="s">
        <v>207</v>
      </c>
      <c r="C3" s="1332"/>
      <c r="D3" s="1332"/>
      <c r="E3" s="1332"/>
      <c r="F3" s="1332"/>
      <c r="G3" s="1332"/>
      <c r="H3" s="1332"/>
      <c r="I3" s="1332"/>
      <c r="J3" s="1332"/>
      <c r="K3" s="1332"/>
      <c r="L3" s="1332"/>
      <c r="M3" s="1332"/>
      <c r="N3" s="1332"/>
      <c r="O3" s="1332"/>
      <c r="P3" s="1332"/>
      <c r="Q3" s="1332"/>
      <c r="R3" s="2"/>
      <c r="S3" s="2"/>
      <c r="T3" s="3"/>
      <c r="U3" s="2"/>
    </row>
    <row r="4" spans="1:21" ht="14.25" customHeight="1" outlineLevel="1" x14ac:dyDescent="0.45">
      <c r="B4" s="60"/>
      <c r="C4" s="384"/>
      <c r="D4" s="384"/>
      <c r="E4" s="385"/>
      <c r="F4" s="385"/>
      <c r="G4" s="385"/>
      <c r="H4" s="385"/>
      <c r="I4" s="385"/>
      <c r="J4" s="385"/>
      <c r="K4" s="385"/>
      <c r="L4" s="385"/>
      <c r="M4" s="385"/>
      <c r="N4" s="385"/>
      <c r="O4" s="385"/>
      <c r="P4" s="385"/>
      <c r="Q4" s="385"/>
      <c r="T4" s="3"/>
    </row>
    <row r="5" spans="1:21" s="23" customFormat="1" ht="18.5" outlineLevel="1" x14ac:dyDescent="0.45">
      <c r="A5" s="64"/>
      <c r="B5" s="195"/>
      <c r="C5" s="361" t="s">
        <v>399</v>
      </c>
      <c r="D5" s="364" t="s">
        <v>497</v>
      </c>
      <c r="E5" s="385"/>
      <c r="F5" s="385"/>
      <c r="G5" s="385"/>
      <c r="H5" s="385"/>
      <c r="I5" s="386"/>
      <c r="J5" s="386"/>
      <c r="K5" s="386"/>
      <c r="L5" s="386"/>
      <c r="M5" s="386"/>
      <c r="N5" s="385"/>
      <c r="O5" s="385"/>
      <c r="P5" s="46"/>
      <c r="Q5" s="46"/>
    </row>
    <row r="6" spans="1:21" s="23" customFormat="1" ht="18.75" customHeight="1" outlineLevel="1" x14ac:dyDescent="0.45">
      <c r="B6" s="195"/>
      <c r="C6" s="381"/>
      <c r="D6" s="364" t="s">
        <v>356</v>
      </c>
      <c r="E6" s="381"/>
      <c r="F6" s="381"/>
      <c r="G6" s="381"/>
      <c r="H6" s="381"/>
      <c r="I6" s="386"/>
      <c r="J6" s="386"/>
      <c r="K6" s="386"/>
      <c r="L6" s="386"/>
      <c r="M6" s="386"/>
      <c r="N6" s="381"/>
      <c r="O6" s="381"/>
      <c r="P6" s="46"/>
      <c r="Q6" s="46"/>
    </row>
    <row r="7" spans="1:21" s="23" customFormat="1" ht="49.5" customHeight="1" outlineLevel="1" x14ac:dyDescent="0.45">
      <c r="B7" s="195"/>
      <c r="C7" s="381"/>
      <c r="D7" s="1315" t="s">
        <v>373</v>
      </c>
      <c r="E7" s="1315"/>
      <c r="F7" s="1315"/>
      <c r="G7" s="1315"/>
      <c r="H7" s="1315"/>
      <c r="I7" s="1315"/>
      <c r="J7" s="1315"/>
      <c r="K7" s="1315"/>
      <c r="L7" s="1315"/>
      <c r="M7" s="1315"/>
      <c r="N7" s="1315"/>
      <c r="O7" s="1315"/>
      <c r="P7" s="1315"/>
      <c r="Q7" s="1315"/>
    </row>
    <row r="8" spans="1:21" s="23" customFormat="1" ht="12" customHeight="1" outlineLevel="1" x14ac:dyDescent="0.45">
      <c r="B8" s="195"/>
      <c r="C8" s="381"/>
      <c r="D8" s="364"/>
      <c r="E8" s="381"/>
      <c r="F8" s="381"/>
      <c r="G8" s="381"/>
      <c r="H8" s="381"/>
      <c r="I8" s="386"/>
      <c r="J8" s="386"/>
      <c r="K8" s="386"/>
      <c r="L8" s="386"/>
      <c r="M8" s="386"/>
      <c r="N8" s="381"/>
      <c r="O8" s="381"/>
      <c r="P8" s="46"/>
      <c r="Q8" s="46"/>
    </row>
    <row r="9" spans="1:21" s="23" customFormat="1" ht="18.75" customHeight="1" outlineLevel="1" x14ac:dyDescent="0.45">
      <c r="B9" s="195"/>
      <c r="C9" s="83" t="s">
        <v>337</v>
      </c>
      <c r="D9" s="210" t="s">
        <v>363</v>
      </c>
      <c r="E9" s="210"/>
      <c r="F9" s="210"/>
      <c r="G9" s="209"/>
      <c r="H9" s="381"/>
      <c r="I9" s="183"/>
      <c r="J9" s="183"/>
      <c r="K9" s="183"/>
      <c r="L9" s="183"/>
      <c r="M9" s="183"/>
      <c r="N9" s="209"/>
      <c r="O9" s="209"/>
      <c r="Q9" s="81"/>
    </row>
    <row r="10" spans="1:21" s="23" customFormat="1" ht="18.75" customHeight="1" outlineLevel="1" x14ac:dyDescent="0.45">
      <c r="B10" s="195"/>
      <c r="C10" s="233"/>
      <c r="D10" s="306" t="s">
        <v>338</v>
      </c>
      <c r="E10" s="233"/>
      <c r="F10" s="209"/>
      <c r="G10" s="209"/>
      <c r="H10" s="381"/>
      <c r="I10" s="183"/>
      <c r="J10" s="183"/>
      <c r="K10" s="183"/>
      <c r="L10" s="183"/>
      <c r="M10" s="183"/>
      <c r="N10" s="209"/>
      <c r="O10" s="209"/>
    </row>
    <row r="11" spans="1:21" s="23" customFormat="1" ht="6.75" customHeight="1" outlineLevel="1" x14ac:dyDescent="0.45">
      <c r="B11" s="233"/>
      <c r="C11" s="233"/>
      <c r="D11" s="306"/>
      <c r="E11" s="233"/>
      <c r="F11" s="233"/>
      <c r="G11" s="233"/>
      <c r="H11" s="381"/>
      <c r="I11" s="183"/>
      <c r="J11" s="183"/>
      <c r="K11" s="183"/>
      <c r="L11" s="183"/>
      <c r="M11" s="183"/>
      <c r="N11" s="233"/>
      <c r="O11" s="233"/>
    </row>
    <row r="12" spans="1:21" ht="8.25" customHeight="1" x14ac:dyDescent="0.45">
      <c r="B12" s="60"/>
      <c r="C12" s="60"/>
      <c r="D12" s="194"/>
      <c r="E12" s="61"/>
      <c r="F12" s="61"/>
      <c r="G12" s="61"/>
      <c r="H12" s="385"/>
      <c r="I12" s="184"/>
      <c r="J12" s="184"/>
      <c r="K12" s="184"/>
      <c r="L12" s="184"/>
      <c r="M12" s="184"/>
      <c r="N12" s="61"/>
      <c r="O12" s="61"/>
      <c r="P12" s="61"/>
      <c r="Q12" s="61"/>
      <c r="T12" s="3"/>
    </row>
    <row r="13" spans="1:21" s="298" customFormat="1" ht="17.25" customHeight="1" x14ac:dyDescent="0.35">
      <c r="B13" s="1333" t="s">
        <v>489</v>
      </c>
      <c r="C13" s="1333"/>
      <c r="D13" s="299"/>
      <c r="E13" s="300" t="s">
        <v>490</v>
      </c>
      <c r="F13" s="300"/>
      <c r="G13" s="300"/>
      <c r="H13" s="185"/>
      <c r="I13" s="300"/>
      <c r="J13" s="301"/>
      <c r="K13" s="301"/>
      <c r="L13" s="301"/>
      <c r="M13" s="301"/>
      <c r="N13" s="301"/>
      <c r="O13" s="301"/>
      <c r="P13" s="301"/>
      <c r="Q13" s="301"/>
    </row>
    <row r="14" spans="1:21" s="3" customFormat="1" ht="11.25" customHeight="1" x14ac:dyDescent="0.35">
      <c r="B14" s="55"/>
      <c r="E14" s="17"/>
      <c r="F14" s="17"/>
      <c r="G14" s="2"/>
      <c r="H14" s="46"/>
      <c r="I14" s="2"/>
      <c r="J14" s="2"/>
      <c r="K14" s="2"/>
      <c r="L14" s="2"/>
      <c r="M14" s="2"/>
      <c r="N14" s="2"/>
      <c r="O14" s="2"/>
      <c r="P14" s="2"/>
      <c r="Q14" s="2"/>
      <c r="S14" s="26"/>
      <c r="T14" s="26"/>
    </row>
    <row r="15" spans="1:21" s="3" customFormat="1" ht="52" x14ac:dyDescent="0.35">
      <c r="B15" s="215" t="s">
        <v>87</v>
      </c>
      <c r="C15" s="216" t="s">
        <v>364</v>
      </c>
      <c r="D15" s="186"/>
      <c r="E15" s="173" t="s">
        <v>86</v>
      </c>
      <c r="F15" s="173" t="s">
        <v>372</v>
      </c>
      <c r="G15" s="173" t="s">
        <v>87</v>
      </c>
      <c r="H15" s="173" t="s">
        <v>88</v>
      </c>
      <c r="I15" s="173" t="str">
        <f>'1.  LRAMVA Summary'!C21</f>
        <v>Residential</v>
      </c>
      <c r="J15" s="173" t="str">
        <f>'1.  LRAMVA Summary'!D21</f>
        <v>General Service &lt;50 kW</v>
      </c>
      <c r="K15" s="173" t="str">
        <f>'1.  LRAMVA Summary'!E21</f>
        <v>General Service 50 - 999 kW</v>
      </c>
      <c r="L15" s="173" t="str">
        <f>'1.  LRAMVA Summary'!F21</f>
        <v>General Service 1,000 - 4,999 kW</v>
      </c>
      <c r="M15" s="173" t="str">
        <f>'1.  LRAMVA Summary'!G21</f>
        <v>Sentinel Lighting</v>
      </c>
      <c r="N15" s="173" t="str">
        <f>'1.  LRAMVA Summary'!H21</f>
        <v>Street Lighting</v>
      </c>
      <c r="O15" s="173" t="str">
        <f>'1.  LRAMVA Summary'!I21</f>
        <v>Unmetered Scattered Load</v>
      </c>
      <c r="P15" s="173" t="s">
        <v>508</v>
      </c>
      <c r="Q15" s="173" t="str">
        <f>'1.  LRAMVA Summary'!K21</f>
        <v>Total</v>
      </c>
      <c r="S15" s="26"/>
      <c r="T15" s="26"/>
    </row>
    <row r="16" spans="1:21" s="3" customFormat="1" ht="13" x14ac:dyDescent="0.3">
      <c r="B16" s="213" t="s">
        <v>68</v>
      </c>
      <c r="C16" s="213">
        <v>1.47E-2</v>
      </c>
      <c r="D16" s="187"/>
      <c r="E16" s="175">
        <v>40544</v>
      </c>
      <c r="F16" s="219">
        <v>2011</v>
      </c>
      <c r="G16" s="176" t="s">
        <v>89</v>
      </c>
      <c r="H16" s="456">
        <f t="shared" ref="H16:H18" si="0">C$16/12</f>
        <v>1.225E-3</v>
      </c>
      <c r="I16" s="178">
        <f>SUM('1.  LRAMVA Summary'!C$22:C$23)*(MONTH($E16)-1)/12*$H16</f>
        <v>0</v>
      </c>
      <c r="J16" s="178">
        <f>SUM('1.  LRAMVA Summary'!D$22:D$23)*(MONTH($E16)-1)/12*$H16</f>
        <v>0</v>
      </c>
      <c r="K16" s="178">
        <f>SUM('1.  LRAMVA Summary'!E$22:E$23)*(MONTH($E16)-1)/12*$H16</f>
        <v>0</v>
      </c>
      <c r="L16" s="178">
        <f>SUM('1.  LRAMVA Summary'!F$22:F$23)*(MONTH($E16)-1)/12*$H16</f>
        <v>0</v>
      </c>
      <c r="M16" s="178">
        <f>SUM('1.  LRAMVA Summary'!G$22:G$23)*(MONTH($E16)-1)/12*$H16</f>
        <v>0</v>
      </c>
      <c r="N16" s="178">
        <f>SUM('1.  LRAMVA Summary'!H$22:H$23)*(MONTH($E16)-1)/12*$H16</f>
        <v>0</v>
      </c>
      <c r="O16" s="178">
        <f>SUM('1.  LRAMVA Summary'!I$22:I$23)*(MONTH($E16)-1)/12*$H16</f>
        <v>0</v>
      </c>
      <c r="P16" s="539">
        <f>SUM('1.  LRAMVA Summary'!J$22:J$23)*(MONTH($E16)-1)/12*$H16</f>
        <v>0</v>
      </c>
      <c r="Q16" s="177">
        <f>SUM(I16:P16)</f>
        <v>0</v>
      </c>
    </row>
    <row r="17" spans="2:17" s="3" customFormat="1" ht="13" x14ac:dyDescent="0.3">
      <c r="B17" s="174" t="s">
        <v>69</v>
      </c>
      <c r="C17" s="174">
        <v>1.47E-2</v>
      </c>
      <c r="D17" s="187"/>
      <c r="E17" s="175">
        <v>40575</v>
      </c>
      <c r="F17" s="219">
        <v>2011</v>
      </c>
      <c r="G17" s="176" t="s">
        <v>89</v>
      </c>
      <c r="H17" s="456">
        <f t="shared" si="0"/>
        <v>1.225E-3</v>
      </c>
      <c r="I17" s="178">
        <f>SUM('1.  LRAMVA Summary'!C$22:C$23)*(MONTH($E17)-1)/12*$H17</f>
        <v>2.4471802396844446</v>
      </c>
      <c r="J17" s="178">
        <f>SUM('1.  LRAMVA Summary'!D$22:D$23)*(MONTH($E17)-1)/12*$H17</f>
        <v>1.3565704270370753</v>
      </c>
      <c r="K17" s="178">
        <f>SUM('1.  LRAMVA Summary'!E$22:E$23)*(MONTH($E17)-1)/12*$H17</f>
        <v>2.5996433592396704</v>
      </c>
      <c r="L17" s="178">
        <f>SUM('1.  LRAMVA Summary'!F$22:F$23)*(MONTH($E17)-1)/12*$H17</f>
        <v>2.7615467634206667</v>
      </c>
      <c r="M17" s="178">
        <f>SUM('1.  LRAMVA Summary'!G$22:G$23)*(MONTH($E17)-1)/12*$H17</f>
        <v>0</v>
      </c>
      <c r="N17" s="178">
        <f>SUM('1.  LRAMVA Summary'!H$22:H$23)*(MONTH($E17)-1)/12*$H17</f>
        <v>0</v>
      </c>
      <c r="O17" s="178">
        <f>SUM('1.  LRAMVA Summary'!I$22:I$23)*(MONTH($E17)-1)/12*$H17</f>
        <v>0</v>
      </c>
      <c r="P17" s="539">
        <f>SUM('1.  LRAMVA Summary'!J$22:J$23)*(MONTH($E17)-1)/12*$H17</f>
        <v>2.0463149709669124</v>
      </c>
      <c r="Q17" s="177">
        <f>SUM(I17:P17)</f>
        <v>11.21125576034877</v>
      </c>
    </row>
    <row r="18" spans="2:17" s="3" customFormat="1" ht="13" x14ac:dyDescent="0.3">
      <c r="B18" s="174" t="s">
        <v>70</v>
      </c>
      <c r="C18" s="174">
        <v>1.47E-2</v>
      </c>
      <c r="D18" s="187"/>
      <c r="E18" s="175">
        <v>40603</v>
      </c>
      <c r="F18" s="219">
        <v>2011</v>
      </c>
      <c r="G18" s="176" t="s">
        <v>89</v>
      </c>
      <c r="H18" s="456">
        <f t="shared" si="0"/>
        <v>1.225E-3</v>
      </c>
      <c r="I18" s="178">
        <f>SUM('1.  LRAMVA Summary'!C$22:C$23)*(MONTH($E18)-1)/12*$H18</f>
        <v>4.8943604793688893</v>
      </c>
      <c r="J18" s="178">
        <f>SUM('1.  LRAMVA Summary'!D$22:D$23)*(MONTH($E18)-1)/12*$H18</f>
        <v>2.7131408540741506</v>
      </c>
      <c r="K18" s="178">
        <f>SUM('1.  LRAMVA Summary'!E$22:E$23)*(MONTH($E18)-1)/12*$H18</f>
        <v>5.1992867184793408</v>
      </c>
      <c r="L18" s="178">
        <f>SUM('1.  LRAMVA Summary'!F$22:F$23)*(MONTH($E18)-1)/12*$H18</f>
        <v>5.5230935268413335</v>
      </c>
      <c r="M18" s="178">
        <f>SUM('1.  LRAMVA Summary'!G$22:G$23)*(MONTH($E18)-1)/12*$H18</f>
        <v>0</v>
      </c>
      <c r="N18" s="178">
        <f>SUM('1.  LRAMVA Summary'!H$22:H$23)*(MONTH($E18)-1)/12*$H18</f>
        <v>0</v>
      </c>
      <c r="O18" s="178">
        <f>SUM('1.  LRAMVA Summary'!I$22:I$23)*(MONTH($E18)-1)/12*$H18</f>
        <v>0</v>
      </c>
      <c r="P18" s="539">
        <f>SUM('1.  LRAMVA Summary'!J$22:J$23)*(MONTH($E18)-1)/12*$H18</f>
        <v>4.0926299419338248</v>
      </c>
      <c r="Q18" s="177">
        <f t="shared" ref="Q18:Q27" si="1">SUM(I18:P18)</f>
        <v>22.42251152069754</v>
      </c>
    </row>
    <row r="19" spans="2:17" s="3" customFormat="1" ht="13" x14ac:dyDescent="0.3">
      <c r="B19" s="174" t="s">
        <v>71</v>
      </c>
      <c r="C19" s="174">
        <v>1.47E-2</v>
      </c>
      <c r="D19" s="187"/>
      <c r="E19" s="179">
        <v>40634</v>
      </c>
      <c r="F19" s="219">
        <v>2011</v>
      </c>
      <c r="G19" s="180" t="s">
        <v>90</v>
      </c>
      <c r="H19" s="456">
        <f>C$17/12</f>
        <v>1.225E-3</v>
      </c>
      <c r="I19" s="181">
        <f>SUM('1.  LRAMVA Summary'!C$22:C$23)*(MONTH($E19)-1)/12*$H19</f>
        <v>7.3415407190533335</v>
      </c>
      <c r="J19" s="181">
        <f>SUM('1.  LRAMVA Summary'!D$22:D$23)*(MONTH($E19)-1)/12*$H19</f>
        <v>4.0697112811112257</v>
      </c>
      <c r="K19" s="181">
        <f>SUM('1.  LRAMVA Summary'!E$22:E$23)*(MONTH($E19)-1)/12*$H19</f>
        <v>7.798930077719012</v>
      </c>
      <c r="L19" s="181">
        <f>SUM('1.  LRAMVA Summary'!F$22:F$23)*(MONTH($E19)-1)/12*$H19</f>
        <v>8.2846402902619989</v>
      </c>
      <c r="M19" s="181">
        <f>SUM('1.  LRAMVA Summary'!G$22:G$23)*(MONTH($E19)-1)/12*$H19</f>
        <v>0</v>
      </c>
      <c r="N19" s="181">
        <f>SUM('1.  LRAMVA Summary'!H$22:H$23)*(MONTH($E19)-1)/12*$H19</f>
        <v>0</v>
      </c>
      <c r="O19" s="181">
        <f>SUM('1.  LRAMVA Summary'!I$22:I$23)*(MONTH($E19)-1)/12*$H19</f>
        <v>0</v>
      </c>
      <c r="P19" s="539">
        <f>SUM('1.  LRAMVA Summary'!J$22:J$23)*(MONTH($E19)-1)/12*$H19</f>
        <v>6.1389449129007367</v>
      </c>
      <c r="Q19" s="182">
        <f t="shared" si="1"/>
        <v>33.633767281046303</v>
      </c>
    </row>
    <row r="20" spans="2:17" s="3" customFormat="1" ht="13" x14ac:dyDescent="0.3">
      <c r="B20" s="174" t="s">
        <v>72</v>
      </c>
      <c r="C20" s="174">
        <v>1.47E-2</v>
      </c>
      <c r="D20" s="187"/>
      <c r="E20" s="179">
        <v>40664</v>
      </c>
      <c r="F20" s="219">
        <v>2011</v>
      </c>
      <c r="G20" s="180" t="s">
        <v>90</v>
      </c>
      <c r="H20" s="456">
        <f t="shared" ref="H20:H21" si="2">C$17/12</f>
        <v>1.225E-3</v>
      </c>
      <c r="I20" s="181">
        <f>SUM('1.  LRAMVA Summary'!C$22:C$23)*(MONTH($E20)-1)/12*$H20</f>
        <v>9.7887209587377786</v>
      </c>
      <c r="J20" s="181">
        <f>SUM('1.  LRAMVA Summary'!D$22:D$23)*(MONTH($E20)-1)/12*$H20</f>
        <v>5.4262817081483012</v>
      </c>
      <c r="K20" s="181">
        <f>SUM('1.  LRAMVA Summary'!E$22:E$23)*(MONTH($E20)-1)/12*$H20</f>
        <v>10.398573436958682</v>
      </c>
      <c r="L20" s="181">
        <f>SUM('1.  LRAMVA Summary'!F$22:F$23)*(MONTH($E20)-1)/12*$H20</f>
        <v>11.046187053682667</v>
      </c>
      <c r="M20" s="181">
        <f>SUM('1.  LRAMVA Summary'!G$22:G$23)*(MONTH($E20)-1)/12*$H20</f>
        <v>0</v>
      </c>
      <c r="N20" s="181">
        <f>SUM('1.  LRAMVA Summary'!H$22:H$23)*(MONTH($E20)-1)/12*$H20</f>
        <v>0</v>
      </c>
      <c r="O20" s="181">
        <f>SUM('1.  LRAMVA Summary'!I$22:I$23)*(MONTH($E20)-1)/12*$H20</f>
        <v>0</v>
      </c>
      <c r="P20" s="539">
        <f>SUM('1.  LRAMVA Summary'!J$22:J$23)*(MONTH($E20)-1)/12*$H20</f>
        <v>8.1852598838676496</v>
      </c>
      <c r="Q20" s="182">
        <f t="shared" si="1"/>
        <v>44.845023041395081</v>
      </c>
    </row>
    <row r="21" spans="2:17" s="3" customFormat="1" ht="13" x14ac:dyDescent="0.3">
      <c r="B21" s="174" t="s">
        <v>73</v>
      </c>
      <c r="C21" s="174">
        <v>1.47E-2</v>
      </c>
      <c r="D21" s="187"/>
      <c r="E21" s="179">
        <v>40695</v>
      </c>
      <c r="F21" s="219">
        <v>2011</v>
      </c>
      <c r="G21" s="180" t="s">
        <v>90</v>
      </c>
      <c r="H21" s="456">
        <f t="shared" si="2"/>
        <v>1.225E-3</v>
      </c>
      <c r="I21" s="181">
        <f>SUM('1.  LRAMVA Summary'!C$22:C$23)*(MONTH($E21)-1)/12*$H21</f>
        <v>12.235901198422226</v>
      </c>
      <c r="J21" s="181">
        <f>SUM('1.  LRAMVA Summary'!D$22:D$23)*(MONTH($E21)-1)/12*$H21</f>
        <v>6.7828521351853768</v>
      </c>
      <c r="K21" s="181">
        <f>SUM('1.  LRAMVA Summary'!E$22:E$23)*(MONTH($E21)-1)/12*$H21</f>
        <v>12.998216796198353</v>
      </c>
      <c r="L21" s="181">
        <f>SUM('1.  LRAMVA Summary'!F$22:F$23)*(MONTH($E21)-1)/12*$H21</f>
        <v>13.807733817103331</v>
      </c>
      <c r="M21" s="181">
        <f>SUM('1.  LRAMVA Summary'!G$22:G$23)*(MONTH($E21)-1)/12*$H21</f>
        <v>0</v>
      </c>
      <c r="N21" s="181">
        <f>SUM('1.  LRAMVA Summary'!H$22:H$23)*(MONTH($E21)-1)/12*$H21</f>
        <v>0</v>
      </c>
      <c r="O21" s="181">
        <f>SUM('1.  LRAMVA Summary'!I$22:I$23)*(MONTH($E21)-1)/12*$H21</f>
        <v>0</v>
      </c>
      <c r="P21" s="539">
        <f>SUM('1.  LRAMVA Summary'!J$22:J$23)*(MONTH($E21)-1)/12*$H21</f>
        <v>10.231574854834561</v>
      </c>
      <c r="Q21" s="182">
        <f t="shared" si="1"/>
        <v>56.056278801743851</v>
      </c>
    </row>
    <row r="22" spans="2:17" s="3" customFormat="1" ht="13" x14ac:dyDescent="0.3">
      <c r="B22" s="174" t="s">
        <v>74</v>
      </c>
      <c r="C22" s="174">
        <v>1.47E-2</v>
      </c>
      <c r="D22" s="187"/>
      <c r="E22" s="179">
        <v>40725</v>
      </c>
      <c r="F22" s="219">
        <v>2011</v>
      </c>
      <c r="G22" s="180" t="s">
        <v>92</v>
      </c>
      <c r="H22" s="456">
        <f>C$18/12</f>
        <v>1.225E-3</v>
      </c>
      <c r="I22" s="181">
        <f>SUM('1.  LRAMVA Summary'!C$22:C$23)*(MONTH($E22)-1)/12*$H22</f>
        <v>14.683081438106667</v>
      </c>
      <c r="J22" s="181">
        <f>SUM('1.  LRAMVA Summary'!D$22:D$23)*(MONTH($E22)-1)/12*$H22</f>
        <v>8.1394225622224514</v>
      </c>
      <c r="K22" s="181">
        <f>SUM('1.  LRAMVA Summary'!E$22:E$23)*(MONTH($E22)-1)/12*$H22</f>
        <v>15.597860155438024</v>
      </c>
      <c r="L22" s="181">
        <f>SUM('1.  LRAMVA Summary'!F$22:F$23)*(MONTH($E22)-1)/12*$H22</f>
        <v>16.569280580523998</v>
      </c>
      <c r="M22" s="181">
        <f>SUM('1.  LRAMVA Summary'!G$22:G$23)*(MONTH($E22)-1)/12*$H22</f>
        <v>0</v>
      </c>
      <c r="N22" s="181">
        <f>SUM('1.  LRAMVA Summary'!H$22:H$23)*(MONTH($E22)-1)/12*$H22</f>
        <v>0</v>
      </c>
      <c r="O22" s="181">
        <f>SUM('1.  LRAMVA Summary'!I$22:I$23)*(MONTH($E22)-1)/12*$H22</f>
        <v>0</v>
      </c>
      <c r="P22" s="539">
        <f>SUM('1.  LRAMVA Summary'!J$22:J$23)*(MONTH($E22)-1)/12*$H22</f>
        <v>12.277889825801473</v>
      </c>
      <c r="Q22" s="182">
        <f t="shared" si="1"/>
        <v>67.267534562092607</v>
      </c>
    </row>
    <row r="23" spans="2:17" s="3" customFormat="1" ht="13" x14ac:dyDescent="0.3">
      <c r="B23" s="174" t="s">
        <v>75</v>
      </c>
      <c r="C23" s="174">
        <v>1.47E-2</v>
      </c>
      <c r="D23" s="187"/>
      <c r="E23" s="179">
        <v>40756</v>
      </c>
      <c r="F23" s="219">
        <v>2011</v>
      </c>
      <c r="G23" s="180" t="s">
        <v>92</v>
      </c>
      <c r="H23" s="456">
        <f t="shared" ref="H23:H24" si="3">C$18/12</f>
        <v>1.225E-3</v>
      </c>
      <c r="I23" s="181">
        <f>SUM('1.  LRAMVA Summary'!C$22:C$23)*(MONTH($E23)-1)/12*$H23</f>
        <v>17.130261677791115</v>
      </c>
      <c r="J23" s="181">
        <f>SUM('1.  LRAMVA Summary'!D$22:D$23)*(MONTH($E23)-1)/12*$H23</f>
        <v>9.495992989259527</v>
      </c>
      <c r="K23" s="181">
        <f>SUM('1.  LRAMVA Summary'!E$22:E$23)*(MONTH($E23)-1)/12*$H23</f>
        <v>18.197503514677692</v>
      </c>
      <c r="L23" s="181">
        <f>SUM('1.  LRAMVA Summary'!F$22:F$23)*(MONTH($E23)-1)/12*$H23</f>
        <v>19.330827343944666</v>
      </c>
      <c r="M23" s="181">
        <f>SUM('1.  LRAMVA Summary'!G$22:G$23)*(MONTH($E23)-1)/12*$H23</f>
        <v>0</v>
      </c>
      <c r="N23" s="181">
        <f>SUM('1.  LRAMVA Summary'!H$22:H$23)*(MONTH($E23)-1)/12*$H23</f>
        <v>0</v>
      </c>
      <c r="O23" s="181">
        <f>SUM('1.  LRAMVA Summary'!I$22:I$23)*(MONTH($E23)-1)/12*$H23</f>
        <v>0</v>
      </c>
      <c r="P23" s="539">
        <f>SUM('1.  LRAMVA Summary'!J$22:J$23)*(MONTH($E23)-1)/12*$H23</f>
        <v>14.324204796768388</v>
      </c>
      <c r="Q23" s="182">
        <f t="shared" si="1"/>
        <v>78.478790322441384</v>
      </c>
    </row>
    <row r="24" spans="2:17" s="3" customFormat="1" ht="13" x14ac:dyDescent="0.3">
      <c r="B24" s="174" t="s">
        <v>76</v>
      </c>
      <c r="C24" s="174">
        <v>1.47E-2</v>
      </c>
      <c r="D24" s="187"/>
      <c r="E24" s="179">
        <v>40787</v>
      </c>
      <c r="F24" s="219">
        <v>2011</v>
      </c>
      <c r="G24" s="180" t="s">
        <v>92</v>
      </c>
      <c r="H24" s="456">
        <f t="shared" si="3"/>
        <v>1.225E-3</v>
      </c>
      <c r="I24" s="181">
        <f>SUM('1.  LRAMVA Summary'!C$22:C$23)*(MONTH($E24)-1)/12*$H24</f>
        <v>19.577441917475557</v>
      </c>
      <c r="J24" s="181">
        <f>SUM('1.  LRAMVA Summary'!D$22:D$23)*(MONTH($E24)-1)/12*$H24</f>
        <v>10.852563416296602</v>
      </c>
      <c r="K24" s="181">
        <f>SUM('1.  LRAMVA Summary'!E$22:E$23)*(MONTH($E24)-1)/12*$H24</f>
        <v>20.797146873917363</v>
      </c>
      <c r="L24" s="181">
        <f>SUM('1.  LRAMVA Summary'!F$22:F$23)*(MONTH($E24)-1)/12*$H24</f>
        <v>22.092374107365334</v>
      </c>
      <c r="M24" s="181">
        <f>SUM('1.  LRAMVA Summary'!G$22:G$23)*(MONTH($E24)-1)/12*$H24</f>
        <v>0</v>
      </c>
      <c r="N24" s="181">
        <f>SUM('1.  LRAMVA Summary'!H$22:H$23)*(MONTH($E24)-1)/12*$H24</f>
        <v>0</v>
      </c>
      <c r="O24" s="181">
        <f>SUM('1.  LRAMVA Summary'!I$22:I$23)*(MONTH($E24)-1)/12*$H24</f>
        <v>0</v>
      </c>
      <c r="P24" s="539">
        <f>SUM('1.  LRAMVA Summary'!J$22:J$23)*(MONTH($E24)-1)/12*$H24</f>
        <v>16.370519767735299</v>
      </c>
      <c r="Q24" s="182">
        <f t="shared" si="1"/>
        <v>89.690046082790161</v>
      </c>
    </row>
    <row r="25" spans="2:17" s="3" customFormat="1" ht="13" x14ac:dyDescent="0.3">
      <c r="B25" s="174" t="s">
        <v>77</v>
      </c>
      <c r="C25" s="174">
        <v>1.47E-2</v>
      </c>
      <c r="D25" s="187"/>
      <c r="E25" s="179">
        <v>40817</v>
      </c>
      <c r="F25" s="219">
        <v>2011</v>
      </c>
      <c r="G25" s="180" t="s">
        <v>93</v>
      </c>
      <c r="H25" s="456">
        <f>C$19/12</f>
        <v>1.225E-3</v>
      </c>
      <c r="I25" s="181">
        <f>SUM('1.  LRAMVA Summary'!C$22:C$23)*(MONTH($E25)-1)/12*$H25</f>
        <v>22.024622157160007</v>
      </c>
      <c r="J25" s="181">
        <f>SUM('1.  LRAMVA Summary'!D$22:D$23)*(MONTH($E25)-1)/12*$H25</f>
        <v>12.20913384333368</v>
      </c>
      <c r="K25" s="181">
        <f>SUM('1.  LRAMVA Summary'!E$22:E$23)*(MONTH($E25)-1)/12*$H25</f>
        <v>23.396790233157038</v>
      </c>
      <c r="L25" s="181">
        <f>SUM('1.  LRAMVA Summary'!F$22:F$23)*(MONTH($E25)-1)/12*$H25</f>
        <v>24.853920870786002</v>
      </c>
      <c r="M25" s="181">
        <f>SUM('1.  LRAMVA Summary'!G$22:G$23)*(MONTH($E25)-1)/12*$H25</f>
        <v>0</v>
      </c>
      <c r="N25" s="181">
        <f>SUM('1.  LRAMVA Summary'!H$22:H$23)*(MONTH($E25)-1)/12*$H25</f>
        <v>0</v>
      </c>
      <c r="O25" s="181">
        <f>SUM('1.  LRAMVA Summary'!I$22:I$23)*(MONTH($E25)-1)/12*$H25</f>
        <v>0</v>
      </c>
      <c r="P25" s="539">
        <f>SUM('1.  LRAMVA Summary'!J$22:J$23)*(MONTH($E25)-1)/12*$H25</f>
        <v>18.41683473870221</v>
      </c>
      <c r="Q25" s="182">
        <f t="shared" si="1"/>
        <v>100.90130184313892</v>
      </c>
    </row>
    <row r="26" spans="2:17" s="3" customFormat="1" ht="13" x14ac:dyDescent="0.3">
      <c r="B26" s="174" t="s">
        <v>78</v>
      </c>
      <c r="C26" s="174">
        <v>1.47E-2</v>
      </c>
      <c r="D26" s="187"/>
      <c r="E26" s="179">
        <v>40848</v>
      </c>
      <c r="F26" s="219">
        <v>2011</v>
      </c>
      <c r="G26" s="180" t="s">
        <v>93</v>
      </c>
      <c r="H26" s="456">
        <f t="shared" ref="H26:H27" si="4">C$19/12</f>
        <v>1.225E-3</v>
      </c>
      <c r="I26" s="181">
        <f>SUM('1.  LRAMVA Summary'!C$22:C$23)*(MONTH($E26)-1)/12*$H26</f>
        <v>24.471802396844453</v>
      </c>
      <c r="J26" s="181">
        <f>SUM('1.  LRAMVA Summary'!D$22:D$23)*(MONTH($E26)-1)/12*$H26</f>
        <v>13.565704270370754</v>
      </c>
      <c r="K26" s="181">
        <f>SUM('1.  LRAMVA Summary'!E$22:E$23)*(MONTH($E26)-1)/12*$H26</f>
        <v>25.996433592396706</v>
      </c>
      <c r="L26" s="181">
        <f>SUM('1.  LRAMVA Summary'!F$22:F$23)*(MONTH($E26)-1)/12*$H26</f>
        <v>27.615467634206663</v>
      </c>
      <c r="M26" s="181">
        <f>SUM('1.  LRAMVA Summary'!G$22:G$23)*(MONTH($E26)-1)/12*$H26</f>
        <v>0</v>
      </c>
      <c r="N26" s="181">
        <f>SUM('1.  LRAMVA Summary'!H$22:H$23)*(MONTH($E26)-1)/12*$H26</f>
        <v>0</v>
      </c>
      <c r="O26" s="181">
        <f>SUM('1.  LRAMVA Summary'!I$22:I$23)*(MONTH($E26)-1)/12*$H26</f>
        <v>0</v>
      </c>
      <c r="P26" s="539">
        <f>SUM('1.  LRAMVA Summary'!J$22:J$23)*(MONTH($E26)-1)/12*$H26</f>
        <v>20.463149709669121</v>
      </c>
      <c r="Q26" s="182">
        <f t="shared" si="1"/>
        <v>112.1125576034877</v>
      </c>
    </row>
    <row r="27" spans="2:17" s="3" customFormat="1" ht="13" x14ac:dyDescent="0.3">
      <c r="B27" s="174" t="s">
        <v>79</v>
      </c>
      <c r="C27" s="174">
        <v>1.47E-2</v>
      </c>
      <c r="D27" s="187"/>
      <c r="E27" s="179">
        <v>40878</v>
      </c>
      <c r="F27" s="219">
        <v>2011</v>
      </c>
      <c r="G27" s="180" t="s">
        <v>93</v>
      </c>
      <c r="H27" s="456">
        <f t="shared" si="4"/>
        <v>1.225E-3</v>
      </c>
      <c r="I27" s="181">
        <f>SUM('1.  LRAMVA Summary'!C$22:C$23)*(MONTH($E27)-1)/12*$H27</f>
        <v>26.918982636528899</v>
      </c>
      <c r="J27" s="181">
        <f>SUM('1.  LRAMVA Summary'!D$22:D$23)*(MONTH($E27)-1)/12*$H27</f>
        <v>14.922274697407827</v>
      </c>
      <c r="K27" s="181">
        <f>SUM('1.  LRAMVA Summary'!E$22:E$23)*(MONTH($E27)-1)/12*$H27</f>
        <v>28.596076951636377</v>
      </c>
      <c r="L27" s="181">
        <f>SUM('1.  LRAMVA Summary'!F$22:F$23)*(MONTH($E27)-1)/12*$H27</f>
        <v>30.377014397627331</v>
      </c>
      <c r="M27" s="181">
        <f>SUM('1.  LRAMVA Summary'!G$22:G$23)*(MONTH($E27)-1)/12*$H27</f>
        <v>0</v>
      </c>
      <c r="N27" s="181">
        <f>SUM('1.  LRAMVA Summary'!H$22:H$23)*(MONTH($E27)-1)/12*$H27</f>
        <v>0</v>
      </c>
      <c r="O27" s="181">
        <f>SUM('1.  LRAMVA Summary'!I$22:I$23)*(MONTH($E27)-1)/12*$H27</f>
        <v>0</v>
      </c>
      <c r="P27" s="539">
        <f>SUM('1.  LRAMVA Summary'!J$22:J$23)*(MONTH($E27)-1)/12*$H27</f>
        <v>22.509464680636036</v>
      </c>
      <c r="Q27" s="182">
        <f t="shared" si="1"/>
        <v>123.32381336383648</v>
      </c>
    </row>
    <row r="28" spans="2:17" s="3" customFormat="1" ht="13.5" thickBot="1" x14ac:dyDescent="0.35">
      <c r="B28" s="174" t="s">
        <v>80</v>
      </c>
      <c r="C28" s="174">
        <v>1.47E-2</v>
      </c>
      <c r="D28" s="187"/>
      <c r="E28" s="191" t="s">
        <v>380</v>
      </c>
      <c r="F28" s="191"/>
      <c r="G28" s="192"/>
      <c r="H28" s="457"/>
      <c r="I28" s="193">
        <f>SUM(I16:I27)</f>
        <v>161.51389581917337</v>
      </c>
      <c r="J28" s="193">
        <f t="shared" ref="J28:P28" si="5">SUM(J16:J27)</f>
        <v>89.533648184446974</v>
      </c>
      <c r="K28" s="193">
        <f t="shared" si="5"/>
        <v>171.57646170981826</v>
      </c>
      <c r="L28" s="193">
        <f t="shared" si="5"/>
        <v>182.26208638576398</v>
      </c>
      <c r="M28" s="193">
        <f t="shared" si="5"/>
        <v>0</v>
      </c>
      <c r="N28" s="193">
        <f t="shared" si="5"/>
        <v>0</v>
      </c>
      <c r="O28" s="193">
        <f t="shared" si="5"/>
        <v>0</v>
      </c>
      <c r="P28" s="193">
        <f t="shared" si="5"/>
        <v>135.05678808381623</v>
      </c>
      <c r="Q28" s="193">
        <f>SUM(Q16:Q27)</f>
        <v>739.94288018301881</v>
      </c>
    </row>
    <row r="29" spans="2:17" s="3" customFormat="1" ht="13.5" thickTop="1" x14ac:dyDescent="0.3">
      <c r="B29" s="174" t="s">
        <v>81</v>
      </c>
      <c r="C29" s="174">
        <v>1.47E-2</v>
      </c>
      <c r="D29" s="187"/>
      <c r="E29" s="220" t="s">
        <v>91</v>
      </c>
      <c r="F29" s="220"/>
      <c r="G29" s="221"/>
      <c r="H29" s="458"/>
      <c r="I29" s="222"/>
      <c r="J29" s="222"/>
      <c r="K29" s="222"/>
      <c r="L29" s="222"/>
      <c r="M29" s="222"/>
      <c r="N29" s="222"/>
      <c r="O29" s="222"/>
      <c r="P29" s="222"/>
      <c r="Q29" s="223"/>
    </row>
    <row r="30" spans="2:17" s="3" customFormat="1" ht="13" x14ac:dyDescent="0.3">
      <c r="B30" s="174" t="s">
        <v>82</v>
      </c>
      <c r="C30" s="174">
        <v>1.47E-2</v>
      </c>
      <c r="D30" s="187"/>
      <c r="E30" s="188" t="s">
        <v>387</v>
      </c>
      <c r="F30" s="188"/>
      <c r="G30" s="189"/>
      <c r="H30" s="459"/>
      <c r="I30" s="190">
        <f>I28+I29</f>
        <v>161.51389581917337</v>
      </c>
      <c r="J30" s="190">
        <f t="shared" ref="J30:M30" si="6">J28+J29</f>
        <v>89.533648184446974</v>
      </c>
      <c r="K30" s="190">
        <f t="shared" si="6"/>
        <v>171.57646170981826</v>
      </c>
      <c r="L30" s="190">
        <f t="shared" si="6"/>
        <v>182.26208638576398</v>
      </c>
      <c r="M30" s="190">
        <f t="shared" si="6"/>
        <v>0</v>
      </c>
      <c r="N30" s="190">
        <f>N28+N29</f>
        <v>0</v>
      </c>
      <c r="O30" s="190">
        <f>O28+O29</f>
        <v>0</v>
      </c>
      <c r="P30" s="190">
        <f>P28+P29</f>
        <v>135.05678808381623</v>
      </c>
      <c r="Q30" s="190">
        <f>Q28+Q29</f>
        <v>739.94288018301881</v>
      </c>
    </row>
    <row r="31" spans="2:17" s="3" customFormat="1" ht="13" x14ac:dyDescent="0.3">
      <c r="B31" s="174" t="s">
        <v>83</v>
      </c>
      <c r="C31" s="174">
        <v>1.47E-2</v>
      </c>
      <c r="D31" s="187"/>
      <c r="E31" s="179">
        <v>40909</v>
      </c>
      <c r="F31" s="179" t="s">
        <v>367</v>
      </c>
      <c r="G31" s="180" t="s">
        <v>89</v>
      </c>
      <c r="H31" s="460">
        <f t="shared" ref="H31:H33" si="7">C$20/12</f>
        <v>1.225E-3</v>
      </c>
      <c r="I31" s="181">
        <f>(SUM('1.  LRAMVA Summary'!C$22:C$24)+SUM('1.  LRAMVA Summary'!C$25:C$26)*(MONTH($E31)-1)/12)*$H31</f>
        <v>-2.1904010321200009</v>
      </c>
      <c r="J31" s="181">
        <f>(SUM('1.  LRAMVA Summary'!D$22:D$24)+SUM('1.  LRAMVA Summary'!D$25:D$26)*(MONTH($E31)-1)/12)*$H31</f>
        <v>1.6467223744449091</v>
      </c>
      <c r="K31" s="181">
        <f>(SUM('1.  LRAMVA Summary'!E$22:E$24)+SUM('1.  LRAMVA Summary'!E$25:E$26)*(MONTH($E31)-1)/12)*$H31</f>
        <v>2.7705611988760515</v>
      </c>
      <c r="L31" s="181">
        <f>(SUM('1.  LRAMVA Summary'!F$22:F$24)+SUM('1.  LRAMVA Summary'!F$25:F$26)*(MONTH($E31)-1)/12)*$H31</f>
        <v>5.2939991780480016</v>
      </c>
      <c r="M31" s="181">
        <f>(SUM('1.  LRAMVA Summary'!G$22:G$24)+SUM('1.  LRAMVA Summary'!G$25:G$26)*(MONTH($E31)-1)/12)*$H31</f>
        <v>0</v>
      </c>
      <c r="N31" s="181">
        <f>(SUM('1.  LRAMVA Summary'!H$22:H$24)+SUM('1.  LRAMVA Summary'!H$25:H$26)*(MONTH($E31)-1)/12)*$H31</f>
        <v>0</v>
      </c>
      <c r="O31" s="181">
        <f>(SUM('1.  LRAMVA Summary'!I$22:I$24)+SUM('1.  LRAMVA Summary'!I$25:I$26)*(MONTH($E31)-1)/12)*$H31</f>
        <v>0</v>
      </c>
      <c r="P31" s="539">
        <f>(SUM('1.  LRAMVA Summary'!J$22:J$24)+SUM('1.  LRAMVA Summary'!J$25:J$26)*(MONTH($E31)-1)/12)*$H31</f>
        <v>-9.4885443970628321E-3</v>
      </c>
      <c r="Q31" s="182">
        <f t="shared" ref="Q31:Q42" si="8">SUM(I31:P31)</f>
        <v>7.5113931748518983</v>
      </c>
    </row>
    <row r="32" spans="2:17" s="3" customFormat="1" ht="13" x14ac:dyDescent="0.3">
      <c r="B32" s="174" t="s">
        <v>84</v>
      </c>
      <c r="C32" s="174">
        <v>1.47E-2</v>
      </c>
      <c r="D32" s="187"/>
      <c r="E32" s="179">
        <v>40940</v>
      </c>
      <c r="F32" s="179" t="s">
        <v>367</v>
      </c>
      <c r="G32" s="180" t="s">
        <v>89</v>
      </c>
      <c r="H32" s="460">
        <f t="shared" si="7"/>
        <v>1.225E-3</v>
      </c>
      <c r="I32" s="181">
        <f>(SUM('1.  LRAMVA Summary'!C$22:C$24)+SUM('1.  LRAMVA Summary'!C$25:C$26)*(MONTH($E32)-1)/12)*$H32</f>
        <v>-4.2406678363136319</v>
      </c>
      <c r="J32" s="181">
        <f>(SUM('1.  LRAMVA Summary'!D$22:D$24)+SUM('1.  LRAMVA Summary'!D$25:D$26)*(MONTH($E32)-1)/12)*$H32</f>
        <v>2.1218018559181253</v>
      </c>
      <c r="K32" s="181">
        <f>(SUM('1.  LRAMVA Summary'!E$22:E$24)+SUM('1.  LRAMVA Summary'!E$25:E$26)*(MONTH($E32)-1)/12)*$H32</f>
        <v>8.4321695259760787</v>
      </c>
      <c r="L32" s="181">
        <f>(SUM('1.  LRAMVA Summary'!F$22:F$24)+SUM('1.  LRAMVA Summary'!F$25:F$26)*(MONTH($E32)-1)/12)*$H32</f>
        <v>9.7579722694395183</v>
      </c>
      <c r="M32" s="181">
        <f>(SUM('1.  LRAMVA Summary'!G$22:G$24)+SUM('1.  LRAMVA Summary'!G$25:G$26)*(MONTH($E32)-1)/12)*$H32</f>
        <v>0</v>
      </c>
      <c r="N32" s="181">
        <f>(SUM('1.  LRAMVA Summary'!H$22:H$24)+SUM('1.  LRAMVA Summary'!H$25:H$26)*(MONTH($E32)-1)/12)*$H32</f>
        <v>0</v>
      </c>
      <c r="O32" s="181">
        <f>(SUM('1.  LRAMVA Summary'!I$22:I$24)+SUM('1.  LRAMVA Summary'!I$25:I$26)*(MONTH($E32)-1)/12)*$H32</f>
        <v>-5.5181900963587591E-2</v>
      </c>
      <c r="P32" s="539">
        <f>(SUM('1.  LRAMVA Summary'!J$22:J$24)+SUM('1.  LRAMVA Summary'!J$25:J$26)*(MONTH($E32)-1)/12)*$H32</f>
        <v>7.0039001977150779</v>
      </c>
      <c r="Q32" s="182">
        <f t="shared" si="8"/>
        <v>23.019994111771581</v>
      </c>
    </row>
    <row r="33" spans="2:17" s="3" customFormat="1" ht="13" x14ac:dyDescent="0.3">
      <c r="B33" s="174" t="s">
        <v>85</v>
      </c>
      <c r="C33" s="174">
        <v>1.0999999999999999E-2</v>
      </c>
      <c r="D33" s="187"/>
      <c r="E33" s="179">
        <v>40969</v>
      </c>
      <c r="F33" s="179" t="s">
        <v>367</v>
      </c>
      <c r="G33" s="180" t="s">
        <v>89</v>
      </c>
      <c r="H33" s="460">
        <f t="shared" si="7"/>
        <v>1.225E-3</v>
      </c>
      <c r="I33" s="181">
        <f>(SUM('1.  LRAMVA Summary'!C$22:C$24)+SUM('1.  LRAMVA Summary'!C$25:C$26)*(MONTH($E33)-1)/12)*$H33</f>
        <v>-6.2909346405072624</v>
      </c>
      <c r="J33" s="181">
        <f>(SUM('1.  LRAMVA Summary'!D$22:D$24)+SUM('1.  LRAMVA Summary'!D$25:D$26)*(MONTH($E33)-1)/12)*$H33</f>
        <v>2.5968813373913413</v>
      </c>
      <c r="K33" s="181">
        <f>(SUM('1.  LRAMVA Summary'!E$22:E$24)+SUM('1.  LRAMVA Summary'!E$25:E$26)*(MONTH($E33)-1)/12)*$H33</f>
        <v>14.093777853076107</v>
      </c>
      <c r="L33" s="181">
        <f>(SUM('1.  LRAMVA Summary'!F$22:F$24)+SUM('1.  LRAMVA Summary'!F$25:F$26)*(MONTH($E33)-1)/12)*$H33</f>
        <v>14.221945360831032</v>
      </c>
      <c r="M33" s="181">
        <f>(SUM('1.  LRAMVA Summary'!G$22:G$24)+SUM('1.  LRAMVA Summary'!G$25:G$26)*(MONTH($E33)-1)/12)*$H33</f>
        <v>0</v>
      </c>
      <c r="N33" s="181">
        <f>(SUM('1.  LRAMVA Summary'!H$22:H$24)+SUM('1.  LRAMVA Summary'!H$25:H$26)*(MONTH($E33)-1)/12)*$H33</f>
        <v>0</v>
      </c>
      <c r="O33" s="181">
        <f>(SUM('1.  LRAMVA Summary'!I$22:I$24)+SUM('1.  LRAMVA Summary'!I$25:I$26)*(MONTH($E33)-1)/12)*$H33</f>
        <v>-0.11036380192717518</v>
      </c>
      <c r="P33" s="539">
        <f>(SUM('1.  LRAMVA Summary'!J$22:J$24)+SUM('1.  LRAMVA Summary'!J$25:J$26)*(MONTH($E33)-1)/12)*$H33</f>
        <v>14.017288939827218</v>
      </c>
      <c r="Q33" s="182">
        <f t="shared" si="8"/>
        <v>38.528595048691258</v>
      </c>
    </row>
    <row r="34" spans="2:17" s="3" customFormat="1" ht="13" x14ac:dyDescent="0.3">
      <c r="B34" s="174" t="s">
        <v>365</v>
      </c>
      <c r="C34" s="174">
        <v>1.0999999999999999E-2</v>
      </c>
      <c r="D34" s="187"/>
      <c r="E34" s="179">
        <v>41000</v>
      </c>
      <c r="F34" s="179" t="s">
        <v>367</v>
      </c>
      <c r="G34" s="180" t="s">
        <v>90</v>
      </c>
      <c r="H34" s="461">
        <f>C$21/12</f>
        <v>1.225E-3</v>
      </c>
      <c r="I34" s="181">
        <f>(SUM('1.  LRAMVA Summary'!C$22:C$24)+SUM('1.  LRAMVA Summary'!C$25:C$26)*(MONTH($E34)-1)/12)*$H34</f>
        <v>-8.3412014447008946</v>
      </c>
      <c r="J34" s="181">
        <f>(SUM('1.  LRAMVA Summary'!D$22:D$24)+SUM('1.  LRAMVA Summary'!D$25:D$26)*(MONTH($E34)-1)/12)*$H34</f>
        <v>3.0719608188645573</v>
      </c>
      <c r="K34" s="181">
        <f>(SUM('1.  LRAMVA Summary'!E$22:E$24)+SUM('1.  LRAMVA Summary'!E$25:E$26)*(MONTH($E34)-1)/12)*$H34</f>
        <v>19.755386180176131</v>
      </c>
      <c r="L34" s="181">
        <f>(SUM('1.  LRAMVA Summary'!F$22:F$24)+SUM('1.  LRAMVA Summary'!F$25:F$26)*(MONTH($E34)-1)/12)*$H34</f>
        <v>18.685918452222545</v>
      </c>
      <c r="M34" s="181">
        <f>(SUM('1.  LRAMVA Summary'!G$22:G$24)+SUM('1.  LRAMVA Summary'!G$25:G$26)*(MONTH($E34)-1)/12)*$H34</f>
        <v>0</v>
      </c>
      <c r="N34" s="181">
        <f>(SUM('1.  LRAMVA Summary'!H$22:H$24)+SUM('1.  LRAMVA Summary'!H$25:H$26)*(MONTH($E34)-1)/12)*$H34</f>
        <v>0</v>
      </c>
      <c r="O34" s="181">
        <f>(SUM('1.  LRAMVA Summary'!I$22:I$24)+SUM('1.  LRAMVA Summary'!I$25:I$26)*(MONTH($E34)-1)/12)*$H34</f>
        <v>-0.16554570289076279</v>
      </c>
      <c r="P34" s="539">
        <f>(SUM('1.  LRAMVA Summary'!J$22:J$24)+SUM('1.  LRAMVA Summary'!J$25:J$26)*(MONTH($E34)-1)/12)*$H34</f>
        <v>21.030677681939359</v>
      </c>
      <c r="Q34" s="182">
        <f t="shared" si="8"/>
        <v>54.037195985610936</v>
      </c>
    </row>
    <row r="35" spans="2:17" s="3" customFormat="1" ht="13" x14ac:dyDescent="0.3">
      <c r="B35" s="174" t="s">
        <v>366</v>
      </c>
      <c r="C35" s="174">
        <v>1.0999999999999999E-2</v>
      </c>
      <c r="D35" s="187"/>
      <c r="E35" s="179">
        <v>41030</v>
      </c>
      <c r="F35" s="179" t="s">
        <v>367</v>
      </c>
      <c r="G35" s="180" t="s">
        <v>90</v>
      </c>
      <c r="H35" s="460">
        <f>C$21/12</f>
        <v>1.225E-3</v>
      </c>
      <c r="I35" s="181">
        <f>(SUM('1.  LRAMVA Summary'!C$22:C$24)+SUM('1.  LRAMVA Summary'!C$25:C$26)*(MONTH($E35)-1)/12)*$H35</f>
        <v>-10.391468248894524</v>
      </c>
      <c r="J35" s="181">
        <f>(SUM('1.  LRAMVA Summary'!D$22:D$24)+SUM('1.  LRAMVA Summary'!D$25:D$26)*(MONTH($E35)-1)/12)*$H35</f>
        <v>3.5470403003377737</v>
      </c>
      <c r="K35" s="181">
        <f>(SUM('1.  LRAMVA Summary'!E$22:E$24)+SUM('1.  LRAMVA Summary'!E$25:E$26)*(MONTH($E35)-1)/12)*$H35</f>
        <v>25.416994507276161</v>
      </c>
      <c r="L35" s="181">
        <f>(SUM('1.  LRAMVA Summary'!F$22:F$24)+SUM('1.  LRAMVA Summary'!F$25:F$26)*(MONTH($E35)-1)/12)*$H35</f>
        <v>23.149891543614061</v>
      </c>
      <c r="M35" s="181">
        <f>(SUM('1.  LRAMVA Summary'!G$22:G$24)+SUM('1.  LRAMVA Summary'!G$25:G$26)*(MONTH($E35)-1)/12)*$H35</f>
        <v>0</v>
      </c>
      <c r="N35" s="181">
        <f>(SUM('1.  LRAMVA Summary'!H$22:H$24)+SUM('1.  LRAMVA Summary'!H$25:H$26)*(MONTH($E35)-1)/12)*$H35</f>
        <v>0</v>
      </c>
      <c r="O35" s="181">
        <f>(SUM('1.  LRAMVA Summary'!I$22:I$24)+SUM('1.  LRAMVA Summary'!I$25:I$26)*(MONTH($E35)-1)/12)*$H35</f>
        <v>-0.22072760385435036</v>
      </c>
      <c r="P35" s="539">
        <f>(SUM('1.  LRAMVA Summary'!J$22:J$24)+SUM('1.  LRAMVA Summary'!J$25:J$26)*(MONTH($E35)-1)/12)*$H35</f>
        <v>28.044066424051501</v>
      </c>
      <c r="Q35" s="182">
        <f t="shared" si="8"/>
        <v>69.545796922530627</v>
      </c>
    </row>
    <row r="36" spans="2:17" s="3" customFormat="1" ht="13" x14ac:dyDescent="0.3">
      <c r="B36" s="174" t="s">
        <v>119</v>
      </c>
      <c r="C36" s="174">
        <v>1.0999999999999999E-2</v>
      </c>
      <c r="D36" s="187"/>
      <c r="E36" s="179">
        <v>41061</v>
      </c>
      <c r="F36" s="179" t="s">
        <v>367</v>
      </c>
      <c r="G36" s="180" t="s">
        <v>90</v>
      </c>
      <c r="H36" s="460">
        <f>C$21/12</f>
        <v>1.225E-3</v>
      </c>
      <c r="I36" s="181">
        <f>(SUM('1.  LRAMVA Summary'!C$22:C$24)+SUM('1.  LRAMVA Summary'!C$25:C$26)*(MONTH($E36)-1)/12)*$H36</f>
        <v>-12.441735053088157</v>
      </c>
      <c r="J36" s="181">
        <f>(SUM('1.  LRAMVA Summary'!D$22:D$24)+SUM('1.  LRAMVA Summary'!D$25:D$26)*(MONTH($E36)-1)/12)*$H36</f>
        <v>4.0221197818109893</v>
      </c>
      <c r="K36" s="181">
        <f>(SUM('1.  LRAMVA Summary'!E$22:E$24)+SUM('1.  LRAMVA Summary'!E$25:E$26)*(MONTH($E36)-1)/12)*$H36</f>
        <v>31.078602834376191</v>
      </c>
      <c r="L36" s="181">
        <f>(SUM('1.  LRAMVA Summary'!F$22:F$24)+SUM('1.  LRAMVA Summary'!F$25:F$26)*(MONTH($E36)-1)/12)*$H36</f>
        <v>27.613864635005577</v>
      </c>
      <c r="M36" s="181">
        <f>(SUM('1.  LRAMVA Summary'!G$22:G$24)+SUM('1.  LRAMVA Summary'!G$25:G$26)*(MONTH($E36)-1)/12)*$H36</f>
        <v>0</v>
      </c>
      <c r="N36" s="181">
        <f>(SUM('1.  LRAMVA Summary'!H$22:H$24)+SUM('1.  LRAMVA Summary'!H$25:H$26)*(MONTH($E36)-1)/12)*$H36</f>
        <v>0</v>
      </c>
      <c r="O36" s="181">
        <f>(SUM('1.  LRAMVA Summary'!I$22:I$24)+SUM('1.  LRAMVA Summary'!I$25:I$26)*(MONTH($E36)-1)/12)*$H36</f>
        <v>-0.27590950481793797</v>
      </c>
      <c r="P36" s="539">
        <f>(SUM('1.  LRAMVA Summary'!J$22:J$24)+SUM('1.  LRAMVA Summary'!J$25:J$26)*(MONTH($E36)-1)/12)*$H36</f>
        <v>35.057455166163642</v>
      </c>
      <c r="Q36" s="182">
        <f t="shared" si="8"/>
        <v>85.054397859450305</v>
      </c>
    </row>
    <row r="37" spans="2:17" s="3" customFormat="1" ht="13" x14ac:dyDescent="0.3">
      <c r="B37" s="174" t="s">
        <v>120</v>
      </c>
      <c r="C37" s="174">
        <v>1.0999999999999999E-2</v>
      </c>
      <c r="D37" s="187"/>
      <c r="E37" s="179">
        <v>41091</v>
      </c>
      <c r="F37" s="179" t="s">
        <v>367</v>
      </c>
      <c r="G37" s="180" t="s">
        <v>92</v>
      </c>
      <c r="H37" s="461">
        <f>C$22/12</f>
        <v>1.225E-3</v>
      </c>
      <c r="I37" s="181">
        <f>(SUM('1.  LRAMVA Summary'!C$22:C$24)+SUM('1.  LRAMVA Summary'!C$25:C$26)*(MONTH($E37)-1)/12)*$H37</f>
        <v>-14.492001857281789</v>
      </c>
      <c r="J37" s="181">
        <f>(SUM('1.  LRAMVA Summary'!D$22:D$24)+SUM('1.  LRAMVA Summary'!D$25:D$26)*(MONTH($E37)-1)/12)*$H37</f>
        <v>4.4971992632842053</v>
      </c>
      <c r="K37" s="181">
        <f>(SUM('1.  LRAMVA Summary'!E$22:E$24)+SUM('1.  LRAMVA Summary'!E$25:E$26)*(MONTH($E37)-1)/12)*$H37</f>
        <v>36.740211161476218</v>
      </c>
      <c r="L37" s="181">
        <f>(SUM('1.  LRAMVA Summary'!F$22:F$24)+SUM('1.  LRAMVA Summary'!F$25:F$26)*(MONTH($E37)-1)/12)*$H37</f>
        <v>32.077837726397085</v>
      </c>
      <c r="M37" s="181">
        <f>(SUM('1.  LRAMVA Summary'!G$22:G$24)+SUM('1.  LRAMVA Summary'!G$25:G$26)*(MONTH($E37)-1)/12)*$H37</f>
        <v>0</v>
      </c>
      <c r="N37" s="181">
        <f>(SUM('1.  LRAMVA Summary'!H$22:H$24)+SUM('1.  LRAMVA Summary'!H$25:H$26)*(MONTH($E37)-1)/12)*$H37</f>
        <v>0</v>
      </c>
      <c r="O37" s="181">
        <f>(SUM('1.  LRAMVA Summary'!I$22:I$24)+SUM('1.  LRAMVA Summary'!I$25:I$26)*(MONTH($E37)-1)/12)*$H37</f>
        <v>-0.33109140578152557</v>
      </c>
      <c r="P37" s="539">
        <f>(SUM('1.  LRAMVA Summary'!J$22:J$24)+SUM('1.  LRAMVA Summary'!J$25:J$26)*(MONTH($E37)-1)/12)*$H37</f>
        <v>42.070843908275783</v>
      </c>
      <c r="Q37" s="182">
        <f t="shared" si="8"/>
        <v>100.56299879636998</v>
      </c>
    </row>
    <row r="38" spans="2:17" s="3" customFormat="1" ht="13" x14ac:dyDescent="0.3">
      <c r="B38" s="174" t="s">
        <v>121</v>
      </c>
      <c r="C38" s="174">
        <v>1.0999999999999999E-2</v>
      </c>
      <c r="D38" s="187"/>
      <c r="E38" s="179">
        <v>41122</v>
      </c>
      <c r="F38" s="179" t="s">
        <v>367</v>
      </c>
      <c r="G38" s="180" t="s">
        <v>92</v>
      </c>
      <c r="H38" s="460">
        <f>C$22/12</f>
        <v>1.225E-3</v>
      </c>
      <c r="I38" s="181">
        <f>(SUM('1.  LRAMVA Summary'!C$22:C$24)+SUM('1.  LRAMVA Summary'!C$25:C$26)*(MONTH($E38)-1)/12)*$H38</f>
        <v>-16.542268661475422</v>
      </c>
      <c r="J38" s="181">
        <f>(SUM('1.  LRAMVA Summary'!D$22:D$24)+SUM('1.  LRAMVA Summary'!D$25:D$26)*(MONTH($E38)-1)/12)*$H38</f>
        <v>4.9722787447574213</v>
      </c>
      <c r="K38" s="181">
        <f>(SUM('1.  LRAMVA Summary'!E$22:E$24)+SUM('1.  LRAMVA Summary'!E$25:E$26)*(MONTH($E38)-1)/12)*$H38</f>
        <v>42.401819488576244</v>
      </c>
      <c r="L38" s="181">
        <f>(SUM('1.  LRAMVA Summary'!F$22:F$24)+SUM('1.  LRAMVA Summary'!F$25:F$26)*(MONTH($E38)-1)/12)*$H38</f>
        <v>36.541810817788601</v>
      </c>
      <c r="M38" s="181">
        <f>(SUM('1.  LRAMVA Summary'!G$22:G$24)+SUM('1.  LRAMVA Summary'!G$25:G$26)*(MONTH($E38)-1)/12)*$H38</f>
        <v>0</v>
      </c>
      <c r="N38" s="181">
        <f>(SUM('1.  LRAMVA Summary'!H$22:H$24)+SUM('1.  LRAMVA Summary'!H$25:H$26)*(MONTH($E38)-1)/12)*$H38</f>
        <v>0</v>
      </c>
      <c r="O38" s="181">
        <f>(SUM('1.  LRAMVA Summary'!I$22:I$24)+SUM('1.  LRAMVA Summary'!I$25:I$26)*(MONTH($E38)-1)/12)*$H38</f>
        <v>-0.38627330674511312</v>
      </c>
      <c r="P38" s="539">
        <f>(SUM('1.  LRAMVA Summary'!J$22:J$24)+SUM('1.  LRAMVA Summary'!J$25:J$26)*(MONTH($E38)-1)/12)*$H38</f>
        <v>49.084232650387925</v>
      </c>
      <c r="Q38" s="182">
        <f t="shared" si="8"/>
        <v>116.07159973328967</v>
      </c>
    </row>
    <row r="39" spans="2:17" s="3" customFormat="1" ht="13" x14ac:dyDescent="0.3">
      <c r="B39" s="174" t="s">
        <v>122</v>
      </c>
      <c r="C39" s="217">
        <v>1.0999999999999999E-2</v>
      </c>
      <c r="D39" s="187"/>
      <c r="E39" s="179">
        <v>41153</v>
      </c>
      <c r="F39" s="179" t="s">
        <v>367</v>
      </c>
      <c r="G39" s="180" t="s">
        <v>92</v>
      </c>
      <c r="H39" s="460">
        <f>C$22/12</f>
        <v>1.225E-3</v>
      </c>
      <c r="I39" s="181">
        <f>(SUM('1.  LRAMVA Summary'!C$22:C$24)+SUM('1.  LRAMVA Summary'!C$25:C$26)*(MONTH($E39)-1)/12)*$H39</f>
        <v>-18.592535465669052</v>
      </c>
      <c r="J39" s="181">
        <f>(SUM('1.  LRAMVA Summary'!D$22:D$24)+SUM('1.  LRAMVA Summary'!D$25:D$26)*(MONTH($E39)-1)/12)*$H39</f>
        <v>5.4473582262306381</v>
      </c>
      <c r="K39" s="181">
        <f>(SUM('1.  LRAMVA Summary'!E$22:E$24)+SUM('1.  LRAMVA Summary'!E$25:E$26)*(MONTH($E39)-1)/12)*$H39</f>
        <v>48.06342781567627</v>
      </c>
      <c r="L39" s="181">
        <f>(SUM('1.  LRAMVA Summary'!F$22:F$24)+SUM('1.  LRAMVA Summary'!F$25:F$26)*(MONTH($E39)-1)/12)*$H39</f>
        <v>41.005783909180124</v>
      </c>
      <c r="M39" s="181">
        <f>(SUM('1.  LRAMVA Summary'!G$22:G$24)+SUM('1.  LRAMVA Summary'!G$25:G$26)*(MONTH($E39)-1)/12)*$H39</f>
        <v>0</v>
      </c>
      <c r="N39" s="181">
        <f>(SUM('1.  LRAMVA Summary'!H$22:H$24)+SUM('1.  LRAMVA Summary'!H$25:H$26)*(MONTH($E39)-1)/12)*$H39</f>
        <v>0</v>
      </c>
      <c r="O39" s="181">
        <f>(SUM('1.  LRAMVA Summary'!I$22:I$24)+SUM('1.  LRAMVA Summary'!I$25:I$26)*(MONTH($E39)-1)/12)*$H39</f>
        <v>-0.44145520770870073</v>
      </c>
      <c r="P39" s="539">
        <f>(SUM('1.  LRAMVA Summary'!J$22:J$24)+SUM('1.  LRAMVA Summary'!J$25:J$26)*(MONTH($E39)-1)/12)*$H39</f>
        <v>56.097621392500059</v>
      </c>
      <c r="Q39" s="182">
        <f t="shared" si="8"/>
        <v>131.58020067020934</v>
      </c>
    </row>
    <row r="40" spans="2:17" s="3" customFormat="1" ht="13" x14ac:dyDescent="0.3">
      <c r="B40" s="174" t="s">
        <v>123</v>
      </c>
      <c r="C40" s="217"/>
      <c r="D40" s="187"/>
      <c r="E40" s="179">
        <v>41183</v>
      </c>
      <c r="F40" s="179" t="s">
        <v>367</v>
      </c>
      <c r="G40" s="180" t="s">
        <v>93</v>
      </c>
      <c r="H40" s="461">
        <f>C$23/12</f>
        <v>1.225E-3</v>
      </c>
      <c r="I40" s="181">
        <f>(SUM('1.  LRAMVA Summary'!C$22:C$24)+SUM('1.  LRAMVA Summary'!C$25:C$26)*(MONTH($E40)-1)/12)*$H40</f>
        <v>-20.642802269862681</v>
      </c>
      <c r="J40" s="181">
        <f>(SUM('1.  LRAMVA Summary'!D$22:D$24)+SUM('1.  LRAMVA Summary'!D$25:D$26)*(MONTH($E40)-1)/12)*$H40</f>
        <v>5.9224377077038541</v>
      </c>
      <c r="K40" s="181">
        <f>(SUM('1.  LRAMVA Summary'!E$22:E$24)+SUM('1.  LRAMVA Summary'!E$25:E$26)*(MONTH($E40)-1)/12)*$H40</f>
        <v>53.725036142776311</v>
      </c>
      <c r="L40" s="181">
        <f>(SUM('1.  LRAMVA Summary'!F$22:F$24)+SUM('1.  LRAMVA Summary'!F$25:F$26)*(MONTH($E40)-1)/12)*$H40</f>
        <v>45.469757000571647</v>
      </c>
      <c r="M40" s="181">
        <f>(SUM('1.  LRAMVA Summary'!G$22:G$24)+SUM('1.  LRAMVA Summary'!G$25:G$26)*(MONTH($E40)-1)/12)*$H40</f>
        <v>0</v>
      </c>
      <c r="N40" s="181">
        <f>(SUM('1.  LRAMVA Summary'!H$22:H$24)+SUM('1.  LRAMVA Summary'!H$25:H$26)*(MONTH($E40)-1)/12)*$H40</f>
        <v>0</v>
      </c>
      <c r="O40" s="181">
        <f>(SUM('1.  LRAMVA Summary'!I$22:I$24)+SUM('1.  LRAMVA Summary'!I$25:I$26)*(MONTH($E40)-1)/12)*$H40</f>
        <v>-0.49663710867228833</v>
      </c>
      <c r="P40" s="539">
        <f>(SUM('1.  LRAMVA Summary'!J$22:J$24)+SUM('1.  LRAMVA Summary'!J$25:J$26)*(MONTH($E40)-1)/12)*$H40</f>
        <v>63.111010134612208</v>
      </c>
      <c r="Q40" s="182">
        <f t="shared" si="8"/>
        <v>147.08880160712906</v>
      </c>
    </row>
    <row r="41" spans="2:17" s="3" customFormat="1" ht="13" x14ac:dyDescent="0.3">
      <c r="B41" s="174" t="s">
        <v>124</v>
      </c>
      <c r="C41" s="217"/>
      <c r="D41" s="187"/>
      <c r="E41" s="179">
        <v>41214</v>
      </c>
      <c r="F41" s="179" t="s">
        <v>367</v>
      </c>
      <c r="G41" s="180" t="s">
        <v>93</v>
      </c>
      <c r="H41" s="460">
        <f>C$23/12</f>
        <v>1.225E-3</v>
      </c>
      <c r="I41" s="181">
        <f>(SUM('1.  LRAMVA Summary'!C$22:C$24)+SUM('1.  LRAMVA Summary'!C$25:C$26)*(MONTH($E41)-1)/12)*$H41</f>
        <v>-22.693069074056311</v>
      </c>
      <c r="J41" s="181">
        <f>(SUM('1.  LRAMVA Summary'!D$22:D$24)+SUM('1.  LRAMVA Summary'!D$25:D$26)*(MONTH($E41)-1)/12)*$H41</f>
        <v>6.3975171891770692</v>
      </c>
      <c r="K41" s="181">
        <f>(SUM('1.  LRAMVA Summary'!E$22:E$24)+SUM('1.  LRAMVA Summary'!E$25:E$26)*(MONTH($E41)-1)/12)*$H41</f>
        <v>59.386644469876337</v>
      </c>
      <c r="L41" s="181">
        <f>(SUM('1.  LRAMVA Summary'!F$22:F$24)+SUM('1.  LRAMVA Summary'!F$25:F$26)*(MONTH($E41)-1)/12)*$H41</f>
        <v>49.933730091963149</v>
      </c>
      <c r="M41" s="181">
        <f>(SUM('1.  LRAMVA Summary'!G$22:G$24)+SUM('1.  LRAMVA Summary'!G$25:G$26)*(MONTH($E41)-1)/12)*$H41</f>
        <v>0</v>
      </c>
      <c r="N41" s="181">
        <f>(SUM('1.  LRAMVA Summary'!H$22:H$24)+SUM('1.  LRAMVA Summary'!H$25:H$26)*(MONTH($E41)-1)/12)*$H41</f>
        <v>0</v>
      </c>
      <c r="O41" s="181">
        <f>(SUM('1.  LRAMVA Summary'!I$22:I$24)+SUM('1.  LRAMVA Summary'!I$25:I$26)*(MONTH($E41)-1)/12)*$H41</f>
        <v>-0.55181900963587593</v>
      </c>
      <c r="P41" s="539">
        <f>(SUM('1.  LRAMVA Summary'!J$22:J$24)+SUM('1.  LRAMVA Summary'!J$25:J$26)*(MONTH($E41)-1)/12)*$H41</f>
        <v>70.124398876724342</v>
      </c>
      <c r="Q41" s="182">
        <f t="shared" si="8"/>
        <v>162.59740254404869</v>
      </c>
    </row>
    <row r="42" spans="2:17" s="3" customFormat="1" ht="13" x14ac:dyDescent="0.3">
      <c r="B42" s="174" t="s">
        <v>125</v>
      </c>
      <c r="C42" s="217"/>
      <c r="D42" s="187"/>
      <c r="E42" s="179">
        <v>41244</v>
      </c>
      <c r="F42" s="179" t="s">
        <v>367</v>
      </c>
      <c r="G42" s="180" t="s">
        <v>93</v>
      </c>
      <c r="H42" s="460">
        <f>C$23/12</f>
        <v>1.225E-3</v>
      </c>
      <c r="I42" s="181">
        <f>(SUM('1.  LRAMVA Summary'!C$22:C$24)+SUM('1.  LRAMVA Summary'!C$25:C$26)*(MONTH($E42)-1)/12)*$H42</f>
        <v>-24.743335878249944</v>
      </c>
      <c r="J42" s="181">
        <f>(SUM('1.  LRAMVA Summary'!D$22:D$24)+SUM('1.  LRAMVA Summary'!D$25:D$26)*(MONTH($E42)-1)/12)*$H42</f>
        <v>6.8725966706502861</v>
      </c>
      <c r="K42" s="181">
        <f>(SUM('1.  LRAMVA Summary'!E$22:E$24)+SUM('1.  LRAMVA Summary'!E$25:E$26)*(MONTH($E42)-1)/12)*$H42</f>
        <v>65.048252796976357</v>
      </c>
      <c r="L42" s="181">
        <f>(SUM('1.  LRAMVA Summary'!F$22:F$24)+SUM('1.  LRAMVA Summary'!F$25:F$26)*(MONTH($E42)-1)/12)*$H42</f>
        <v>54.397703183354672</v>
      </c>
      <c r="M42" s="181">
        <f>(SUM('1.  LRAMVA Summary'!G$22:G$24)+SUM('1.  LRAMVA Summary'!G$25:G$26)*(MONTH($E42)-1)/12)*$H42</f>
        <v>0</v>
      </c>
      <c r="N42" s="181">
        <f>(SUM('1.  LRAMVA Summary'!H$22:H$24)+SUM('1.  LRAMVA Summary'!H$25:H$26)*(MONTH($E42)-1)/12)*$H42</f>
        <v>0</v>
      </c>
      <c r="O42" s="181">
        <f>(SUM('1.  LRAMVA Summary'!I$22:I$24)+SUM('1.  LRAMVA Summary'!I$25:I$26)*(MONTH($E42)-1)/12)*$H42</f>
        <v>-0.60700091059946348</v>
      </c>
      <c r="P42" s="539">
        <f>(SUM('1.  LRAMVA Summary'!J$22:J$24)+SUM('1.  LRAMVA Summary'!J$25:J$26)*(MONTH($E42)-1)/12)*$H42</f>
        <v>77.137787618836484</v>
      </c>
      <c r="Q42" s="182">
        <f t="shared" si="8"/>
        <v>178.10600348096841</v>
      </c>
    </row>
    <row r="43" spans="2:17" s="3" customFormat="1" ht="13.5" thickBot="1" x14ac:dyDescent="0.35">
      <c r="B43" s="174" t="s">
        <v>126</v>
      </c>
      <c r="C43" s="217"/>
      <c r="D43" s="187"/>
      <c r="E43" s="191" t="s">
        <v>381</v>
      </c>
      <c r="F43" s="191"/>
      <c r="G43" s="192"/>
      <c r="H43" s="462"/>
      <c r="I43" s="193">
        <f>SUM(I30:I42)</f>
        <v>-8.8525643046288849E-2</v>
      </c>
      <c r="J43" s="193">
        <f t="shared" ref="J43:P43" si="9">SUM(J30:J42)</f>
        <v>140.64956245501813</v>
      </c>
      <c r="K43" s="193">
        <f t="shared" si="9"/>
        <v>578.4893456849328</v>
      </c>
      <c r="L43" s="193">
        <f t="shared" si="9"/>
        <v>540.41230055417998</v>
      </c>
      <c r="M43" s="193">
        <f t="shared" si="9"/>
        <v>0</v>
      </c>
      <c r="N43" s="193">
        <f t="shared" si="9"/>
        <v>0</v>
      </c>
      <c r="O43" s="193">
        <f t="shared" si="9"/>
        <v>-3.6420054635967816</v>
      </c>
      <c r="P43" s="193">
        <f t="shared" si="9"/>
        <v>597.8265825304527</v>
      </c>
      <c r="Q43" s="193">
        <f>SUM(Q30:Q42)</f>
        <v>1853.6472601179405</v>
      </c>
    </row>
    <row r="44" spans="2:17" s="3" customFormat="1" ht="13.5" thickTop="1" x14ac:dyDescent="0.3">
      <c r="B44" s="174" t="s">
        <v>127</v>
      </c>
      <c r="C44" s="217"/>
      <c r="D44" s="187"/>
      <c r="E44" s="220" t="s">
        <v>91</v>
      </c>
      <c r="F44" s="220"/>
      <c r="G44" s="221"/>
      <c r="H44" s="458"/>
      <c r="I44" s="222"/>
      <c r="J44" s="222"/>
      <c r="K44" s="222"/>
      <c r="L44" s="222"/>
      <c r="M44" s="222"/>
      <c r="N44" s="222"/>
      <c r="O44" s="222"/>
      <c r="P44" s="222"/>
      <c r="Q44" s="223"/>
    </row>
    <row r="45" spans="2:17" s="3" customFormat="1" ht="13" x14ac:dyDescent="0.3">
      <c r="B45" s="174" t="s">
        <v>128</v>
      </c>
      <c r="C45" s="217"/>
      <c r="D45" s="187"/>
      <c r="E45" s="188" t="s">
        <v>388</v>
      </c>
      <c r="F45" s="188"/>
      <c r="G45" s="189"/>
      <c r="H45" s="459"/>
      <c r="I45" s="190">
        <f t="shared" ref="I45:P45" si="10">I43+I44</f>
        <v>-8.8525643046288849E-2</v>
      </c>
      <c r="J45" s="190">
        <f t="shared" si="10"/>
        <v>140.64956245501813</v>
      </c>
      <c r="K45" s="190">
        <f t="shared" si="10"/>
        <v>578.4893456849328</v>
      </c>
      <c r="L45" s="190">
        <f t="shared" si="10"/>
        <v>540.41230055417998</v>
      </c>
      <c r="M45" s="190">
        <f t="shared" si="10"/>
        <v>0</v>
      </c>
      <c r="N45" s="190">
        <f t="shared" si="10"/>
        <v>0</v>
      </c>
      <c r="O45" s="190">
        <f t="shared" si="10"/>
        <v>-3.6420054635967816</v>
      </c>
      <c r="P45" s="190">
        <f t="shared" si="10"/>
        <v>597.8265825304527</v>
      </c>
      <c r="Q45" s="190">
        <f>Q43+Q44</f>
        <v>1853.6472601179405</v>
      </c>
    </row>
    <row r="46" spans="2:17" s="3" customFormat="1" ht="13" x14ac:dyDescent="0.3">
      <c r="B46" s="174" t="s">
        <v>129</v>
      </c>
      <c r="C46" s="217"/>
      <c r="D46" s="187"/>
      <c r="E46" s="179">
        <v>41275</v>
      </c>
      <c r="F46" s="179" t="s">
        <v>368</v>
      </c>
      <c r="G46" s="180" t="s">
        <v>89</v>
      </c>
      <c r="H46" s="461">
        <f>C$24/12</f>
        <v>1.225E-3</v>
      </c>
      <c r="I46" s="181">
        <f>(SUM('1.  LRAMVA Summary'!C$22:C$27)+SUM('1.  LRAMVA Summary'!C$28:C$29)*(MONTH($E46)-1)/12)*$H46</f>
        <v>-4.5801122473514084</v>
      </c>
      <c r="J46" s="181">
        <f>(SUM('1.  LRAMVA Summary'!D$22:D$27)+SUM('1.  LRAMVA Summary'!D$28:D$29)*(MONTH($E46)-1)/12)*$H46</f>
        <v>2.904800901781921</v>
      </c>
      <c r="K46" s="181">
        <f>(SUM('1.  LRAMVA Summary'!E$22:E$27)+SUM('1.  LRAMVA Summary'!E$28:E$29)*(MONTH($E46)-1)/12)*$H46</f>
        <v>48.097489686633025</v>
      </c>
      <c r="L46" s="181">
        <f>(SUM('1.  LRAMVA Summary'!F$22:F$27)+SUM('1.  LRAMVA Summary'!F$28:F$29)*(MONTH($E46)-1)/12)*$H46</f>
        <v>65.278125208972227</v>
      </c>
      <c r="M46" s="181">
        <f>(SUM('1.  LRAMVA Summary'!G$22:G$27)+SUM('1.  LRAMVA Summary'!G$28:G$29)*(MONTH($E46)-1)/12)*$H46</f>
        <v>0</v>
      </c>
      <c r="N46" s="181">
        <f>(SUM('1.  LRAMVA Summary'!H$22:H$27)+SUM('1.  LRAMVA Summary'!H$28:H$29)*(MONTH($E46)-1)/12)*$H46</f>
        <v>0</v>
      </c>
      <c r="O46" s="181">
        <f>(SUM('1.  LRAMVA Summary'!I$22:I$27)+SUM('1.  LRAMVA Summary'!I$28:I$29)*(MONTH($E46)-1)/12)*$H46</f>
        <v>0</v>
      </c>
      <c r="P46" s="539">
        <f>(SUM('1.  LRAMVA Summary'!J$22:J$27)+SUM('1.  LRAMVA Summary'!J$28:J$29)*(MONTH($E46)-1)/12)*$H46</f>
        <v>-0.70451369759710503</v>
      </c>
      <c r="Q46" s="182">
        <f t="shared" ref="Q46:Q57" si="11">SUM(I46:P46)</f>
        <v>110.99578985243865</v>
      </c>
    </row>
    <row r="47" spans="2:17" s="3" customFormat="1" ht="13" x14ac:dyDescent="0.3">
      <c r="B47" s="174" t="s">
        <v>130</v>
      </c>
      <c r="C47" s="217"/>
      <c r="D47" s="187"/>
      <c r="E47" s="179">
        <v>41306</v>
      </c>
      <c r="F47" s="179" t="s">
        <v>368</v>
      </c>
      <c r="G47" s="180" t="s">
        <v>89</v>
      </c>
      <c r="H47" s="460">
        <f t="shared" ref="H47:H48" si="12">C$24/12</f>
        <v>1.225E-3</v>
      </c>
      <c r="I47" s="181">
        <f>(SUM('1.  LRAMVA Summary'!C$22:C$27)+SUM('1.  LRAMVA Summary'!C$28:C$29)*(MONTH($E47)-1)/12)*$H47</f>
        <v>-5.1884418574646771</v>
      </c>
      <c r="J47" s="181">
        <f>(SUM('1.  LRAMVA Summary'!D$22:D$27)+SUM('1.  LRAMVA Summary'!D$28:D$29)*(MONTH($E47)-1)/12)*$H47</f>
        <v>3.7954784672391373</v>
      </c>
      <c r="K47" s="181">
        <f>(SUM('1.  LRAMVA Summary'!E$22:E$27)+SUM('1.  LRAMVA Summary'!E$28:E$29)*(MONTH($E47)-1)/12)*$H47</f>
        <v>48.83077957003816</v>
      </c>
      <c r="L47" s="181">
        <f>(SUM('1.  LRAMVA Summary'!F$22:F$27)+SUM('1.  LRAMVA Summary'!F$28:F$29)*(MONTH($E47)-1)/12)*$H47</f>
        <v>66.293138941539283</v>
      </c>
      <c r="M47" s="181">
        <f>(SUM('1.  LRAMVA Summary'!G$22:G$27)+SUM('1.  LRAMVA Summary'!G$28:G$29)*(MONTH($E47)-1)/12)*$H47</f>
        <v>0</v>
      </c>
      <c r="N47" s="181">
        <f>(SUM('1.  LRAMVA Summary'!H$22:H$27)+SUM('1.  LRAMVA Summary'!H$28:H$29)*(MONTH($E47)-1)/12)*$H47</f>
        <v>0</v>
      </c>
      <c r="O47" s="181">
        <f>(SUM('1.  LRAMVA Summary'!I$22:I$27)+SUM('1.  LRAMVA Summary'!I$28:I$29)*(MONTH($E47)-1)/12)*$H47</f>
        <v>-5.680172193120759E-2</v>
      </c>
      <c r="P47" s="539">
        <f>(SUM('1.  LRAMVA Summary'!J$22:J$27)+SUM('1.  LRAMVA Summary'!J$28:J$29)*(MONTH($E47)-1)/12)*$H47</f>
        <v>13.272473418985221</v>
      </c>
      <c r="Q47" s="182">
        <f t="shared" si="11"/>
        <v>126.94662681840592</v>
      </c>
    </row>
    <row r="48" spans="2:17" s="3" customFormat="1" ht="13" x14ac:dyDescent="0.3">
      <c r="B48" s="174" t="s">
        <v>131</v>
      </c>
      <c r="C48" s="217"/>
      <c r="D48" s="187"/>
      <c r="E48" s="179">
        <v>41334</v>
      </c>
      <c r="F48" s="179" t="s">
        <v>368</v>
      </c>
      <c r="G48" s="180" t="s">
        <v>89</v>
      </c>
      <c r="H48" s="460">
        <f t="shared" si="12"/>
        <v>1.225E-3</v>
      </c>
      <c r="I48" s="181">
        <f>(SUM('1.  LRAMVA Summary'!C$22:C$27)+SUM('1.  LRAMVA Summary'!C$28:C$29)*(MONTH($E48)-1)/12)*$H48</f>
        <v>-5.7967714675779467</v>
      </c>
      <c r="J48" s="181">
        <f>(SUM('1.  LRAMVA Summary'!D$22:D$27)+SUM('1.  LRAMVA Summary'!D$28:D$29)*(MONTH($E48)-1)/12)*$H48</f>
        <v>4.6861560326963536</v>
      </c>
      <c r="K48" s="181">
        <f>(SUM('1.  LRAMVA Summary'!E$22:E$27)+SUM('1.  LRAMVA Summary'!E$28:E$29)*(MONTH($E48)-1)/12)*$H48</f>
        <v>49.564069453443295</v>
      </c>
      <c r="L48" s="181">
        <f>(SUM('1.  LRAMVA Summary'!F$22:F$27)+SUM('1.  LRAMVA Summary'!F$28:F$29)*(MONTH($E48)-1)/12)*$H48</f>
        <v>67.308152674106339</v>
      </c>
      <c r="M48" s="181">
        <f>(SUM('1.  LRAMVA Summary'!G$22:G$27)+SUM('1.  LRAMVA Summary'!G$28:G$29)*(MONTH($E48)-1)/12)*$H48</f>
        <v>0</v>
      </c>
      <c r="N48" s="181">
        <f>(SUM('1.  LRAMVA Summary'!H$22:H$27)+SUM('1.  LRAMVA Summary'!H$28:H$29)*(MONTH($E48)-1)/12)*$H48</f>
        <v>0</v>
      </c>
      <c r="O48" s="181">
        <f>(SUM('1.  LRAMVA Summary'!I$22:I$27)+SUM('1.  LRAMVA Summary'!I$28:I$29)*(MONTH($E48)-1)/12)*$H48</f>
        <v>-0.11360344386241518</v>
      </c>
      <c r="P48" s="539">
        <f>(SUM('1.  LRAMVA Summary'!J$22:J$27)+SUM('1.  LRAMVA Summary'!J$28:J$29)*(MONTH($E48)-1)/12)*$H48</f>
        <v>27.24946053556755</v>
      </c>
      <c r="Q48" s="182">
        <f t="shared" si="11"/>
        <v>142.89746378437317</v>
      </c>
    </row>
    <row r="49" spans="1:21" s="3" customFormat="1" ht="13" x14ac:dyDescent="0.3">
      <c r="B49" s="174" t="s">
        <v>132</v>
      </c>
      <c r="C49" s="217"/>
      <c r="D49" s="187"/>
      <c r="E49" s="179">
        <v>41365</v>
      </c>
      <c r="F49" s="179" t="s">
        <v>368</v>
      </c>
      <c r="G49" s="180" t="s">
        <v>90</v>
      </c>
      <c r="H49" s="461">
        <f>C$25/12</f>
        <v>1.225E-3</v>
      </c>
      <c r="I49" s="181">
        <f>(SUM('1.  LRAMVA Summary'!C$22:C$27)+SUM('1.  LRAMVA Summary'!C$28:C$29)*(MONTH($E49)-1)/12)*$H49</f>
        <v>-6.4051010776912154</v>
      </c>
      <c r="J49" s="181">
        <f>(SUM('1.  LRAMVA Summary'!D$22:D$27)+SUM('1.  LRAMVA Summary'!D$28:D$29)*(MONTH($E49)-1)/12)*$H49</f>
        <v>5.5768335981535708</v>
      </c>
      <c r="K49" s="181">
        <f>(SUM('1.  LRAMVA Summary'!E$22:E$27)+SUM('1.  LRAMVA Summary'!E$28:E$29)*(MONTH($E49)-1)/12)*$H49</f>
        <v>50.29735933684843</v>
      </c>
      <c r="L49" s="181">
        <f>(SUM('1.  LRAMVA Summary'!F$22:F$27)+SUM('1.  LRAMVA Summary'!F$28:F$29)*(MONTH($E49)-1)/12)*$H49</f>
        <v>68.323166406673408</v>
      </c>
      <c r="M49" s="181">
        <f>(SUM('1.  LRAMVA Summary'!G$22:G$27)+SUM('1.  LRAMVA Summary'!G$28:G$29)*(MONTH($E49)-1)/12)*$H49</f>
        <v>0</v>
      </c>
      <c r="N49" s="181">
        <f>(SUM('1.  LRAMVA Summary'!H$22:H$27)+SUM('1.  LRAMVA Summary'!H$28:H$29)*(MONTH($E49)-1)/12)*$H49</f>
        <v>0</v>
      </c>
      <c r="O49" s="181">
        <f>(SUM('1.  LRAMVA Summary'!I$22:I$27)+SUM('1.  LRAMVA Summary'!I$28:I$29)*(MONTH($E49)-1)/12)*$H49</f>
        <v>-0.17040516579362278</v>
      </c>
      <c r="P49" s="539">
        <f>(SUM('1.  LRAMVA Summary'!J$22:J$27)+SUM('1.  LRAMVA Summary'!J$28:J$29)*(MONTH($E49)-1)/12)*$H49</f>
        <v>41.226447652149879</v>
      </c>
      <c r="Q49" s="182">
        <f t="shared" si="11"/>
        <v>158.84830075034046</v>
      </c>
    </row>
    <row r="50" spans="1:21" s="3" customFormat="1" ht="13" x14ac:dyDescent="0.3">
      <c r="B50" s="174" t="s">
        <v>133</v>
      </c>
      <c r="C50" s="217"/>
      <c r="D50" s="187"/>
      <c r="E50" s="179">
        <v>41395</v>
      </c>
      <c r="F50" s="179" t="s">
        <v>368</v>
      </c>
      <c r="G50" s="180" t="s">
        <v>90</v>
      </c>
      <c r="H50" s="460">
        <f t="shared" ref="H50:H51" si="13">C$25/12</f>
        <v>1.225E-3</v>
      </c>
      <c r="I50" s="181">
        <f>(SUM('1.  LRAMVA Summary'!C$22:C$27)+SUM('1.  LRAMVA Summary'!C$28:C$29)*(MONTH($E50)-1)/12)*$H50</f>
        <v>-7.0134306878044841</v>
      </c>
      <c r="J50" s="181">
        <f>(SUM('1.  LRAMVA Summary'!D$22:D$27)+SUM('1.  LRAMVA Summary'!D$28:D$29)*(MONTH($E50)-1)/12)*$H50</f>
        <v>6.4675111636107872</v>
      </c>
      <c r="K50" s="181">
        <f>(SUM('1.  LRAMVA Summary'!E$22:E$27)+SUM('1.  LRAMVA Summary'!E$28:E$29)*(MONTH($E50)-1)/12)*$H50</f>
        <v>51.030649220253558</v>
      </c>
      <c r="L50" s="181">
        <f>(SUM('1.  LRAMVA Summary'!F$22:F$27)+SUM('1.  LRAMVA Summary'!F$28:F$29)*(MONTH($E50)-1)/12)*$H50</f>
        <v>69.338180139240464</v>
      </c>
      <c r="M50" s="181">
        <f>(SUM('1.  LRAMVA Summary'!G$22:G$27)+SUM('1.  LRAMVA Summary'!G$28:G$29)*(MONTH($E50)-1)/12)*$H50</f>
        <v>0</v>
      </c>
      <c r="N50" s="181">
        <f>(SUM('1.  LRAMVA Summary'!H$22:H$27)+SUM('1.  LRAMVA Summary'!H$28:H$29)*(MONTH($E50)-1)/12)*$H50</f>
        <v>0</v>
      </c>
      <c r="O50" s="181">
        <f>(SUM('1.  LRAMVA Summary'!I$22:I$27)+SUM('1.  LRAMVA Summary'!I$28:I$29)*(MONTH($E50)-1)/12)*$H50</f>
        <v>-0.22720688772483036</v>
      </c>
      <c r="P50" s="539">
        <f>(SUM('1.  LRAMVA Summary'!J$22:J$27)+SUM('1.  LRAMVA Summary'!J$28:J$29)*(MONTH($E50)-1)/12)*$H50</f>
        <v>55.203434768732201</v>
      </c>
      <c r="Q50" s="182">
        <f t="shared" si="11"/>
        <v>174.79913771630768</v>
      </c>
    </row>
    <row r="51" spans="1:21" s="3" customFormat="1" ht="13" x14ac:dyDescent="0.3">
      <c r="B51" s="174" t="s">
        <v>134</v>
      </c>
      <c r="C51" s="217"/>
      <c r="D51" s="187"/>
      <c r="E51" s="179">
        <v>41426</v>
      </c>
      <c r="F51" s="179" t="s">
        <v>368</v>
      </c>
      <c r="G51" s="180" t="s">
        <v>90</v>
      </c>
      <c r="H51" s="460">
        <f t="shared" si="13"/>
        <v>1.225E-3</v>
      </c>
      <c r="I51" s="181">
        <f>(SUM('1.  LRAMVA Summary'!C$22:C$27)+SUM('1.  LRAMVA Summary'!C$28:C$29)*(MONTH($E51)-1)/12)*$H51</f>
        <v>-7.6217602979177528</v>
      </c>
      <c r="J51" s="181">
        <f>(SUM('1.  LRAMVA Summary'!D$22:D$27)+SUM('1.  LRAMVA Summary'!D$28:D$29)*(MONTH($E51)-1)/12)*$H51</f>
        <v>7.3581887290680044</v>
      </c>
      <c r="K51" s="181">
        <f>(SUM('1.  LRAMVA Summary'!E$22:E$27)+SUM('1.  LRAMVA Summary'!E$28:E$29)*(MONTH($E51)-1)/12)*$H51</f>
        <v>51.763939103658693</v>
      </c>
      <c r="L51" s="181">
        <f>(SUM('1.  LRAMVA Summary'!F$22:F$27)+SUM('1.  LRAMVA Summary'!F$28:F$29)*(MONTH($E51)-1)/12)*$H51</f>
        <v>70.35319387180752</v>
      </c>
      <c r="M51" s="181">
        <f>(SUM('1.  LRAMVA Summary'!G$22:G$27)+SUM('1.  LRAMVA Summary'!G$28:G$29)*(MONTH($E51)-1)/12)*$H51</f>
        <v>0</v>
      </c>
      <c r="N51" s="181">
        <f>(SUM('1.  LRAMVA Summary'!H$22:H$27)+SUM('1.  LRAMVA Summary'!H$28:H$29)*(MONTH($E51)-1)/12)*$H51</f>
        <v>0</v>
      </c>
      <c r="O51" s="181">
        <f>(SUM('1.  LRAMVA Summary'!I$22:I$27)+SUM('1.  LRAMVA Summary'!I$28:I$29)*(MONTH($E51)-1)/12)*$H51</f>
        <v>-0.28400860965603797</v>
      </c>
      <c r="P51" s="539">
        <f>(SUM('1.  LRAMVA Summary'!J$22:J$27)+SUM('1.  LRAMVA Summary'!J$28:J$29)*(MONTH($E51)-1)/12)*$H51</f>
        <v>69.18042188531453</v>
      </c>
      <c r="Q51" s="182">
        <f t="shared" si="11"/>
        <v>190.74997468227497</v>
      </c>
    </row>
    <row r="52" spans="1:21" s="3" customFormat="1" ht="13" x14ac:dyDescent="0.3">
      <c r="B52" s="174" t="s">
        <v>135</v>
      </c>
      <c r="C52" s="217"/>
      <c r="D52" s="187"/>
      <c r="E52" s="179">
        <v>41456</v>
      </c>
      <c r="F52" s="179" t="s">
        <v>368</v>
      </c>
      <c r="G52" s="180" t="s">
        <v>92</v>
      </c>
      <c r="H52" s="461">
        <f>C$26/12</f>
        <v>1.225E-3</v>
      </c>
      <c r="I52" s="181">
        <f>(SUM('1.  LRAMVA Summary'!C$22:C$27)+SUM('1.  LRAMVA Summary'!C$28:C$29)*(MONTH($E52)-1)/12)*$H52</f>
        <v>-8.2300899080310224</v>
      </c>
      <c r="J52" s="181">
        <f>(SUM('1.  LRAMVA Summary'!D$22:D$27)+SUM('1.  LRAMVA Summary'!D$28:D$29)*(MONTH($E52)-1)/12)*$H52</f>
        <v>8.2488662945252198</v>
      </c>
      <c r="K52" s="181">
        <f>(SUM('1.  LRAMVA Summary'!E$22:E$27)+SUM('1.  LRAMVA Summary'!E$28:E$29)*(MONTH($E52)-1)/12)*$H52</f>
        <v>52.497228987063821</v>
      </c>
      <c r="L52" s="181">
        <f>(SUM('1.  LRAMVA Summary'!F$22:F$27)+SUM('1.  LRAMVA Summary'!F$28:F$29)*(MONTH($E52)-1)/12)*$H52</f>
        <v>71.368207604374575</v>
      </c>
      <c r="M52" s="181">
        <f>(SUM('1.  LRAMVA Summary'!G$22:G$27)+SUM('1.  LRAMVA Summary'!G$28:G$29)*(MONTH($E52)-1)/12)*$H52</f>
        <v>0</v>
      </c>
      <c r="N52" s="181">
        <f>(SUM('1.  LRAMVA Summary'!H$22:H$27)+SUM('1.  LRAMVA Summary'!H$28:H$29)*(MONTH($E52)-1)/12)*$H52</f>
        <v>0</v>
      </c>
      <c r="O52" s="181">
        <f>(SUM('1.  LRAMVA Summary'!I$22:I$27)+SUM('1.  LRAMVA Summary'!I$28:I$29)*(MONTH($E52)-1)/12)*$H52</f>
        <v>-0.34081033158724555</v>
      </c>
      <c r="P52" s="539">
        <f>(SUM('1.  LRAMVA Summary'!J$22:J$27)+SUM('1.  LRAMVA Summary'!J$28:J$29)*(MONTH($E52)-1)/12)*$H52</f>
        <v>83.157409001896866</v>
      </c>
      <c r="Q52" s="182">
        <f t="shared" si="11"/>
        <v>206.70081164824222</v>
      </c>
    </row>
    <row r="53" spans="1:21" s="3" customFormat="1" ht="13" x14ac:dyDescent="0.3">
      <c r="B53" s="174" t="s">
        <v>137</v>
      </c>
      <c r="C53" s="217"/>
      <c r="D53" s="187"/>
      <c r="E53" s="179">
        <v>41487</v>
      </c>
      <c r="F53" s="179" t="s">
        <v>368</v>
      </c>
      <c r="G53" s="180" t="s">
        <v>92</v>
      </c>
      <c r="H53" s="460">
        <f t="shared" ref="H53:H54" si="14">C$26/12</f>
        <v>1.225E-3</v>
      </c>
      <c r="I53" s="181">
        <f>(SUM('1.  LRAMVA Summary'!C$22:C$27)+SUM('1.  LRAMVA Summary'!C$28:C$29)*(MONTH($E53)-1)/12)*$H53</f>
        <v>-8.8384195181442937</v>
      </c>
      <c r="J53" s="181">
        <f>(SUM('1.  LRAMVA Summary'!D$22:D$27)+SUM('1.  LRAMVA Summary'!D$28:D$29)*(MONTH($E53)-1)/12)*$H53</f>
        <v>9.139543859982437</v>
      </c>
      <c r="K53" s="181">
        <f>(SUM('1.  LRAMVA Summary'!E$22:E$27)+SUM('1.  LRAMVA Summary'!E$28:E$29)*(MONTH($E53)-1)/12)*$H53</f>
        <v>53.230518870468956</v>
      </c>
      <c r="L53" s="181">
        <f>(SUM('1.  LRAMVA Summary'!F$22:F$27)+SUM('1.  LRAMVA Summary'!F$28:F$29)*(MONTH($E53)-1)/12)*$H53</f>
        <v>72.383221336941645</v>
      </c>
      <c r="M53" s="181">
        <f>(SUM('1.  LRAMVA Summary'!G$22:G$27)+SUM('1.  LRAMVA Summary'!G$28:G$29)*(MONTH($E53)-1)/12)*$H53</f>
        <v>0</v>
      </c>
      <c r="N53" s="181">
        <f>(SUM('1.  LRAMVA Summary'!H$22:H$27)+SUM('1.  LRAMVA Summary'!H$28:H$29)*(MONTH($E53)-1)/12)*$H53</f>
        <v>0</v>
      </c>
      <c r="O53" s="181">
        <f>(SUM('1.  LRAMVA Summary'!I$22:I$27)+SUM('1.  LRAMVA Summary'!I$28:I$29)*(MONTH($E53)-1)/12)*$H53</f>
        <v>-0.39761205351845319</v>
      </c>
      <c r="P53" s="539">
        <f>(SUM('1.  LRAMVA Summary'!J$22:J$27)+SUM('1.  LRAMVA Summary'!J$28:J$29)*(MONTH($E53)-1)/12)*$H53</f>
        <v>97.134396118479188</v>
      </c>
      <c r="Q53" s="182">
        <f t="shared" si="11"/>
        <v>222.65164861420948</v>
      </c>
    </row>
    <row r="54" spans="1:21" s="3" customFormat="1" ht="13" x14ac:dyDescent="0.3">
      <c r="B54" s="174" t="s">
        <v>136</v>
      </c>
      <c r="C54" s="217"/>
      <c r="D54" s="187"/>
      <c r="E54" s="179">
        <v>41518</v>
      </c>
      <c r="F54" s="179" t="s">
        <v>368</v>
      </c>
      <c r="G54" s="180" t="s">
        <v>92</v>
      </c>
      <c r="H54" s="460">
        <f t="shared" si="14"/>
        <v>1.225E-3</v>
      </c>
      <c r="I54" s="181">
        <f>(SUM('1.  LRAMVA Summary'!C$22:C$27)+SUM('1.  LRAMVA Summary'!C$28:C$29)*(MONTH($E54)-1)/12)*$H54</f>
        <v>-9.4467491282575597</v>
      </c>
      <c r="J54" s="181">
        <f>(SUM('1.  LRAMVA Summary'!D$22:D$27)+SUM('1.  LRAMVA Summary'!D$28:D$29)*(MONTH($E54)-1)/12)*$H54</f>
        <v>10.030221425439652</v>
      </c>
      <c r="K54" s="181">
        <f>(SUM('1.  LRAMVA Summary'!E$22:E$27)+SUM('1.  LRAMVA Summary'!E$28:E$29)*(MONTH($E54)-1)/12)*$H54</f>
        <v>53.963808753874083</v>
      </c>
      <c r="L54" s="181">
        <f>(SUM('1.  LRAMVA Summary'!F$22:F$27)+SUM('1.  LRAMVA Summary'!F$28:F$29)*(MONTH($E54)-1)/12)*$H54</f>
        <v>73.398235069508715</v>
      </c>
      <c r="M54" s="181">
        <f>(SUM('1.  LRAMVA Summary'!G$22:G$27)+SUM('1.  LRAMVA Summary'!G$28:G$29)*(MONTH($E54)-1)/12)*$H54</f>
        <v>0</v>
      </c>
      <c r="N54" s="181">
        <f>(SUM('1.  LRAMVA Summary'!H$22:H$27)+SUM('1.  LRAMVA Summary'!H$28:H$29)*(MONTH($E54)-1)/12)*$H54</f>
        <v>0</v>
      </c>
      <c r="O54" s="181">
        <f>(SUM('1.  LRAMVA Summary'!I$22:I$27)+SUM('1.  LRAMVA Summary'!I$28:I$29)*(MONTH($E54)-1)/12)*$H54</f>
        <v>-0.45441377544966072</v>
      </c>
      <c r="P54" s="539">
        <f>(SUM('1.  LRAMVA Summary'!J$22:J$27)+SUM('1.  LRAMVA Summary'!J$28:J$29)*(MONTH($E54)-1)/12)*$H54</f>
        <v>111.11138323506151</v>
      </c>
      <c r="Q54" s="182">
        <f t="shared" si="11"/>
        <v>238.60248558017673</v>
      </c>
    </row>
    <row r="55" spans="1:21" s="3" customFormat="1" ht="13" x14ac:dyDescent="0.3">
      <c r="B55" s="214" t="s">
        <v>138</v>
      </c>
      <c r="C55" s="218"/>
      <c r="D55" s="187"/>
      <c r="E55" s="179">
        <v>41548</v>
      </c>
      <c r="F55" s="179" t="s">
        <v>368</v>
      </c>
      <c r="G55" s="180" t="s">
        <v>93</v>
      </c>
      <c r="H55" s="461">
        <f>C$27/12</f>
        <v>1.225E-3</v>
      </c>
      <c r="I55" s="181">
        <f>(SUM('1.  LRAMVA Summary'!C$22:C$27)+SUM('1.  LRAMVA Summary'!C$28:C$29)*(MONTH($E55)-1)/12)*$H55</f>
        <v>-10.055078738370831</v>
      </c>
      <c r="J55" s="181">
        <f>(SUM('1.  LRAMVA Summary'!D$22:D$27)+SUM('1.  LRAMVA Summary'!D$28:D$29)*(MONTH($E55)-1)/12)*$H55</f>
        <v>10.920898990896868</v>
      </c>
      <c r="K55" s="181">
        <f>(SUM('1.  LRAMVA Summary'!E$22:E$27)+SUM('1.  LRAMVA Summary'!E$28:E$29)*(MONTH($E55)-1)/12)*$H55</f>
        <v>54.697098637279218</v>
      </c>
      <c r="L55" s="181">
        <f>(SUM('1.  LRAMVA Summary'!F$22:F$27)+SUM('1.  LRAMVA Summary'!F$28:F$29)*(MONTH($E55)-1)/12)*$H55</f>
        <v>74.413248802075771</v>
      </c>
      <c r="M55" s="181">
        <f>(SUM('1.  LRAMVA Summary'!G$22:G$27)+SUM('1.  LRAMVA Summary'!G$28:G$29)*(MONTH($E55)-1)/12)*$H55</f>
        <v>0</v>
      </c>
      <c r="N55" s="181">
        <f>(SUM('1.  LRAMVA Summary'!H$22:H$27)+SUM('1.  LRAMVA Summary'!H$28:H$29)*(MONTH($E55)-1)/12)*$H55</f>
        <v>0</v>
      </c>
      <c r="O55" s="181">
        <f>(SUM('1.  LRAMVA Summary'!I$22:I$27)+SUM('1.  LRAMVA Summary'!I$28:I$29)*(MONTH($E55)-1)/12)*$H55</f>
        <v>-0.51121549738086836</v>
      </c>
      <c r="P55" s="539">
        <f>(SUM('1.  LRAMVA Summary'!J$22:J$27)+SUM('1.  LRAMVA Summary'!J$28:J$29)*(MONTH($E55)-1)/12)*$H55</f>
        <v>125.08837035164386</v>
      </c>
      <c r="Q55" s="182">
        <f t="shared" si="11"/>
        <v>254.55332254614399</v>
      </c>
    </row>
    <row r="56" spans="1:21" s="3" customFormat="1" ht="13" x14ac:dyDescent="0.3">
      <c r="D56" s="187"/>
      <c r="E56" s="179">
        <v>41579</v>
      </c>
      <c r="F56" s="179" t="s">
        <v>368</v>
      </c>
      <c r="G56" s="180" t="s">
        <v>93</v>
      </c>
      <c r="H56" s="460">
        <f t="shared" ref="H56:H57" si="15">C$27/12</f>
        <v>1.225E-3</v>
      </c>
      <c r="I56" s="181">
        <f>(SUM('1.  LRAMVA Summary'!C$22:C$27)+SUM('1.  LRAMVA Summary'!C$28:C$29)*(MONTH($E56)-1)/12)*$H56</f>
        <v>-10.663408348484099</v>
      </c>
      <c r="J56" s="181">
        <f>(SUM('1.  LRAMVA Summary'!D$22:D$27)+SUM('1.  LRAMVA Summary'!D$28:D$29)*(MONTH($E56)-1)/12)*$H56</f>
        <v>11.811576556354089</v>
      </c>
      <c r="K56" s="181">
        <f>(SUM('1.  LRAMVA Summary'!E$22:E$27)+SUM('1.  LRAMVA Summary'!E$28:E$29)*(MONTH($E56)-1)/12)*$H56</f>
        <v>55.430388520684353</v>
      </c>
      <c r="L56" s="181">
        <f>(SUM('1.  LRAMVA Summary'!F$22:F$27)+SUM('1.  LRAMVA Summary'!F$28:F$29)*(MONTH($E56)-1)/12)*$H56</f>
        <v>75.428262534642826</v>
      </c>
      <c r="M56" s="181">
        <f>(SUM('1.  LRAMVA Summary'!G$22:G$27)+SUM('1.  LRAMVA Summary'!G$28:G$29)*(MONTH($E56)-1)/12)*$H56</f>
        <v>0</v>
      </c>
      <c r="N56" s="181">
        <f>(SUM('1.  LRAMVA Summary'!H$22:H$27)+SUM('1.  LRAMVA Summary'!H$28:H$29)*(MONTH($E56)-1)/12)*$H56</f>
        <v>0</v>
      </c>
      <c r="O56" s="181">
        <f>(SUM('1.  LRAMVA Summary'!I$22:I$27)+SUM('1.  LRAMVA Summary'!I$28:I$29)*(MONTH($E56)-1)/12)*$H56</f>
        <v>-0.56801721931207594</v>
      </c>
      <c r="P56" s="539">
        <f>(SUM('1.  LRAMVA Summary'!J$22:J$27)+SUM('1.  LRAMVA Summary'!J$28:J$29)*(MONTH($E56)-1)/12)*$H56</f>
        <v>139.06535746822618</v>
      </c>
      <c r="Q56" s="182">
        <f t="shared" si="11"/>
        <v>270.5041595121113</v>
      </c>
    </row>
    <row r="57" spans="1:21" s="3" customFormat="1" ht="14" x14ac:dyDescent="0.3">
      <c r="B57" s="224" t="s">
        <v>371</v>
      </c>
      <c r="C57" s="4"/>
      <c r="D57" s="187"/>
      <c r="E57" s="179">
        <v>41609</v>
      </c>
      <c r="F57" s="179" t="s">
        <v>368</v>
      </c>
      <c r="G57" s="180" t="s">
        <v>93</v>
      </c>
      <c r="H57" s="460">
        <f t="shared" si="15"/>
        <v>1.225E-3</v>
      </c>
      <c r="I57" s="181">
        <f>(SUM('1.  LRAMVA Summary'!C$22:C$27)+SUM('1.  LRAMVA Summary'!C$28:C$29)*(MONTH($E57)-1)/12)*$H57</f>
        <v>-11.27173795859737</v>
      </c>
      <c r="J57" s="181">
        <f>(SUM('1.  LRAMVA Summary'!D$22:D$27)+SUM('1.  LRAMVA Summary'!D$28:D$29)*(MONTH($E57)-1)/12)*$H57</f>
        <v>12.702254121811304</v>
      </c>
      <c r="K57" s="181">
        <f>(SUM('1.  LRAMVA Summary'!E$22:E$27)+SUM('1.  LRAMVA Summary'!E$28:E$29)*(MONTH($E57)-1)/12)*$H57</f>
        <v>56.163678404089488</v>
      </c>
      <c r="L57" s="181">
        <f>(SUM('1.  LRAMVA Summary'!F$22:F$27)+SUM('1.  LRAMVA Summary'!F$28:F$29)*(MONTH($E57)-1)/12)*$H57</f>
        <v>76.443276267209896</v>
      </c>
      <c r="M57" s="181">
        <f>(SUM('1.  LRAMVA Summary'!G$22:G$27)+SUM('1.  LRAMVA Summary'!G$28:G$29)*(MONTH($E57)-1)/12)*$H57</f>
        <v>0</v>
      </c>
      <c r="N57" s="181">
        <f>(SUM('1.  LRAMVA Summary'!H$22:H$27)+SUM('1.  LRAMVA Summary'!H$28:H$29)*(MONTH($E57)-1)/12)*$H57</f>
        <v>0</v>
      </c>
      <c r="O57" s="181">
        <f>(SUM('1.  LRAMVA Summary'!I$22:I$27)+SUM('1.  LRAMVA Summary'!I$28:I$29)*(MONTH($E57)-1)/12)*$H57</f>
        <v>-0.62481894124328352</v>
      </c>
      <c r="P57" s="539">
        <f>(SUM('1.  LRAMVA Summary'!J$22:J$27)+SUM('1.  LRAMVA Summary'!J$28:J$29)*(MONTH($E57)-1)/12)*$H57</f>
        <v>153.04234458480852</v>
      </c>
      <c r="Q57" s="182">
        <f t="shared" si="11"/>
        <v>286.45499647807856</v>
      </c>
    </row>
    <row r="58" spans="1:21" s="3" customFormat="1" ht="13.5" thickBot="1" x14ac:dyDescent="0.35">
      <c r="B58" s="4"/>
      <c r="C58" s="4"/>
      <c r="D58" s="187"/>
      <c r="E58" s="191" t="s">
        <v>382</v>
      </c>
      <c r="F58" s="191"/>
      <c r="G58" s="192"/>
      <c r="H58" s="457"/>
      <c r="I58" s="193">
        <f>SUM(I45:I57)</f>
        <v>-95.19962687873894</v>
      </c>
      <c r="J58" s="193">
        <f t="shared" ref="J58:P58" si="16">SUM(J45:J57)</f>
        <v>234.29189259657747</v>
      </c>
      <c r="K58" s="193">
        <f t="shared" si="16"/>
        <v>1204.0563542292678</v>
      </c>
      <c r="L58" s="193">
        <f t="shared" si="16"/>
        <v>1390.7407094112725</v>
      </c>
      <c r="M58" s="193">
        <f t="shared" si="16"/>
        <v>0</v>
      </c>
      <c r="N58" s="193">
        <f t="shared" si="16"/>
        <v>0</v>
      </c>
      <c r="O58" s="193">
        <f t="shared" si="16"/>
        <v>-7.3909191110564834</v>
      </c>
      <c r="P58" s="193">
        <f t="shared" si="16"/>
        <v>1511.8535678537212</v>
      </c>
      <c r="Q58" s="193">
        <f>SUM(Q45:Q57)</f>
        <v>4238.3519781010436</v>
      </c>
    </row>
    <row r="59" spans="1:21" s="3" customFormat="1" ht="13.5" thickTop="1" x14ac:dyDescent="0.3">
      <c r="D59" s="187"/>
      <c r="E59" s="220" t="s">
        <v>91</v>
      </c>
      <c r="F59" s="220"/>
      <c r="G59" s="221"/>
      <c r="H59" s="458"/>
      <c r="I59" s="222"/>
      <c r="J59" s="222"/>
      <c r="K59" s="222"/>
      <c r="L59" s="222"/>
      <c r="M59" s="222"/>
      <c r="N59" s="222"/>
      <c r="O59" s="222"/>
      <c r="P59" s="222"/>
      <c r="Q59" s="223"/>
    </row>
    <row r="60" spans="1:21" s="3" customFormat="1" ht="13" x14ac:dyDescent="0.3">
      <c r="D60" s="187"/>
      <c r="E60" s="188" t="s">
        <v>389</v>
      </c>
      <c r="F60" s="188"/>
      <c r="G60" s="189"/>
      <c r="H60" s="459"/>
      <c r="I60" s="190">
        <f t="shared" ref="I60:Q60" si="17">I58+I59</f>
        <v>-95.19962687873894</v>
      </c>
      <c r="J60" s="190">
        <f t="shared" si="17"/>
        <v>234.29189259657747</v>
      </c>
      <c r="K60" s="190">
        <f t="shared" si="17"/>
        <v>1204.0563542292678</v>
      </c>
      <c r="L60" s="190">
        <f t="shared" si="17"/>
        <v>1390.7407094112725</v>
      </c>
      <c r="M60" s="190">
        <f t="shared" si="17"/>
        <v>0</v>
      </c>
      <c r="N60" s="190">
        <f t="shared" si="17"/>
        <v>0</v>
      </c>
      <c r="O60" s="190">
        <f t="shared" si="17"/>
        <v>-7.3909191110564834</v>
      </c>
      <c r="P60" s="190">
        <f t="shared" si="17"/>
        <v>1511.8535678537212</v>
      </c>
      <c r="Q60" s="190">
        <f t="shared" si="17"/>
        <v>4238.3519781010436</v>
      </c>
    </row>
    <row r="61" spans="1:21" s="3" customFormat="1" ht="13" x14ac:dyDescent="0.3">
      <c r="D61" s="187"/>
      <c r="E61" s="179">
        <v>41640</v>
      </c>
      <c r="F61" s="179" t="s">
        <v>369</v>
      </c>
      <c r="G61" s="180" t="s">
        <v>89</v>
      </c>
      <c r="H61" s="461">
        <f>C$28/12</f>
        <v>1.225E-3</v>
      </c>
      <c r="I61" s="181">
        <f>(SUM('1.  LRAMVA Summary'!C$22:C$30)+SUM('1.  LRAMVA Summary'!C$31:C$32)*(MONTH($E61)-1)/12)*$H61</f>
        <v>-6.0455256459026856</v>
      </c>
      <c r="J61" s="181">
        <f>(SUM('1.  LRAMVA Summary'!D$22:D$30)+SUM('1.  LRAMVA Summary'!D$31:D$32)*(MONTH($E61)-1)/12)*$H61</f>
        <v>4.1886043509317279</v>
      </c>
      <c r="K61" s="181">
        <f>(SUM('1.  LRAMVA Summary'!E$22:E$30)+SUM('1.  LRAMVA Summary'!E$31:E$32)*(MONTH($E61)-1)/12)*$H61</f>
        <v>56.971103860383522</v>
      </c>
      <c r="L61" s="181">
        <f>(SUM('1.  LRAMVA Summary'!F$22:F$30)+SUM('1.  LRAMVA Summary'!F$31:F$32)*(MONTH($E61)-1)/12)*$H61</f>
        <v>65.712186082099663</v>
      </c>
      <c r="M61" s="181">
        <f>(SUM('1.  LRAMVA Summary'!G$22:G$30)+SUM('1.  LRAMVA Summary'!G$31:G$32)*(MONTH($E61)-1)/12)*$H61</f>
        <v>0</v>
      </c>
      <c r="N61" s="181">
        <f>(SUM('1.  LRAMVA Summary'!H$22:H$30)+SUM('1.  LRAMVA Summary'!H$31:H$32)*(MONTH($E61)-1)/12)*$H61</f>
        <v>0</v>
      </c>
      <c r="O61" s="181">
        <f>(SUM('1.  LRAMVA Summary'!I$22:I$30)+SUM('1.  LRAMVA Summary'!I$31:I$32)*(MONTH($E61)-1)/12)*$H61</f>
        <v>0</v>
      </c>
      <c r="P61" s="539">
        <f>(SUM('1.  LRAMVA Summary'!J$22:J$30)+SUM('1.  LRAMVA Summary'!J$31:J$32)*(MONTH($E61)-1)/12)*$H61</f>
        <v>37.269367913853017</v>
      </c>
      <c r="Q61" s="182">
        <f t="shared" ref="Q61:Q72" si="18">SUM(I61:P61)</f>
        <v>158.09573656136524</v>
      </c>
    </row>
    <row r="62" spans="1:21" s="3" customFormat="1" ht="13" x14ac:dyDescent="0.3">
      <c r="A62" s="14"/>
      <c r="E62" s="179">
        <v>41671</v>
      </c>
      <c r="F62" s="179" t="s">
        <v>369</v>
      </c>
      <c r="G62" s="180" t="s">
        <v>89</v>
      </c>
      <c r="H62" s="460">
        <f t="shared" ref="H62:H63" si="19">C$28/12</f>
        <v>1.225E-3</v>
      </c>
      <c r="I62" s="181">
        <f>(SUM('1.  LRAMVA Summary'!C$22:C$30)+SUM('1.  LRAMVA Summary'!C$31:C$32)*(MONTH($E62)-1)/12)*$H62</f>
        <v>-2.895077580774291</v>
      </c>
      <c r="J62" s="181">
        <f>(SUM('1.  LRAMVA Summary'!D$22:D$30)+SUM('1.  LRAMVA Summary'!D$31:D$32)*(MONTH($E62)-1)/12)*$H62</f>
        <v>7.1402012296634547</v>
      </c>
      <c r="K62" s="181">
        <f>(SUM('1.  LRAMVA Summary'!E$22:E$30)+SUM('1.  LRAMVA Summary'!E$31:E$32)*(MONTH($E62)-1)/12)*$H62</f>
        <v>64.287965479660187</v>
      </c>
      <c r="L62" s="181">
        <f>(SUM('1.  LRAMVA Summary'!F$22:F$30)+SUM('1.  LRAMVA Summary'!F$31:F$32)*(MONTH($E62)-1)/12)*$H62</f>
        <v>76.26473212305568</v>
      </c>
      <c r="M62" s="181">
        <f>(SUM('1.  LRAMVA Summary'!G$22:G$30)+SUM('1.  LRAMVA Summary'!G$31:G$32)*(MONTH($E62)-1)/12)*$H62</f>
        <v>0</v>
      </c>
      <c r="N62" s="181">
        <f>(SUM('1.  LRAMVA Summary'!H$22:H$30)+SUM('1.  LRAMVA Summary'!H$31:H$32)*(MONTH($E62)-1)/12)*$H62</f>
        <v>0</v>
      </c>
      <c r="O62" s="181">
        <f>(SUM('1.  LRAMVA Summary'!I$22:I$30)+SUM('1.  LRAMVA Summary'!I$31:I$32)*(MONTH($E62)-1)/12)*$H62</f>
        <v>-5.7665626447271585E-2</v>
      </c>
      <c r="P62" s="539">
        <f>(SUM('1.  LRAMVA Summary'!J$22:J$30)+SUM('1.  LRAMVA Summary'!J$31:J$32)*(MONTH($E62)-1)/12)*$H62</f>
        <v>51.481631618834911</v>
      </c>
      <c r="Q62" s="182">
        <f t="shared" si="18"/>
        <v>196.22178724399268</v>
      </c>
    </row>
    <row r="63" spans="1:21" x14ac:dyDescent="0.35">
      <c r="A63" s="2"/>
      <c r="C63" s="2"/>
      <c r="E63" s="179">
        <v>41699</v>
      </c>
      <c r="F63" s="179" t="s">
        <v>369</v>
      </c>
      <c r="G63" s="180" t="s">
        <v>89</v>
      </c>
      <c r="H63" s="460">
        <f t="shared" si="19"/>
        <v>1.225E-3</v>
      </c>
      <c r="I63" s="181">
        <f>(SUM('1.  LRAMVA Summary'!C$22:C$30)+SUM('1.  LRAMVA Summary'!C$31:C$32)*(MONTH($E63)-1)/12)*$H63</f>
        <v>0.25537048435410309</v>
      </c>
      <c r="J63" s="181">
        <f>(SUM('1.  LRAMVA Summary'!D$22:D$30)+SUM('1.  LRAMVA Summary'!D$31:D$32)*(MONTH($E63)-1)/12)*$H63</f>
        <v>10.091798108395182</v>
      </c>
      <c r="K63" s="181">
        <f>(SUM('1.  LRAMVA Summary'!E$22:E$30)+SUM('1.  LRAMVA Summary'!E$31:E$32)*(MONTH($E63)-1)/12)*$H63</f>
        <v>71.604827098936838</v>
      </c>
      <c r="L63" s="181">
        <f>(SUM('1.  LRAMVA Summary'!F$22:F$30)+SUM('1.  LRAMVA Summary'!F$31:F$32)*(MONTH($E63)-1)/12)*$H63</f>
        <v>86.817278164011682</v>
      </c>
      <c r="M63" s="181">
        <f>(SUM('1.  LRAMVA Summary'!G$22:G$30)+SUM('1.  LRAMVA Summary'!G$31:G$32)*(MONTH($E63)-1)/12)*$H63</f>
        <v>0</v>
      </c>
      <c r="N63" s="181">
        <f>(SUM('1.  LRAMVA Summary'!H$22:H$30)+SUM('1.  LRAMVA Summary'!H$31:H$32)*(MONTH($E63)-1)/12)*$H63</f>
        <v>0</v>
      </c>
      <c r="O63" s="181">
        <f>(SUM('1.  LRAMVA Summary'!I$22:I$30)+SUM('1.  LRAMVA Summary'!I$31:I$32)*(MONTH($E63)-1)/12)*$H63</f>
        <v>-0.11533125289454317</v>
      </c>
      <c r="P63" s="539">
        <f>(SUM('1.  LRAMVA Summary'!J$22:J$30)+SUM('1.  LRAMVA Summary'!J$31:J$32)*(MONTH($E63)-1)/12)*$H63</f>
        <v>65.693895323816804</v>
      </c>
      <c r="Q63" s="182">
        <f t="shared" si="18"/>
        <v>234.34783792662006</v>
      </c>
      <c r="R63" s="2"/>
      <c r="S63" s="2"/>
      <c r="T63" s="2"/>
      <c r="U63" s="2"/>
    </row>
    <row r="64" spans="1:21" x14ac:dyDescent="0.35">
      <c r="A64" s="2"/>
      <c r="C64" s="2"/>
      <c r="E64" s="179">
        <v>41730</v>
      </c>
      <c r="F64" s="179" t="s">
        <v>369</v>
      </c>
      <c r="G64" s="180" t="s">
        <v>90</v>
      </c>
      <c r="H64" s="461">
        <f>C$29/12</f>
        <v>1.225E-3</v>
      </c>
      <c r="I64" s="181">
        <f>(SUM('1.  LRAMVA Summary'!C$22:C$30)+SUM('1.  LRAMVA Summary'!C$31:C$32)*(MONTH($E64)-1)/12)*$H64</f>
        <v>3.4058185494824968</v>
      </c>
      <c r="J64" s="181">
        <f>(SUM('1.  LRAMVA Summary'!D$22:D$30)+SUM('1.  LRAMVA Summary'!D$31:D$32)*(MONTH($E64)-1)/12)*$H64</f>
        <v>13.043394987126904</v>
      </c>
      <c r="K64" s="181">
        <f>(SUM('1.  LRAMVA Summary'!E$22:E$30)+SUM('1.  LRAMVA Summary'!E$31:E$32)*(MONTH($E64)-1)/12)*$H64</f>
        <v>78.921688718213517</v>
      </c>
      <c r="L64" s="181">
        <f>(SUM('1.  LRAMVA Summary'!F$22:F$30)+SUM('1.  LRAMVA Summary'!F$31:F$32)*(MONTH($E64)-1)/12)*$H64</f>
        <v>97.369824204967699</v>
      </c>
      <c r="M64" s="181">
        <f>(SUM('1.  LRAMVA Summary'!G$22:G$30)+SUM('1.  LRAMVA Summary'!G$31:G$32)*(MONTH($E64)-1)/12)*$H64</f>
        <v>0</v>
      </c>
      <c r="N64" s="181">
        <f>(SUM('1.  LRAMVA Summary'!H$22:H$30)+SUM('1.  LRAMVA Summary'!H$31:H$32)*(MONTH($E64)-1)/12)*$H64</f>
        <v>0</v>
      </c>
      <c r="O64" s="181">
        <f>(SUM('1.  LRAMVA Summary'!I$22:I$30)+SUM('1.  LRAMVA Summary'!I$31:I$32)*(MONTH($E64)-1)/12)*$H64</f>
        <v>-0.17299687934181474</v>
      </c>
      <c r="P64" s="539">
        <f>(SUM('1.  LRAMVA Summary'!J$22:J$30)+SUM('1.  LRAMVA Summary'!J$31:J$32)*(MONTH($E64)-1)/12)*$H64</f>
        <v>79.906159028798697</v>
      </c>
      <c r="Q64" s="182">
        <f t="shared" si="18"/>
        <v>272.47388860924752</v>
      </c>
      <c r="R64" s="2"/>
      <c r="S64" s="2"/>
      <c r="T64" s="2"/>
      <c r="U64" s="2"/>
    </row>
    <row r="65" spans="1:21" x14ac:dyDescent="0.35">
      <c r="A65" s="2"/>
      <c r="C65" s="2"/>
      <c r="E65" s="179">
        <v>41760</v>
      </c>
      <c r="F65" s="179" t="s">
        <v>369</v>
      </c>
      <c r="G65" s="180" t="s">
        <v>90</v>
      </c>
      <c r="H65" s="460">
        <f t="shared" ref="H65:H66" si="20">C$29/12</f>
        <v>1.225E-3</v>
      </c>
      <c r="I65" s="181">
        <f>(SUM('1.  LRAMVA Summary'!C$22:C$30)+SUM('1.  LRAMVA Summary'!C$31:C$32)*(MONTH($E65)-1)/12)*$H65</f>
        <v>6.5562666146108919</v>
      </c>
      <c r="J65" s="181">
        <f>(SUM('1.  LRAMVA Summary'!D$22:D$30)+SUM('1.  LRAMVA Summary'!D$31:D$32)*(MONTH($E65)-1)/12)*$H65</f>
        <v>15.994991865858633</v>
      </c>
      <c r="K65" s="181">
        <f>(SUM('1.  LRAMVA Summary'!E$22:E$30)+SUM('1.  LRAMVA Summary'!E$31:E$32)*(MONTH($E65)-1)/12)*$H65</f>
        <v>86.238550337490167</v>
      </c>
      <c r="L65" s="181">
        <f>(SUM('1.  LRAMVA Summary'!F$22:F$30)+SUM('1.  LRAMVA Summary'!F$31:F$32)*(MONTH($E65)-1)/12)*$H65</f>
        <v>107.92237024592372</v>
      </c>
      <c r="M65" s="181">
        <f>(SUM('1.  LRAMVA Summary'!G$22:G$30)+SUM('1.  LRAMVA Summary'!G$31:G$32)*(MONTH($E65)-1)/12)*$H65</f>
        <v>0</v>
      </c>
      <c r="N65" s="181">
        <f>(SUM('1.  LRAMVA Summary'!H$22:H$30)+SUM('1.  LRAMVA Summary'!H$31:H$32)*(MONTH($E65)-1)/12)*$H65</f>
        <v>0</v>
      </c>
      <c r="O65" s="181">
        <f>(SUM('1.  LRAMVA Summary'!I$22:I$30)+SUM('1.  LRAMVA Summary'!I$31:I$32)*(MONTH($E65)-1)/12)*$H65</f>
        <v>-0.23066250578908634</v>
      </c>
      <c r="P65" s="539">
        <f>(SUM('1.  LRAMVA Summary'!J$22:J$30)+SUM('1.  LRAMVA Summary'!J$31:J$32)*(MONTH($E65)-1)/12)*$H65</f>
        <v>94.118422733780605</v>
      </c>
      <c r="Q65" s="182">
        <f t="shared" si="18"/>
        <v>310.59993929187493</v>
      </c>
      <c r="R65" s="2"/>
      <c r="S65" s="2"/>
      <c r="T65" s="2"/>
      <c r="U65" s="2"/>
    </row>
    <row r="66" spans="1:21" s="3" customFormat="1" ht="13" x14ac:dyDescent="0.3">
      <c r="B66" s="55"/>
      <c r="E66" s="179">
        <v>41791</v>
      </c>
      <c r="F66" s="179" t="s">
        <v>369</v>
      </c>
      <c r="G66" s="180" t="s">
        <v>90</v>
      </c>
      <c r="H66" s="460">
        <f t="shared" si="20"/>
        <v>1.225E-3</v>
      </c>
      <c r="I66" s="181">
        <f>(SUM('1.  LRAMVA Summary'!C$22:C$30)+SUM('1.  LRAMVA Summary'!C$31:C$32)*(MONTH($E66)-1)/12)*$H66</f>
        <v>9.7067146797392869</v>
      </c>
      <c r="J66" s="181">
        <f>(SUM('1.  LRAMVA Summary'!D$22:D$30)+SUM('1.  LRAMVA Summary'!D$31:D$32)*(MONTH($E66)-1)/12)*$H66</f>
        <v>18.946588744590361</v>
      </c>
      <c r="K66" s="181">
        <f>(SUM('1.  LRAMVA Summary'!E$22:E$30)+SUM('1.  LRAMVA Summary'!E$31:E$32)*(MONTH($E66)-1)/12)*$H66</f>
        <v>93.555411956766832</v>
      </c>
      <c r="L66" s="181">
        <f>(SUM('1.  LRAMVA Summary'!F$22:F$30)+SUM('1.  LRAMVA Summary'!F$31:F$32)*(MONTH($E66)-1)/12)*$H66</f>
        <v>118.47491628687975</v>
      </c>
      <c r="M66" s="181">
        <f>(SUM('1.  LRAMVA Summary'!G$22:G$30)+SUM('1.  LRAMVA Summary'!G$31:G$32)*(MONTH($E66)-1)/12)*$H66</f>
        <v>0</v>
      </c>
      <c r="N66" s="181">
        <f>(SUM('1.  LRAMVA Summary'!H$22:H$30)+SUM('1.  LRAMVA Summary'!H$31:H$32)*(MONTH($E66)-1)/12)*$H66</f>
        <v>0</v>
      </c>
      <c r="O66" s="181">
        <f>(SUM('1.  LRAMVA Summary'!I$22:I$30)+SUM('1.  LRAMVA Summary'!I$31:I$32)*(MONTH($E66)-1)/12)*$H66</f>
        <v>-0.28832813223635789</v>
      </c>
      <c r="P66" s="539">
        <f>(SUM('1.  LRAMVA Summary'!J$22:J$30)+SUM('1.  LRAMVA Summary'!J$31:J$32)*(MONTH($E66)-1)/12)*$H66</f>
        <v>108.33068643876248</v>
      </c>
      <c r="Q66" s="182">
        <f t="shared" si="18"/>
        <v>348.72598997450234</v>
      </c>
    </row>
    <row r="67" spans="1:21" s="3" customFormat="1" ht="13" x14ac:dyDescent="0.3">
      <c r="B67" s="55"/>
      <c r="E67" s="179">
        <v>41821</v>
      </c>
      <c r="F67" s="179" t="s">
        <v>369</v>
      </c>
      <c r="G67" s="180" t="s">
        <v>92</v>
      </c>
      <c r="H67" s="461">
        <f>C$30/12</f>
        <v>1.225E-3</v>
      </c>
      <c r="I67" s="181">
        <f>(SUM('1.  LRAMVA Summary'!C$22:C$30)+SUM('1.  LRAMVA Summary'!C$31:C$32)*(MONTH($E67)-1)/12)*$H67</f>
        <v>12.857162744867679</v>
      </c>
      <c r="J67" s="181">
        <f>(SUM('1.  LRAMVA Summary'!D$22:D$30)+SUM('1.  LRAMVA Summary'!D$31:D$32)*(MONTH($E67)-1)/12)*$H67</f>
        <v>21.898185623322082</v>
      </c>
      <c r="K67" s="181">
        <f>(SUM('1.  LRAMVA Summary'!E$22:E$30)+SUM('1.  LRAMVA Summary'!E$31:E$32)*(MONTH($E67)-1)/12)*$H67</f>
        <v>100.8722735760435</v>
      </c>
      <c r="L67" s="181">
        <f>(SUM('1.  LRAMVA Summary'!F$22:F$30)+SUM('1.  LRAMVA Summary'!F$31:F$32)*(MONTH($E67)-1)/12)*$H67</f>
        <v>129.02746232783574</v>
      </c>
      <c r="M67" s="181">
        <f>(SUM('1.  LRAMVA Summary'!G$22:G$30)+SUM('1.  LRAMVA Summary'!G$31:G$32)*(MONTH($E67)-1)/12)*$H67</f>
        <v>0</v>
      </c>
      <c r="N67" s="181">
        <f>(SUM('1.  LRAMVA Summary'!H$22:H$30)+SUM('1.  LRAMVA Summary'!H$31:H$32)*(MONTH($E67)-1)/12)*$H67</f>
        <v>0</v>
      </c>
      <c r="O67" s="181">
        <f>(SUM('1.  LRAMVA Summary'!I$22:I$30)+SUM('1.  LRAMVA Summary'!I$31:I$32)*(MONTH($E67)-1)/12)*$H67</f>
        <v>-0.34599375868362947</v>
      </c>
      <c r="P67" s="539">
        <f>(SUM('1.  LRAMVA Summary'!J$22:J$30)+SUM('1.  LRAMVA Summary'!J$31:J$32)*(MONTH($E67)-1)/12)*$H67</f>
        <v>122.54295014374439</v>
      </c>
      <c r="Q67" s="182">
        <f t="shared" si="18"/>
        <v>386.85204065712975</v>
      </c>
    </row>
    <row r="68" spans="1:21" s="3" customFormat="1" ht="13" x14ac:dyDescent="0.3">
      <c r="B68" s="55"/>
      <c r="E68" s="179">
        <v>41852</v>
      </c>
      <c r="F68" s="179" t="s">
        <v>369</v>
      </c>
      <c r="G68" s="180" t="s">
        <v>92</v>
      </c>
      <c r="H68" s="460">
        <f t="shared" ref="H68:H69" si="21">C$30/12</f>
        <v>1.225E-3</v>
      </c>
      <c r="I68" s="181">
        <f>(SUM('1.  LRAMVA Summary'!C$22:C$30)+SUM('1.  LRAMVA Summary'!C$31:C$32)*(MONTH($E68)-1)/12)*$H68</f>
        <v>16.007610809996073</v>
      </c>
      <c r="J68" s="181">
        <f>(SUM('1.  LRAMVA Summary'!D$22:D$30)+SUM('1.  LRAMVA Summary'!D$31:D$32)*(MONTH($E68)-1)/12)*$H68</f>
        <v>24.849782502053813</v>
      </c>
      <c r="K68" s="181">
        <f>(SUM('1.  LRAMVA Summary'!E$22:E$30)+SUM('1.  LRAMVA Summary'!E$31:E$32)*(MONTH($E68)-1)/12)*$H68</f>
        <v>108.18913519532016</v>
      </c>
      <c r="L68" s="181">
        <f>(SUM('1.  LRAMVA Summary'!F$22:F$30)+SUM('1.  LRAMVA Summary'!F$31:F$32)*(MONTH($E68)-1)/12)*$H68</f>
        <v>139.58000836879177</v>
      </c>
      <c r="M68" s="181">
        <f>(SUM('1.  LRAMVA Summary'!G$22:G$30)+SUM('1.  LRAMVA Summary'!G$31:G$32)*(MONTH($E68)-1)/12)*$H68</f>
        <v>0</v>
      </c>
      <c r="N68" s="181">
        <f>(SUM('1.  LRAMVA Summary'!H$22:H$30)+SUM('1.  LRAMVA Summary'!H$31:H$32)*(MONTH($E68)-1)/12)*$H68</f>
        <v>0</v>
      </c>
      <c r="O68" s="181">
        <f>(SUM('1.  LRAMVA Summary'!I$22:I$30)+SUM('1.  LRAMVA Summary'!I$31:I$32)*(MONTH($E68)-1)/12)*$H68</f>
        <v>-0.4036593851309011</v>
      </c>
      <c r="P68" s="539">
        <f>(SUM('1.  LRAMVA Summary'!J$22:J$30)+SUM('1.  LRAMVA Summary'!J$31:J$32)*(MONTH($E68)-1)/12)*$H68</f>
        <v>136.7552138487263</v>
      </c>
      <c r="Q68" s="182">
        <f t="shared" si="18"/>
        <v>424.97809133975727</v>
      </c>
    </row>
    <row r="69" spans="1:21" s="3" customFormat="1" ht="13" x14ac:dyDescent="0.3">
      <c r="B69" s="55"/>
      <c r="E69" s="179">
        <v>41883</v>
      </c>
      <c r="F69" s="179" t="s">
        <v>369</v>
      </c>
      <c r="G69" s="180" t="s">
        <v>92</v>
      </c>
      <c r="H69" s="460">
        <f t="shared" si="21"/>
        <v>1.225E-3</v>
      </c>
      <c r="I69" s="181">
        <f>(SUM('1.  LRAMVA Summary'!C$22:C$30)+SUM('1.  LRAMVA Summary'!C$31:C$32)*(MONTH($E69)-1)/12)*$H69</f>
        <v>19.158058875124468</v>
      </c>
      <c r="J69" s="181">
        <f>(SUM('1.  LRAMVA Summary'!D$22:D$30)+SUM('1.  LRAMVA Summary'!D$31:D$32)*(MONTH($E69)-1)/12)*$H69</f>
        <v>27.801379380785541</v>
      </c>
      <c r="K69" s="181">
        <f>(SUM('1.  LRAMVA Summary'!E$22:E$30)+SUM('1.  LRAMVA Summary'!E$31:E$32)*(MONTH($E69)-1)/12)*$H69</f>
        <v>115.50599681459683</v>
      </c>
      <c r="L69" s="181">
        <f>(SUM('1.  LRAMVA Summary'!F$22:F$30)+SUM('1.  LRAMVA Summary'!F$31:F$32)*(MONTH($E69)-1)/12)*$H69</f>
        <v>150.1325544097478</v>
      </c>
      <c r="M69" s="181">
        <f>(SUM('1.  LRAMVA Summary'!G$22:G$30)+SUM('1.  LRAMVA Summary'!G$31:G$32)*(MONTH($E69)-1)/12)*$H69</f>
        <v>0</v>
      </c>
      <c r="N69" s="181">
        <f>(SUM('1.  LRAMVA Summary'!H$22:H$30)+SUM('1.  LRAMVA Summary'!H$31:H$32)*(MONTH($E69)-1)/12)*$H69</f>
        <v>0</v>
      </c>
      <c r="O69" s="181">
        <f>(SUM('1.  LRAMVA Summary'!I$22:I$30)+SUM('1.  LRAMVA Summary'!I$31:I$32)*(MONTH($E69)-1)/12)*$H69</f>
        <v>-0.46132501157817268</v>
      </c>
      <c r="P69" s="539">
        <f>(SUM('1.  LRAMVA Summary'!J$22:J$30)+SUM('1.  LRAMVA Summary'!J$31:J$32)*(MONTH($E69)-1)/12)*$H69</f>
        <v>150.96747755370819</v>
      </c>
      <c r="Q69" s="182">
        <f t="shared" si="18"/>
        <v>463.10414202238462</v>
      </c>
    </row>
    <row r="70" spans="1:21" s="3" customFormat="1" ht="13" x14ac:dyDescent="0.3">
      <c r="B70" s="55"/>
      <c r="E70" s="179">
        <v>41913</v>
      </c>
      <c r="F70" s="179" t="s">
        <v>369</v>
      </c>
      <c r="G70" s="180" t="s">
        <v>93</v>
      </c>
      <c r="H70" s="461">
        <f>C$31/12</f>
        <v>1.225E-3</v>
      </c>
      <c r="I70" s="181">
        <f>(SUM('1.  LRAMVA Summary'!C$22:C$30)+SUM('1.  LRAMVA Summary'!C$31:C$32)*(MONTH($E70)-1)/12)*$H70</f>
        <v>22.308506940252862</v>
      </c>
      <c r="J70" s="181">
        <f>(SUM('1.  LRAMVA Summary'!D$22:D$30)+SUM('1.  LRAMVA Summary'!D$31:D$32)*(MONTH($E70)-1)/12)*$H70</f>
        <v>30.752976259517268</v>
      </c>
      <c r="K70" s="181">
        <f>(SUM('1.  LRAMVA Summary'!E$22:E$30)+SUM('1.  LRAMVA Summary'!E$31:E$32)*(MONTH($E70)-1)/12)*$H70</f>
        <v>122.82285843387348</v>
      </c>
      <c r="L70" s="181">
        <f>(SUM('1.  LRAMVA Summary'!F$22:F$30)+SUM('1.  LRAMVA Summary'!F$31:F$32)*(MONTH($E70)-1)/12)*$H70</f>
        <v>160.6851004507038</v>
      </c>
      <c r="M70" s="181">
        <f>(SUM('1.  LRAMVA Summary'!G$22:G$30)+SUM('1.  LRAMVA Summary'!G$31:G$32)*(MONTH($E70)-1)/12)*$H70</f>
        <v>0</v>
      </c>
      <c r="N70" s="181">
        <f>(SUM('1.  LRAMVA Summary'!H$22:H$30)+SUM('1.  LRAMVA Summary'!H$31:H$32)*(MONTH($E70)-1)/12)*$H70</f>
        <v>0</v>
      </c>
      <c r="O70" s="181">
        <f>(SUM('1.  LRAMVA Summary'!I$22:I$30)+SUM('1.  LRAMVA Summary'!I$31:I$32)*(MONTH($E70)-1)/12)*$H70</f>
        <v>-0.51899063802544421</v>
      </c>
      <c r="P70" s="539">
        <f>(SUM('1.  LRAMVA Summary'!J$22:J$30)+SUM('1.  LRAMVA Summary'!J$31:J$32)*(MONTH($E70)-1)/12)*$H70</f>
        <v>165.17974125869006</v>
      </c>
      <c r="Q70" s="182">
        <f t="shared" si="18"/>
        <v>501.23019270501203</v>
      </c>
    </row>
    <row r="71" spans="1:21" s="3" customFormat="1" ht="13" x14ac:dyDescent="0.3">
      <c r="B71" s="55"/>
      <c r="E71" s="179">
        <v>41944</v>
      </c>
      <c r="F71" s="179" t="s">
        <v>369</v>
      </c>
      <c r="G71" s="180" t="s">
        <v>93</v>
      </c>
      <c r="H71" s="460">
        <f t="shared" ref="H71:H72" si="22">C$31/12</f>
        <v>1.225E-3</v>
      </c>
      <c r="I71" s="181">
        <f>(SUM('1.  LRAMVA Summary'!C$22:C$30)+SUM('1.  LRAMVA Summary'!C$31:C$32)*(MONTH($E71)-1)/12)*$H71</f>
        <v>25.458955005381259</v>
      </c>
      <c r="J71" s="181">
        <f>(SUM('1.  LRAMVA Summary'!D$22:D$30)+SUM('1.  LRAMVA Summary'!D$31:D$32)*(MONTH($E71)-1)/12)*$H71</f>
        <v>33.704573138248996</v>
      </c>
      <c r="K71" s="181">
        <f>(SUM('1.  LRAMVA Summary'!E$22:E$30)+SUM('1.  LRAMVA Summary'!E$31:E$32)*(MONTH($E71)-1)/12)*$H71</f>
        <v>130.13972005315014</v>
      </c>
      <c r="L71" s="181">
        <f>(SUM('1.  LRAMVA Summary'!F$22:F$30)+SUM('1.  LRAMVA Summary'!F$31:F$32)*(MONTH($E71)-1)/12)*$H71</f>
        <v>171.2376464916598</v>
      </c>
      <c r="M71" s="181">
        <f>(SUM('1.  LRAMVA Summary'!G$22:G$30)+SUM('1.  LRAMVA Summary'!G$31:G$32)*(MONTH($E71)-1)/12)*$H71</f>
        <v>0</v>
      </c>
      <c r="N71" s="181">
        <f>(SUM('1.  LRAMVA Summary'!H$22:H$30)+SUM('1.  LRAMVA Summary'!H$31:H$32)*(MONTH($E71)-1)/12)*$H71</f>
        <v>0</v>
      </c>
      <c r="O71" s="181">
        <f>(SUM('1.  LRAMVA Summary'!I$22:I$30)+SUM('1.  LRAMVA Summary'!I$31:I$32)*(MONTH($E71)-1)/12)*$H71</f>
        <v>-0.57665626447271578</v>
      </c>
      <c r="P71" s="539">
        <f>(SUM('1.  LRAMVA Summary'!J$22:J$30)+SUM('1.  LRAMVA Summary'!J$31:J$32)*(MONTH($E71)-1)/12)*$H71</f>
        <v>179.39200496367198</v>
      </c>
      <c r="Q71" s="182">
        <f t="shared" si="18"/>
        <v>539.35624338763944</v>
      </c>
    </row>
    <row r="72" spans="1:21" s="3" customFormat="1" ht="13" x14ac:dyDescent="0.3">
      <c r="B72" s="55"/>
      <c r="E72" s="179">
        <v>41974</v>
      </c>
      <c r="F72" s="179" t="s">
        <v>369</v>
      </c>
      <c r="G72" s="180" t="s">
        <v>93</v>
      </c>
      <c r="H72" s="460">
        <f t="shared" si="22"/>
        <v>1.225E-3</v>
      </c>
      <c r="I72" s="181">
        <f>(SUM('1.  LRAMVA Summary'!C$22:C$30)+SUM('1.  LRAMVA Summary'!C$31:C$32)*(MONTH($E72)-1)/12)*$H72</f>
        <v>28.609403070509654</v>
      </c>
      <c r="J72" s="181">
        <f>(SUM('1.  LRAMVA Summary'!D$22:D$30)+SUM('1.  LRAMVA Summary'!D$31:D$32)*(MONTH($E72)-1)/12)*$H72</f>
        <v>36.656170016980724</v>
      </c>
      <c r="K72" s="181">
        <f>(SUM('1.  LRAMVA Summary'!E$22:E$30)+SUM('1.  LRAMVA Summary'!E$31:E$32)*(MONTH($E72)-1)/12)*$H72</f>
        <v>137.45658167242684</v>
      </c>
      <c r="L72" s="181">
        <f>(SUM('1.  LRAMVA Summary'!F$22:F$30)+SUM('1.  LRAMVA Summary'!F$31:F$32)*(MONTH($E72)-1)/12)*$H72</f>
        <v>181.79019253261583</v>
      </c>
      <c r="M72" s="181">
        <f>(SUM('1.  LRAMVA Summary'!G$22:G$30)+SUM('1.  LRAMVA Summary'!G$31:G$32)*(MONTH($E72)-1)/12)*$H72</f>
        <v>0</v>
      </c>
      <c r="N72" s="181">
        <f>(SUM('1.  LRAMVA Summary'!H$22:H$30)+SUM('1.  LRAMVA Summary'!H$31:H$32)*(MONTH($E72)-1)/12)*$H72</f>
        <v>0</v>
      </c>
      <c r="O72" s="181">
        <f>(SUM('1.  LRAMVA Summary'!I$22:I$30)+SUM('1.  LRAMVA Summary'!I$31:I$32)*(MONTH($E72)-1)/12)*$H72</f>
        <v>-0.63432189091998747</v>
      </c>
      <c r="P72" s="539">
        <f>(SUM('1.  LRAMVA Summary'!J$22:J$30)+SUM('1.  LRAMVA Summary'!J$31:J$32)*(MONTH($E72)-1)/12)*$H72</f>
        <v>193.60426866865387</v>
      </c>
      <c r="Q72" s="182">
        <f t="shared" si="18"/>
        <v>577.4822940702669</v>
      </c>
    </row>
    <row r="73" spans="1:21" s="3" customFormat="1" ht="13.5" thickBot="1" x14ac:dyDescent="0.35">
      <c r="B73" s="55"/>
      <c r="E73" s="191" t="s">
        <v>395</v>
      </c>
      <c r="F73" s="191"/>
      <c r="G73" s="192"/>
      <c r="H73" s="457"/>
      <c r="I73" s="193">
        <f>SUM(I60:I72)</f>
        <v>40.183637668902875</v>
      </c>
      <c r="J73" s="193">
        <f t="shared" ref="J73" si="23">SUM(J60:J72)</f>
        <v>479.36053880405223</v>
      </c>
      <c r="K73" s="193">
        <f t="shared" ref="K73" si="24">SUM(K60:K72)</f>
        <v>2370.6224674261293</v>
      </c>
      <c r="L73" s="193">
        <f t="shared" ref="L73" si="25">SUM(L60:L72)</f>
        <v>2875.7549810995652</v>
      </c>
      <c r="M73" s="193">
        <f t="shared" ref="M73" si="26">SUM(M60:M72)</f>
        <v>0</v>
      </c>
      <c r="N73" s="193">
        <f t="shared" ref="N73" si="27">SUM(N60:N72)</f>
        <v>0</v>
      </c>
      <c r="O73" s="193">
        <f t="shared" ref="O73" si="28">SUM(O60:O72)</f>
        <v>-11.19685045657641</v>
      </c>
      <c r="P73" s="193">
        <f t="shared" ref="P73" si="29">SUM(P60:P72)</f>
        <v>2897.0953873487629</v>
      </c>
      <c r="Q73" s="193">
        <f>SUM(Q60:Q72)</f>
        <v>8651.8201618908352</v>
      </c>
    </row>
    <row r="74" spans="1:21" s="3" customFormat="1" ht="13.5" thickTop="1" x14ac:dyDescent="0.3">
      <c r="B74" s="55"/>
      <c r="E74" s="220" t="s">
        <v>91</v>
      </c>
      <c r="F74" s="220"/>
      <c r="G74" s="221"/>
      <c r="H74" s="458"/>
      <c r="I74" s="222"/>
      <c r="J74" s="222"/>
      <c r="K74" s="222"/>
      <c r="L74" s="222"/>
      <c r="M74" s="222"/>
      <c r="N74" s="222"/>
      <c r="O74" s="222"/>
      <c r="P74" s="222"/>
      <c r="Q74" s="223"/>
    </row>
    <row r="75" spans="1:21" s="3" customFormat="1" ht="13" x14ac:dyDescent="0.3">
      <c r="B75" s="55"/>
      <c r="E75" s="188" t="s">
        <v>390</v>
      </c>
      <c r="F75" s="188"/>
      <c r="G75" s="189"/>
      <c r="H75" s="459"/>
      <c r="I75" s="190">
        <f t="shared" ref="I75:Q75" si="30">I73+I74</f>
        <v>40.183637668902875</v>
      </c>
      <c r="J75" s="190">
        <f t="shared" si="30"/>
        <v>479.36053880405223</v>
      </c>
      <c r="K75" s="190">
        <f t="shared" si="30"/>
        <v>2370.6224674261293</v>
      </c>
      <c r="L75" s="190">
        <f t="shared" si="30"/>
        <v>2875.7549810995652</v>
      </c>
      <c r="M75" s="190">
        <f t="shared" si="30"/>
        <v>0</v>
      </c>
      <c r="N75" s="190">
        <f t="shared" si="30"/>
        <v>0</v>
      </c>
      <c r="O75" s="190">
        <f t="shared" si="30"/>
        <v>-11.19685045657641</v>
      </c>
      <c r="P75" s="190">
        <f t="shared" si="30"/>
        <v>2897.0953873487629</v>
      </c>
      <c r="Q75" s="190">
        <f t="shared" si="30"/>
        <v>8651.8201618908352</v>
      </c>
    </row>
    <row r="76" spans="1:21" s="3" customFormat="1" ht="13" x14ac:dyDescent="0.3">
      <c r="B76" s="55"/>
      <c r="E76" s="179">
        <v>42005</v>
      </c>
      <c r="F76" s="179" t="s">
        <v>370</v>
      </c>
      <c r="G76" s="180" t="s">
        <v>89</v>
      </c>
      <c r="H76" s="460">
        <f>C$32/12</f>
        <v>1.225E-3</v>
      </c>
      <c r="I76" s="181">
        <f>(SUM('1.  LRAMVA Summary'!C$22:C$33)+SUM('1.  LRAMVA Summary'!C$34:C$35)*(MONTH($E76)-1)/12)*$H76</f>
        <v>31.759851135638037</v>
      </c>
      <c r="J76" s="181">
        <f>(SUM('1.  LRAMVA Summary'!D$22:D$33)+SUM('1.  LRAMVA Summary'!D$34:D$35)*(MONTH($E76)-1)/12)*$H76</f>
        <v>39.607766895712444</v>
      </c>
      <c r="K76" s="181">
        <f>(SUM('1.  LRAMVA Summary'!E$22:E$33)+SUM('1.  LRAMVA Summary'!E$34:E$35)*(MONTH($E76)-1)/12)*$H76</f>
        <v>144.77344329170347</v>
      </c>
      <c r="L76" s="181">
        <f>(SUM('1.  LRAMVA Summary'!F$22:F$33)+SUM('1.  LRAMVA Summary'!F$34:F$35)*(MONTH($E76)-1)/12)*$H76</f>
        <v>192.34273857357186</v>
      </c>
      <c r="M76" s="181">
        <f>(SUM('1.  LRAMVA Summary'!G$22:G$33)+SUM('1.  LRAMVA Summary'!G$34:G$35)*(MONTH($E76)-1)/12)*$H76</f>
        <v>0</v>
      </c>
      <c r="N76" s="181">
        <f>(SUM('1.  LRAMVA Summary'!H$22:H$33)+SUM('1.  LRAMVA Summary'!H$34:H$35)*(MONTH($E76)-1)/12)*$H76</f>
        <v>0</v>
      </c>
      <c r="O76" s="181">
        <f>(SUM('1.  LRAMVA Summary'!I$22:I$33)+SUM('1.  LRAMVA Summary'!I$34:I$35)*(MONTH($E76)-1)/12)*$H76</f>
        <v>-0.69198751736725861</v>
      </c>
      <c r="P76" s="539">
        <f>(SUM('1.  LRAMVA Summary'!J$22:J$33)+SUM('1.  LRAMVA Summary'!J$34:J$35)*(MONTH($E76)-1)/12)*$H76</f>
        <v>207.81653237363577</v>
      </c>
      <c r="Q76" s="182">
        <f>SUM(I76:P76)</f>
        <v>615.60834475289425</v>
      </c>
    </row>
    <row r="77" spans="1:21" s="15" customFormat="1" ht="13" x14ac:dyDescent="0.3">
      <c r="B77" s="211"/>
      <c r="E77" s="179">
        <v>42036</v>
      </c>
      <c r="F77" s="179" t="s">
        <v>370</v>
      </c>
      <c r="G77" s="180" t="s">
        <v>89</v>
      </c>
      <c r="H77" s="460">
        <v>1.225E-3</v>
      </c>
      <c r="I77" s="181">
        <f>(SUM('1.  LRAMVA Summary'!C$22:C$33)+SUM('1.  LRAMVA Summary'!C$34:C$35)*(MONTH($E77)-1)/12)*$H77</f>
        <v>39.465552779304822</v>
      </c>
      <c r="J77" s="181">
        <f>(SUM('1.  LRAMVA Summary'!D$22:D$33)+SUM('1.  LRAMVA Summary'!D$34:D$35)*(MONTH($E77)-1)/12)*$H77</f>
        <v>44.312493071733059</v>
      </c>
      <c r="K77" s="181">
        <f>(SUM('1.  LRAMVA Summary'!E$22:E$33)+SUM('1.  LRAMVA Summary'!E$34:E$35)*(MONTH($E77)-1)/12)*$H77</f>
        <v>150.82725268277215</v>
      </c>
      <c r="L77" s="181">
        <f>(SUM('1.  LRAMVA Summary'!F$22:F$33)+SUM('1.  LRAMVA Summary'!F$34:F$35)*(MONTH($E77)-1)/12)*$H77</f>
        <v>202.70246098363728</v>
      </c>
      <c r="M77" s="181">
        <f>(SUM('1.  LRAMVA Summary'!G$22:G$33)+SUM('1.  LRAMVA Summary'!G$34:G$35)*(MONTH($E77)-1)/12)*$H77</f>
        <v>0</v>
      </c>
      <c r="N77" s="181">
        <f>(SUM('1.  LRAMVA Summary'!H$22:H$33)+SUM('1.  LRAMVA Summary'!H$34:H$35)*(MONTH($E77)-1)/12)*$H77</f>
        <v>0</v>
      </c>
      <c r="O77" s="181">
        <f>(SUM('1.  LRAMVA Summary'!I$22:I$33)+SUM('1.  LRAMVA Summary'!I$34:I$35)*(MONTH($E77)-1)/12)*$H77</f>
        <v>-0.75030107220157816</v>
      </c>
      <c r="P77" s="539">
        <f>(SUM('1.  LRAMVA Summary'!J$22:J$33)+SUM('1.  LRAMVA Summary'!J$34:J$35)*(MONTH($E77)-1)/12)*$H77</f>
        <v>246.26482429523804</v>
      </c>
      <c r="Q77" s="182">
        <f>SUM(I77:P77)</f>
        <v>682.82228274048384</v>
      </c>
    </row>
    <row r="78" spans="1:21" s="3" customFormat="1" ht="13" x14ac:dyDescent="0.3">
      <c r="B78" s="55"/>
      <c r="E78" s="179">
        <v>42064</v>
      </c>
      <c r="F78" s="179" t="s">
        <v>370</v>
      </c>
      <c r="G78" s="180" t="s">
        <v>89</v>
      </c>
      <c r="H78" s="460">
        <v>1.225E-3</v>
      </c>
      <c r="I78" s="181">
        <f>(SUM('1.  LRAMVA Summary'!C$22:C$33)+SUM('1.  LRAMVA Summary'!C$34:C$35)*(MONTH($E78)-1)/12)*$H78</f>
        <v>47.171254422971607</v>
      </c>
      <c r="J78" s="181">
        <f>(SUM('1.  LRAMVA Summary'!D$22:D$33)+SUM('1.  LRAMVA Summary'!D$34:D$35)*(MONTH($E78)-1)/12)*$H78</f>
        <v>49.01721924775368</v>
      </c>
      <c r="K78" s="181">
        <f>(SUM('1.  LRAMVA Summary'!E$22:E$33)+SUM('1.  LRAMVA Summary'!E$34:E$35)*(MONTH($E78)-1)/12)*$H78</f>
        <v>156.88106207384081</v>
      </c>
      <c r="L78" s="181">
        <f>(SUM('1.  LRAMVA Summary'!F$22:F$33)+SUM('1.  LRAMVA Summary'!F$34:F$35)*(MONTH($E78)-1)/12)*$H78</f>
        <v>213.06218339370264</v>
      </c>
      <c r="M78" s="181">
        <f>(SUM('1.  LRAMVA Summary'!G$22:G$33)+SUM('1.  LRAMVA Summary'!G$34:G$35)*(MONTH($E78)-1)/12)*$H78</f>
        <v>0</v>
      </c>
      <c r="N78" s="181">
        <f>(SUM('1.  LRAMVA Summary'!H$22:H$33)+SUM('1.  LRAMVA Summary'!H$34:H$35)*(MONTH($E78)-1)/12)*$H78</f>
        <v>0</v>
      </c>
      <c r="O78" s="181">
        <f>(SUM('1.  LRAMVA Summary'!I$22:I$33)+SUM('1.  LRAMVA Summary'!I$34:I$35)*(MONTH($E78)-1)/12)*$H78</f>
        <v>-0.80861462703589781</v>
      </c>
      <c r="P78" s="539">
        <f>(SUM('1.  LRAMVA Summary'!J$22:J$33)+SUM('1.  LRAMVA Summary'!J$34:J$35)*(MONTH($E78)-1)/12)*$H78</f>
        <v>284.71311621684032</v>
      </c>
      <c r="Q78" s="182">
        <f>SUM(I78:P78)</f>
        <v>750.0362207280732</v>
      </c>
    </row>
    <row r="79" spans="1:21" s="3" customFormat="1" ht="13" x14ac:dyDescent="0.3">
      <c r="B79" s="55"/>
      <c r="E79" s="179">
        <v>42095</v>
      </c>
      <c r="F79" s="179" t="s">
        <v>370</v>
      </c>
      <c r="G79" s="180" t="s">
        <v>90</v>
      </c>
      <c r="H79" s="460">
        <f>C$33/12</f>
        <v>9.1666666666666665E-4</v>
      </c>
      <c r="I79" s="181">
        <f>(SUM('1.  LRAMVA Summary'!C$22:C$33)+SUM('1.  LRAMVA Summary'!C$34:C$35)*(MONTH($E79)-1)/12)*$H79</f>
        <v>41.064388893402878</v>
      </c>
      <c r="J79" s="181">
        <f>(SUM('1.  LRAMVA Summary'!D$22:D$33)+SUM('1.  LRAMVA Summary'!D$34:D$35)*(MONTH($E79)-1)/12)*$H79</f>
        <v>40.200095215069197</v>
      </c>
      <c r="K79" s="181">
        <f>(SUM('1.  LRAMVA Summary'!E$22:E$33)+SUM('1.  LRAMVA Summary'!E$34:E$35)*(MONTH($E79)-1)/12)*$H79</f>
        <v>121.92405347714316</v>
      </c>
      <c r="L79" s="181">
        <f>(SUM('1.  LRAMVA Summary'!F$22:F$33)+SUM('1.  LRAMVA Summary'!F$34:F$35)*(MONTH($E79)-1)/12)*$H79</f>
        <v>167.18646012526861</v>
      </c>
      <c r="M79" s="181">
        <f>(SUM('1.  LRAMVA Summary'!G$22:G$33)+SUM('1.  LRAMVA Summary'!G$34:G$35)*(MONTH($E79)-1)/12)*$H79</f>
        <v>0</v>
      </c>
      <c r="N79" s="181">
        <f>(SUM('1.  LRAMVA Summary'!H$22:H$33)+SUM('1.  LRAMVA Summary'!H$34:H$35)*(MONTH($E79)-1)/12)*$H79</f>
        <v>0</v>
      </c>
      <c r="O79" s="181">
        <f>(SUM('1.  LRAMVA Summary'!I$22:I$33)+SUM('1.  LRAMVA Summary'!I$34:I$35)*(MONTH($E79)-1)/12)*$H79</f>
        <v>-0.64872176874642107</v>
      </c>
      <c r="P79" s="539">
        <f>(SUM('1.  LRAMVA Summary'!J$22:J$33)+SUM('1.  LRAMVA Summary'!J$34:J$35)*(MONTH($E79)-1)/12)*$H79</f>
        <v>241.82146187230398</v>
      </c>
      <c r="Q79" s="182">
        <f>SUM(I79:P79)</f>
        <v>611.54773781444135</v>
      </c>
    </row>
    <row r="80" spans="1:21" s="3" customFormat="1" ht="13" x14ac:dyDescent="0.3">
      <c r="B80" s="55"/>
      <c r="E80" s="179">
        <v>42125</v>
      </c>
      <c r="F80" s="179" t="s">
        <v>370</v>
      </c>
      <c r="G80" s="180" t="s">
        <v>90</v>
      </c>
      <c r="H80" s="460">
        <v>9.1666666666666665E-4</v>
      </c>
      <c r="I80" s="181">
        <f>(SUM('1.  LRAMVA Summary'!C$22:C$33)+SUM('1.  LRAMVA Summary'!C$34:C$35)*(MONTH($E80)-1)/12)*$H80</f>
        <v>46.830560191384819</v>
      </c>
      <c r="J80" s="181">
        <f>(SUM('1.  LRAMVA Summary'!D$22:D$33)+SUM('1.  LRAMVA Summary'!D$34:D$35)*(MONTH($E80)-1)/12)*$H80</f>
        <v>43.720638612091427</v>
      </c>
      <c r="K80" s="181">
        <f>(SUM('1.  LRAMVA Summary'!E$22:E$33)+SUM('1.  LRAMVA Summary'!E$34:E$35)*(MONTH($E80)-1)/12)*$H80</f>
        <v>126.45411492624216</v>
      </c>
      <c r="L80" s="181">
        <f>(SUM('1.  LRAMVA Summary'!F$22:F$33)+SUM('1.  LRAMVA Summary'!F$34:F$35)*(MONTH($E80)-1)/12)*$H80</f>
        <v>174.93863335729031</v>
      </c>
      <c r="M80" s="181">
        <f>(SUM('1.  LRAMVA Summary'!G$22:G$33)+SUM('1.  LRAMVA Summary'!G$34:G$35)*(MONTH($E80)-1)/12)*$H80</f>
        <v>0</v>
      </c>
      <c r="N80" s="181">
        <f>(SUM('1.  LRAMVA Summary'!H$22:H$33)+SUM('1.  LRAMVA Summary'!H$34:H$35)*(MONTH($E80)-1)/12)*$H80</f>
        <v>0</v>
      </c>
      <c r="O80" s="181">
        <f>(SUM('1.  LRAMVA Summary'!I$22:I$33)+SUM('1.  LRAMVA Summary'!I$34:I$35)*(MONTH($E80)-1)/12)*$H80</f>
        <v>-0.69235776215985756</v>
      </c>
      <c r="P80" s="539">
        <f>(SUM('1.  LRAMVA Summary'!J$22:J$33)+SUM('1.  LRAMVA Summary'!J$34:J$35)*(MONTH($E80)-1)/12)*$H80</f>
        <v>270.59229256193828</v>
      </c>
      <c r="Q80" s="182">
        <f t="shared" ref="Q80:Q87" si="31">SUM(I80:P80)</f>
        <v>661.84388188678713</v>
      </c>
    </row>
    <row r="81" spans="2:17" s="3" customFormat="1" ht="13" x14ac:dyDescent="0.3">
      <c r="B81" s="55"/>
      <c r="E81" s="179">
        <v>42156</v>
      </c>
      <c r="F81" s="179" t="s">
        <v>370</v>
      </c>
      <c r="G81" s="180" t="s">
        <v>90</v>
      </c>
      <c r="H81" s="460">
        <v>9.1666666666666665E-4</v>
      </c>
      <c r="I81" s="181">
        <f>(SUM('1.  LRAMVA Summary'!C$22:C$33)+SUM('1.  LRAMVA Summary'!C$34:C$35)*(MONTH($E81)-1)/12)*$H81</f>
        <v>52.596731489366782</v>
      </c>
      <c r="J81" s="181">
        <f>(SUM('1.  LRAMVA Summary'!D$22:D$33)+SUM('1.  LRAMVA Summary'!D$34:D$35)*(MONTH($E81)-1)/12)*$H81</f>
        <v>47.241182009113651</v>
      </c>
      <c r="K81" s="181">
        <f>(SUM('1.  LRAMVA Summary'!E$22:E$33)+SUM('1.  LRAMVA Summary'!E$34:E$35)*(MONTH($E81)-1)/12)*$H81</f>
        <v>130.98417637534118</v>
      </c>
      <c r="L81" s="181">
        <f>(SUM('1.  LRAMVA Summary'!F$22:F$33)+SUM('1.  LRAMVA Summary'!F$34:F$35)*(MONTH($E81)-1)/12)*$H81</f>
        <v>182.69080658931205</v>
      </c>
      <c r="M81" s="181">
        <f>(SUM('1.  LRAMVA Summary'!G$22:G$33)+SUM('1.  LRAMVA Summary'!G$34:G$35)*(MONTH($E81)-1)/12)*$H81</f>
        <v>0</v>
      </c>
      <c r="N81" s="181">
        <f>(SUM('1.  LRAMVA Summary'!H$22:H$33)+SUM('1.  LRAMVA Summary'!H$34:H$35)*(MONTH($E81)-1)/12)*$H81</f>
        <v>0</v>
      </c>
      <c r="O81" s="181">
        <f>(SUM('1.  LRAMVA Summary'!I$22:I$33)+SUM('1.  LRAMVA Summary'!I$34:I$35)*(MONTH($E81)-1)/12)*$H81</f>
        <v>-0.73599375557329394</v>
      </c>
      <c r="P81" s="539">
        <f>(SUM('1.  LRAMVA Summary'!J$22:J$33)+SUM('1.  LRAMVA Summary'!J$34:J$35)*(MONTH($E81)-1)/12)*$H81</f>
        <v>299.36312325157269</v>
      </c>
      <c r="Q81" s="182">
        <f t="shared" si="31"/>
        <v>712.14002595913303</v>
      </c>
    </row>
    <row r="82" spans="2:17" s="3" customFormat="1" ht="13" x14ac:dyDescent="0.3">
      <c r="B82" s="55"/>
      <c r="E82" s="179">
        <v>42186</v>
      </c>
      <c r="F82" s="179" t="s">
        <v>370</v>
      </c>
      <c r="G82" s="180" t="s">
        <v>92</v>
      </c>
      <c r="H82" s="460">
        <f>$C$34/12</f>
        <v>9.1666666666666665E-4</v>
      </c>
      <c r="I82" s="181">
        <f>(SUM('1.  LRAMVA Summary'!C$22:C$33)+SUM('1.  LRAMVA Summary'!C$34:C$35)*(MONTH($E82)-1)/12)*$H82</f>
        <v>58.362902787348723</v>
      </c>
      <c r="J82" s="181">
        <f>(SUM('1.  LRAMVA Summary'!D$22:D$33)+SUM('1.  LRAMVA Summary'!D$34:D$35)*(MONTH($E82)-1)/12)*$H82</f>
        <v>50.761725406135888</v>
      </c>
      <c r="K82" s="181">
        <f>(SUM('1.  LRAMVA Summary'!E$22:E$33)+SUM('1.  LRAMVA Summary'!E$34:E$35)*(MONTH($E82)-1)/12)*$H82</f>
        <v>135.51423782444019</v>
      </c>
      <c r="L82" s="181">
        <f>(SUM('1.  LRAMVA Summary'!F$22:F$33)+SUM('1.  LRAMVA Summary'!F$34:F$35)*(MONTH($E82)-1)/12)*$H82</f>
        <v>190.44297982133378</v>
      </c>
      <c r="M82" s="181">
        <f>(SUM('1.  LRAMVA Summary'!G$22:G$33)+SUM('1.  LRAMVA Summary'!G$34:G$35)*(MONTH($E82)-1)/12)*$H82</f>
        <v>0</v>
      </c>
      <c r="N82" s="181">
        <f>(SUM('1.  LRAMVA Summary'!H$22:H$33)+SUM('1.  LRAMVA Summary'!H$34:H$35)*(MONTH($E82)-1)/12)*$H82</f>
        <v>0</v>
      </c>
      <c r="O82" s="181">
        <f>(SUM('1.  LRAMVA Summary'!I$22:I$33)+SUM('1.  LRAMVA Summary'!I$34:I$35)*(MONTH($E82)-1)/12)*$H82</f>
        <v>-0.77962974898673043</v>
      </c>
      <c r="P82" s="539">
        <f>(SUM('1.  LRAMVA Summary'!J$22:J$33)+SUM('1.  LRAMVA Summary'!J$34:J$35)*(MONTH($E82)-1)/12)*$H82</f>
        <v>328.13395394120698</v>
      </c>
      <c r="Q82" s="182">
        <f t="shared" si="31"/>
        <v>762.43617003147881</v>
      </c>
    </row>
    <row r="83" spans="2:17" s="3" customFormat="1" ht="13" x14ac:dyDescent="0.3">
      <c r="B83" s="55"/>
      <c r="E83" s="179">
        <v>42217</v>
      </c>
      <c r="F83" s="179" t="s">
        <v>370</v>
      </c>
      <c r="G83" s="180" t="s">
        <v>92</v>
      </c>
      <c r="H83" s="460">
        <f t="shared" ref="H83:H84" si="32">$C$34/12</f>
        <v>9.1666666666666665E-4</v>
      </c>
      <c r="I83" s="181">
        <f>(SUM('1.  LRAMVA Summary'!C$22:C$33)+SUM('1.  LRAMVA Summary'!C$34:C$35)*(MONTH($E83)-1)/12)*$H83</f>
        <v>64.129074085330686</v>
      </c>
      <c r="J83" s="181">
        <f>(SUM('1.  LRAMVA Summary'!D$22:D$33)+SUM('1.  LRAMVA Summary'!D$34:D$35)*(MONTH($E83)-1)/12)*$H83</f>
        <v>54.282268803158111</v>
      </c>
      <c r="K83" s="181">
        <f>(SUM('1.  LRAMVA Summary'!E$22:E$33)+SUM('1.  LRAMVA Summary'!E$34:E$35)*(MONTH($E83)-1)/12)*$H83</f>
        <v>140.04429927353917</v>
      </c>
      <c r="L83" s="181">
        <f>(SUM('1.  LRAMVA Summary'!F$22:F$33)+SUM('1.  LRAMVA Summary'!F$34:F$35)*(MONTH($E83)-1)/12)*$H83</f>
        <v>198.19515305335545</v>
      </c>
      <c r="M83" s="181">
        <f>(SUM('1.  LRAMVA Summary'!G$22:G$33)+SUM('1.  LRAMVA Summary'!G$34:G$35)*(MONTH($E83)-1)/12)*$H83</f>
        <v>0</v>
      </c>
      <c r="N83" s="181">
        <f>(SUM('1.  LRAMVA Summary'!H$22:H$33)+SUM('1.  LRAMVA Summary'!H$34:H$35)*(MONTH($E83)-1)/12)*$H83</f>
        <v>0</v>
      </c>
      <c r="O83" s="181">
        <f>(SUM('1.  LRAMVA Summary'!I$22:I$33)+SUM('1.  LRAMVA Summary'!I$34:I$35)*(MONTH($E83)-1)/12)*$H83</f>
        <v>-0.82326574240016681</v>
      </c>
      <c r="P83" s="539">
        <f>(SUM('1.  LRAMVA Summary'!J$22:J$33)+SUM('1.  LRAMVA Summary'!J$34:J$35)*(MONTH($E83)-1)/12)*$H83</f>
        <v>356.90478463084133</v>
      </c>
      <c r="Q83" s="182">
        <f t="shared" si="31"/>
        <v>812.73231410382459</v>
      </c>
    </row>
    <row r="84" spans="2:17" s="3" customFormat="1" ht="13" x14ac:dyDescent="0.3">
      <c r="B84" s="55"/>
      <c r="E84" s="179">
        <v>42248</v>
      </c>
      <c r="F84" s="179" t="s">
        <v>370</v>
      </c>
      <c r="G84" s="180" t="s">
        <v>92</v>
      </c>
      <c r="H84" s="460">
        <f t="shared" si="32"/>
        <v>9.1666666666666665E-4</v>
      </c>
      <c r="I84" s="181">
        <f>(SUM('1.  LRAMVA Summary'!C$22:C$33)+SUM('1.  LRAMVA Summary'!C$34:C$35)*(MONTH($E84)-1)/12)*$H84</f>
        <v>69.895245383312613</v>
      </c>
      <c r="J84" s="181">
        <f>(SUM('1.  LRAMVA Summary'!D$22:D$33)+SUM('1.  LRAMVA Summary'!D$34:D$35)*(MONTH($E84)-1)/12)*$H84</f>
        <v>57.802812200180348</v>
      </c>
      <c r="K84" s="181">
        <f>(SUM('1.  LRAMVA Summary'!E$22:E$33)+SUM('1.  LRAMVA Summary'!E$34:E$35)*(MONTH($E84)-1)/12)*$H84</f>
        <v>144.5743607226382</v>
      </c>
      <c r="L84" s="181">
        <f>(SUM('1.  LRAMVA Summary'!F$22:F$33)+SUM('1.  LRAMVA Summary'!F$34:F$35)*(MONTH($E84)-1)/12)*$H84</f>
        <v>205.94732628537719</v>
      </c>
      <c r="M84" s="181">
        <f>(SUM('1.  LRAMVA Summary'!G$22:G$33)+SUM('1.  LRAMVA Summary'!G$34:G$35)*(MONTH($E84)-1)/12)*$H84</f>
        <v>0</v>
      </c>
      <c r="N84" s="181">
        <f>(SUM('1.  LRAMVA Summary'!H$22:H$33)+SUM('1.  LRAMVA Summary'!H$34:H$35)*(MONTH($E84)-1)/12)*$H84</f>
        <v>0</v>
      </c>
      <c r="O84" s="181">
        <f>(SUM('1.  LRAMVA Summary'!I$22:I$33)+SUM('1.  LRAMVA Summary'!I$34:I$35)*(MONTH($E84)-1)/12)*$H84</f>
        <v>-0.8669017358136033</v>
      </c>
      <c r="P84" s="539">
        <f>(SUM('1.  LRAMVA Summary'!J$22:J$33)+SUM('1.  LRAMVA Summary'!J$34:J$35)*(MONTH($E84)-1)/12)*$H84</f>
        <v>385.67561532047574</v>
      </c>
      <c r="Q84" s="182">
        <f t="shared" si="31"/>
        <v>863.02845817617049</v>
      </c>
    </row>
    <row r="85" spans="2:17" s="3" customFormat="1" ht="13" x14ac:dyDescent="0.3">
      <c r="B85" s="55"/>
      <c r="E85" s="179">
        <v>42278</v>
      </c>
      <c r="F85" s="179" t="s">
        <v>370</v>
      </c>
      <c r="G85" s="180" t="s">
        <v>93</v>
      </c>
      <c r="H85" s="460">
        <f>$C$35/12</f>
        <v>9.1666666666666665E-4</v>
      </c>
      <c r="I85" s="181">
        <f>(SUM('1.  LRAMVA Summary'!C$22:C$33)+SUM('1.  LRAMVA Summary'!C$34:C$35)*(MONTH($E85)-1)/12)*$H85</f>
        <v>75.661416681294568</v>
      </c>
      <c r="J85" s="181">
        <f>(SUM('1.  LRAMVA Summary'!D$22:D$33)+SUM('1.  LRAMVA Summary'!D$34:D$35)*(MONTH($E85)-1)/12)*$H85</f>
        <v>61.323355597202571</v>
      </c>
      <c r="K85" s="181">
        <f>(SUM('1.  LRAMVA Summary'!E$22:E$33)+SUM('1.  LRAMVA Summary'!E$34:E$35)*(MONTH($E85)-1)/12)*$H85</f>
        <v>149.10442217173718</v>
      </c>
      <c r="L85" s="181">
        <f>(SUM('1.  LRAMVA Summary'!F$22:F$33)+SUM('1.  LRAMVA Summary'!F$34:F$35)*(MONTH($E85)-1)/12)*$H85</f>
        <v>213.69949951739892</v>
      </c>
      <c r="M85" s="181">
        <f>(SUM('1.  LRAMVA Summary'!G$22:G$33)+SUM('1.  LRAMVA Summary'!G$34:G$35)*(MONTH($E85)-1)/12)*$H85</f>
        <v>0</v>
      </c>
      <c r="N85" s="181">
        <f>(SUM('1.  LRAMVA Summary'!H$22:H$33)+SUM('1.  LRAMVA Summary'!H$34:H$35)*(MONTH($E85)-1)/12)*$H85</f>
        <v>0</v>
      </c>
      <c r="O85" s="181">
        <f>(SUM('1.  LRAMVA Summary'!I$22:I$33)+SUM('1.  LRAMVA Summary'!I$34:I$35)*(MONTH($E85)-1)/12)*$H85</f>
        <v>-0.91053772922703968</v>
      </c>
      <c r="P85" s="539">
        <f>(SUM('1.  LRAMVA Summary'!J$22:J$33)+SUM('1.  LRAMVA Summary'!J$34:J$35)*(MONTH($E85)-1)/12)*$H85</f>
        <v>414.44644601011009</v>
      </c>
      <c r="Q85" s="182">
        <f t="shared" si="31"/>
        <v>913.32460224851638</v>
      </c>
    </row>
    <row r="86" spans="2:17" s="3" customFormat="1" ht="13" x14ac:dyDescent="0.3">
      <c r="B86" s="55"/>
      <c r="E86" s="179">
        <v>42309</v>
      </c>
      <c r="F86" s="179" t="s">
        <v>370</v>
      </c>
      <c r="G86" s="180" t="s">
        <v>93</v>
      </c>
      <c r="H86" s="460">
        <f t="shared" ref="H86:H87" si="33">$C$35/12</f>
        <v>9.1666666666666665E-4</v>
      </c>
      <c r="I86" s="181">
        <f>(SUM('1.  LRAMVA Summary'!C$22:C$33)+SUM('1.  LRAMVA Summary'!C$34:C$35)*(MONTH($E86)-1)/12)*$H86</f>
        <v>81.427587979276524</v>
      </c>
      <c r="J86" s="181">
        <f>(SUM('1.  LRAMVA Summary'!D$22:D$33)+SUM('1.  LRAMVA Summary'!D$34:D$35)*(MONTH($E86)-1)/12)*$H86</f>
        <v>64.843898994224816</v>
      </c>
      <c r="K86" s="181">
        <f>(SUM('1.  LRAMVA Summary'!E$22:E$33)+SUM('1.  LRAMVA Summary'!E$34:E$35)*(MONTH($E86)-1)/12)*$H86</f>
        <v>153.63448362083619</v>
      </c>
      <c r="L86" s="181">
        <f>(SUM('1.  LRAMVA Summary'!F$22:F$33)+SUM('1.  LRAMVA Summary'!F$34:F$35)*(MONTH($E86)-1)/12)*$H86</f>
        <v>221.45167274942062</v>
      </c>
      <c r="M86" s="181">
        <f>(SUM('1.  LRAMVA Summary'!G$22:G$33)+SUM('1.  LRAMVA Summary'!G$34:G$35)*(MONTH($E86)-1)/12)*$H86</f>
        <v>0</v>
      </c>
      <c r="N86" s="181">
        <f>(SUM('1.  LRAMVA Summary'!H$22:H$33)+SUM('1.  LRAMVA Summary'!H$34:H$35)*(MONTH($E86)-1)/12)*$H86</f>
        <v>0</v>
      </c>
      <c r="O86" s="181">
        <f>(SUM('1.  LRAMVA Summary'!I$22:I$33)+SUM('1.  LRAMVA Summary'!I$34:I$35)*(MONTH($E86)-1)/12)*$H86</f>
        <v>-0.95417372264047617</v>
      </c>
      <c r="P86" s="539">
        <f>(SUM('1.  LRAMVA Summary'!J$22:J$33)+SUM('1.  LRAMVA Summary'!J$34:J$35)*(MONTH($E86)-1)/12)*$H86</f>
        <v>443.21727669974439</v>
      </c>
      <c r="Q86" s="182">
        <f t="shared" si="31"/>
        <v>963.62074632086205</v>
      </c>
    </row>
    <row r="87" spans="2:17" s="3" customFormat="1" ht="13" x14ac:dyDescent="0.3">
      <c r="B87" s="55"/>
      <c r="E87" s="179">
        <v>42339</v>
      </c>
      <c r="F87" s="179" t="s">
        <v>370</v>
      </c>
      <c r="G87" s="180" t="s">
        <v>93</v>
      </c>
      <c r="H87" s="460">
        <f t="shared" si="33"/>
        <v>9.1666666666666665E-4</v>
      </c>
      <c r="I87" s="181">
        <f>(SUM('1.  LRAMVA Summary'!C$22:C$33)+SUM('1.  LRAMVA Summary'!C$34:C$35)*(MONTH($E87)-1)/12)*$H87</f>
        <v>87.193759277258465</v>
      </c>
      <c r="J87" s="181">
        <f>(SUM('1.  LRAMVA Summary'!D$22:D$33)+SUM('1.  LRAMVA Summary'!D$34:D$35)*(MONTH($E87)-1)/12)*$H87</f>
        <v>68.364442391247039</v>
      </c>
      <c r="K87" s="181">
        <f>(SUM('1.  LRAMVA Summary'!E$22:E$33)+SUM('1.  LRAMVA Summary'!E$34:E$35)*(MONTH($E87)-1)/12)*$H87</f>
        <v>158.16454506993523</v>
      </c>
      <c r="L87" s="181">
        <f>(SUM('1.  LRAMVA Summary'!F$22:F$33)+SUM('1.  LRAMVA Summary'!F$34:F$35)*(MONTH($E87)-1)/12)*$H87</f>
        <v>229.20384598144233</v>
      </c>
      <c r="M87" s="181">
        <f>(SUM('1.  LRAMVA Summary'!G$22:G$33)+SUM('1.  LRAMVA Summary'!G$34:G$35)*(MONTH($E87)-1)/12)*$H87</f>
        <v>0</v>
      </c>
      <c r="N87" s="181">
        <f>(SUM('1.  LRAMVA Summary'!H$22:H$33)+SUM('1.  LRAMVA Summary'!H$34:H$35)*(MONTH($E87)-1)/12)*$H87</f>
        <v>0</v>
      </c>
      <c r="O87" s="181">
        <f>(SUM('1.  LRAMVA Summary'!I$22:I$33)+SUM('1.  LRAMVA Summary'!I$34:I$35)*(MONTH($E87)-1)/12)*$H87</f>
        <v>-0.99780971605391255</v>
      </c>
      <c r="P87" s="539">
        <f>(SUM('1.  LRAMVA Summary'!J$22:J$33)+SUM('1.  LRAMVA Summary'!J$34:J$35)*(MONTH($E87)-1)/12)*$H87</f>
        <v>471.98810738937874</v>
      </c>
      <c r="Q87" s="182">
        <f t="shared" si="31"/>
        <v>1013.916890393208</v>
      </c>
    </row>
    <row r="88" spans="2:17" s="3" customFormat="1" ht="13.5" thickBot="1" x14ac:dyDescent="0.35">
      <c r="B88" s="55"/>
      <c r="E88" s="191" t="s">
        <v>396</v>
      </c>
      <c r="F88" s="191"/>
      <c r="G88" s="192"/>
      <c r="H88" s="457"/>
      <c r="I88" s="193">
        <f>SUM(I75:I87)</f>
        <v>735.74196277479336</v>
      </c>
      <c r="J88" s="193">
        <f>SUM(J75:J87)</f>
        <v>1100.8384372476744</v>
      </c>
      <c r="K88" s="193">
        <f t="shared" ref="K88:P88" si="34">SUM(K75:K87)</f>
        <v>4083.502918936299</v>
      </c>
      <c r="L88" s="193">
        <f t="shared" si="34"/>
        <v>5267.6187415306758</v>
      </c>
      <c r="M88" s="193">
        <f t="shared" si="34"/>
        <v>0</v>
      </c>
      <c r="N88" s="193">
        <f t="shared" si="34"/>
        <v>0</v>
      </c>
      <c r="O88" s="193">
        <f t="shared" si="34"/>
        <v>-20.857145354782649</v>
      </c>
      <c r="P88" s="193">
        <f t="shared" si="34"/>
        <v>6848.0329219120495</v>
      </c>
      <c r="Q88" s="193">
        <f>SUM(Q75:Q87)</f>
        <v>18014.877837046708</v>
      </c>
    </row>
    <row r="89" spans="2:17" s="3" customFormat="1" ht="13.5" thickTop="1" x14ac:dyDescent="0.3">
      <c r="B89" s="55"/>
      <c r="E89" s="220" t="s">
        <v>91</v>
      </c>
      <c r="F89" s="220"/>
      <c r="G89" s="221"/>
      <c r="H89" s="458"/>
      <c r="I89" s="222">
        <f>+'9. Guelph_Lost Revenue'!O58+'9. Guelph_Lost Revenue'!Q58</f>
        <v>135.60396122980245</v>
      </c>
      <c r="J89" s="222">
        <f>+'9. Guelph_Lost Revenue'!O59+'9. Guelph_Lost Revenue'!Q59</f>
        <v>1100.7195669450402</v>
      </c>
      <c r="K89" s="222">
        <f>+'9. Guelph_Lost Revenue'!O60+'9. Guelph_Lost Revenue'!Q60</f>
        <v>1969.7238395038737</v>
      </c>
      <c r="L89" s="222">
        <f>+'9. Guelph_Lost Revenue'!O61+'9. Guelph_Lost Revenue'!Q61</f>
        <v>1282.1760804152518</v>
      </c>
      <c r="M89" s="222">
        <f>+'9. Guelph_Lost Revenue'!O64+'9. Guelph_Lost Revenue'!Q64</f>
        <v>0</v>
      </c>
      <c r="N89" s="222">
        <f>+'9. Guelph_Lost Revenue'!O65+'9. Guelph_Lost Revenue'!Q65</f>
        <v>0</v>
      </c>
      <c r="O89" s="222">
        <f>+'9. Guelph_Lost Revenue'!O63+'9. Guelph_Lost Revenue'!Q63</f>
        <v>-51.937704327123157</v>
      </c>
      <c r="P89" s="222">
        <f>+'9. Guelph_Lost Revenue'!O62+'9. Guelph_Lost Revenue'!Q62</f>
        <v>9243.9027478279804</v>
      </c>
      <c r="Q89" s="223">
        <f>SUM(I89:P89)</f>
        <v>13680.188491594825</v>
      </c>
    </row>
    <row r="90" spans="2:17" s="3" customFormat="1" ht="13" hidden="1" x14ac:dyDescent="0.3">
      <c r="B90" s="55"/>
      <c r="E90" s="188" t="s">
        <v>391</v>
      </c>
      <c r="F90" s="188"/>
      <c r="G90" s="189"/>
      <c r="H90" s="459"/>
      <c r="I90" s="190">
        <f>I88+I89</f>
        <v>871.34592400459587</v>
      </c>
      <c r="J90" s="190">
        <f t="shared" ref="J90" si="35">J88+J89</f>
        <v>2201.5580041927146</v>
      </c>
      <c r="K90" s="190">
        <f t="shared" ref="K90" si="36">K88+K89</f>
        <v>6053.2267584401725</v>
      </c>
      <c r="L90" s="190">
        <f t="shared" ref="L90" si="37">L88+L89</f>
        <v>6549.7948219459277</v>
      </c>
      <c r="M90" s="190">
        <f t="shared" ref="M90" si="38">M88+M89</f>
        <v>0</v>
      </c>
      <c r="N90" s="190">
        <f t="shared" ref="N90" si="39">N88+N89</f>
        <v>0</v>
      </c>
      <c r="O90" s="190">
        <f t="shared" ref="O90" si="40">O88+O89</f>
        <v>-72.794849681905802</v>
      </c>
      <c r="P90" s="190">
        <f t="shared" ref="P90" si="41">P88+P89</f>
        <v>16091.935669740029</v>
      </c>
      <c r="Q90" s="190">
        <f t="shared" ref="Q90" si="42">Q88+Q89</f>
        <v>31695.066328641533</v>
      </c>
    </row>
    <row r="91" spans="2:17" s="3" customFormat="1" ht="13" hidden="1" x14ac:dyDescent="0.3">
      <c r="B91" s="55"/>
      <c r="E91" s="179">
        <v>42370</v>
      </c>
      <c r="F91" s="179" t="s">
        <v>375</v>
      </c>
      <c r="G91" s="180" t="s">
        <v>89</v>
      </c>
      <c r="H91" s="460">
        <f>$C$36/12</f>
        <v>9.1666666666666665E-4</v>
      </c>
      <c r="I91" s="181" t="e">
        <f>(SUM('1.  LRAMVA Summary'!C$22:C$36)+SUM('1.  LRAMVA Summary'!#REF!)*(MONTH($E91)-1)/12)*$H91</f>
        <v>#REF!</v>
      </c>
      <c r="J91" s="181" t="e">
        <f>(SUM('1.  LRAMVA Summary'!D$22:D$36)+SUM('1.  LRAMVA Summary'!#REF!)*(MONTH($E91)-1)/12)*$H91</f>
        <v>#REF!</v>
      </c>
      <c r="K91" s="181" t="e">
        <f>(SUM('1.  LRAMVA Summary'!E$22:E$36)+SUM('1.  LRAMVA Summary'!#REF!)*(MONTH($E91)-1)/12)*$H91</f>
        <v>#REF!</v>
      </c>
      <c r="L91" s="181" t="e">
        <f>(SUM('1.  LRAMVA Summary'!F$22:F$36)+SUM('1.  LRAMVA Summary'!#REF!)*(MONTH($E91)-1)/12)*$H91</f>
        <v>#REF!</v>
      </c>
      <c r="M91" s="181" t="e">
        <f>(SUM('1.  LRAMVA Summary'!G$22:G$36)+SUM('1.  LRAMVA Summary'!#REF!)*(MONTH($E91)-1)/12)*$H91</f>
        <v>#REF!</v>
      </c>
      <c r="N91" s="181" t="e">
        <f>(SUM('1.  LRAMVA Summary'!H$22:H$36)+SUM('1.  LRAMVA Summary'!#REF!)*(MONTH($E91)-1)/12)*$H91</f>
        <v>#REF!</v>
      </c>
      <c r="O91" s="181" t="e">
        <f>(SUM('1.  LRAMVA Summary'!I$22:I$36)+SUM('1.  LRAMVA Summary'!#REF!)*(MONTH($E91)-1)/12)*$H91</f>
        <v>#REF!</v>
      </c>
      <c r="P91" s="181"/>
      <c r="Q91" s="182" t="e">
        <f>SUM(I91:P91)</f>
        <v>#REF!</v>
      </c>
    </row>
    <row r="92" spans="2:17" s="3" customFormat="1" ht="13" hidden="1" x14ac:dyDescent="0.3">
      <c r="B92" s="55"/>
      <c r="E92" s="179">
        <v>42401</v>
      </c>
      <c r="F92" s="179" t="s">
        <v>375</v>
      </c>
      <c r="G92" s="180" t="s">
        <v>89</v>
      </c>
      <c r="H92" s="460">
        <f t="shared" ref="H92:H93" si="43">$C$36/12</f>
        <v>9.1666666666666665E-4</v>
      </c>
      <c r="I92" s="181" t="e">
        <f>(SUM('1.  LRAMVA Summary'!C$22:C$36)+SUM('1.  LRAMVA Summary'!#REF!)*(MONTH($E92)-1)/12)*$H92</f>
        <v>#REF!</v>
      </c>
      <c r="J92" s="181" t="e">
        <f>(SUM('1.  LRAMVA Summary'!D$22:D$36)+SUM('1.  LRAMVA Summary'!#REF!)*(MONTH($E92)-1)/12)*$H92</f>
        <v>#REF!</v>
      </c>
      <c r="K92" s="181" t="e">
        <f>(SUM('1.  LRAMVA Summary'!E$22:E$36)+SUM('1.  LRAMVA Summary'!#REF!)*(MONTH($E92)-1)/12)*$H92</f>
        <v>#REF!</v>
      </c>
      <c r="L92" s="181" t="e">
        <f>(SUM('1.  LRAMVA Summary'!F$22:F$36)+SUM('1.  LRAMVA Summary'!#REF!)*(MONTH($E92)-1)/12)*$H92</f>
        <v>#REF!</v>
      </c>
      <c r="M92" s="181" t="e">
        <f>(SUM('1.  LRAMVA Summary'!G$22:G$36)+SUM('1.  LRAMVA Summary'!#REF!)*(MONTH($E92)-1)/12)*$H92</f>
        <v>#REF!</v>
      </c>
      <c r="N92" s="181" t="e">
        <f>(SUM('1.  LRAMVA Summary'!H$22:H$36)+SUM('1.  LRAMVA Summary'!#REF!)*(MONTH($E92)-1)/12)*$H92</f>
        <v>#REF!</v>
      </c>
      <c r="O92" s="181" t="e">
        <f>(SUM('1.  LRAMVA Summary'!I$22:I$36)+SUM('1.  LRAMVA Summary'!#REF!)*(MONTH($E92)-1)/12)*$H92</f>
        <v>#REF!</v>
      </c>
      <c r="P92" s="181"/>
      <c r="Q92" s="182" t="e">
        <f t="shared" ref="Q92:Q102" si="44">SUM(I92:P92)</f>
        <v>#REF!</v>
      </c>
    </row>
    <row r="93" spans="2:17" s="3" customFormat="1" ht="14.25" hidden="1" customHeight="1" x14ac:dyDescent="0.3">
      <c r="B93" s="55"/>
      <c r="E93" s="179">
        <v>42430</v>
      </c>
      <c r="F93" s="179" t="s">
        <v>375</v>
      </c>
      <c r="G93" s="180" t="s">
        <v>89</v>
      </c>
      <c r="H93" s="460">
        <f t="shared" si="43"/>
        <v>9.1666666666666665E-4</v>
      </c>
      <c r="I93" s="181" t="e">
        <f>(SUM('1.  LRAMVA Summary'!C$22:C$36)+SUM('1.  LRAMVA Summary'!#REF!)*(MONTH($E93)-1)/12)*$H93</f>
        <v>#REF!</v>
      </c>
      <c r="J93" s="181" t="e">
        <f>(SUM('1.  LRAMVA Summary'!D$22:D$36)+SUM('1.  LRAMVA Summary'!#REF!)*(MONTH($E93)-1)/12)*$H93</f>
        <v>#REF!</v>
      </c>
      <c r="K93" s="181" t="e">
        <f>(SUM('1.  LRAMVA Summary'!E$22:E$36)+SUM('1.  LRAMVA Summary'!#REF!)*(MONTH($E93)-1)/12)*$H93</f>
        <v>#REF!</v>
      </c>
      <c r="L93" s="181" t="e">
        <f>(SUM('1.  LRAMVA Summary'!F$22:F$36)+SUM('1.  LRAMVA Summary'!#REF!)*(MONTH($E93)-1)/12)*$H93</f>
        <v>#REF!</v>
      </c>
      <c r="M93" s="181" t="e">
        <f>(SUM('1.  LRAMVA Summary'!G$22:G$36)+SUM('1.  LRAMVA Summary'!#REF!)*(MONTH($E93)-1)/12)*$H93</f>
        <v>#REF!</v>
      </c>
      <c r="N93" s="181" t="e">
        <f>(SUM('1.  LRAMVA Summary'!H$22:H$36)+SUM('1.  LRAMVA Summary'!#REF!)*(MONTH($E93)-1)/12)*$H93</f>
        <v>#REF!</v>
      </c>
      <c r="O93" s="181" t="e">
        <f>(SUM('1.  LRAMVA Summary'!I$22:I$36)+SUM('1.  LRAMVA Summary'!#REF!)*(MONTH($E93)-1)/12)*$H93</f>
        <v>#REF!</v>
      </c>
      <c r="P93" s="181"/>
      <c r="Q93" s="182" t="e">
        <f t="shared" si="44"/>
        <v>#REF!</v>
      </c>
    </row>
    <row r="94" spans="2:17" s="16" customFormat="1" ht="13" hidden="1" x14ac:dyDescent="0.3">
      <c r="B94" s="212"/>
      <c r="D94" s="3"/>
      <c r="E94" s="179">
        <v>42461</v>
      </c>
      <c r="F94" s="179" t="s">
        <v>375</v>
      </c>
      <c r="G94" s="180" t="s">
        <v>90</v>
      </c>
      <c r="H94" s="460">
        <f>$C$37/12</f>
        <v>9.1666666666666665E-4</v>
      </c>
      <c r="I94" s="181" t="e">
        <f>(SUM('1.  LRAMVA Summary'!C$22:C$36)+SUM('1.  LRAMVA Summary'!#REF!)*(MONTH($E94)-1)/12)*$H94</f>
        <v>#REF!</v>
      </c>
      <c r="J94" s="181" t="e">
        <f>(SUM('1.  LRAMVA Summary'!D$22:D$36)+SUM('1.  LRAMVA Summary'!#REF!)*(MONTH($E94)-1)/12)*$H94</f>
        <v>#REF!</v>
      </c>
      <c r="K94" s="181" t="e">
        <f>(SUM('1.  LRAMVA Summary'!E$22:E$36)+SUM('1.  LRAMVA Summary'!#REF!)*(MONTH($E94)-1)/12)*$H94</f>
        <v>#REF!</v>
      </c>
      <c r="L94" s="181" t="e">
        <f>(SUM('1.  LRAMVA Summary'!F$22:F$36)+SUM('1.  LRAMVA Summary'!#REF!)*(MONTH($E94)-1)/12)*$H94</f>
        <v>#REF!</v>
      </c>
      <c r="M94" s="181" t="e">
        <f>(SUM('1.  LRAMVA Summary'!G$22:G$36)+SUM('1.  LRAMVA Summary'!#REF!)*(MONTH($E94)-1)/12)*$H94</f>
        <v>#REF!</v>
      </c>
      <c r="N94" s="181" t="e">
        <f>(SUM('1.  LRAMVA Summary'!H$22:H$36)+SUM('1.  LRAMVA Summary'!#REF!)*(MONTH($E94)-1)/12)*$H94</f>
        <v>#REF!</v>
      </c>
      <c r="O94" s="181" t="e">
        <f>(SUM('1.  LRAMVA Summary'!I$22:I$36)+SUM('1.  LRAMVA Summary'!#REF!)*(MONTH($E94)-1)/12)*$H94</f>
        <v>#REF!</v>
      </c>
      <c r="P94" s="181"/>
      <c r="Q94" s="182" t="e">
        <f t="shared" si="44"/>
        <v>#REF!</v>
      </c>
    </row>
    <row r="95" spans="2:17" s="3" customFormat="1" ht="13" hidden="1" x14ac:dyDescent="0.3">
      <c r="B95" s="55"/>
      <c r="E95" s="179">
        <v>42491</v>
      </c>
      <c r="F95" s="179" t="s">
        <v>375</v>
      </c>
      <c r="G95" s="180" t="s">
        <v>90</v>
      </c>
      <c r="H95" s="460">
        <f t="shared" ref="H95:H96" si="45">$C$37/12</f>
        <v>9.1666666666666665E-4</v>
      </c>
      <c r="I95" s="181" t="e">
        <f>(SUM('1.  LRAMVA Summary'!C$22:C$36)+SUM('1.  LRAMVA Summary'!#REF!)*(MONTH($E95)-1)/12)*$H95</f>
        <v>#REF!</v>
      </c>
      <c r="J95" s="181" t="e">
        <f>(SUM('1.  LRAMVA Summary'!D$22:D$36)+SUM('1.  LRAMVA Summary'!#REF!)*(MONTH($E95)-1)/12)*$H95</f>
        <v>#REF!</v>
      </c>
      <c r="K95" s="181" t="e">
        <f>(SUM('1.  LRAMVA Summary'!E$22:E$36)+SUM('1.  LRAMVA Summary'!#REF!)*(MONTH($E95)-1)/12)*$H95</f>
        <v>#REF!</v>
      </c>
      <c r="L95" s="181" t="e">
        <f>(SUM('1.  LRAMVA Summary'!F$22:F$36)+SUM('1.  LRAMVA Summary'!#REF!)*(MONTH($E95)-1)/12)*$H95</f>
        <v>#REF!</v>
      </c>
      <c r="M95" s="181" t="e">
        <f>(SUM('1.  LRAMVA Summary'!G$22:G$36)+SUM('1.  LRAMVA Summary'!#REF!)*(MONTH($E95)-1)/12)*$H95</f>
        <v>#REF!</v>
      </c>
      <c r="N95" s="181" t="e">
        <f>(SUM('1.  LRAMVA Summary'!H$22:H$36)+SUM('1.  LRAMVA Summary'!#REF!)*(MONTH($E95)-1)/12)*$H95</f>
        <v>#REF!</v>
      </c>
      <c r="O95" s="181" t="e">
        <f>(SUM('1.  LRAMVA Summary'!I$22:I$36)+SUM('1.  LRAMVA Summary'!#REF!)*(MONTH($E95)-1)/12)*$H95</f>
        <v>#REF!</v>
      </c>
      <c r="P95" s="181"/>
      <c r="Q95" s="182" t="e">
        <f t="shared" si="44"/>
        <v>#REF!</v>
      </c>
    </row>
    <row r="96" spans="2:17" s="15" customFormat="1" ht="13" hidden="1" x14ac:dyDescent="0.3">
      <c r="B96" s="211"/>
      <c r="D96" s="3"/>
      <c r="E96" s="179">
        <v>42522</v>
      </c>
      <c r="F96" s="179" t="s">
        <v>375</v>
      </c>
      <c r="G96" s="180" t="s">
        <v>90</v>
      </c>
      <c r="H96" s="460">
        <f t="shared" si="45"/>
        <v>9.1666666666666665E-4</v>
      </c>
      <c r="I96" s="181" t="e">
        <f>(SUM('1.  LRAMVA Summary'!C$22:C$36)+SUM('1.  LRAMVA Summary'!#REF!)*(MONTH($E96)-1)/12)*$H96</f>
        <v>#REF!</v>
      </c>
      <c r="J96" s="181" t="e">
        <f>(SUM('1.  LRAMVA Summary'!D$22:D$36)+SUM('1.  LRAMVA Summary'!#REF!)*(MONTH($E96)-1)/12)*$H96</f>
        <v>#REF!</v>
      </c>
      <c r="K96" s="181" t="e">
        <f>(SUM('1.  LRAMVA Summary'!E$22:E$36)+SUM('1.  LRAMVA Summary'!#REF!)*(MONTH($E96)-1)/12)*$H96</f>
        <v>#REF!</v>
      </c>
      <c r="L96" s="181" t="e">
        <f>(SUM('1.  LRAMVA Summary'!F$22:F$36)+SUM('1.  LRAMVA Summary'!#REF!)*(MONTH($E96)-1)/12)*$H96</f>
        <v>#REF!</v>
      </c>
      <c r="M96" s="181" t="e">
        <f>(SUM('1.  LRAMVA Summary'!G$22:G$36)+SUM('1.  LRAMVA Summary'!#REF!)*(MONTH($E96)-1)/12)*$H96</f>
        <v>#REF!</v>
      </c>
      <c r="N96" s="181" t="e">
        <f>(SUM('1.  LRAMVA Summary'!H$22:H$36)+SUM('1.  LRAMVA Summary'!#REF!)*(MONTH($E96)-1)/12)*$H96</f>
        <v>#REF!</v>
      </c>
      <c r="O96" s="181" t="e">
        <f>(SUM('1.  LRAMVA Summary'!I$22:I$36)+SUM('1.  LRAMVA Summary'!#REF!)*(MONTH($E96)-1)/12)*$H96</f>
        <v>#REF!</v>
      </c>
      <c r="P96" s="181"/>
      <c r="Q96" s="182" t="e">
        <f t="shared" si="44"/>
        <v>#REF!</v>
      </c>
    </row>
    <row r="97" spans="2:17" s="3" customFormat="1" ht="13" hidden="1" x14ac:dyDescent="0.3">
      <c r="B97" s="55"/>
      <c r="E97" s="179">
        <v>42552</v>
      </c>
      <c r="F97" s="179" t="s">
        <v>375</v>
      </c>
      <c r="G97" s="180" t="s">
        <v>92</v>
      </c>
      <c r="H97" s="460">
        <f>$C$38/12</f>
        <v>9.1666666666666665E-4</v>
      </c>
      <c r="I97" s="181" t="e">
        <f>(SUM('1.  LRAMVA Summary'!C$22:C$36)+SUM('1.  LRAMVA Summary'!#REF!)*(MONTH($E97)-1)/12)*$H97</f>
        <v>#REF!</v>
      </c>
      <c r="J97" s="181" t="e">
        <f>(SUM('1.  LRAMVA Summary'!D$22:D$36)+SUM('1.  LRAMVA Summary'!#REF!)*(MONTH($E97)-1)/12)*$H97</f>
        <v>#REF!</v>
      </c>
      <c r="K97" s="181" t="e">
        <f>(SUM('1.  LRAMVA Summary'!E$22:E$36)+SUM('1.  LRAMVA Summary'!#REF!)*(MONTH($E97)-1)/12)*$H97</f>
        <v>#REF!</v>
      </c>
      <c r="L97" s="181" t="e">
        <f>(SUM('1.  LRAMVA Summary'!F$22:F$36)+SUM('1.  LRAMVA Summary'!#REF!)*(MONTH($E97)-1)/12)*$H97</f>
        <v>#REF!</v>
      </c>
      <c r="M97" s="181" t="e">
        <f>(SUM('1.  LRAMVA Summary'!G$22:G$36)+SUM('1.  LRAMVA Summary'!#REF!)*(MONTH($E97)-1)/12)*$H97</f>
        <v>#REF!</v>
      </c>
      <c r="N97" s="181" t="e">
        <f>(SUM('1.  LRAMVA Summary'!H$22:H$36)+SUM('1.  LRAMVA Summary'!#REF!)*(MONTH($E97)-1)/12)*$H97</f>
        <v>#REF!</v>
      </c>
      <c r="O97" s="181" t="e">
        <f>(SUM('1.  LRAMVA Summary'!I$22:I$36)+SUM('1.  LRAMVA Summary'!#REF!)*(MONTH($E97)-1)/12)*$H97</f>
        <v>#REF!</v>
      </c>
      <c r="P97" s="181"/>
      <c r="Q97" s="182" t="e">
        <f t="shared" si="44"/>
        <v>#REF!</v>
      </c>
    </row>
    <row r="98" spans="2:17" s="3" customFormat="1" ht="13" hidden="1" x14ac:dyDescent="0.3">
      <c r="B98" s="55"/>
      <c r="E98" s="179">
        <v>42583</v>
      </c>
      <c r="F98" s="179" t="s">
        <v>375</v>
      </c>
      <c r="G98" s="180" t="s">
        <v>92</v>
      </c>
      <c r="H98" s="460">
        <f t="shared" ref="H98:H99" si="46">$C$38/12</f>
        <v>9.1666666666666665E-4</v>
      </c>
      <c r="I98" s="181" t="e">
        <f>(SUM('1.  LRAMVA Summary'!C$22:C$36)+SUM('1.  LRAMVA Summary'!#REF!)*(MONTH($E98)-1)/12)*$H98</f>
        <v>#REF!</v>
      </c>
      <c r="J98" s="181" t="e">
        <f>(SUM('1.  LRAMVA Summary'!D$22:D$36)+SUM('1.  LRAMVA Summary'!#REF!)*(MONTH($E98)-1)/12)*$H98</f>
        <v>#REF!</v>
      </c>
      <c r="K98" s="181" t="e">
        <f>(SUM('1.  LRAMVA Summary'!E$22:E$36)+SUM('1.  LRAMVA Summary'!#REF!)*(MONTH($E98)-1)/12)*$H98</f>
        <v>#REF!</v>
      </c>
      <c r="L98" s="181" t="e">
        <f>(SUM('1.  LRAMVA Summary'!F$22:F$36)+SUM('1.  LRAMVA Summary'!#REF!)*(MONTH($E98)-1)/12)*$H98</f>
        <v>#REF!</v>
      </c>
      <c r="M98" s="181" t="e">
        <f>(SUM('1.  LRAMVA Summary'!G$22:G$36)+SUM('1.  LRAMVA Summary'!#REF!)*(MONTH($E98)-1)/12)*$H98</f>
        <v>#REF!</v>
      </c>
      <c r="N98" s="181" t="e">
        <f>(SUM('1.  LRAMVA Summary'!H$22:H$36)+SUM('1.  LRAMVA Summary'!#REF!)*(MONTH($E98)-1)/12)*$H98</f>
        <v>#REF!</v>
      </c>
      <c r="O98" s="181" t="e">
        <f>(SUM('1.  LRAMVA Summary'!I$22:I$36)+SUM('1.  LRAMVA Summary'!#REF!)*(MONTH($E98)-1)/12)*$H98</f>
        <v>#REF!</v>
      </c>
      <c r="P98" s="181"/>
      <c r="Q98" s="182" t="e">
        <f t="shared" si="44"/>
        <v>#REF!</v>
      </c>
    </row>
    <row r="99" spans="2:17" s="3" customFormat="1" ht="13" hidden="1" x14ac:dyDescent="0.3">
      <c r="B99" s="55"/>
      <c r="E99" s="179">
        <v>42614</v>
      </c>
      <c r="F99" s="179" t="s">
        <v>375</v>
      </c>
      <c r="G99" s="180" t="s">
        <v>92</v>
      </c>
      <c r="H99" s="460">
        <f t="shared" si="46"/>
        <v>9.1666666666666665E-4</v>
      </c>
      <c r="I99" s="181" t="e">
        <f>(SUM('1.  LRAMVA Summary'!C$22:C$36)+SUM('1.  LRAMVA Summary'!#REF!)*(MONTH($E99)-1)/12)*$H99</f>
        <v>#REF!</v>
      </c>
      <c r="J99" s="181" t="e">
        <f>(SUM('1.  LRAMVA Summary'!D$22:D$36)+SUM('1.  LRAMVA Summary'!#REF!)*(MONTH($E99)-1)/12)*$H99</f>
        <v>#REF!</v>
      </c>
      <c r="K99" s="181" t="e">
        <f>(SUM('1.  LRAMVA Summary'!E$22:E$36)+SUM('1.  LRAMVA Summary'!#REF!)*(MONTH($E99)-1)/12)*$H99</f>
        <v>#REF!</v>
      </c>
      <c r="L99" s="181" t="e">
        <f>(SUM('1.  LRAMVA Summary'!F$22:F$36)+SUM('1.  LRAMVA Summary'!#REF!)*(MONTH($E99)-1)/12)*$H99</f>
        <v>#REF!</v>
      </c>
      <c r="M99" s="181" t="e">
        <f>(SUM('1.  LRAMVA Summary'!G$22:G$36)+SUM('1.  LRAMVA Summary'!#REF!)*(MONTH($E99)-1)/12)*$H99</f>
        <v>#REF!</v>
      </c>
      <c r="N99" s="181" t="e">
        <f>(SUM('1.  LRAMVA Summary'!H$22:H$36)+SUM('1.  LRAMVA Summary'!#REF!)*(MONTH($E99)-1)/12)*$H99</f>
        <v>#REF!</v>
      </c>
      <c r="O99" s="181" t="e">
        <f>(SUM('1.  LRAMVA Summary'!I$22:I$36)+SUM('1.  LRAMVA Summary'!#REF!)*(MONTH($E99)-1)/12)*$H99</f>
        <v>#REF!</v>
      </c>
      <c r="P99" s="181"/>
      <c r="Q99" s="182" t="e">
        <f t="shared" si="44"/>
        <v>#REF!</v>
      </c>
    </row>
    <row r="100" spans="2:17" s="3" customFormat="1" ht="13" hidden="1" x14ac:dyDescent="0.3">
      <c r="B100" s="55"/>
      <c r="E100" s="179">
        <v>42644</v>
      </c>
      <c r="F100" s="179" t="s">
        <v>375</v>
      </c>
      <c r="G100" s="180" t="s">
        <v>93</v>
      </c>
      <c r="H100" s="456">
        <f>$C$39/12</f>
        <v>9.1666666666666665E-4</v>
      </c>
      <c r="I100" s="181" t="e">
        <f>(SUM('1.  LRAMVA Summary'!C$22:C$36)+SUM('1.  LRAMVA Summary'!#REF!)*(MONTH($E100)-1)/12)*$H100</f>
        <v>#REF!</v>
      </c>
      <c r="J100" s="181" t="e">
        <f>(SUM('1.  LRAMVA Summary'!D$22:D$36)+SUM('1.  LRAMVA Summary'!#REF!)*(MONTH($E100)-1)/12)*$H100</f>
        <v>#REF!</v>
      </c>
      <c r="K100" s="181" t="e">
        <f>(SUM('1.  LRAMVA Summary'!E$22:E$36)+SUM('1.  LRAMVA Summary'!#REF!)*(MONTH($E100)-1)/12)*$H100</f>
        <v>#REF!</v>
      </c>
      <c r="L100" s="181" t="e">
        <f>(SUM('1.  LRAMVA Summary'!F$22:F$36)+SUM('1.  LRAMVA Summary'!#REF!)*(MONTH($E100)-1)/12)*$H100</f>
        <v>#REF!</v>
      </c>
      <c r="M100" s="181" t="e">
        <f>(SUM('1.  LRAMVA Summary'!G$22:G$36)+SUM('1.  LRAMVA Summary'!#REF!)*(MONTH($E100)-1)/12)*$H100</f>
        <v>#REF!</v>
      </c>
      <c r="N100" s="181" t="e">
        <f>(SUM('1.  LRAMVA Summary'!H$22:H$36)+SUM('1.  LRAMVA Summary'!#REF!)*(MONTH($E100)-1)/12)*$H100</f>
        <v>#REF!</v>
      </c>
      <c r="O100" s="181" t="e">
        <f>(SUM('1.  LRAMVA Summary'!I$22:I$36)+SUM('1.  LRAMVA Summary'!#REF!)*(MONTH($E100)-1)/12)*$H100</f>
        <v>#REF!</v>
      </c>
      <c r="P100" s="181"/>
      <c r="Q100" s="182" t="e">
        <f t="shared" si="44"/>
        <v>#REF!</v>
      </c>
    </row>
    <row r="101" spans="2:17" s="3" customFormat="1" ht="13" hidden="1" x14ac:dyDescent="0.3">
      <c r="B101" s="55"/>
      <c r="E101" s="179">
        <v>42675</v>
      </c>
      <c r="F101" s="179" t="s">
        <v>375</v>
      </c>
      <c r="G101" s="180" t="s">
        <v>93</v>
      </c>
      <c r="H101" s="456">
        <f t="shared" ref="H101:H102" si="47">$C$39/12</f>
        <v>9.1666666666666665E-4</v>
      </c>
      <c r="I101" s="181" t="e">
        <f>(SUM('1.  LRAMVA Summary'!C$22:C$36)+SUM('1.  LRAMVA Summary'!#REF!)*(MONTH($E101)-1)/12)*$H101</f>
        <v>#REF!</v>
      </c>
      <c r="J101" s="181" t="e">
        <f>(SUM('1.  LRAMVA Summary'!D$22:D$36)+SUM('1.  LRAMVA Summary'!#REF!)*(MONTH($E101)-1)/12)*$H101</f>
        <v>#REF!</v>
      </c>
      <c r="K101" s="181" t="e">
        <f>(SUM('1.  LRAMVA Summary'!E$22:E$36)+SUM('1.  LRAMVA Summary'!#REF!)*(MONTH($E101)-1)/12)*$H101</f>
        <v>#REF!</v>
      </c>
      <c r="L101" s="181" t="e">
        <f>(SUM('1.  LRAMVA Summary'!F$22:F$36)+SUM('1.  LRAMVA Summary'!#REF!)*(MONTH($E101)-1)/12)*$H101</f>
        <v>#REF!</v>
      </c>
      <c r="M101" s="181" t="e">
        <f>(SUM('1.  LRAMVA Summary'!G$22:G$36)+SUM('1.  LRAMVA Summary'!#REF!)*(MONTH($E101)-1)/12)*$H101</f>
        <v>#REF!</v>
      </c>
      <c r="N101" s="181" t="e">
        <f>(SUM('1.  LRAMVA Summary'!H$22:H$36)+SUM('1.  LRAMVA Summary'!#REF!)*(MONTH($E101)-1)/12)*$H101</f>
        <v>#REF!</v>
      </c>
      <c r="O101" s="181" t="e">
        <f>(SUM('1.  LRAMVA Summary'!I$22:I$36)+SUM('1.  LRAMVA Summary'!#REF!)*(MONTH($E101)-1)/12)*$H101</f>
        <v>#REF!</v>
      </c>
      <c r="P101" s="181"/>
      <c r="Q101" s="182" t="e">
        <f t="shared" si="44"/>
        <v>#REF!</v>
      </c>
    </row>
    <row r="102" spans="2:17" s="3" customFormat="1" ht="13" hidden="1" x14ac:dyDescent="0.3">
      <c r="B102" s="55"/>
      <c r="E102" s="179">
        <v>42705</v>
      </c>
      <c r="F102" s="179" t="s">
        <v>375</v>
      </c>
      <c r="G102" s="180" t="s">
        <v>93</v>
      </c>
      <c r="H102" s="456">
        <f t="shared" si="47"/>
        <v>9.1666666666666665E-4</v>
      </c>
      <c r="I102" s="181" t="e">
        <f>(SUM('1.  LRAMVA Summary'!C$22:C$36)+SUM('1.  LRAMVA Summary'!#REF!)*(MONTH($E102)-1)/12)*$H102</f>
        <v>#REF!</v>
      </c>
      <c r="J102" s="181" t="e">
        <f>(SUM('1.  LRAMVA Summary'!D$22:D$36)+SUM('1.  LRAMVA Summary'!#REF!)*(MONTH($E102)-1)/12)*$H102</f>
        <v>#REF!</v>
      </c>
      <c r="K102" s="181" t="e">
        <f>(SUM('1.  LRAMVA Summary'!E$22:E$36)+SUM('1.  LRAMVA Summary'!#REF!)*(MONTH($E102)-1)/12)*$H102</f>
        <v>#REF!</v>
      </c>
      <c r="L102" s="181" t="e">
        <f>(SUM('1.  LRAMVA Summary'!F$22:F$36)+SUM('1.  LRAMVA Summary'!#REF!)*(MONTH($E102)-1)/12)*$H102</f>
        <v>#REF!</v>
      </c>
      <c r="M102" s="181" t="e">
        <f>(SUM('1.  LRAMVA Summary'!G$22:G$36)+SUM('1.  LRAMVA Summary'!#REF!)*(MONTH($E102)-1)/12)*$H102</f>
        <v>#REF!</v>
      </c>
      <c r="N102" s="181" t="e">
        <f>(SUM('1.  LRAMVA Summary'!H$22:H$36)+SUM('1.  LRAMVA Summary'!#REF!)*(MONTH($E102)-1)/12)*$H102</f>
        <v>#REF!</v>
      </c>
      <c r="O102" s="181" t="e">
        <f>(SUM('1.  LRAMVA Summary'!I$22:I$36)+SUM('1.  LRAMVA Summary'!#REF!)*(MONTH($E102)-1)/12)*$H102</f>
        <v>#REF!</v>
      </c>
      <c r="P102" s="181"/>
      <c r="Q102" s="182" t="e">
        <f t="shared" si="44"/>
        <v>#REF!</v>
      </c>
    </row>
    <row r="103" spans="2:17" s="3" customFormat="1" ht="13.5" hidden="1" thickBot="1" x14ac:dyDescent="0.35">
      <c r="B103" s="55"/>
      <c r="E103" s="191" t="s">
        <v>397</v>
      </c>
      <c r="F103" s="191"/>
      <c r="G103" s="192"/>
      <c r="H103" s="457"/>
      <c r="I103" s="193" t="e">
        <f>SUM(I90:I102)</f>
        <v>#REF!</v>
      </c>
      <c r="J103" s="193" t="e">
        <f>SUM(J90:J102)</f>
        <v>#REF!</v>
      </c>
      <c r="K103" s="193" t="e">
        <f t="shared" ref="K103:P103" si="48">SUM(K90:K102)</f>
        <v>#REF!</v>
      </c>
      <c r="L103" s="193" t="e">
        <f t="shared" si="48"/>
        <v>#REF!</v>
      </c>
      <c r="M103" s="193" t="e">
        <f t="shared" si="48"/>
        <v>#REF!</v>
      </c>
      <c r="N103" s="193" t="e">
        <f t="shared" si="48"/>
        <v>#REF!</v>
      </c>
      <c r="O103" s="193" t="e">
        <f t="shared" si="48"/>
        <v>#REF!</v>
      </c>
      <c r="P103" s="193">
        <f t="shared" si="48"/>
        <v>16091.935669740029</v>
      </c>
      <c r="Q103" s="193" t="e">
        <f>SUM(Q90:Q102)</f>
        <v>#REF!</v>
      </c>
    </row>
    <row r="104" spans="2:17" s="3" customFormat="1" ht="13.5" hidden="1" thickTop="1" x14ac:dyDescent="0.3">
      <c r="B104" s="55"/>
      <c r="E104" s="220" t="s">
        <v>91</v>
      </c>
      <c r="F104" s="220"/>
      <c r="G104" s="221"/>
      <c r="H104" s="458"/>
      <c r="I104" s="222"/>
      <c r="J104" s="222"/>
      <c r="K104" s="222"/>
      <c r="L104" s="222"/>
      <c r="M104" s="222"/>
      <c r="N104" s="222"/>
      <c r="O104" s="222"/>
      <c r="P104" s="222"/>
      <c r="Q104" s="223"/>
    </row>
    <row r="105" spans="2:17" s="3" customFormat="1" ht="13" hidden="1" x14ac:dyDescent="0.3">
      <c r="B105" s="55"/>
      <c r="E105" s="188" t="s">
        <v>392</v>
      </c>
      <c r="F105" s="188"/>
      <c r="G105" s="189"/>
      <c r="H105" s="459"/>
      <c r="I105" s="190" t="e">
        <f>I103+I104</f>
        <v>#REF!</v>
      </c>
      <c r="J105" s="190" t="e">
        <f t="shared" ref="J105" si="49">J103+J104</f>
        <v>#REF!</v>
      </c>
      <c r="K105" s="190" t="e">
        <f t="shared" ref="K105" si="50">K103+K104</f>
        <v>#REF!</v>
      </c>
      <c r="L105" s="190" t="e">
        <f t="shared" ref="L105" si="51">L103+L104</f>
        <v>#REF!</v>
      </c>
      <c r="M105" s="190" t="e">
        <f t="shared" ref="M105" si="52">M103+M104</f>
        <v>#REF!</v>
      </c>
      <c r="N105" s="190" t="e">
        <f t="shared" ref="N105" si="53">N103+N104</f>
        <v>#REF!</v>
      </c>
      <c r="O105" s="190" t="e">
        <f t="shared" ref="O105" si="54">O103+O104</f>
        <v>#REF!</v>
      </c>
      <c r="P105" s="190">
        <f t="shared" ref="P105" si="55">P103+P104</f>
        <v>16091.935669740029</v>
      </c>
      <c r="Q105" s="190" t="e">
        <f t="shared" ref="Q105" si="56">Q103+Q104</f>
        <v>#REF!</v>
      </c>
    </row>
    <row r="106" spans="2:17" s="3" customFormat="1" ht="13" hidden="1" x14ac:dyDescent="0.3">
      <c r="B106" s="55"/>
      <c r="E106" s="179">
        <v>42736</v>
      </c>
      <c r="F106" s="179" t="s">
        <v>376</v>
      </c>
      <c r="G106" s="180" t="s">
        <v>89</v>
      </c>
      <c r="H106" s="463">
        <f>$C$40/12</f>
        <v>0</v>
      </c>
      <c r="I106" s="181" t="e">
        <f>(SUM('1.  LRAMVA Summary'!C$22:C$36)+SUM('1.  LRAMVA Summary'!#REF!)*(MONTH($E106)-1)/12)*$H106</f>
        <v>#REF!</v>
      </c>
      <c r="J106" s="181" t="e">
        <f>(SUM('1.  LRAMVA Summary'!D$22:D$36)+SUM('1.  LRAMVA Summary'!#REF!)*(MONTH($E106)-1)/12)*$H106</f>
        <v>#REF!</v>
      </c>
      <c r="K106" s="181" t="e">
        <f>(SUM('1.  LRAMVA Summary'!E$22:E$36)+SUM('1.  LRAMVA Summary'!#REF!)*(MONTH($E106)-1)/12)*$H106</f>
        <v>#REF!</v>
      </c>
      <c r="L106" s="181" t="e">
        <f>(SUM('1.  LRAMVA Summary'!F$22:F$36)+SUM('1.  LRAMVA Summary'!#REF!)*(MONTH($E106)-1)/12)*$H106</f>
        <v>#REF!</v>
      </c>
      <c r="M106" s="181" t="e">
        <f>(SUM('1.  LRAMVA Summary'!G$22:G$36)+SUM('1.  LRAMVA Summary'!#REF!)*(MONTH($E106)-1)/12)*$H106</f>
        <v>#REF!</v>
      </c>
      <c r="N106" s="181" t="e">
        <f>(SUM('1.  LRAMVA Summary'!H$22:H$36)+SUM('1.  LRAMVA Summary'!#REF!)*(MONTH($E106)-1)/12)*$H106</f>
        <v>#REF!</v>
      </c>
      <c r="O106" s="181" t="e">
        <f>(SUM('1.  LRAMVA Summary'!I$22:I$36)+SUM('1.  LRAMVA Summary'!#REF!)*(MONTH($E106)-1)/12)*$H106</f>
        <v>#REF!</v>
      </c>
      <c r="P106" s="181"/>
      <c r="Q106" s="182" t="e">
        <f>SUM(I106:P106)</f>
        <v>#REF!</v>
      </c>
    </row>
    <row r="107" spans="2:17" s="3" customFormat="1" ht="13" hidden="1" x14ac:dyDescent="0.3">
      <c r="B107" s="55"/>
      <c r="E107" s="179">
        <v>42767</v>
      </c>
      <c r="F107" s="179" t="s">
        <v>376</v>
      </c>
      <c r="G107" s="180" t="s">
        <v>89</v>
      </c>
      <c r="H107" s="463">
        <f t="shared" ref="H107:H108" si="57">$C$40/12</f>
        <v>0</v>
      </c>
      <c r="I107" s="181" t="e">
        <f>(SUM('1.  LRAMVA Summary'!C$22:C$36)+SUM('1.  LRAMVA Summary'!#REF!)*(MONTH($E107)-1)/12)*$H107</f>
        <v>#REF!</v>
      </c>
      <c r="J107" s="181" t="e">
        <f>(SUM('1.  LRAMVA Summary'!D$22:D$36)+SUM('1.  LRAMVA Summary'!#REF!)*(MONTH($E107)-1)/12)*$H107</f>
        <v>#REF!</v>
      </c>
      <c r="K107" s="181" t="e">
        <f>(SUM('1.  LRAMVA Summary'!E$22:E$36)+SUM('1.  LRAMVA Summary'!#REF!)*(MONTH($E107)-1)/12)*$H107</f>
        <v>#REF!</v>
      </c>
      <c r="L107" s="181" t="e">
        <f>(SUM('1.  LRAMVA Summary'!F$22:F$36)+SUM('1.  LRAMVA Summary'!#REF!)*(MONTH($E107)-1)/12)*$H107</f>
        <v>#REF!</v>
      </c>
      <c r="M107" s="181" t="e">
        <f>(SUM('1.  LRAMVA Summary'!G$22:G$36)+SUM('1.  LRAMVA Summary'!#REF!)*(MONTH($E107)-1)/12)*$H107</f>
        <v>#REF!</v>
      </c>
      <c r="N107" s="181" t="e">
        <f>(SUM('1.  LRAMVA Summary'!H$22:H$36)+SUM('1.  LRAMVA Summary'!#REF!)*(MONTH($E107)-1)/12)*$H107</f>
        <v>#REF!</v>
      </c>
      <c r="O107" s="181" t="e">
        <f>(SUM('1.  LRAMVA Summary'!I$22:I$36)+SUM('1.  LRAMVA Summary'!#REF!)*(MONTH($E107)-1)/12)*$H107</f>
        <v>#REF!</v>
      </c>
      <c r="P107" s="181"/>
      <c r="Q107" s="182" t="e">
        <f t="shared" ref="Q107:Q117" si="58">SUM(I107:P107)</f>
        <v>#REF!</v>
      </c>
    </row>
    <row r="108" spans="2:17" s="3" customFormat="1" ht="13" hidden="1" x14ac:dyDescent="0.3">
      <c r="B108" s="55"/>
      <c r="E108" s="179">
        <v>42795</v>
      </c>
      <c r="F108" s="179" t="s">
        <v>376</v>
      </c>
      <c r="G108" s="180" t="s">
        <v>89</v>
      </c>
      <c r="H108" s="463">
        <f t="shared" si="57"/>
        <v>0</v>
      </c>
      <c r="I108" s="181" t="e">
        <f>(SUM('1.  LRAMVA Summary'!C$22:C$36)+SUM('1.  LRAMVA Summary'!#REF!)*(MONTH($E108)-1)/12)*$H108</f>
        <v>#REF!</v>
      </c>
      <c r="J108" s="181" t="e">
        <f>(SUM('1.  LRAMVA Summary'!D$22:D$36)+SUM('1.  LRAMVA Summary'!#REF!)*(MONTH($E108)-1)/12)*$H108</f>
        <v>#REF!</v>
      </c>
      <c r="K108" s="181" t="e">
        <f>(SUM('1.  LRAMVA Summary'!E$22:E$36)+SUM('1.  LRAMVA Summary'!#REF!)*(MONTH($E108)-1)/12)*$H108</f>
        <v>#REF!</v>
      </c>
      <c r="L108" s="181" t="e">
        <f>(SUM('1.  LRAMVA Summary'!F$22:F$36)+SUM('1.  LRAMVA Summary'!#REF!)*(MONTH($E108)-1)/12)*$H108</f>
        <v>#REF!</v>
      </c>
      <c r="M108" s="181" t="e">
        <f>(SUM('1.  LRAMVA Summary'!G$22:G$36)+SUM('1.  LRAMVA Summary'!#REF!)*(MONTH($E108)-1)/12)*$H108</f>
        <v>#REF!</v>
      </c>
      <c r="N108" s="181" t="e">
        <f>(SUM('1.  LRAMVA Summary'!H$22:H$36)+SUM('1.  LRAMVA Summary'!#REF!)*(MONTH($E108)-1)/12)*$H108</f>
        <v>#REF!</v>
      </c>
      <c r="O108" s="181" t="e">
        <f>(SUM('1.  LRAMVA Summary'!I$22:I$36)+SUM('1.  LRAMVA Summary'!#REF!)*(MONTH($E108)-1)/12)*$H108</f>
        <v>#REF!</v>
      </c>
      <c r="P108" s="181"/>
      <c r="Q108" s="182" t="e">
        <f t="shared" si="58"/>
        <v>#REF!</v>
      </c>
    </row>
    <row r="109" spans="2:17" s="16" customFormat="1" ht="13" hidden="1" x14ac:dyDescent="0.3">
      <c r="B109" s="212"/>
      <c r="E109" s="179">
        <v>42826</v>
      </c>
      <c r="F109" s="179" t="s">
        <v>376</v>
      </c>
      <c r="G109" s="180" t="s">
        <v>90</v>
      </c>
      <c r="H109" s="463">
        <f>$C$41/12</f>
        <v>0</v>
      </c>
      <c r="I109" s="181" t="e">
        <f>(SUM('1.  LRAMVA Summary'!C$22:C$36)+SUM('1.  LRAMVA Summary'!#REF!)*(MONTH($E109)-1)/12)*$H109</f>
        <v>#REF!</v>
      </c>
      <c r="J109" s="181" t="e">
        <f>(SUM('1.  LRAMVA Summary'!D$22:D$36)+SUM('1.  LRAMVA Summary'!#REF!)*(MONTH($E109)-1)/12)*$H109</f>
        <v>#REF!</v>
      </c>
      <c r="K109" s="181" t="e">
        <f>(SUM('1.  LRAMVA Summary'!E$22:E$36)+SUM('1.  LRAMVA Summary'!#REF!)*(MONTH($E109)-1)/12)*$H109</f>
        <v>#REF!</v>
      </c>
      <c r="L109" s="181" t="e">
        <f>(SUM('1.  LRAMVA Summary'!F$22:F$36)+SUM('1.  LRAMVA Summary'!#REF!)*(MONTH($E109)-1)/12)*$H109</f>
        <v>#REF!</v>
      </c>
      <c r="M109" s="181" t="e">
        <f>(SUM('1.  LRAMVA Summary'!G$22:G$36)+SUM('1.  LRAMVA Summary'!#REF!)*(MONTH($E109)-1)/12)*$H109</f>
        <v>#REF!</v>
      </c>
      <c r="N109" s="181" t="e">
        <f>(SUM('1.  LRAMVA Summary'!H$22:H$36)+SUM('1.  LRAMVA Summary'!#REF!)*(MONTH($E109)-1)/12)*$H109</f>
        <v>#REF!</v>
      </c>
      <c r="O109" s="181" t="e">
        <f>(SUM('1.  LRAMVA Summary'!I$22:I$36)+SUM('1.  LRAMVA Summary'!#REF!)*(MONTH($E109)-1)/12)*$H109</f>
        <v>#REF!</v>
      </c>
      <c r="P109" s="181"/>
      <c r="Q109" s="182" t="e">
        <f t="shared" si="58"/>
        <v>#REF!</v>
      </c>
    </row>
    <row r="110" spans="2:17" s="3" customFormat="1" ht="13" hidden="1" x14ac:dyDescent="0.3">
      <c r="B110" s="55"/>
      <c r="E110" s="179">
        <v>42856</v>
      </c>
      <c r="F110" s="179" t="s">
        <v>376</v>
      </c>
      <c r="G110" s="180" t="s">
        <v>90</v>
      </c>
      <c r="H110" s="463">
        <f t="shared" ref="H110:H111" si="59">$C$41/12</f>
        <v>0</v>
      </c>
      <c r="I110" s="181" t="e">
        <f>(SUM('1.  LRAMVA Summary'!C$22:C$36)+SUM('1.  LRAMVA Summary'!#REF!)*(MONTH($E110)-1)/12)*$H110</f>
        <v>#REF!</v>
      </c>
      <c r="J110" s="181" t="e">
        <f>(SUM('1.  LRAMVA Summary'!D$22:D$36)+SUM('1.  LRAMVA Summary'!#REF!)*(MONTH($E110)-1)/12)*$H110</f>
        <v>#REF!</v>
      </c>
      <c r="K110" s="181" t="e">
        <f>(SUM('1.  LRAMVA Summary'!E$22:E$36)+SUM('1.  LRAMVA Summary'!#REF!)*(MONTH($E110)-1)/12)*$H110</f>
        <v>#REF!</v>
      </c>
      <c r="L110" s="181" t="e">
        <f>(SUM('1.  LRAMVA Summary'!F$22:F$36)+SUM('1.  LRAMVA Summary'!#REF!)*(MONTH($E110)-1)/12)*$H110</f>
        <v>#REF!</v>
      </c>
      <c r="M110" s="181" t="e">
        <f>(SUM('1.  LRAMVA Summary'!G$22:G$36)+SUM('1.  LRAMVA Summary'!#REF!)*(MONTH($E110)-1)/12)*$H110</f>
        <v>#REF!</v>
      </c>
      <c r="N110" s="181" t="e">
        <f>(SUM('1.  LRAMVA Summary'!H$22:H$36)+SUM('1.  LRAMVA Summary'!#REF!)*(MONTH($E110)-1)/12)*$H110</f>
        <v>#REF!</v>
      </c>
      <c r="O110" s="181" t="e">
        <f>(SUM('1.  LRAMVA Summary'!I$22:I$36)+SUM('1.  LRAMVA Summary'!#REF!)*(MONTH($E110)-1)/12)*$H110</f>
        <v>#REF!</v>
      </c>
      <c r="P110" s="181"/>
      <c r="Q110" s="182" t="e">
        <f t="shared" si="58"/>
        <v>#REF!</v>
      </c>
    </row>
    <row r="111" spans="2:17" s="15" customFormat="1" ht="13" hidden="1" x14ac:dyDescent="0.3">
      <c r="B111" s="211"/>
      <c r="E111" s="179">
        <v>42887</v>
      </c>
      <c r="F111" s="179" t="s">
        <v>376</v>
      </c>
      <c r="G111" s="180" t="s">
        <v>90</v>
      </c>
      <c r="H111" s="463">
        <f t="shared" si="59"/>
        <v>0</v>
      </c>
      <c r="I111" s="181" t="e">
        <f>(SUM('1.  LRAMVA Summary'!C$22:C$36)+SUM('1.  LRAMVA Summary'!#REF!)*(MONTH($E111)-1)/12)*$H111</f>
        <v>#REF!</v>
      </c>
      <c r="J111" s="181" t="e">
        <f>(SUM('1.  LRAMVA Summary'!D$22:D$36)+SUM('1.  LRAMVA Summary'!#REF!)*(MONTH($E111)-1)/12)*$H111</f>
        <v>#REF!</v>
      </c>
      <c r="K111" s="181" t="e">
        <f>(SUM('1.  LRAMVA Summary'!E$22:E$36)+SUM('1.  LRAMVA Summary'!#REF!)*(MONTH($E111)-1)/12)*$H111</f>
        <v>#REF!</v>
      </c>
      <c r="L111" s="181" t="e">
        <f>(SUM('1.  LRAMVA Summary'!F$22:F$36)+SUM('1.  LRAMVA Summary'!#REF!)*(MONTH($E111)-1)/12)*$H111</f>
        <v>#REF!</v>
      </c>
      <c r="M111" s="181" t="e">
        <f>(SUM('1.  LRAMVA Summary'!G$22:G$36)+SUM('1.  LRAMVA Summary'!#REF!)*(MONTH($E111)-1)/12)*$H111</f>
        <v>#REF!</v>
      </c>
      <c r="N111" s="181" t="e">
        <f>(SUM('1.  LRAMVA Summary'!H$22:H$36)+SUM('1.  LRAMVA Summary'!#REF!)*(MONTH($E111)-1)/12)*$H111</f>
        <v>#REF!</v>
      </c>
      <c r="O111" s="181" t="e">
        <f>(SUM('1.  LRAMVA Summary'!I$22:I$36)+SUM('1.  LRAMVA Summary'!#REF!)*(MONTH($E111)-1)/12)*$H111</f>
        <v>#REF!</v>
      </c>
      <c r="P111" s="181"/>
      <c r="Q111" s="182" t="e">
        <f t="shared" si="58"/>
        <v>#REF!</v>
      </c>
    </row>
    <row r="112" spans="2:17" s="3" customFormat="1" ht="13" hidden="1" x14ac:dyDescent="0.3">
      <c r="B112" s="55"/>
      <c r="E112" s="179">
        <v>42917</v>
      </c>
      <c r="F112" s="179" t="s">
        <v>376</v>
      </c>
      <c r="G112" s="180" t="s">
        <v>92</v>
      </c>
      <c r="H112" s="463">
        <f>$C$42/12</f>
        <v>0</v>
      </c>
      <c r="I112" s="181" t="e">
        <f>(SUM('1.  LRAMVA Summary'!C$22:C$36)+SUM('1.  LRAMVA Summary'!#REF!)*(MONTH($E112)-1)/12)*$H112</f>
        <v>#REF!</v>
      </c>
      <c r="J112" s="181" t="e">
        <f>(SUM('1.  LRAMVA Summary'!D$22:D$36)+SUM('1.  LRAMVA Summary'!#REF!)*(MONTH($E112)-1)/12)*$H112</f>
        <v>#REF!</v>
      </c>
      <c r="K112" s="181" t="e">
        <f>(SUM('1.  LRAMVA Summary'!E$22:E$36)+SUM('1.  LRAMVA Summary'!#REF!)*(MONTH($E112)-1)/12)*$H112</f>
        <v>#REF!</v>
      </c>
      <c r="L112" s="181" t="e">
        <f>(SUM('1.  LRAMVA Summary'!F$22:F$36)+SUM('1.  LRAMVA Summary'!#REF!)*(MONTH($E112)-1)/12)*$H112</f>
        <v>#REF!</v>
      </c>
      <c r="M112" s="181" t="e">
        <f>(SUM('1.  LRAMVA Summary'!G$22:G$36)+SUM('1.  LRAMVA Summary'!#REF!)*(MONTH($E112)-1)/12)*$H112</f>
        <v>#REF!</v>
      </c>
      <c r="N112" s="181" t="e">
        <f>(SUM('1.  LRAMVA Summary'!H$22:H$36)+SUM('1.  LRAMVA Summary'!#REF!)*(MONTH($E112)-1)/12)*$H112</f>
        <v>#REF!</v>
      </c>
      <c r="O112" s="181" t="e">
        <f>(SUM('1.  LRAMVA Summary'!I$22:I$36)+SUM('1.  LRAMVA Summary'!#REF!)*(MONTH($E112)-1)/12)*$H112</f>
        <v>#REF!</v>
      </c>
      <c r="P112" s="181"/>
      <c r="Q112" s="182" t="e">
        <f t="shared" si="58"/>
        <v>#REF!</v>
      </c>
    </row>
    <row r="113" spans="2:17" s="3" customFormat="1" ht="13" hidden="1" x14ac:dyDescent="0.3">
      <c r="B113" s="55"/>
      <c r="E113" s="179">
        <v>42948</v>
      </c>
      <c r="F113" s="179" t="s">
        <v>376</v>
      </c>
      <c r="G113" s="180" t="s">
        <v>92</v>
      </c>
      <c r="H113" s="463">
        <f t="shared" ref="H113:H114" si="60">$C$42/12</f>
        <v>0</v>
      </c>
      <c r="I113" s="181" t="e">
        <f>(SUM('1.  LRAMVA Summary'!C$22:C$36)+SUM('1.  LRAMVA Summary'!#REF!)*(MONTH($E113)-1)/12)*$H113</f>
        <v>#REF!</v>
      </c>
      <c r="J113" s="181" t="e">
        <f>(SUM('1.  LRAMVA Summary'!D$22:D$36)+SUM('1.  LRAMVA Summary'!#REF!)*(MONTH($E113)-1)/12)*$H113</f>
        <v>#REF!</v>
      </c>
      <c r="K113" s="181" t="e">
        <f>(SUM('1.  LRAMVA Summary'!E$22:E$36)+SUM('1.  LRAMVA Summary'!#REF!)*(MONTH($E113)-1)/12)*$H113</f>
        <v>#REF!</v>
      </c>
      <c r="L113" s="181" t="e">
        <f>(SUM('1.  LRAMVA Summary'!F$22:F$36)+SUM('1.  LRAMVA Summary'!#REF!)*(MONTH($E113)-1)/12)*$H113</f>
        <v>#REF!</v>
      </c>
      <c r="M113" s="181" t="e">
        <f>(SUM('1.  LRAMVA Summary'!G$22:G$36)+SUM('1.  LRAMVA Summary'!#REF!)*(MONTH($E113)-1)/12)*$H113</f>
        <v>#REF!</v>
      </c>
      <c r="N113" s="181" t="e">
        <f>(SUM('1.  LRAMVA Summary'!H$22:H$36)+SUM('1.  LRAMVA Summary'!#REF!)*(MONTH($E113)-1)/12)*$H113</f>
        <v>#REF!</v>
      </c>
      <c r="O113" s="181" t="e">
        <f>(SUM('1.  LRAMVA Summary'!I$22:I$36)+SUM('1.  LRAMVA Summary'!#REF!)*(MONTH($E113)-1)/12)*$H113</f>
        <v>#REF!</v>
      </c>
      <c r="P113" s="181"/>
      <c r="Q113" s="182" t="e">
        <f t="shared" si="58"/>
        <v>#REF!</v>
      </c>
    </row>
    <row r="114" spans="2:17" s="3" customFormat="1" ht="13" hidden="1" x14ac:dyDescent="0.3">
      <c r="B114" s="55"/>
      <c r="E114" s="179">
        <v>42979</v>
      </c>
      <c r="F114" s="179" t="s">
        <v>376</v>
      </c>
      <c r="G114" s="180" t="s">
        <v>92</v>
      </c>
      <c r="H114" s="463">
        <f t="shared" si="60"/>
        <v>0</v>
      </c>
      <c r="I114" s="181" t="e">
        <f>(SUM('1.  LRAMVA Summary'!C$22:C$36)+SUM('1.  LRAMVA Summary'!#REF!)*(MONTH($E114)-1)/12)*$H114</f>
        <v>#REF!</v>
      </c>
      <c r="J114" s="181" t="e">
        <f>(SUM('1.  LRAMVA Summary'!D$22:D$36)+SUM('1.  LRAMVA Summary'!#REF!)*(MONTH($E114)-1)/12)*$H114</f>
        <v>#REF!</v>
      </c>
      <c r="K114" s="181" t="e">
        <f>(SUM('1.  LRAMVA Summary'!E$22:E$36)+SUM('1.  LRAMVA Summary'!#REF!)*(MONTH($E114)-1)/12)*$H114</f>
        <v>#REF!</v>
      </c>
      <c r="L114" s="181" t="e">
        <f>(SUM('1.  LRAMVA Summary'!F$22:F$36)+SUM('1.  LRAMVA Summary'!#REF!)*(MONTH($E114)-1)/12)*$H114</f>
        <v>#REF!</v>
      </c>
      <c r="M114" s="181" t="e">
        <f>(SUM('1.  LRAMVA Summary'!G$22:G$36)+SUM('1.  LRAMVA Summary'!#REF!)*(MONTH($E114)-1)/12)*$H114</f>
        <v>#REF!</v>
      </c>
      <c r="N114" s="181" t="e">
        <f>(SUM('1.  LRAMVA Summary'!H$22:H$36)+SUM('1.  LRAMVA Summary'!#REF!)*(MONTH($E114)-1)/12)*$H114</f>
        <v>#REF!</v>
      </c>
      <c r="O114" s="181" t="e">
        <f>(SUM('1.  LRAMVA Summary'!I$22:I$36)+SUM('1.  LRAMVA Summary'!#REF!)*(MONTH($E114)-1)/12)*$H114</f>
        <v>#REF!</v>
      </c>
      <c r="P114" s="181"/>
      <c r="Q114" s="182" t="e">
        <f t="shared" si="58"/>
        <v>#REF!</v>
      </c>
    </row>
    <row r="115" spans="2:17" s="3" customFormat="1" ht="13" hidden="1" x14ac:dyDescent="0.3">
      <c r="B115" s="55"/>
      <c r="E115" s="179">
        <v>43009</v>
      </c>
      <c r="F115" s="179" t="s">
        <v>376</v>
      </c>
      <c r="G115" s="180" t="s">
        <v>93</v>
      </c>
      <c r="H115" s="463">
        <f>$C$43/12</f>
        <v>0</v>
      </c>
      <c r="I115" s="181" t="e">
        <f>(SUM('1.  LRAMVA Summary'!C$22:C$36)+SUM('1.  LRAMVA Summary'!#REF!)*(MONTH($E115)-1)/12)*$H115</f>
        <v>#REF!</v>
      </c>
      <c r="J115" s="181" t="e">
        <f>(SUM('1.  LRAMVA Summary'!D$22:D$36)+SUM('1.  LRAMVA Summary'!#REF!)*(MONTH($E115)-1)/12)*$H115</f>
        <v>#REF!</v>
      </c>
      <c r="K115" s="181" t="e">
        <f>(SUM('1.  LRAMVA Summary'!E$22:E$36)+SUM('1.  LRAMVA Summary'!#REF!)*(MONTH($E115)-1)/12)*$H115</f>
        <v>#REF!</v>
      </c>
      <c r="L115" s="181" t="e">
        <f>(SUM('1.  LRAMVA Summary'!F$22:F$36)+SUM('1.  LRAMVA Summary'!#REF!)*(MONTH($E115)-1)/12)*$H115</f>
        <v>#REF!</v>
      </c>
      <c r="M115" s="181" t="e">
        <f>(SUM('1.  LRAMVA Summary'!G$22:G$36)+SUM('1.  LRAMVA Summary'!#REF!)*(MONTH($E115)-1)/12)*$H115</f>
        <v>#REF!</v>
      </c>
      <c r="N115" s="181" t="e">
        <f>(SUM('1.  LRAMVA Summary'!H$22:H$36)+SUM('1.  LRAMVA Summary'!#REF!)*(MONTH($E115)-1)/12)*$H115</f>
        <v>#REF!</v>
      </c>
      <c r="O115" s="181" t="e">
        <f>(SUM('1.  LRAMVA Summary'!I$22:I$36)+SUM('1.  LRAMVA Summary'!#REF!)*(MONTH($E115)-1)/12)*$H115</f>
        <v>#REF!</v>
      </c>
      <c r="P115" s="181"/>
      <c r="Q115" s="182" t="e">
        <f t="shared" si="58"/>
        <v>#REF!</v>
      </c>
    </row>
    <row r="116" spans="2:17" s="3" customFormat="1" ht="13" hidden="1" x14ac:dyDescent="0.3">
      <c r="B116" s="55"/>
      <c r="E116" s="179">
        <v>43040</v>
      </c>
      <c r="F116" s="179" t="s">
        <v>376</v>
      </c>
      <c r="G116" s="180" t="s">
        <v>93</v>
      </c>
      <c r="H116" s="463">
        <f t="shared" ref="H116:H117" si="61">$C$43/12</f>
        <v>0</v>
      </c>
      <c r="I116" s="181" t="e">
        <f>(SUM('1.  LRAMVA Summary'!C$22:C$36)+SUM('1.  LRAMVA Summary'!#REF!)*(MONTH($E116)-1)/12)*$H116</f>
        <v>#REF!</v>
      </c>
      <c r="J116" s="181" t="e">
        <f>(SUM('1.  LRAMVA Summary'!D$22:D$36)+SUM('1.  LRAMVA Summary'!#REF!)*(MONTH($E116)-1)/12)*$H116</f>
        <v>#REF!</v>
      </c>
      <c r="K116" s="181" t="e">
        <f>(SUM('1.  LRAMVA Summary'!E$22:E$36)+SUM('1.  LRAMVA Summary'!#REF!)*(MONTH($E116)-1)/12)*$H116</f>
        <v>#REF!</v>
      </c>
      <c r="L116" s="181" t="e">
        <f>(SUM('1.  LRAMVA Summary'!F$22:F$36)+SUM('1.  LRAMVA Summary'!#REF!)*(MONTH($E116)-1)/12)*$H116</f>
        <v>#REF!</v>
      </c>
      <c r="M116" s="181" t="e">
        <f>(SUM('1.  LRAMVA Summary'!G$22:G$36)+SUM('1.  LRAMVA Summary'!#REF!)*(MONTH($E116)-1)/12)*$H116</f>
        <v>#REF!</v>
      </c>
      <c r="N116" s="181" t="e">
        <f>(SUM('1.  LRAMVA Summary'!H$22:H$36)+SUM('1.  LRAMVA Summary'!#REF!)*(MONTH($E116)-1)/12)*$H116</f>
        <v>#REF!</v>
      </c>
      <c r="O116" s="181" t="e">
        <f>(SUM('1.  LRAMVA Summary'!I$22:I$36)+SUM('1.  LRAMVA Summary'!#REF!)*(MONTH($E116)-1)/12)*$H116</f>
        <v>#REF!</v>
      </c>
      <c r="P116" s="181"/>
      <c r="Q116" s="182" t="e">
        <f t="shared" si="58"/>
        <v>#REF!</v>
      </c>
    </row>
    <row r="117" spans="2:17" s="3" customFormat="1" ht="13" hidden="1" x14ac:dyDescent="0.3">
      <c r="B117" s="55"/>
      <c r="E117" s="179">
        <v>43070</v>
      </c>
      <c r="F117" s="179" t="s">
        <v>376</v>
      </c>
      <c r="G117" s="180" t="s">
        <v>93</v>
      </c>
      <c r="H117" s="463">
        <f t="shared" si="61"/>
        <v>0</v>
      </c>
      <c r="I117" s="181" t="e">
        <f>(SUM('1.  LRAMVA Summary'!C$22:C$36)+SUM('1.  LRAMVA Summary'!#REF!)*(MONTH($E117)-1)/12)*$H117</f>
        <v>#REF!</v>
      </c>
      <c r="J117" s="181" t="e">
        <f>(SUM('1.  LRAMVA Summary'!D$22:D$36)+SUM('1.  LRAMVA Summary'!#REF!)*(MONTH($E117)-1)/12)*$H117</f>
        <v>#REF!</v>
      </c>
      <c r="K117" s="181" t="e">
        <f>(SUM('1.  LRAMVA Summary'!E$22:E$36)+SUM('1.  LRAMVA Summary'!#REF!)*(MONTH($E117)-1)/12)*$H117</f>
        <v>#REF!</v>
      </c>
      <c r="L117" s="181" t="e">
        <f>(SUM('1.  LRAMVA Summary'!F$22:F$36)+SUM('1.  LRAMVA Summary'!#REF!)*(MONTH($E117)-1)/12)*$H117</f>
        <v>#REF!</v>
      </c>
      <c r="M117" s="181" t="e">
        <f>(SUM('1.  LRAMVA Summary'!G$22:G$36)+SUM('1.  LRAMVA Summary'!#REF!)*(MONTH($E117)-1)/12)*$H117</f>
        <v>#REF!</v>
      </c>
      <c r="N117" s="181" t="e">
        <f>(SUM('1.  LRAMVA Summary'!H$22:H$36)+SUM('1.  LRAMVA Summary'!#REF!)*(MONTH($E117)-1)/12)*$H117</f>
        <v>#REF!</v>
      </c>
      <c r="O117" s="181" t="e">
        <f>(SUM('1.  LRAMVA Summary'!I$22:I$36)+SUM('1.  LRAMVA Summary'!#REF!)*(MONTH($E117)-1)/12)*$H117</f>
        <v>#REF!</v>
      </c>
      <c r="P117" s="181"/>
      <c r="Q117" s="182" t="e">
        <f t="shared" si="58"/>
        <v>#REF!</v>
      </c>
    </row>
    <row r="118" spans="2:17" s="3" customFormat="1" ht="13.5" hidden="1" thickBot="1" x14ac:dyDescent="0.35">
      <c r="B118" s="55"/>
      <c r="E118" s="191" t="s">
        <v>383</v>
      </c>
      <c r="F118" s="191"/>
      <c r="G118" s="192"/>
      <c r="H118" s="457"/>
      <c r="I118" s="193" t="e">
        <f>SUM(I105:I117)</f>
        <v>#REF!</v>
      </c>
      <c r="J118" s="193" t="e">
        <f>SUM(J105:J117)</f>
        <v>#REF!</v>
      </c>
      <c r="K118" s="193" t="e">
        <f t="shared" ref="K118:P118" si="62">SUM(K105:K117)</f>
        <v>#REF!</v>
      </c>
      <c r="L118" s="193" t="e">
        <f t="shared" si="62"/>
        <v>#REF!</v>
      </c>
      <c r="M118" s="193" t="e">
        <f t="shared" si="62"/>
        <v>#REF!</v>
      </c>
      <c r="N118" s="193" t="e">
        <f t="shared" si="62"/>
        <v>#REF!</v>
      </c>
      <c r="O118" s="193" t="e">
        <f t="shared" si="62"/>
        <v>#REF!</v>
      </c>
      <c r="P118" s="193">
        <f t="shared" si="62"/>
        <v>16091.935669740029</v>
      </c>
      <c r="Q118" s="193" t="e">
        <f>SUM(Q105:Q117)</f>
        <v>#REF!</v>
      </c>
    </row>
    <row r="119" spans="2:17" s="3" customFormat="1" ht="13.5" hidden="1" thickTop="1" x14ac:dyDescent="0.3">
      <c r="B119" s="55"/>
      <c r="E119" s="220" t="s">
        <v>91</v>
      </c>
      <c r="F119" s="220"/>
      <c r="G119" s="221"/>
      <c r="H119" s="458"/>
      <c r="I119" s="222"/>
      <c r="J119" s="222"/>
      <c r="K119" s="222"/>
      <c r="L119" s="222"/>
      <c r="M119" s="222"/>
      <c r="N119" s="222"/>
      <c r="O119" s="222"/>
      <c r="P119" s="222"/>
      <c r="Q119" s="223"/>
    </row>
    <row r="120" spans="2:17" s="3" customFormat="1" ht="13" hidden="1" x14ac:dyDescent="0.3">
      <c r="B120" s="55"/>
      <c r="E120" s="188" t="s">
        <v>393</v>
      </c>
      <c r="F120" s="188"/>
      <c r="G120" s="189"/>
      <c r="H120" s="459"/>
      <c r="I120" s="190" t="e">
        <f>I118+I119</f>
        <v>#REF!</v>
      </c>
      <c r="J120" s="190" t="e">
        <f t="shared" ref="J120" si="63">J118+J119</f>
        <v>#REF!</v>
      </c>
      <c r="K120" s="190" t="e">
        <f t="shared" ref="K120" si="64">K118+K119</f>
        <v>#REF!</v>
      </c>
      <c r="L120" s="190" t="e">
        <f t="shared" ref="L120" si="65">L118+L119</f>
        <v>#REF!</v>
      </c>
      <c r="M120" s="190" t="e">
        <f t="shared" ref="M120" si="66">M118+M119</f>
        <v>#REF!</v>
      </c>
      <c r="N120" s="190" t="e">
        <f t="shared" ref="N120" si="67">N118+N119</f>
        <v>#REF!</v>
      </c>
      <c r="O120" s="190" t="e">
        <f t="shared" ref="O120" si="68">O118+O119</f>
        <v>#REF!</v>
      </c>
      <c r="P120" s="190">
        <f t="shared" ref="P120" si="69">P118+P119</f>
        <v>16091.935669740029</v>
      </c>
      <c r="Q120" s="190" t="e">
        <f t="shared" ref="Q120" si="70">Q118+Q119</f>
        <v>#REF!</v>
      </c>
    </row>
    <row r="121" spans="2:17" s="3" customFormat="1" ht="13" hidden="1" x14ac:dyDescent="0.3">
      <c r="B121" s="55"/>
      <c r="E121" s="179">
        <v>43101</v>
      </c>
      <c r="F121" s="179" t="s">
        <v>377</v>
      </c>
      <c r="G121" s="180" t="s">
        <v>89</v>
      </c>
      <c r="H121" s="463">
        <f>$C$44/12</f>
        <v>0</v>
      </c>
      <c r="I121" s="181" t="e">
        <f>(SUM('1.  LRAMVA Summary'!C$22:C$36)+SUM('1.  LRAMVA Summary'!#REF!)*(MONTH($E121)-1)/12)*$H121</f>
        <v>#REF!</v>
      </c>
      <c r="J121" s="181" t="e">
        <f>(SUM('1.  LRAMVA Summary'!D$22:D$36)+SUM('1.  LRAMVA Summary'!#REF!)*(MONTH($E121)-1)/12)*$H121</f>
        <v>#REF!</v>
      </c>
      <c r="K121" s="181" t="e">
        <f>(SUM('1.  LRAMVA Summary'!E$22:E$36)+SUM('1.  LRAMVA Summary'!#REF!)*(MONTH($E121)-1)/12)*$H121</f>
        <v>#REF!</v>
      </c>
      <c r="L121" s="181" t="e">
        <f>(SUM('1.  LRAMVA Summary'!F$22:F$36)+SUM('1.  LRAMVA Summary'!#REF!)*(MONTH($E121)-1)/12)*$H121</f>
        <v>#REF!</v>
      </c>
      <c r="M121" s="181" t="e">
        <f>(SUM('1.  LRAMVA Summary'!G$22:G$36)+SUM('1.  LRAMVA Summary'!#REF!)*(MONTH($E121)-1)/12)*$H121</f>
        <v>#REF!</v>
      </c>
      <c r="N121" s="181" t="e">
        <f>(SUM('1.  LRAMVA Summary'!H$22:H$36)+SUM('1.  LRAMVA Summary'!#REF!)*(MONTH($E121)-1)/12)*$H121</f>
        <v>#REF!</v>
      </c>
      <c r="O121" s="181" t="e">
        <f>(SUM('1.  LRAMVA Summary'!I$22:I$36)+SUM('1.  LRAMVA Summary'!#REF!)*(MONTH($E121)-1)/12)*$H121</f>
        <v>#REF!</v>
      </c>
      <c r="P121" s="181"/>
      <c r="Q121" s="182" t="e">
        <f>SUM(I121:P121)</f>
        <v>#REF!</v>
      </c>
    </row>
    <row r="122" spans="2:17" s="3" customFormat="1" ht="13" hidden="1" x14ac:dyDescent="0.3">
      <c r="B122" s="55"/>
      <c r="E122" s="179">
        <v>43132</v>
      </c>
      <c r="F122" s="179" t="s">
        <v>377</v>
      </c>
      <c r="G122" s="180" t="s">
        <v>89</v>
      </c>
      <c r="H122" s="463">
        <f t="shared" ref="H122:H123" si="71">$C$44/12</f>
        <v>0</v>
      </c>
      <c r="I122" s="181" t="e">
        <f>(SUM('1.  LRAMVA Summary'!C$22:C$36)+SUM('1.  LRAMVA Summary'!#REF!)*(MONTH($E122)-1)/12)*$H122</f>
        <v>#REF!</v>
      </c>
      <c r="J122" s="181" t="e">
        <f>(SUM('1.  LRAMVA Summary'!D$22:D$36)+SUM('1.  LRAMVA Summary'!#REF!)*(MONTH($E122)-1)/12)*$H122</f>
        <v>#REF!</v>
      </c>
      <c r="K122" s="181" t="e">
        <f>(SUM('1.  LRAMVA Summary'!E$22:E$36)+SUM('1.  LRAMVA Summary'!#REF!)*(MONTH($E122)-1)/12)*$H122</f>
        <v>#REF!</v>
      </c>
      <c r="L122" s="181" t="e">
        <f>(SUM('1.  LRAMVA Summary'!F$22:F$36)+SUM('1.  LRAMVA Summary'!#REF!)*(MONTH($E122)-1)/12)*$H122</f>
        <v>#REF!</v>
      </c>
      <c r="M122" s="181" t="e">
        <f>(SUM('1.  LRAMVA Summary'!G$22:G$36)+SUM('1.  LRAMVA Summary'!#REF!)*(MONTH($E122)-1)/12)*$H122</f>
        <v>#REF!</v>
      </c>
      <c r="N122" s="181" t="e">
        <f>(SUM('1.  LRAMVA Summary'!H$22:H$36)+SUM('1.  LRAMVA Summary'!#REF!)*(MONTH($E122)-1)/12)*$H122</f>
        <v>#REF!</v>
      </c>
      <c r="O122" s="181" t="e">
        <f>(SUM('1.  LRAMVA Summary'!I$22:I$36)+SUM('1.  LRAMVA Summary'!#REF!)*(MONTH($E122)-1)/12)*$H122</f>
        <v>#REF!</v>
      </c>
      <c r="P122" s="181"/>
      <c r="Q122" s="182" t="e">
        <f t="shared" ref="Q122:Q132" si="72">SUM(I122:P122)</f>
        <v>#REF!</v>
      </c>
    </row>
    <row r="123" spans="2:17" s="3" customFormat="1" ht="13" hidden="1" x14ac:dyDescent="0.3">
      <c r="B123" s="55"/>
      <c r="E123" s="179">
        <v>43160</v>
      </c>
      <c r="F123" s="179" t="s">
        <v>377</v>
      </c>
      <c r="G123" s="180" t="s">
        <v>89</v>
      </c>
      <c r="H123" s="463">
        <f t="shared" si="71"/>
        <v>0</v>
      </c>
      <c r="I123" s="181" t="e">
        <f>(SUM('1.  LRAMVA Summary'!C$22:C$36)+SUM('1.  LRAMVA Summary'!#REF!)*(MONTH($E123)-1)/12)*$H123</f>
        <v>#REF!</v>
      </c>
      <c r="J123" s="181" t="e">
        <f>(SUM('1.  LRAMVA Summary'!D$22:D$36)+SUM('1.  LRAMVA Summary'!#REF!)*(MONTH($E123)-1)/12)*$H123</f>
        <v>#REF!</v>
      </c>
      <c r="K123" s="181" t="e">
        <f>(SUM('1.  LRAMVA Summary'!E$22:E$36)+SUM('1.  LRAMVA Summary'!#REF!)*(MONTH($E123)-1)/12)*$H123</f>
        <v>#REF!</v>
      </c>
      <c r="L123" s="181" t="e">
        <f>(SUM('1.  LRAMVA Summary'!F$22:F$36)+SUM('1.  LRAMVA Summary'!#REF!)*(MONTH($E123)-1)/12)*$H123</f>
        <v>#REF!</v>
      </c>
      <c r="M123" s="181" t="e">
        <f>(SUM('1.  LRAMVA Summary'!G$22:G$36)+SUM('1.  LRAMVA Summary'!#REF!)*(MONTH($E123)-1)/12)*$H123</f>
        <v>#REF!</v>
      </c>
      <c r="N123" s="181" t="e">
        <f>(SUM('1.  LRAMVA Summary'!H$22:H$36)+SUM('1.  LRAMVA Summary'!#REF!)*(MONTH($E123)-1)/12)*$H123</f>
        <v>#REF!</v>
      </c>
      <c r="O123" s="181" t="e">
        <f>(SUM('1.  LRAMVA Summary'!I$22:I$36)+SUM('1.  LRAMVA Summary'!#REF!)*(MONTH($E123)-1)/12)*$H123</f>
        <v>#REF!</v>
      </c>
      <c r="P123" s="181"/>
      <c r="Q123" s="182" t="e">
        <f t="shared" si="72"/>
        <v>#REF!</v>
      </c>
    </row>
    <row r="124" spans="2:17" s="16" customFormat="1" ht="13" hidden="1" x14ac:dyDescent="0.3">
      <c r="B124" s="212"/>
      <c r="E124" s="179">
        <v>43191</v>
      </c>
      <c r="F124" s="179" t="s">
        <v>377</v>
      </c>
      <c r="G124" s="180" t="s">
        <v>90</v>
      </c>
      <c r="H124" s="463">
        <f>$C$45/12</f>
        <v>0</v>
      </c>
      <c r="I124" s="181" t="e">
        <f>(SUM('1.  LRAMVA Summary'!C$22:C$36)+SUM('1.  LRAMVA Summary'!#REF!)*(MONTH($E124)-1)/12)*$H124</f>
        <v>#REF!</v>
      </c>
      <c r="J124" s="181" t="e">
        <f>(SUM('1.  LRAMVA Summary'!D$22:D$36)+SUM('1.  LRAMVA Summary'!#REF!)*(MONTH($E124)-1)/12)*$H124</f>
        <v>#REF!</v>
      </c>
      <c r="K124" s="181" t="e">
        <f>(SUM('1.  LRAMVA Summary'!E$22:E$36)+SUM('1.  LRAMVA Summary'!#REF!)*(MONTH($E124)-1)/12)*$H124</f>
        <v>#REF!</v>
      </c>
      <c r="L124" s="181" t="e">
        <f>(SUM('1.  LRAMVA Summary'!F$22:F$36)+SUM('1.  LRAMVA Summary'!#REF!)*(MONTH($E124)-1)/12)*$H124</f>
        <v>#REF!</v>
      </c>
      <c r="M124" s="181" t="e">
        <f>(SUM('1.  LRAMVA Summary'!G$22:G$36)+SUM('1.  LRAMVA Summary'!#REF!)*(MONTH($E124)-1)/12)*$H124</f>
        <v>#REF!</v>
      </c>
      <c r="N124" s="181" t="e">
        <f>(SUM('1.  LRAMVA Summary'!H$22:H$36)+SUM('1.  LRAMVA Summary'!#REF!)*(MONTH($E124)-1)/12)*$H124</f>
        <v>#REF!</v>
      </c>
      <c r="O124" s="181" t="e">
        <f>(SUM('1.  LRAMVA Summary'!I$22:I$36)+SUM('1.  LRAMVA Summary'!#REF!)*(MONTH($E124)-1)/12)*$H124</f>
        <v>#REF!</v>
      </c>
      <c r="P124" s="181"/>
      <c r="Q124" s="182" t="e">
        <f t="shared" si="72"/>
        <v>#REF!</v>
      </c>
    </row>
    <row r="125" spans="2:17" s="3" customFormat="1" ht="13" hidden="1" x14ac:dyDescent="0.3">
      <c r="B125" s="55"/>
      <c r="E125" s="179">
        <v>43221</v>
      </c>
      <c r="F125" s="179" t="s">
        <v>377</v>
      </c>
      <c r="G125" s="180" t="s">
        <v>90</v>
      </c>
      <c r="H125" s="463">
        <f t="shared" ref="H125:H126" si="73">$C$45/12</f>
        <v>0</v>
      </c>
      <c r="I125" s="181" t="e">
        <f>(SUM('1.  LRAMVA Summary'!C$22:C$36)+SUM('1.  LRAMVA Summary'!#REF!)*(MONTH($E125)-1)/12)*$H125</f>
        <v>#REF!</v>
      </c>
      <c r="J125" s="181" t="e">
        <f>(SUM('1.  LRAMVA Summary'!D$22:D$36)+SUM('1.  LRAMVA Summary'!#REF!)*(MONTH($E125)-1)/12)*$H125</f>
        <v>#REF!</v>
      </c>
      <c r="K125" s="181" t="e">
        <f>(SUM('1.  LRAMVA Summary'!E$22:E$36)+SUM('1.  LRAMVA Summary'!#REF!)*(MONTH($E125)-1)/12)*$H125</f>
        <v>#REF!</v>
      </c>
      <c r="L125" s="181" t="e">
        <f>(SUM('1.  LRAMVA Summary'!F$22:F$36)+SUM('1.  LRAMVA Summary'!#REF!)*(MONTH($E125)-1)/12)*$H125</f>
        <v>#REF!</v>
      </c>
      <c r="M125" s="181" t="e">
        <f>(SUM('1.  LRAMVA Summary'!G$22:G$36)+SUM('1.  LRAMVA Summary'!#REF!)*(MONTH($E125)-1)/12)*$H125</f>
        <v>#REF!</v>
      </c>
      <c r="N125" s="181" t="e">
        <f>(SUM('1.  LRAMVA Summary'!H$22:H$36)+SUM('1.  LRAMVA Summary'!#REF!)*(MONTH($E125)-1)/12)*$H125</f>
        <v>#REF!</v>
      </c>
      <c r="O125" s="181" t="e">
        <f>(SUM('1.  LRAMVA Summary'!I$22:I$36)+SUM('1.  LRAMVA Summary'!#REF!)*(MONTH($E125)-1)/12)*$H125</f>
        <v>#REF!</v>
      </c>
      <c r="P125" s="181"/>
      <c r="Q125" s="182" t="e">
        <f t="shared" si="72"/>
        <v>#REF!</v>
      </c>
    </row>
    <row r="126" spans="2:17" s="15" customFormat="1" ht="13" hidden="1" x14ac:dyDescent="0.3">
      <c r="B126" s="211"/>
      <c r="E126" s="179">
        <v>43252</v>
      </c>
      <c r="F126" s="179" t="s">
        <v>377</v>
      </c>
      <c r="G126" s="180" t="s">
        <v>90</v>
      </c>
      <c r="H126" s="463">
        <f t="shared" si="73"/>
        <v>0</v>
      </c>
      <c r="I126" s="181" t="e">
        <f>(SUM('1.  LRAMVA Summary'!C$22:C$36)+SUM('1.  LRAMVA Summary'!#REF!)*(MONTH($E126)-1)/12)*$H126</f>
        <v>#REF!</v>
      </c>
      <c r="J126" s="181" t="e">
        <f>(SUM('1.  LRAMVA Summary'!D$22:D$36)+SUM('1.  LRAMVA Summary'!#REF!)*(MONTH($E126)-1)/12)*$H126</f>
        <v>#REF!</v>
      </c>
      <c r="K126" s="181" t="e">
        <f>(SUM('1.  LRAMVA Summary'!E$22:E$36)+SUM('1.  LRAMVA Summary'!#REF!)*(MONTH($E126)-1)/12)*$H126</f>
        <v>#REF!</v>
      </c>
      <c r="L126" s="181" t="e">
        <f>(SUM('1.  LRAMVA Summary'!F$22:F$36)+SUM('1.  LRAMVA Summary'!#REF!)*(MONTH($E126)-1)/12)*$H126</f>
        <v>#REF!</v>
      </c>
      <c r="M126" s="181" t="e">
        <f>(SUM('1.  LRAMVA Summary'!G$22:G$36)+SUM('1.  LRAMVA Summary'!#REF!)*(MONTH($E126)-1)/12)*$H126</f>
        <v>#REF!</v>
      </c>
      <c r="N126" s="181" t="e">
        <f>(SUM('1.  LRAMVA Summary'!H$22:H$36)+SUM('1.  LRAMVA Summary'!#REF!)*(MONTH($E126)-1)/12)*$H126</f>
        <v>#REF!</v>
      </c>
      <c r="O126" s="181" t="e">
        <f>(SUM('1.  LRAMVA Summary'!I$22:I$36)+SUM('1.  LRAMVA Summary'!#REF!)*(MONTH($E126)-1)/12)*$H126</f>
        <v>#REF!</v>
      </c>
      <c r="P126" s="181"/>
      <c r="Q126" s="182" t="e">
        <f t="shared" si="72"/>
        <v>#REF!</v>
      </c>
    </row>
    <row r="127" spans="2:17" s="3" customFormat="1" ht="13" hidden="1" x14ac:dyDescent="0.3">
      <c r="B127" s="55"/>
      <c r="E127" s="179">
        <v>43282</v>
      </c>
      <c r="F127" s="179" t="s">
        <v>377</v>
      </c>
      <c r="G127" s="180" t="s">
        <v>92</v>
      </c>
      <c r="H127" s="463">
        <f>$C$46/12</f>
        <v>0</v>
      </c>
      <c r="I127" s="181" t="e">
        <f>(SUM('1.  LRAMVA Summary'!C$22:C$36)+SUM('1.  LRAMVA Summary'!#REF!)*(MONTH($E127)-1)/12)*$H127</f>
        <v>#REF!</v>
      </c>
      <c r="J127" s="181" t="e">
        <f>(SUM('1.  LRAMVA Summary'!D$22:D$36)+SUM('1.  LRAMVA Summary'!#REF!)*(MONTH($E127)-1)/12)*$H127</f>
        <v>#REF!</v>
      </c>
      <c r="K127" s="181" t="e">
        <f>(SUM('1.  LRAMVA Summary'!E$22:E$36)+SUM('1.  LRAMVA Summary'!#REF!)*(MONTH($E127)-1)/12)*$H127</f>
        <v>#REF!</v>
      </c>
      <c r="L127" s="181" t="e">
        <f>(SUM('1.  LRAMVA Summary'!F$22:F$36)+SUM('1.  LRAMVA Summary'!#REF!)*(MONTH($E127)-1)/12)*$H127</f>
        <v>#REF!</v>
      </c>
      <c r="M127" s="181" t="e">
        <f>(SUM('1.  LRAMVA Summary'!G$22:G$36)+SUM('1.  LRAMVA Summary'!#REF!)*(MONTH($E127)-1)/12)*$H127</f>
        <v>#REF!</v>
      </c>
      <c r="N127" s="181" t="e">
        <f>(SUM('1.  LRAMVA Summary'!H$22:H$36)+SUM('1.  LRAMVA Summary'!#REF!)*(MONTH($E127)-1)/12)*$H127</f>
        <v>#REF!</v>
      </c>
      <c r="O127" s="181" t="e">
        <f>(SUM('1.  LRAMVA Summary'!I$22:I$36)+SUM('1.  LRAMVA Summary'!#REF!)*(MONTH($E127)-1)/12)*$H127</f>
        <v>#REF!</v>
      </c>
      <c r="P127" s="181"/>
      <c r="Q127" s="182" t="e">
        <f t="shared" si="72"/>
        <v>#REF!</v>
      </c>
    </row>
    <row r="128" spans="2:17" s="3" customFormat="1" ht="13" hidden="1" x14ac:dyDescent="0.3">
      <c r="B128" s="55"/>
      <c r="E128" s="179">
        <v>43313</v>
      </c>
      <c r="F128" s="179" t="s">
        <v>377</v>
      </c>
      <c r="G128" s="180" t="s">
        <v>92</v>
      </c>
      <c r="H128" s="463">
        <f t="shared" ref="H128:H129" si="74">$C$46/12</f>
        <v>0</v>
      </c>
      <c r="I128" s="181" t="e">
        <f>(SUM('1.  LRAMVA Summary'!C$22:C$36)+SUM('1.  LRAMVA Summary'!#REF!)*(MONTH($E128)-1)/12)*$H128</f>
        <v>#REF!</v>
      </c>
      <c r="J128" s="181" t="e">
        <f>(SUM('1.  LRAMVA Summary'!D$22:D$36)+SUM('1.  LRAMVA Summary'!#REF!)*(MONTH($E128)-1)/12)*$H128</f>
        <v>#REF!</v>
      </c>
      <c r="K128" s="181" t="e">
        <f>(SUM('1.  LRAMVA Summary'!E$22:E$36)+SUM('1.  LRAMVA Summary'!#REF!)*(MONTH($E128)-1)/12)*$H128</f>
        <v>#REF!</v>
      </c>
      <c r="L128" s="181" t="e">
        <f>(SUM('1.  LRAMVA Summary'!F$22:F$36)+SUM('1.  LRAMVA Summary'!#REF!)*(MONTH($E128)-1)/12)*$H128</f>
        <v>#REF!</v>
      </c>
      <c r="M128" s="181" t="e">
        <f>(SUM('1.  LRAMVA Summary'!G$22:G$36)+SUM('1.  LRAMVA Summary'!#REF!)*(MONTH($E128)-1)/12)*$H128</f>
        <v>#REF!</v>
      </c>
      <c r="N128" s="181" t="e">
        <f>(SUM('1.  LRAMVA Summary'!H$22:H$36)+SUM('1.  LRAMVA Summary'!#REF!)*(MONTH($E128)-1)/12)*$H128</f>
        <v>#REF!</v>
      </c>
      <c r="O128" s="181" t="e">
        <f>(SUM('1.  LRAMVA Summary'!I$22:I$36)+SUM('1.  LRAMVA Summary'!#REF!)*(MONTH($E128)-1)/12)*$H128</f>
        <v>#REF!</v>
      </c>
      <c r="P128" s="181"/>
      <c r="Q128" s="182" t="e">
        <f t="shared" si="72"/>
        <v>#REF!</v>
      </c>
    </row>
    <row r="129" spans="2:17" s="3" customFormat="1" ht="13" hidden="1" x14ac:dyDescent="0.3">
      <c r="B129" s="55"/>
      <c r="E129" s="179">
        <v>43344</v>
      </c>
      <c r="F129" s="179" t="s">
        <v>377</v>
      </c>
      <c r="G129" s="180" t="s">
        <v>92</v>
      </c>
      <c r="H129" s="463">
        <f t="shared" si="74"/>
        <v>0</v>
      </c>
      <c r="I129" s="181" t="e">
        <f>(SUM('1.  LRAMVA Summary'!C$22:C$36)+SUM('1.  LRAMVA Summary'!#REF!)*(MONTH($E129)-1)/12)*$H129</f>
        <v>#REF!</v>
      </c>
      <c r="J129" s="181" t="e">
        <f>(SUM('1.  LRAMVA Summary'!D$22:D$36)+SUM('1.  LRAMVA Summary'!#REF!)*(MONTH($E129)-1)/12)*$H129</f>
        <v>#REF!</v>
      </c>
      <c r="K129" s="181" t="e">
        <f>(SUM('1.  LRAMVA Summary'!E$22:E$36)+SUM('1.  LRAMVA Summary'!#REF!)*(MONTH($E129)-1)/12)*$H129</f>
        <v>#REF!</v>
      </c>
      <c r="L129" s="181" t="e">
        <f>(SUM('1.  LRAMVA Summary'!F$22:F$36)+SUM('1.  LRAMVA Summary'!#REF!)*(MONTH($E129)-1)/12)*$H129</f>
        <v>#REF!</v>
      </c>
      <c r="M129" s="181" t="e">
        <f>(SUM('1.  LRAMVA Summary'!G$22:G$36)+SUM('1.  LRAMVA Summary'!#REF!)*(MONTH($E129)-1)/12)*$H129</f>
        <v>#REF!</v>
      </c>
      <c r="N129" s="181" t="e">
        <f>(SUM('1.  LRAMVA Summary'!H$22:H$36)+SUM('1.  LRAMVA Summary'!#REF!)*(MONTH($E129)-1)/12)*$H129</f>
        <v>#REF!</v>
      </c>
      <c r="O129" s="181" t="e">
        <f>(SUM('1.  LRAMVA Summary'!I$22:I$36)+SUM('1.  LRAMVA Summary'!#REF!)*(MONTH($E129)-1)/12)*$H129</f>
        <v>#REF!</v>
      </c>
      <c r="P129" s="181"/>
      <c r="Q129" s="182" t="e">
        <f t="shared" si="72"/>
        <v>#REF!</v>
      </c>
    </row>
    <row r="130" spans="2:17" s="3" customFormat="1" ht="13" hidden="1" x14ac:dyDescent="0.3">
      <c r="B130" s="55"/>
      <c r="E130" s="179">
        <v>43374</v>
      </c>
      <c r="F130" s="179" t="s">
        <v>377</v>
      </c>
      <c r="G130" s="180" t="s">
        <v>93</v>
      </c>
      <c r="H130" s="463">
        <f>C47/12</f>
        <v>0</v>
      </c>
      <c r="I130" s="181" t="e">
        <f>(SUM('1.  LRAMVA Summary'!C$22:C$36)+SUM('1.  LRAMVA Summary'!#REF!)*(MONTH($E130)-1)/12)*$H130</f>
        <v>#REF!</v>
      </c>
      <c r="J130" s="181" t="e">
        <f>(SUM('1.  LRAMVA Summary'!D$22:D$36)+SUM('1.  LRAMVA Summary'!#REF!)*(MONTH($E130)-1)/12)*$H130</f>
        <v>#REF!</v>
      </c>
      <c r="K130" s="181" t="e">
        <f>(SUM('1.  LRAMVA Summary'!E$22:E$36)+SUM('1.  LRAMVA Summary'!#REF!)*(MONTH($E130)-1)/12)*$H130</f>
        <v>#REF!</v>
      </c>
      <c r="L130" s="181" t="e">
        <f>(SUM('1.  LRAMVA Summary'!F$22:F$36)+SUM('1.  LRAMVA Summary'!#REF!)*(MONTH($E130)-1)/12)*$H130</f>
        <v>#REF!</v>
      </c>
      <c r="M130" s="181" t="e">
        <f>(SUM('1.  LRAMVA Summary'!G$22:G$36)+SUM('1.  LRAMVA Summary'!#REF!)*(MONTH($E130)-1)/12)*$H130</f>
        <v>#REF!</v>
      </c>
      <c r="N130" s="181" t="e">
        <f>(SUM('1.  LRAMVA Summary'!H$22:H$36)+SUM('1.  LRAMVA Summary'!#REF!)*(MONTH($E130)-1)/12)*$H130</f>
        <v>#REF!</v>
      </c>
      <c r="O130" s="181" t="e">
        <f>(SUM('1.  LRAMVA Summary'!I$22:I$36)+SUM('1.  LRAMVA Summary'!#REF!)*(MONTH($E130)-1)/12)*$H130</f>
        <v>#REF!</v>
      </c>
      <c r="P130" s="181"/>
      <c r="Q130" s="182" t="e">
        <f t="shared" si="72"/>
        <v>#REF!</v>
      </c>
    </row>
    <row r="131" spans="2:17" s="3" customFormat="1" ht="13" hidden="1" x14ac:dyDescent="0.3">
      <c r="B131" s="55"/>
      <c r="E131" s="179">
        <v>43405</v>
      </c>
      <c r="F131" s="179" t="s">
        <v>377</v>
      </c>
      <c r="G131" s="180" t="s">
        <v>93</v>
      </c>
      <c r="H131" s="463">
        <f t="shared" ref="H131:H132" si="75">C48/12</f>
        <v>0</v>
      </c>
      <c r="I131" s="181" t="e">
        <f>(SUM('1.  LRAMVA Summary'!C$22:C$36)+SUM('1.  LRAMVA Summary'!#REF!)*(MONTH($E131)-1)/12)*$H131</f>
        <v>#REF!</v>
      </c>
      <c r="J131" s="181" t="e">
        <f>(SUM('1.  LRAMVA Summary'!D$22:D$36)+SUM('1.  LRAMVA Summary'!#REF!)*(MONTH($E131)-1)/12)*$H131</f>
        <v>#REF!</v>
      </c>
      <c r="K131" s="181" t="e">
        <f>(SUM('1.  LRAMVA Summary'!E$22:E$36)+SUM('1.  LRAMVA Summary'!#REF!)*(MONTH($E131)-1)/12)*$H131</f>
        <v>#REF!</v>
      </c>
      <c r="L131" s="181" t="e">
        <f>(SUM('1.  LRAMVA Summary'!F$22:F$36)+SUM('1.  LRAMVA Summary'!#REF!)*(MONTH($E131)-1)/12)*$H131</f>
        <v>#REF!</v>
      </c>
      <c r="M131" s="181" t="e">
        <f>(SUM('1.  LRAMVA Summary'!G$22:G$36)+SUM('1.  LRAMVA Summary'!#REF!)*(MONTH($E131)-1)/12)*$H131</f>
        <v>#REF!</v>
      </c>
      <c r="N131" s="181" t="e">
        <f>(SUM('1.  LRAMVA Summary'!H$22:H$36)+SUM('1.  LRAMVA Summary'!#REF!)*(MONTH($E131)-1)/12)*$H131</f>
        <v>#REF!</v>
      </c>
      <c r="O131" s="181" t="e">
        <f>(SUM('1.  LRAMVA Summary'!I$22:I$36)+SUM('1.  LRAMVA Summary'!#REF!)*(MONTH($E131)-1)/12)*$H131</f>
        <v>#REF!</v>
      </c>
      <c r="P131" s="181"/>
      <c r="Q131" s="182" t="e">
        <f t="shared" si="72"/>
        <v>#REF!</v>
      </c>
    </row>
    <row r="132" spans="2:17" s="3" customFormat="1" ht="13" hidden="1" x14ac:dyDescent="0.3">
      <c r="B132" s="55"/>
      <c r="E132" s="179">
        <v>43435</v>
      </c>
      <c r="F132" s="179" t="s">
        <v>377</v>
      </c>
      <c r="G132" s="180" t="s">
        <v>93</v>
      </c>
      <c r="H132" s="463">
        <f t="shared" si="75"/>
        <v>0</v>
      </c>
      <c r="I132" s="181" t="e">
        <f>(SUM('1.  LRAMVA Summary'!C$22:C$36)+SUM('1.  LRAMVA Summary'!#REF!)*(MONTH($E132)-1)/12)*$H132</f>
        <v>#REF!</v>
      </c>
      <c r="J132" s="181" t="e">
        <f>(SUM('1.  LRAMVA Summary'!D$22:D$36)+SUM('1.  LRAMVA Summary'!#REF!)*(MONTH($E132)-1)/12)*$H132</f>
        <v>#REF!</v>
      </c>
      <c r="K132" s="181" t="e">
        <f>(SUM('1.  LRAMVA Summary'!E$22:E$36)+SUM('1.  LRAMVA Summary'!#REF!)*(MONTH($E132)-1)/12)*$H132</f>
        <v>#REF!</v>
      </c>
      <c r="L132" s="181" t="e">
        <f>(SUM('1.  LRAMVA Summary'!F$22:F$36)+SUM('1.  LRAMVA Summary'!#REF!)*(MONTH($E132)-1)/12)*$H132</f>
        <v>#REF!</v>
      </c>
      <c r="M132" s="181" t="e">
        <f>(SUM('1.  LRAMVA Summary'!G$22:G$36)+SUM('1.  LRAMVA Summary'!#REF!)*(MONTH($E132)-1)/12)*$H132</f>
        <v>#REF!</v>
      </c>
      <c r="N132" s="181" t="e">
        <f>(SUM('1.  LRAMVA Summary'!H$22:H$36)+SUM('1.  LRAMVA Summary'!#REF!)*(MONTH($E132)-1)/12)*$H132</f>
        <v>#REF!</v>
      </c>
      <c r="O132" s="181" t="e">
        <f>(SUM('1.  LRAMVA Summary'!I$22:I$36)+SUM('1.  LRAMVA Summary'!#REF!)*(MONTH($E132)-1)/12)*$H132</f>
        <v>#REF!</v>
      </c>
      <c r="P132" s="181"/>
      <c r="Q132" s="182" t="e">
        <f t="shared" si="72"/>
        <v>#REF!</v>
      </c>
    </row>
    <row r="133" spans="2:17" s="3" customFormat="1" ht="13.5" hidden="1" thickBot="1" x14ac:dyDescent="0.35">
      <c r="B133" s="55"/>
      <c r="E133" s="191" t="s">
        <v>384</v>
      </c>
      <c r="F133" s="191"/>
      <c r="G133" s="192"/>
      <c r="H133" s="457"/>
      <c r="I133" s="193" t="e">
        <f>SUM(I120:I132)</f>
        <v>#REF!</v>
      </c>
      <c r="J133" s="193" t="e">
        <f>SUM(J120:J132)</f>
        <v>#REF!</v>
      </c>
      <c r="K133" s="193" t="e">
        <f t="shared" ref="K133:P133" si="76">SUM(K120:K132)</f>
        <v>#REF!</v>
      </c>
      <c r="L133" s="193" t="e">
        <f t="shared" si="76"/>
        <v>#REF!</v>
      </c>
      <c r="M133" s="193" t="e">
        <f t="shared" si="76"/>
        <v>#REF!</v>
      </c>
      <c r="N133" s="193" t="e">
        <f t="shared" si="76"/>
        <v>#REF!</v>
      </c>
      <c r="O133" s="193" t="e">
        <f t="shared" si="76"/>
        <v>#REF!</v>
      </c>
      <c r="P133" s="193">
        <f t="shared" si="76"/>
        <v>16091.935669740029</v>
      </c>
      <c r="Q133" s="193" t="e">
        <f>SUM(Q120:Q132)</f>
        <v>#REF!</v>
      </c>
    </row>
    <row r="134" spans="2:17" s="3" customFormat="1" ht="13.5" hidden="1" thickTop="1" x14ac:dyDescent="0.3">
      <c r="B134" s="55"/>
      <c r="E134" s="220" t="s">
        <v>91</v>
      </c>
      <c r="F134" s="220"/>
      <c r="G134" s="221"/>
      <c r="H134" s="458"/>
      <c r="I134" s="222"/>
      <c r="J134" s="222"/>
      <c r="K134" s="222"/>
      <c r="L134" s="222"/>
      <c r="M134" s="222"/>
      <c r="N134" s="222"/>
      <c r="O134" s="222"/>
      <c r="P134" s="222"/>
      <c r="Q134" s="223"/>
    </row>
    <row r="135" spans="2:17" s="3" customFormat="1" ht="13" hidden="1" x14ac:dyDescent="0.3">
      <c r="B135" s="55"/>
      <c r="E135" s="188" t="s">
        <v>394</v>
      </c>
      <c r="F135" s="188"/>
      <c r="G135" s="189"/>
      <c r="H135" s="459"/>
      <c r="I135" s="190" t="e">
        <f>I133+I134</f>
        <v>#REF!</v>
      </c>
      <c r="J135" s="190" t="e">
        <f t="shared" ref="J135" si="77">J133+J134</f>
        <v>#REF!</v>
      </c>
      <c r="K135" s="190" t="e">
        <f t="shared" ref="K135" si="78">K133+K134</f>
        <v>#REF!</v>
      </c>
      <c r="L135" s="190" t="e">
        <f t="shared" ref="L135" si="79">L133+L134</f>
        <v>#REF!</v>
      </c>
      <c r="M135" s="190" t="e">
        <f t="shared" ref="M135" si="80">M133+M134</f>
        <v>#REF!</v>
      </c>
      <c r="N135" s="190" t="e">
        <f t="shared" ref="N135" si="81">N133+N134</f>
        <v>#REF!</v>
      </c>
      <c r="O135" s="190" t="e">
        <f t="shared" ref="O135" si="82">O133+O134</f>
        <v>#REF!</v>
      </c>
      <c r="P135" s="190">
        <f t="shared" ref="P135" si="83">P133+P134</f>
        <v>16091.935669740029</v>
      </c>
      <c r="Q135" s="190" t="e">
        <f>Q133+Q134</f>
        <v>#REF!</v>
      </c>
    </row>
    <row r="136" spans="2:17" s="3" customFormat="1" ht="13" hidden="1" x14ac:dyDescent="0.3">
      <c r="B136" s="55"/>
      <c r="E136" s="179">
        <v>43466</v>
      </c>
      <c r="F136" s="179" t="s">
        <v>378</v>
      </c>
      <c r="G136" s="180" t="s">
        <v>89</v>
      </c>
      <c r="H136" s="463">
        <f>$C$48/12</f>
        <v>0</v>
      </c>
      <c r="I136" s="181" t="e">
        <f>(SUM('1.  LRAMVA Summary'!C$22:C$36)+SUM('1.  LRAMVA Summary'!#REF!)*(MONTH($E136)-1)/12)*$H136</f>
        <v>#REF!</v>
      </c>
      <c r="J136" s="181" t="e">
        <f>(SUM('1.  LRAMVA Summary'!D$22:D$36)+SUM('1.  LRAMVA Summary'!#REF!)*(MONTH($E136)-1)/12)*$H136</f>
        <v>#REF!</v>
      </c>
      <c r="K136" s="181" t="e">
        <f>(SUM('1.  LRAMVA Summary'!E$22:E$36)+SUM('1.  LRAMVA Summary'!#REF!)*(MONTH($E136)-1)/12)*$H136</f>
        <v>#REF!</v>
      </c>
      <c r="L136" s="181" t="e">
        <f>(SUM('1.  LRAMVA Summary'!F$22:F$36)+SUM('1.  LRAMVA Summary'!#REF!)*(MONTH($E136)-1)/12)*$H136</f>
        <v>#REF!</v>
      </c>
      <c r="M136" s="181" t="e">
        <f>(SUM('1.  LRAMVA Summary'!G$22:G$36)+SUM('1.  LRAMVA Summary'!#REF!)*(MONTH($E136)-1)/12)*$H136</f>
        <v>#REF!</v>
      </c>
      <c r="N136" s="181" t="e">
        <f>(SUM('1.  LRAMVA Summary'!H$22:H$36)+SUM('1.  LRAMVA Summary'!#REF!)*(MONTH($E136)-1)/12)*$H136</f>
        <v>#REF!</v>
      </c>
      <c r="O136" s="181" t="e">
        <f>(SUM('1.  LRAMVA Summary'!I$22:I$36)+SUM('1.  LRAMVA Summary'!#REF!)*(MONTH($E136)-1)/12)*$H136</f>
        <v>#REF!</v>
      </c>
      <c r="P136" s="181"/>
      <c r="Q136" s="182" t="e">
        <f t="shared" ref="Q136:Q147" si="84">SUM(I136:P136)</f>
        <v>#REF!</v>
      </c>
    </row>
    <row r="137" spans="2:17" s="3" customFormat="1" ht="13" hidden="1" x14ac:dyDescent="0.3">
      <c r="B137" s="55"/>
      <c r="E137" s="179">
        <v>43497</v>
      </c>
      <c r="F137" s="179" t="s">
        <v>378</v>
      </c>
      <c r="G137" s="180" t="s">
        <v>89</v>
      </c>
      <c r="H137" s="463">
        <f t="shared" ref="H137:H138" si="85">$C$48/12</f>
        <v>0</v>
      </c>
      <c r="I137" s="181" t="e">
        <f>(SUM('1.  LRAMVA Summary'!C$22:C$36)+SUM('1.  LRAMVA Summary'!#REF!)*(MONTH($E137)-1)/12)*$H137</f>
        <v>#REF!</v>
      </c>
      <c r="J137" s="181" t="e">
        <f>(SUM('1.  LRAMVA Summary'!D$22:D$36)+SUM('1.  LRAMVA Summary'!#REF!)*(MONTH($E137)-1)/12)*$H137</f>
        <v>#REF!</v>
      </c>
      <c r="K137" s="181" t="e">
        <f>(SUM('1.  LRAMVA Summary'!E$22:E$36)+SUM('1.  LRAMVA Summary'!#REF!)*(MONTH($E137)-1)/12)*$H137</f>
        <v>#REF!</v>
      </c>
      <c r="L137" s="181" t="e">
        <f>(SUM('1.  LRAMVA Summary'!F$22:F$36)+SUM('1.  LRAMVA Summary'!#REF!)*(MONTH($E137)-1)/12)*$H137</f>
        <v>#REF!</v>
      </c>
      <c r="M137" s="181" t="e">
        <f>(SUM('1.  LRAMVA Summary'!G$22:G$36)+SUM('1.  LRAMVA Summary'!#REF!)*(MONTH($E137)-1)/12)*$H137</f>
        <v>#REF!</v>
      </c>
      <c r="N137" s="181" t="e">
        <f>(SUM('1.  LRAMVA Summary'!H$22:H$36)+SUM('1.  LRAMVA Summary'!#REF!)*(MONTH($E137)-1)/12)*$H137</f>
        <v>#REF!</v>
      </c>
      <c r="O137" s="181" t="e">
        <f>(SUM('1.  LRAMVA Summary'!I$22:I$36)+SUM('1.  LRAMVA Summary'!#REF!)*(MONTH($E137)-1)/12)*$H137</f>
        <v>#REF!</v>
      </c>
      <c r="P137" s="181"/>
      <c r="Q137" s="182" t="e">
        <f t="shared" si="84"/>
        <v>#REF!</v>
      </c>
    </row>
    <row r="138" spans="2:17" s="3" customFormat="1" ht="13" hidden="1" x14ac:dyDescent="0.3">
      <c r="B138" s="55"/>
      <c r="E138" s="179">
        <v>43525</v>
      </c>
      <c r="F138" s="179" t="s">
        <v>378</v>
      </c>
      <c r="G138" s="180" t="s">
        <v>89</v>
      </c>
      <c r="H138" s="463">
        <f t="shared" si="85"/>
        <v>0</v>
      </c>
      <c r="I138" s="181" t="e">
        <f>(SUM('1.  LRAMVA Summary'!C$22:C$36)+SUM('1.  LRAMVA Summary'!#REF!)*(MONTH($E138)-1)/12)*$H138</f>
        <v>#REF!</v>
      </c>
      <c r="J138" s="181" t="e">
        <f>(SUM('1.  LRAMVA Summary'!D$22:D$36)+SUM('1.  LRAMVA Summary'!#REF!)*(MONTH($E138)-1)/12)*$H138</f>
        <v>#REF!</v>
      </c>
      <c r="K138" s="181" t="e">
        <f>(SUM('1.  LRAMVA Summary'!E$22:E$36)+SUM('1.  LRAMVA Summary'!#REF!)*(MONTH($E138)-1)/12)*$H138</f>
        <v>#REF!</v>
      </c>
      <c r="L138" s="181" t="e">
        <f>(SUM('1.  LRAMVA Summary'!F$22:F$36)+SUM('1.  LRAMVA Summary'!#REF!)*(MONTH($E138)-1)/12)*$H138</f>
        <v>#REF!</v>
      </c>
      <c r="M138" s="181" t="e">
        <f>(SUM('1.  LRAMVA Summary'!G$22:G$36)+SUM('1.  LRAMVA Summary'!#REF!)*(MONTH($E138)-1)/12)*$H138</f>
        <v>#REF!</v>
      </c>
      <c r="N138" s="181" t="e">
        <f>(SUM('1.  LRAMVA Summary'!H$22:H$36)+SUM('1.  LRAMVA Summary'!#REF!)*(MONTH($E138)-1)/12)*$H138</f>
        <v>#REF!</v>
      </c>
      <c r="O138" s="181" t="e">
        <f>(SUM('1.  LRAMVA Summary'!I$22:I$36)+SUM('1.  LRAMVA Summary'!#REF!)*(MONTH($E138)-1)/12)*$H138</f>
        <v>#REF!</v>
      </c>
      <c r="P138" s="181"/>
      <c r="Q138" s="182" t="e">
        <f t="shared" si="84"/>
        <v>#REF!</v>
      </c>
    </row>
    <row r="139" spans="2:17" s="16" customFormat="1" ht="13" hidden="1" x14ac:dyDescent="0.3">
      <c r="B139" s="212"/>
      <c r="E139" s="179">
        <v>43556</v>
      </c>
      <c r="F139" s="179" t="s">
        <v>378</v>
      </c>
      <c r="G139" s="180" t="s">
        <v>90</v>
      </c>
      <c r="H139" s="463">
        <f>$C$49/12</f>
        <v>0</v>
      </c>
      <c r="I139" s="181" t="e">
        <f>(SUM('1.  LRAMVA Summary'!C$22:C$36)+SUM('1.  LRAMVA Summary'!#REF!)*(MONTH($E139)-1)/12)*$H139</f>
        <v>#REF!</v>
      </c>
      <c r="J139" s="181" t="e">
        <f>(SUM('1.  LRAMVA Summary'!D$22:D$36)+SUM('1.  LRAMVA Summary'!#REF!)*(MONTH($E139)-1)/12)*$H139</f>
        <v>#REF!</v>
      </c>
      <c r="K139" s="181" t="e">
        <f>(SUM('1.  LRAMVA Summary'!E$22:E$36)+SUM('1.  LRAMVA Summary'!#REF!)*(MONTH($E139)-1)/12)*$H139</f>
        <v>#REF!</v>
      </c>
      <c r="L139" s="181" t="e">
        <f>(SUM('1.  LRAMVA Summary'!F$22:F$36)+SUM('1.  LRAMVA Summary'!#REF!)*(MONTH($E139)-1)/12)*$H139</f>
        <v>#REF!</v>
      </c>
      <c r="M139" s="181" t="e">
        <f>(SUM('1.  LRAMVA Summary'!G$22:G$36)+SUM('1.  LRAMVA Summary'!#REF!)*(MONTH($E139)-1)/12)*$H139</f>
        <v>#REF!</v>
      </c>
      <c r="N139" s="181" t="e">
        <f>(SUM('1.  LRAMVA Summary'!H$22:H$36)+SUM('1.  LRAMVA Summary'!#REF!)*(MONTH($E139)-1)/12)*$H139</f>
        <v>#REF!</v>
      </c>
      <c r="O139" s="181" t="e">
        <f>(SUM('1.  LRAMVA Summary'!I$22:I$36)+SUM('1.  LRAMVA Summary'!#REF!)*(MONTH($E139)-1)/12)*$H139</f>
        <v>#REF!</v>
      </c>
      <c r="P139" s="181"/>
      <c r="Q139" s="182" t="e">
        <f t="shared" si="84"/>
        <v>#REF!</v>
      </c>
    </row>
    <row r="140" spans="2:17" s="3" customFormat="1" ht="13" hidden="1" x14ac:dyDescent="0.3">
      <c r="B140" s="55"/>
      <c r="E140" s="179">
        <v>43586</v>
      </c>
      <c r="F140" s="179" t="s">
        <v>378</v>
      </c>
      <c r="G140" s="180" t="s">
        <v>90</v>
      </c>
      <c r="H140" s="463">
        <f t="shared" ref="H140:H141" si="86">$C$49/12</f>
        <v>0</v>
      </c>
      <c r="I140" s="181" t="e">
        <f>(SUM('1.  LRAMVA Summary'!C$22:C$36)+SUM('1.  LRAMVA Summary'!#REF!)*(MONTH($E140)-1)/12)*$H140</f>
        <v>#REF!</v>
      </c>
      <c r="J140" s="181" t="e">
        <f>(SUM('1.  LRAMVA Summary'!D$22:D$36)+SUM('1.  LRAMVA Summary'!#REF!)*(MONTH($E140)-1)/12)*$H140</f>
        <v>#REF!</v>
      </c>
      <c r="K140" s="181" t="e">
        <f>(SUM('1.  LRAMVA Summary'!E$22:E$36)+SUM('1.  LRAMVA Summary'!#REF!)*(MONTH($E140)-1)/12)*$H140</f>
        <v>#REF!</v>
      </c>
      <c r="L140" s="181" t="e">
        <f>(SUM('1.  LRAMVA Summary'!F$22:F$36)+SUM('1.  LRAMVA Summary'!#REF!)*(MONTH($E140)-1)/12)*$H140</f>
        <v>#REF!</v>
      </c>
      <c r="M140" s="181" t="e">
        <f>(SUM('1.  LRAMVA Summary'!G$22:G$36)+SUM('1.  LRAMVA Summary'!#REF!)*(MONTH($E140)-1)/12)*$H140</f>
        <v>#REF!</v>
      </c>
      <c r="N140" s="181" t="e">
        <f>(SUM('1.  LRAMVA Summary'!H$22:H$36)+SUM('1.  LRAMVA Summary'!#REF!)*(MONTH($E140)-1)/12)*$H140</f>
        <v>#REF!</v>
      </c>
      <c r="O140" s="181" t="e">
        <f>(SUM('1.  LRAMVA Summary'!I$22:I$36)+SUM('1.  LRAMVA Summary'!#REF!)*(MONTH($E140)-1)/12)*$H140</f>
        <v>#REF!</v>
      </c>
      <c r="P140" s="181"/>
      <c r="Q140" s="182" t="e">
        <f t="shared" si="84"/>
        <v>#REF!</v>
      </c>
    </row>
    <row r="141" spans="2:17" s="3" customFormat="1" ht="13" hidden="1" x14ac:dyDescent="0.3">
      <c r="B141" s="55"/>
      <c r="E141" s="179">
        <v>43617</v>
      </c>
      <c r="F141" s="179" t="s">
        <v>378</v>
      </c>
      <c r="G141" s="180" t="s">
        <v>90</v>
      </c>
      <c r="H141" s="463">
        <f t="shared" si="86"/>
        <v>0</v>
      </c>
      <c r="I141" s="181" t="e">
        <f>(SUM('1.  LRAMVA Summary'!C$22:C$36)+SUM('1.  LRAMVA Summary'!#REF!)*(MONTH($E141)-1)/12)*$H141</f>
        <v>#REF!</v>
      </c>
      <c r="J141" s="181" t="e">
        <f>(SUM('1.  LRAMVA Summary'!D$22:D$36)+SUM('1.  LRAMVA Summary'!#REF!)*(MONTH($E141)-1)/12)*$H141</f>
        <v>#REF!</v>
      </c>
      <c r="K141" s="181" t="e">
        <f>(SUM('1.  LRAMVA Summary'!E$22:E$36)+SUM('1.  LRAMVA Summary'!#REF!)*(MONTH($E141)-1)/12)*$H141</f>
        <v>#REF!</v>
      </c>
      <c r="L141" s="181" t="e">
        <f>(SUM('1.  LRAMVA Summary'!F$22:F$36)+SUM('1.  LRAMVA Summary'!#REF!)*(MONTH($E141)-1)/12)*$H141</f>
        <v>#REF!</v>
      </c>
      <c r="M141" s="181" t="e">
        <f>(SUM('1.  LRAMVA Summary'!G$22:G$36)+SUM('1.  LRAMVA Summary'!#REF!)*(MONTH($E141)-1)/12)*$H141</f>
        <v>#REF!</v>
      </c>
      <c r="N141" s="181" t="e">
        <f>(SUM('1.  LRAMVA Summary'!H$22:H$36)+SUM('1.  LRAMVA Summary'!#REF!)*(MONTH($E141)-1)/12)*$H141</f>
        <v>#REF!</v>
      </c>
      <c r="O141" s="181" t="e">
        <f>(SUM('1.  LRAMVA Summary'!I$22:I$36)+SUM('1.  LRAMVA Summary'!#REF!)*(MONTH($E141)-1)/12)*$H141</f>
        <v>#REF!</v>
      </c>
      <c r="P141" s="181"/>
      <c r="Q141" s="182" t="e">
        <f t="shared" si="84"/>
        <v>#REF!</v>
      </c>
    </row>
    <row r="142" spans="2:17" hidden="1" x14ac:dyDescent="0.35">
      <c r="E142" s="179">
        <v>43647</v>
      </c>
      <c r="F142" s="179" t="s">
        <v>378</v>
      </c>
      <c r="G142" s="180" t="s">
        <v>92</v>
      </c>
      <c r="H142" s="463">
        <f>$C$50/12</f>
        <v>0</v>
      </c>
      <c r="I142" s="181" t="e">
        <f>(SUM('1.  LRAMVA Summary'!C$22:C$36)+SUM('1.  LRAMVA Summary'!#REF!)*(MONTH($E142)-1)/12)*$H142</f>
        <v>#REF!</v>
      </c>
      <c r="J142" s="181" t="e">
        <f>(SUM('1.  LRAMVA Summary'!D$22:D$36)+SUM('1.  LRAMVA Summary'!#REF!)*(MONTH($E142)-1)/12)*$H142</f>
        <v>#REF!</v>
      </c>
      <c r="K142" s="181" t="e">
        <f>(SUM('1.  LRAMVA Summary'!E$22:E$36)+SUM('1.  LRAMVA Summary'!#REF!)*(MONTH($E142)-1)/12)*$H142</f>
        <v>#REF!</v>
      </c>
      <c r="L142" s="181" t="e">
        <f>(SUM('1.  LRAMVA Summary'!F$22:F$36)+SUM('1.  LRAMVA Summary'!#REF!)*(MONTH($E142)-1)/12)*$H142</f>
        <v>#REF!</v>
      </c>
      <c r="M142" s="181" t="e">
        <f>(SUM('1.  LRAMVA Summary'!G$22:G$36)+SUM('1.  LRAMVA Summary'!#REF!)*(MONTH($E142)-1)/12)*$H142</f>
        <v>#REF!</v>
      </c>
      <c r="N142" s="181" t="e">
        <f>(SUM('1.  LRAMVA Summary'!H$22:H$36)+SUM('1.  LRAMVA Summary'!#REF!)*(MONTH($E142)-1)/12)*$H142</f>
        <v>#REF!</v>
      </c>
      <c r="O142" s="181" t="e">
        <f>(SUM('1.  LRAMVA Summary'!I$22:I$36)+SUM('1.  LRAMVA Summary'!#REF!)*(MONTH($E142)-1)/12)*$H142</f>
        <v>#REF!</v>
      </c>
      <c r="P142" s="181"/>
      <c r="Q142" s="182" t="e">
        <f t="shared" si="84"/>
        <v>#REF!</v>
      </c>
    </row>
    <row r="143" spans="2:17" hidden="1" x14ac:dyDescent="0.35">
      <c r="E143" s="179">
        <v>43678</v>
      </c>
      <c r="F143" s="179" t="s">
        <v>378</v>
      </c>
      <c r="G143" s="180" t="s">
        <v>92</v>
      </c>
      <c r="H143" s="463">
        <f t="shared" ref="H143:H144" si="87">$C$50/12</f>
        <v>0</v>
      </c>
      <c r="I143" s="181" t="e">
        <f>(SUM('1.  LRAMVA Summary'!C$22:C$36)+SUM('1.  LRAMVA Summary'!#REF!)*(MONTH($E143)-1)/12)*$H143</f>
        <v>#REF!</v>
      </c>
      <c r="J143" s="181" t="e">
        <f>(SUM('1.  LRAMVA Summary'!D$22:D$36)+SUM('1.  LRAMVA Summary'!#REF!)*(MONTH($E143)-1)/12)*$H143</f>
        <v>#REF!</v>
      </c>
      <c r="K143" s="181" t="e">
        <f>(SUM('1.  LRAMVA Summary'!E$22:E$36)+SUM('1.  LRAMVA Summary'!#REF!)*(MONTH($E143)-1)/12)*$H143</f>
        <v>#REF!</v>
      </c>
      <c r="L143" s="181" t="e">
        <f>(SUM('1.  LRAMVA Summary'!F$22:F$36)+SUM('1.  LRAMVA Summary'!#REF!)*(MONTH($E143)-1)/12)*$H143</f>
        <v>#REF!</v>
      </c>
      <c r="M143" s="181" t="e">
        <f>(SUM('1.  LRAMVA Summary'!G$22:G$36)+SUM('1.  LRAMVA Summary'!#REF!)*(MONTH($E143)-1)/12)*$H143</f>
        <v>#REF!</v>
      </c>
      <c r="N143" s="181" t="e">
        <f>(SUM('1.  LRAMVA Summary'!H$22:H$36)+SUM('1.  LRAMVA Summary'!#REF!)*(MONTH($E143)-1)/12)*$H143</f>
        <v>#REF!</v>
      </c>
      <c r="O143" s="181" t="e">
        <f>(SUM('1.  LRAMVA Summary'!I$22:I$36)+SUM('1.  LRAMVA Summary'!#REF!)*(MONTH($E143)-1)/12)*$H143</f>
        <v>#REF!</v>
      </c>
      <c r="P143" s="181"/>
      <c r="Q143" s="182" t="e">
        <f t="shared" si="84"/>
        <v>#REF!</v>
      </c>
    </row>
    <row r="144" spans="2:17" hidden="1" x14ac:dyDescent="0.35">
      <c r="E144" s="179">
        <v>43709</v>
      </c>
      <c r="F144" s="179" t="s">
        <v>378</v>
      </c>
      <c r="G144" s="180" t="s">
        <v>92</v>
      </c>
      <c r="H144" s="463">
        <f t="shared" si="87"/>
        <v>0</v>
      </c>
      <c r="I144" s="181" t="e">
        <f>(SUM('1.  LRAMVA Summary'!C$22:C$36)+SUM('1.  LRAMVA Summary'!#REF!)*(MONTH($E144)-1)/12)*$H144</f>
        <v>#REF!</v>
      </c>
      <c r="J144" s="181" t="e">
        <f>(SUM('1.  LRAMVA Summary'!D$22:D$36)+SUM('1.  LRAMVA Summary'!#REF!)*(MONTH($E144)-1)/12)*$H144</f>
        <v>#REF!</v>
      </c>
      <c r="K144" s="181" t="e">
        <f>(SUM('1.  LRAMVA Summary'!E$22:E$36)+SUM('1.  LRAMVA Summary'!#REF!)*(MONTH($E144)-1)/12)*$H144</f>
        <v>#REF!</v>
      </c>
      <c r="L144" s="181" t="e">
        <f>(SUM('1.  LRAMVA Summary'!F$22:F$36)+SUM('1.  LRAMVA Summary'!#REF!)*(MONTH($E144)-1)/12)*$H144</f>
        <v>#REF!</v>
      </c>
      <c r="M144" s="181" t="e">
        <f>(SUM('1.  LRAMVA Summary'!G$22:G$36)+SUM('1.  LRAMVA Summary'!#REF!)*(MONTH($E144)-1)/12)*$H144</f>
        <v>#REF!</v>
      </c>
      <c r="N144" s="181" t="e">
        <f>(SUM('1.  LRAMVA Summary'!H$22:H$36)+SUM('1.  LRAMVA Summary'!#REF!)*(MONTH($E144)-1)/12)*$H144</f>
        <v>#REF!</v>
      </c>
      <c r="O144" s="181" t="e">
        <f>(SUM('1.  LRAMVA Summary'!I$22:I$36)+SUM('1.  LRAMVA Summary'!#REF!)*(MONTH($E144)-1)/12)*$H144</f>
        <v>#REF!</v>
      </c>
      <c r="P144" s="181"/>
      <c r="Q144" s="182" t="e">
        <f t="shared" si="84"/>
        <v>#REF!</v>
      </c>
    </row>
    <row r="145" spans="5:17" hidden="1" x14ac:dyDescent="0.35">
      <c r="E145" s="179">
        <v>43739</v>
      </c>
      <c r="F145" s="179" t="s">
        <v>378</v>
      </c>
      <c r="G145" s="180" t="s">
        <v>93</v>
      </c>
      <c r="H145" s="463">
        <f>$C$51/12</f>
        <v>0</v>
      </c>
      <c r="I145" s="181" t="e">
        <f>(SUM('1.  LRAMVA Summary'!C$22:C$36)+SUM('1.  LRAMVA Summary'!#REF!)*(MONTH($E145)-1)/12)*$H145</f>
        <v>#REF!</v>
      </c>
      <c r="J145" s="181" t="e">
        <f>(SUM('1.  LRAMVA Summary'!D$22:D$36)+SUM('1.  LRAMVA Summary'!#REF!)*(MONTH($E145)-1)/12)*$H145</f>
        <v>#REF!</v>
      </c>
      <c r="K145" s="181" t="e">
        <f>(SUM('1.  LRAMVA Summary'!E$22:E$36)+SUM('1.  LRAMVA Summary'!#REF!)*(MONTH($E145)-1)/12)*$H145</f>
        <v>#REF!</v>
      </c>
      <c r="L145" s="181" t="e">
        <f>(SUM('1.  LRAMVA Summary'!F$22:F$36)+SUM('1.  LRAMVA Summary'!#REF!)*(MONTH($E145)-1)/12)*$H145</f>
        <v>#REF!</v>
      </c>
      <c r="M145" s="181" t="e">
        <f>(SUM('1.  LRAMVA Summary'!G$22:G$36)+SUM('1.  LRAMVA Summary'!#REF!)*(MONTH($E145)-1)/12)*$H145</f>
        <v>#REF!</v>
      </c>
      <c r="N145" s="181" t="e">
        <f>(SUM('1.  LRAMVA Summary'!H$22:H$36)+SUM('1.  LRAMVA Summary'!#REF!)*(MONTH($E145)-1)/12)*$H145</f>
        <v>#REF!</v>
      </c>
      <c r="O145" s="181" t="e">
        <f>(SUM('1.  LRAMVA Summary'!I$22:I$36)+SUM('1.  LRAMVA Summary'!#REF!)*(MONTH($E145)-1)/12)*$H145</f>
        <v>#REF!</v>
      </c>
      <c r="P145" s="181"/>
      <c r="Q145" s="182" t="e">
        <f t="shared" si="84"/>
        <v>#REF!</v>
      </c>
    </row>
    <row r="146" spans="5:17" hidden="1" x14ac:dyDescent="0.35">
      <c r="E146" s="179">
        <v>43770</v>
      </c>
      <c r="F146" s="179" t="s">
        <v>378</v>
      </c>
      <c r="G146" s="180" t="s">
        <v>93</v>
      </c>
      <c r="H146" s="463">
        <f t="shared" ref="H146:H147" si="88">$C$51/12</f>
        <v>0</v>
      </c>
      <c r="I146" s="181" t="e">
        <f>(SUM('1.  LRAMVA Summary'!C$22:C$36)+SUM('1.  LRAMVA Summary'!#REF!)*(MONTH($E146)-1)/12)*$H146</f>
        <v>#REF!</v>
      </c>
      <c r="J146" s="181" t="e">
        <f>(SUM('1.  LRAMVA Summary'!D$22:D$36)+SUM('1.  LRAMVA Summary'!#REF!)*(MONTH($E146)-1)/12)*$H146</f>
        <v>#REF!</v>
      </c>
      <c r="K146" s="181" t="e">
        <f>(SUM('1.  LRAMVA Summary'!E$22:E$36)+SUM('1.  LRAMVA Summary'!#REF!)*(MONTH($E146)-1)/12)*$H146</f>
        <v>#REF!</v>
      </c>
      <c r="L146" s="181" t="e">
        <f>(SUM('1.  LRAMVA Summary'!F$22:F$36)+SUM('1.  LRAMVA Summary'!#REF!)*(MONTH($E146)-1)/12)*$H146</f>
        <v>#REF!</v>
      </c>
      <c r="M146" s="181" t="e">
        <f>(SUM('1.  LRAMVA Summary'!G$22:G$36)+SUM('1.  LRAMVA Summary'!#REF!)*(MONTH($E146)-1)/12)*$H146</f>
        <v>#REF!</v>
      </c>
      <c r="N146" s="181" t="e">
        <f>(SUM('1.  LRAMVA Summary'!H$22:H$36)+SUM('1.  LRAMVA Summary'!#REF!)*(MONTH($E146)-1)/12)*$H146</f>
        <v>#REF!</v>
      </c>
      <c r="O146" s="181" t="e">
        <f>(SUM('1.  LRAMVA Summary'!I$22:I$36)+SUM('1.  LRAMVA Summary'!#REF!)*(MONTH($E146)-1)/12)*$H146</f>
        <v>#REF!</v>
      </c>
      <c r="P146" s="181"/>
      <c r="Q146" s="182" t="e">
        <f t="shared" si="84"/>
        <v>#REF!</v>
      </c>
    </row>
    <row r="147" spans="5:17" hidden="1" x14ac:dyDescent="0.35">
      <c r="E147" s="179">
        <v>43800</v>
      </c>
      <c r="F147" s="179" t="s">
        <v>378</v>
      </c>
      <c r="G147" s="180" t="s">
        <v>93</v>
      </c>
      <c r="H147" s="463">
        <f t="shared" si="88"/>
        <v>0</v>
      </c>
      <c r="I147" s="181" t="e">
        <f>(SUM('1.  LRAMVA Summary'!C$22:C$36)+SUM('1.  LRAMVA Summary'!#REF!)*(MONTH($E147)-1)/12)*$H147</f>
        <v>#REF!</v>
      </c>
      <c r="J147" s="181" t="e">
        <f>(SUM('1.  LRAMVA Summary'!D$22:D$36)+SUM('1.  LRAMVA Summary'!#REF!)*(MONTH($E147)-1)/12)*$H147</f>
        <v>#REF!</v>
      </c>
      <c r="K147" s="181" t="e">
        <f>(SUM('1.  LRAMVA Summary'!E$22:E$36)+SUM('1.  LRAMVA Summary'!#REF!)*(MONTH($E147)-1)/12)*$H147</f>
        <v>#REF!</v>
      </c>
      <c r="L147" s="181" t="e">
        <f>(SUM('1.  LRAMVA Summary'!F$22:F$36)+SUM('1.  LRAMVA Summary'!#REF!)*(MONTH($E147)-1)/12)*$H147</f>
        <v>#REF!</v>
      </c>
      <c r="M147" s="181" t="e">
        <f>(SUM('1.  LRAMVA Summary'!G$22:G$36)+SUM('1.  LRAMVA Summary'!#REF!)*(MONTH($E147)-1)/12)*$H147</f>
        <v>#REF!</v>
      </c>
      <c r="N147" s="181" t="e">
        <f>(SUM('1.  LRAMVA Summary'!H$22:H$36)+SUM('1.  LRAMVA Summary'!#REF!)*(MONTH($E147)-1)/12)*$H147</f>
        <v>#REF!</v>
      </c>
      <c r="O147" s="181" t="e">
        <f>(SUM('1.  LRAMVA Summary'!I$22:I$36)+SUM('1.  LRAMVA Summary'!#REF!)*(MONTH($E147)-1)/12)*$H147</f>
        <v>#REF!</v>
      </c>
      <c r="P147" s="181"/>
      <c r="Q147" s="182" t="e">
        <f t="shared" si="84"/>
        <v>#REF!</v>
      </c>
    </row>
    <row r="148" spans="5:17" ht="15" hidden="1" thickBot="1" x14ac:dyDescent="0.4">
      <c r="E148" s="191" t="s">
        <v>385</v>
      </c>
      <c r="F148" s="191"/>
      <c r="G148" s="192"/>
      <c r="H148" s="457"/>
      <c r="I148" s="193" t="e">
        <f>SUM(I135:I147)</f>
        <v>#REF!</v>
      </c>
      <c r="J148" s="193" t="e">
        <f>SUM(J135:J147)</f>
        <v>#REF!</v>
      </c>
      <c r="K148" s="193" t="e">
        <f t="shared" ref="K148:P148" si="89">SUM(K135:K147)</f>
        <v>#REF!</v>
      </c>
      <c r="L148" s="193" t="e">
        <f t="shared" si="89"/>
        <v>#REF!</v>
      </c>
      <c r="M148" s="193" t="e">
        <f t="shared" si="89"/>
        <v>#REF!</v>
      </c>
      <c r="N148" s="193" t="e">
        <f t="shared" si="89"/>
        <v>#REF!</v>
      </c>
      <c r="O148" s="193" t="e">
        <f t="shared" si="89"/>
        <v>#REF!</v>
      </c>
      <c r="P148" s="193">
        <f t="shared" si="89"/>
        <v>16091.935669740029</v>
      </c>
      <c r="Q148" s="193" t="e">
        <f>SUM(Q135:Q147)</f>
        <v>#REF!</v>
      </c>
    </row>
    <row r="149" spans="5:17" ht="15" hidden="1" thickTop="1" x14ac:dyDescent="0.35">
      <c r="E149" s="220" t="s">
        <v>91</v>
      </c>
      <c r="F149" s="220"/>
      <c r="G149" s="221"/>
      <c r="H149" s="458"/>
      <c r="I149" s="222"/>
      <c r="J149" s="222"/>
      <c r="K149" s="222"/>
      <c r="L149" s="222"/>
      <c r="M149" s="222"/>
      <c r="N149" s="222"/>
      <c r="O149" s="222"/>
      <c r="P149" s="222"/>
      <c r="Q149" s="223"/>
    </row>
    <row r="150" spans="5:17" hidden="1" x14ac:dyDescent="0.35">
      <c r="E150" s="188" t="s">
        <v>398</v>
      </c>
      <c r="F150" s="188"/>
      <c r="G150" s="189"/>
      <c r="H150" s="459"/>
      <c r="I150" s="190" t="e">
        <f>I148+I149</f>
        <v>#REF!</v>
      </c>
      <c r="J150" s="190" t="e">
        <f t="shared" ref="J150" si="90">J148+J149</f>
        <v>#REF!</v>
      </c>
      <c r="K150" s="190" t="e">
        <f t="shared" ref="K150" si="91">K148+K149</f>
        <v>#REF!</v>
      </c>
      <c r="L150" s="190" t="e">
        <f t="shared" ref="L150" si="92">L148+L149</f>
        <v>#REF!</v>
      </c>
      <c r="M150" s="190" t="e">
        <f t="shared" ref="M150" si="93">M148+M149</f>
        <v>#REF!</v>
      </c>
      <c r="N150" s="190" t="e">
        <f t="shared" ref="N150" si="94">N148+N149</f>
        <v>#REF!</v>
      </c>
      <c r="O150" s="190" t="e">
        <f t="shared" ref="O150" si="95">O148+O149</f>
        <v>#REF!</v>
      </c>
      <c r="P150" s="190">
        <f t="shared" ref="P150" si="96">P148+P149</f>
        <v>16091.935669740029</v>
      </c>
      <c r="Q150" s="190" t="e">
        <f>Q148+Q149</f>
        <v>#REF!</v>
      </c>
    </row>
    <row r="151" spans="5:17" hidden="1" x14ac:dyDescent="0.35">
      <c r="E151" s="179">
        <v>43831</v>
      </c>
      <c r="F151" s="179" t="s">
        <v>379</v>
      </c>
      <c r="G151" s="180" t="s">
        <v>89</v>
      </c>
      <c r="H151" s="463">
        <f>$C$52/12</f>
        <v>0</v>
      </c>
      <c r="I151" s="181">
        <f>(SUM('1.  LRAMVA Summary'!C$22:C$36)*(MONTH($E151)-1)/12)*$H151</f>
        <v>0</v>
      </c>
      <c r="J151" s="181">
        <f>(SUM('1.  LRAMVA Summary'!D$22:D$36)*(MONTH($E151)-1)/12)*$H151</f>
        <v>0</v>
      </c>
      <c r="K151" s="181">
        <f>(SUM('1.  LRAMVA Summary'!E$22:E$36)*(MONTH($E151)-1)/12)*$H151</f>
        <v>0</v>
      </c>
      <c r="L151" s="181">
        <f>(SUM('1.  LRAMVA Summary'!F$22:F$36)*(MONTH($E151)-1)/12)*$H151</f>
        <v>0</v>
      </c>
      <c r="M151" s="181">
        <f>(SUM('1.  LRAMVA Summary'!G$22:G$36)*(MONTH($E151)-1)/12)*$H151</f>
        <v>0</v>
      </c>
      <c r="N151" s="181">
        <f>(SUM('1.  LRAMVA Summary'!H$22:H$36)*(MONTH($E151)-1)/12)*$H151</f>
        <v>0</v>
      </c>
      <c r="O151" s="181">
        <f>(SUM('1.  LRAMVA Summary'!I$22:I$36)*(MONTH($E151)-1)/12)*$H151</f>
        <v>0</v>
      </c>
      <c r="P151" s="181"/>
      <c r="Q151" s="182">
        <f>SUM(I151:P151)</f>
        <v>0</v>
      </c>
    </row>
    <row r="152" spans="5:17" hidden="1" x14ac:dyDescent="0.35">
      <c r="E152" s="179">
        <v>43862</v>
      </c>
      <c r="F152" s="179" t="s">
        <v>379</v>
      </c>
      <c r="G152" s="180" t="s">
        <v>89</v>
      </c>
      <c r="H152" s="463">
        <f t="shared" ref="H152:H153" si="97">$C$52/12</f>
        <v>0</v>
      </c>
      <c r="I152" s="181">
        <f>(SUM('1.  LRAMVA Summary'!C$22:C$36)*(MONTH($E152)-1)/12)*$H152</f>
        <v>0</v>
      </c>
      <c r="J152" s="181">
        <f>(SUM('1.  LRAMVA Summary'!D$22:D$36)*(MONTH($E152)-1)/12)*$H152</f>
        <v>0</v>
      </c>
      <c r="K152" s="181">
        <f>(SUM('1.  LRAMVA Summary'!E$22:E$36)*(MONTH($E152)-1)/12)*$H152</f>
        <v>0</v>
      </c>
      <c r="L152" s="181">
        <f>(SUM('1.  LRAMVA Summary'!F$22:F$36)*(MONTH($E152)-1)/12)*$H152</f>
        <v>0</v>
      </c>
      <c r="M152" s="181">
        <f>(SUM('1.  LRAMVA Summary'!G$22:G$36)*(MONTH($E152)-1)/12)*$H152</f>
        <v>0</v>
      </c>
      <c r="N152" s="181">
        <f>(SUM('1.  LRAMVA Summary'!H$22:H$36)*(MONTH($E152)-1)/12)*$H152</f>
        <v>0</v>
      </c>
      <c r="O152" s="181">
        <f>(SUM('1.  LRAMVA Summary'!I$22:I$36)*(MONTH($E152)-1)/12)*$H152</f>
        <v>0</v>
      </c>
      <c r="P152" s="181"/>
      <c r="Q152" s="182">
        <f>SUM(I152:P152)</f>
        <v>0</v>
      </c>
    </row>
    <row r="153" spans="5:17" hidden="1" x14ac:dyDescent="0.35">
      <c r="E153" s="179">
        <v>43891</v>
      </c>
      <c r="F153" s="179" t="s">
        <v>379</v>
      </c>
      <c r="G153" s="180" t="s">
        <v>89</v>
      </c>
      <c r="H153" s="463">
        <f t="shared" si="97"/>
        <v>0</v>
      </c>
      <c r="I153" s="181">
        <f>(SUM('1.  LRAMVA Summary'!C$22:C$36)*(MONTH($E153)-1)/12)*$H153</f>
        <v>0</v>
      </c>
      <c r="J153" s="181">
        <f>(SUM('1.  LRAMVA Summary'!D$22:D$36)*(MONTH($E153)-1)/12)*$H153</f>
        <v>0</v>
      </c>
      <c r="K153" s="181">
        <f>(SUM('1.  LRAMVA Summary'!E$22:E$36)*(MONTH($E153)-1)/12)*$H153</f>
        <v>0</v>
      </c>
      <c r="L153" s="181">
        <f>(SUM('1.  LRAMVA Summary'!F$22:F$36)*(MONTH($E153)-1)/12)*$H153</f>
        <v>0</v>
      </c>
      <c r="M153" s="181">
        <f>(SUM('1.  LRAMVA Summary'!G$22:G$36)*(MONTH($E153)-1)/12)*$H153</f>
        <v>0</v>
      </c>
      <c r="N153" s="181">
        <f>(SUM('1.  LRAMVA Summary'!H$22:H$36)*(MONTH($E153)-1)/12)*$H153</f>
        <v>0</v>
      </c>
      <c r="O153" s="181">
        <f>(SUM('1.  LRAMVA Summary'!I$22:I$36)*(MONTH($E153)-1)/12)*$H153</f>
        <v>0</v>
      </c>
      <c r="P153" s="181"/>
      <c r="Q153" s="182">
        <f t="shared" ref="Q153:Q162" si="98">SUM(I153:P153)</f>
        <v>0</v>
      </c>
    </row>
    <row r="154" spans="5:17" hidden="1" x14ac:dyDescent="0.35">
      <c r="E154" s="179">
        <v>43922</v>
      </c>
      <c r="F154" s="179" t="s">
        <v>379</v>
      </c>
      <c r="G154" s="180" t="s">
        <v>90</v>
      </c>
      <c r="H154" s="463">
        <f>$C$53/12</f>
        <v>0</v>
      </c>
      <c r="I154" s="181">
        <f>(SUM('1.  LRAMVA Summary'!C$22:C$36)*(MONTH($E154)-1)/12)*$H154</f>
        <v>0</v>
      </c>
      <c r="J154" s="181">
        <f>(SUM('1.  LRAMVA Summary'!D$22:D$36)*(MONTH($E154)-1)/12)*$H154</f>
        <v>0</v>
      </c>
      <c r="K154" s="181">
        <f>(SUM('1.  LRAMVA Summary'!E$22:E$36)*(MONTH($E154)-1)/12)*$H154</f>
        <v>0</v>
      </c>
      <c r="L154" s="181">
        <f>(SUM('1.  LRAMVA Summary'!F$22:F$36)*(MONTH($E154)-1)/12)*$H154</f>
        <v>0</v>
      </c>
      <c r="M154" s="181">
        <f>(SUM('1.  LRAMVA Summary'!G$22:G$36)*(MONTH($E154)-1)/12)*$H154</f>
        <v>0</v>
      </c>
      <c r="N154" s="181">
        <f>(SUM('1.  LRAMVA Summary'!H$22:H$36)*(MONTH($E154)-1)/12)*$H154</f>
        <v>0</v>
      </c>
      <c r="O154" s="181">
        <f>(SUM('1.  LRAMVA Summary'!I$22:I$36)*(MONTH($E154)-1)/12)*$H154</f>
        <v>0</v>
      </c>
      <c r="P154" s="181"/>
      <c r="Q154" s="182">
        <f t="shared" si="98"/>
        <v>0</v>
      </c>
    </row>
    <row r="155" spans="5:17" hidden="1" x14ac:dyDescent="0.35">
      <c r="E155" s="179">
        <v>43952</v>
      </c>
      <c r="F155" s="179" t="s">
        <v>379</v>
      </c>
      <c r="G155" s="180" t="s">
        <v>90</v>
      </c>
      <c r="H155" s="463">
        <f t="shared" ref="H155:H156" si="99">$C$53/12</f>
        <v>0</v>
      </c>
      <c r="I155" s="181">
        <f>(SUM('1.  LRAMVA Summary'!C$22:C$36)*(MONTH($E155)-1)/12)*$H155</f>
        <v>0</v>
      </c>
      <c r="J155" s="181">
        <f>(SUM('1.  LRAMVA Summary'!D$22:D$36)*(MONTH($E155)-1)/12)*$H155</f>
        <v>0</v>
      </c>
      <c r="K155" s="181">
        <f>(SUM('1.  LRAMVA Summary'!E$22:E$36)*(MONTH($E155)-1)/12)*$H155</f>
        <v>0</v>
      </c>
      <c r="L155" s="181">
        <f>(SUM('1.  LRAMVA Summary'!F$22:F$36)*(MONTH($E155)-1)/12)*$H155</f>
        <v>0</v>
      </c>
      <c r="M155" s="181">
        <f>(SUM('1.  LRAMVA Summary'!G$22:G$36)*(MONTH($E155)-1)/12)*$H155</f>
        <v>0</v>
      </c>
      <c r="N155" s="181">
        <f>(SUM('1.  LRAMVA Summary'!H$22:H$36)*(MONTH($E155)-1)/12)*$H155</f>
        <v>0</v>
      </c>
      <c r="O155" s="181">
        <f>(SUM('1.  LRAMVA Summary'!I$22:I$36)*(MONTH($E155)-1)/12)*$H155</f>
        <v>0</v>
      </c>
      <c r="P155" s="181"/>
      <c r="Q155" s="182">
        <f t="shared" si="98"/>
        <v>0</v>
      </c>
    </row>
    <row r="156" spans="5:17" hidden="1" x14ac:dyDescent="0.35">
      <c r="E156" s="179">
        <v>43983</v>
      </c>
      <c r="F156" s="179" t="s">
        <v>379</v>
      </c>
      <c r="G156" s="180" t="s">
        <v>90</v>
      </c>
      <c r="H156" s="463">
        <f t="shared" si="99"/>
        <v>0</v>
      </c>
      <c r="I156" s="181">
        <f>(SUM('1.  LRAMVA Summary'!C$22:C$36)*(MONTH($E156)-1)/12)*$H156</f>
        <v>0</v>
      </c>
      <c r="J156" s="181">
        <f>(SUM('1.  LRAMVA Summary'!D$22:D$36)*(MONTH($E156)-1)/12)*$H156</f>
        <v>0</v>
      </c>
      <c r="K156" s="181">
        <f>(SUM('1.  LRAMVA Summary'!E$22:E$36)*(MONTH($E156)-1)/12)*$H156</f>
        <v>0</v>
      </c>
      <c r="L156" s="181">
        <f>(SUM('1.  LRAMVA Summary'!F$22:F$36)*(MONTH($E156)-1)/12)*$H156</f>
        <v>0</v>
      </c>
      <c r="M156" s="181">
        <f>(SUM('1.  LRAMVA Summary'!G$22:G$36)*(MONTH($E156)-1)/12)*$H156</f>
        <v>0</v>
      </c>
      <c r="N156" s="181">
        <f>(SUM('1.  LRAMVA Summary'!H$22:H$36)*(MONTH($E156)-1)/12)*$H156</f>
        <v>0</v>
      </c>
      <c r="O156" s="181">
        <f>(SUM('1.  LRAMVA Summary'!I$22:I$36)*(MONTH($E156)-1)/12)*$H156</f>
        <v>0</v>
      </c>
      <c r="P156" s="181"/>
      <c r="Q156" s="182">
        <f t="shared" si="98"/>
        <v>0</v>
      </c>
    </row>
    <row r="157" spans="5:17" hidden="1" x14ac:dyDescent="0.35">
      <c r="E157" s="179">
        <v>44013</v>
      </c>
      <c r="F157" s="179" t="s">
        <v>379</v>
      </c>
      <c r="G157" s="180" t="s">
        <v>92</v>
      </c>
      <c r="H157" s="463">
        <f>$C$54/12</f>
        <v>0</v>
      </c>
      <c r="I157" s="181">
        <f>(SUM('1.  LRAMVA Summary'!C$22:C$36)*(MONTH($E157)-1)/12)*$H157</f>
        <v>0</v>
      </c>
      <c r="J157" s="181">
        <f>(SUM('1.  LRAMVA Summary'!D$22:D$36)*(MONTH($E157)-1)/12)*$H157</f>
        <v>0</v>
      </c>
      <c r="K157" s="181">
        <f>(SUM('1.  LRAMVA Summary'!E$22:E$36)*(MONTH($E157)-1)/12)*$H157</f>
        <v>0</v>
      </c>
      <c r="L157" s="181">
        <f>(SUM('1.  LRAMVA Summary'!F$22:F$36)*(MONTH($E157)-1)/12)*$H157</f>
        <v>0</v>
      </c>
      <c r="M157" s="181">
        <f>(SUM('1.  LRAMVA Summary'!G$22:G$36)*(MONTH($E157)-1)/12)*$H157</f>
        <v>0</v>
      </c>
      <c r="N157" s="181">
        <f>(SUM('1.  LRAMVA Summary'!H$22:H$36)*(MONTH($E157)-1)/12)*$H157</f>
        <v>0</v>
      </c>
      <c r="O157" s="181">
        <f>(SUM('1.  LRAMVA Summary'!I$22:I$36)*(MONTH($E157)-1)/12)*$H157</f>
        <v>0</v>
      </c>
      <c r="P157" s="181"/>
      <c r="Q157" s="182">
        <f t="shared" si="98"/>
        <v>0</v>
      </c>
    </row>
    <row r="158" spans="5:17" hidden="1" x14ac:dyDescent="0.35">
      <c r="E158" s="179">
        <v>44044</v>
      </c>
      <c r="F158" s="179" t="s">
        <v>379</v>
      </c>
      <c r="G158" s="180" t="s">
        <v>92</v>
      </c>
      <c r="H158" s="463">
        <f t="shared" ref="H158:H159" si="100">$C$54/12</f>
        <v>0</v>
      </c>
      <c r="I158" s="181">
        <f>(SUM('1.  LRAMVA Summary'!C$22:C$36)*(MONTH($E158)-1)/12)*$H158</f>
        <v>0</v>
      </c>
      <c r="J158" s="181">
        <f>(SUM('1.  LRAMVA Summary'!D$22:D$36)*(MONTH($E158)-1)/12)*$H158</f>
        <v>0</v>
      </c>
      <c r="K158" s="181">
        <f>(SUM('1.  LRAMVA Summary'!E$22:E$36)*(MONTH($E158)-1)/12)*$H158</f>
        <v>0</v>
      </c>
      <c r="L158" s="181">
        <f>(SUM('1.  LRAMVA Summary'!F$22:F$36)*(MONTH($E158)-1)/12)*$H158</f>
        <v>0</v>
      </c>
      <c r="M158" s="181">
        <f>(SUM('1.  LRAMVA Summary'!G$22:G$36)*(MONTH($E158)-1)/12)*$H158</f>
        <v>0</v>
      </c>
      <c r="N158" s="181">
        <f>(SUM('1.  LRAMVA Summary'!H$22:H$36)*(MONTH($E158)-1)/12)*$H158</f>
        <v>0</v>
      </c>
      <c r="O158" s="181">
        <f>(SUM('1.  LRAMVA Summary'!I$22:I$36)*(MONTH($E158)-1)/12)*$H158</f>
        <v>0</v>
      </c>
      <c r="P158" s="181"/>
      <c r="Q158" s="182">
        <f t="shared" si="98"/>
        <v>0</v>
      </c>
    </row>
    <row r="159" spans="5:17" hidden="1" x14ac:dyDescent="0.35">
      <c r="E159" s="179">
        <v>44075</v>
      </c>
      <c r="F159" s="179" t="s">
        <v>379</v>
      </c>
      <c r="G159" s="180" t="s">
        <v>92</v>
      </c>
      <c r="H159" s="463">
        <f t="shared" si="100"/>
        <v>0</v>
      </c>
      <c r="I159" s="181">
        <f>(SUM('1.  LRAMVA Summary'!C$22:C$36)*(MONTH($E159)-1)/12)*$H159</f>
        <v>0</v>
      </c>
      <c r="J159" s="181">
        <f>(SUM('1.  LRAMVA Summary'!D$22:D$36)*(MONTH($E159)-1)/12)*$H159</f>
        <v>0</v>
      </c>
      <c r="K159" s="181">
        <f>(SUM('1.  LRAMVA Summary'!E$22:E$36)*(MONTH($E159)-1)/12)*$H159</f>
        <v>0</v>
      </c>
      <c r="L159" s="181">
        <f>(SUM('1.  LRAMVA Summary'!F$22:F$36)*(MONTH($E159)-1)/12)*$H159</f>
        <v>0</v>
      </c>
      <c r="M159" s="181">
        <f>(SUM('1.  LRAMVA Summary'!G$22:G$36)*(MONTH($E159)-1)/12)*$H159</f>
        <v>0</v>
      </c>
      <c r="N159" s="181">
        <f>(SUM('1.  LRAMVA Summary'!H$22:H$36)*(MONTH($E159)-1)/12)*$H159</f>
        <v>0</v>
      </c>
      <c r="O159" s="181">
        <f>(SUM('1.  LRAMVA Summary'!I$22:I$36)*(MONTH($E159)-1)/12)*$H159</f>
        <v>0</v>
      </c>
      <c r="P159" s="181"/>
      <c r="Q159" s="182">
        <f t="shared" si="98"/>
        <v>0</v>
      </c>
    </row>
    <row r="160" spans="5:17" hidden="1" x14ac:dyDescent="0.35">
      <c r="E160" s="179">
        <v>44105</v>
      </c>
      <c r="F160" s="179" t="s">
        <v>379</v>
      </c>
      <c r="G160" s="180" t="s">
        <v>93</v>
      </c>
      <c r="H160" s="463">
        <f>$C$55/12</f>
        <v>0</v>
      </c>
      <c r="I160" s="181">
        <f>(SUM('1.  LRAMVA Summary'!C$22:C$36)*(MONTH($E160)-1)/12)*$H160</f>
        <v>0</v>
      </c>
      <c r="J160" s="181">
        <f>(SUM('1.  LRAMVA Summary'!D$22:D$36)*(MONTH($E160)-1)/12)*$H160</f>
        <v>0</v>
      </c>
      <c r="K160" s="181">
        <f>(SUM('1.  LRAMVA Summary'!E$22:E$36)*(MONTH($E160)-1)/12)*$H160</f>
        <v>0</v>
      </c>
      <c r="L160" s="181">
        <f>(SUM('1.  LRAMVA Summary'!F$22:F$36)*(MONTH($E160)-1)/12)*$H160</f>
        <v>0</v>
      </c>
      <c r="M160" s="181">
        <f>(SUM('1.  LRAMVA Summary'!G$22:G$36)*(MONTH($E160)-1)/12)*$H160</f>
        <v>0</v>
      </c>
      <c r="N160" s="181">
        <f>(SUM('1.  LRAMVA Summary'!H$22:H$36)*(MONTH($E160)-1)/12)*$H160</f>
        <v>0</v>
      </c>
      <c r="O160" s="181">
        <f>(SUM('1.  LRAMVA Summary'!I$22:I$36)*(MONTH($E160)-1)/12)*$H160</f>
        <v>0</v>
      </c>
      <c r="P160" s="181"/>
      <c r="Q160" s="182">
        <f t="shared" si="98"/>
        <v>0</v>
      </c>
    </row>
    <row r="161" spans="5:17" hidden="1" x14ac:dyDescent="0.35">
      <c r="E161" s="179">
        <v>44136</v>
      </c>
      <c r="F161" s="179" t="s">
        <v>379</v>
      </c>
      <c r="G161" s="180" t="s">
        <v>93</v>
      </c>
      <c r="H161" s="463">
        <f t="shared" ref="H161:H162" si="101">$C$55/12</f>
        <v>0</v>
      </c>
      <c r="I161" s="181">
        <f>(SUM('1.  LRAMVA Summary'!C$22:C$36)*(MONTH($E161)-1)/12)*$H161</f>
        <v>0</v>
      </c>
      <c r="J161" s="181">
        <f>(SUM('1.  LRAMVA Summary'!D$22:D$36)*(MONTH($E161)-1)/12)*$H161</f>
        <v>0</v>
      </c>
      <c r="K161" s="181">
        <f>(SUM('1.  LRAMVA Summary'!E$22:E$36)*(MONTH($E161)-1)/12)*$H161</f>
        <v>0</v>
      </c>
      <c r="L161" s="181">
        <f>(SUM('1.  LRAMVA Summary'!F$22:F$36)*(MONTH($E161)-1)/12)*$H161</f>
        <v>0</v>
      </c>
      <c r="M161" s="181">
        <f>(SUM('1.  LRAMVA Summary'!G$22:G$36)*(MONTH($E161)-1)/12)*$H161</f>
        <v>0</v>
      </c>
      <c r="N161" s="181">
        <f>(SUM('1.  LRAMVA Summary'!H$22:H$36)*(MONTH($E161)-1)/12)*$H161</f>
        <v>0</v>
      </c>
      <c r="O161" s="181">
        <f>(SUM('1.  LRAMVA Summary'!I$22:I$36)*(MONTH($E161)-1)/12)*$H161</f>
        <v>0</v>
      </c>
      <c r="P161" s="181"/>
      <c r="Q161" s="182">
        <f t="shared" si="98"/>
        <v>0</v>
      </c>
    </row>
    <row r="162" spans="5:17" hidden="1" x14ac:dyDescent="0.35">
      <c r="E162" s="179">
        <v>44166</v>
      </c>
      <c r="F162" s="179" t="s">
        <v>379</v>
      </c>
      <c r="G162" s="180" t="s">
        <v>93</v>
      </c>
      <c r="H162" s="463">
        <f t="shared" si="101"/>
        <v>0</v>
      </c>
      <c r="I162" s="181">
        <f>(SUM('1.  LRAMVA Summary'!C$22:C$36)*(MONTH($E162)-1)/12)*$H162</f>
        <v>0</v>
      </c>
      <c r="J162" s="181">
        <f>(SUM('1.  LRAMVA Summary'!D$22:D$36)*(MONTH($E162)-1)/12)*$H162</f>
        <v>0</v>
      </c>
      <c r="K162" s="181">
        <f>(SUM('1.  LRAMVA Summary'!E$22:E$36)*(MONTH($E162)-1)/12)*$H162</f>
        <v>0</v>
      </c>
      <c r="L162" s="181">
        <f>(SUM('1.  LRAMVA Summary'!F$22:F$36)*(MONTH($E162)-1)/12)*$H162</f>
        <v>0</v>
      </c>
      <c r="M162" s="181">
        <f>(SUM('1.  LRAMVA Summary'!G$22:G$36)*(MONTH($E162)-1)/12)*$H162</f>
        <v>0</v>
      </c>
      <c r="N162" s="181">
        <f>(SUM('1.  LRAMVA Summary'!H$22:H$36)*(MONTH($E162)-1)/12)*$H162</f>
        <v>0</v>
      </c>
      <c r="O162" s="181">
        <f>(SUM('1.  LRAMVA Summary'!I$22:I$36)*(MONTH($E162)-1)/12)*$H162</f>
        <v>0</v>
      </c>
      <c r="P162" s="181"/>
      <c r="Q162" s="182">
        <f t="shared" si="98"/>
        <v>0</v>
      </c>
    </row>
    <row r="163" spans="5:17" ht="15" hidden="1" thickBot="1" x14ac:dyDescent="0.4">
      <c r="E163" s="191" t="s">
        <v>386</v>
      </c>
      <c r="F163" s="191"/>
      <c r="G163" s="192"/>
      <c r="H163" s="457"/>
      <c r="I163" s="193" t="e">
        <f>SUM(I150:I162)</f>
        <v>#REF!</v>
      </c>
      <c r="J163" s="193" t="e">
        <f>SUM(J150:J162)</f>
        <v>#REF!</v>
      </c>
      <c r="K163" s="193" t="e">
        <f t="shared" ref="K163:P163" si="102">SUM(K150:K162)</f>
        <v>#REF!</v>
      </c>
      <c r="L163" s="193" t="e">
        <f t="shared" si="102"/>
        <v>#REF!</v>
      </c>
      <c r="M163" s="193" t="e">
        <f t="shared" si="102"/>
        <v>#REF!</v>
      </c>
      <c r="N163" s="193" t="e">
        <f t="shared" si="102"/>
        <v>#REF!</v>
      </c>
      <c r="O163" s="193" t="e">
        <f t="shared" si="102"/>
        <v>#REF!</v>
      </c>
      <c r="P163" s="193">
        <f t="shared" si="102"/>
        <v>16091.935669740029</v>
      </c>
      <c r="Q163" s="193" t="e">
        <f>SUM(Q150:Q162)</f>
        <v>#REF!</v>
      </c>
    </row>
    <row r="164" spans="5:17" ht="15" hidden="1" thickTop="1" x14ac:dyDescent="0.35">
      <c r="E164" s="220" t="s">
        <v>91</v>
      </c>
      <c r="F164" s="220"/>
      <c r="G164" s="221"/>
      <c r="H164" s="458"/>
      <c r="I164" s="222"/>
      <c r="J164" s="222"/>
      <c r="K164" s="222"/>
      <c r="L164" s="222"/>
      <c r="M164" s="222"/>
      <c r="N164" s="222"/>
      <c r="O164" s="222"/>
      <c r="P164" s="222"/>
      <c r="Q164" s="223"/>
    </row>
  </sheetData>
  <mergeCells count="3">
    <mergeCell ref="B3:Q3"/>
    <mergeCell ref="D7:Q7"/>
    <mergeCell ref="B13:C13"/>
  </mergeCells>
  <hyperlinks>
    <hyperlink ref="B57" r:id="rId1"/>
  </hyperlinks>
  <pageMargins left="0.70866141732283472" right="0.70866141732283472" top="0.74803149606299213" bottom="0.74803149606299213" header="0.31496062992125984" footer="0.31496062992125984"/>
  <pageSetup paperSize="3" scale="85" fitToHeight="0" orientation="landscape" r:id="rId2"/>
  <drawing r:id="rId3"/>
  <legacy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24"/>
  <sheetViews>
    <sheetView topLeftCell="A43" workbookViewId="0">
      <selection activeCell="H44" sqref="H44"/>
    </sheetView>
  </sheetViews>
  <sheetFormatPr defaultColWidth="8.7265625" defaultRowHeight="14.5" x14ac:dyDescent="0.35"/>
  <cols>
    <col min="1" max="1" width="8.7265625" style="543"/>
    <col min="2" max="2" width="28.26953125" style="543" bestFit="1" customWidth="1"/>
    <col min="3" max="3" width="16.54296875" style="543" customWidth="1"/>
    <col min="4" max="4" width="17.1796875" style="543" customWidth="1"/>
    <col min="5" max="5" width="15.453125" style="543" customWidth="1"/>
    <col min="6" max="6" width="14.81640625" style="543" customWidth="1"/>
    <col min="7" max="7" width="1" style="543" customWidth="1"/>
    <col min="8" max="8" width="13.1796875" style="543" customWidth="1"/>
    <col min="9" max="9" width="11.26953125" style="543" bestFit="1" customWidth="1"/>
    <col min="10" max="10" width="12.7265625" style="543" customWidth="1"/>
    <col min="11" max="11" width="11.1796875" style="543" customWidth="1"/>
    <col min="12" max="12" width="3.54296875" style="543" customWidth="1"/>
    <col min="13" max="13" width="11.7265625" style="543" customWidth="1"/>
    <col min="14" max="14" width="12.54296875" style="543" customWidth="1"/>
    <col min="15" max="15" width="4" style="543" customWidth="1"/>
    <col min="16" max="16" width="12.453125" style="543" customWidth="1"/>
    <col min="17" max="17" width="8.7265625" style="543"/>
    <col min="18" max="18" width="10.81640625" style="543" customWidth="1"/>
    <col min="19" max="19" width="3.453125" style="543" customWidth="1"/>
    <col min="20" max="20" width="12.1796875" style="543" customWidth="1"/>
    <col min="21" max="21" width="8.7265625" style="543"/>
    <col min="22" max="22" width="10.81640625" style="543" customWidth="1"/>
    <col min="23" max="23" width="3.1796875" style="543" customWidth="1"/>
    <col min="24" max="24" width="13.7265625" style="543" customWidth="1"/>
    <col min="25" max="25" width="8.7265625" style="543" customWidth="1"/>
    <col min="26" max="26" width="7.453125" style="543" bestFit="1" customWidth="1"/>
    <col min="27" max="27" width="3.26953125" style="543" customWidth="1"/>
    <col min="28" max="28" width="10.26953125" style="543" customWidth="1"/>
    <col min="29" max="29" width="29.453125" style="543" bestFit="1" customWidth="1"/>
    <col min="30" max="30" width="8.7265625" style="543" customWidth="1"/>
    <col min="31" max="31" width="1.26953125" style="543" customWidth="1"/>
    <col min="32" max="32" width="14" style="543" customWidth="1"/>
    <col min="33" max="33" width="12.1796875" style="543" customWidth="1"/>
    <col min="34" max="16384" width="8.7265625" style="543"/>
  </cols>
  <sheetData>
    <row r="2" spans="2:5" x14ac:dyDescent="0.35">
      <c r="B2" s="1369" t="s">
        <v>531</v>
      </c>
      <c r="C2" s="1369"/>
      <c r="D2" s="1369"/>
      <c r="E2" s="1369"/>
    </row>
    <row r="3" spans="2:5" s="544" customFormat="1" ht="15" customHeight="1" thickBot="1" x14ac:dyDescent="0.4">
      <c r="B3" s="544" t="s">
        <v>532</v>
      </c>
    </row>
    <row r="4" spans="2:5" x14ac:dyDescent="0.35">
      <c r="B4" s="545" t="str">
        <f>[8]Sheet1!A14</f>
        <v>2012 CDM Adjustments kWh</v>
      </c>
      <c r="C4" s="546">
        <f>[8]Sheet1!J14</f>
        <v>15906000.000000002</v>
      </c>
    </row>
    <row r="5" spans="2:5" ht="16.5" customHeight="1" thickBot="1" x14ac:dyDescent="0.4">
      <c r="B5" s="547" t="str">
        <f>[8]Sheet1!A15</f>
        <v>2012 CDM Adjustments kW</v>
      </c>
      <c r="C5" s="548">
        <f>'[9]Rate Class Load Model'!$O$13</f>
        <v>17532.73993543518</v>
      </c>
    </row>
    <row r="6" spans="2:5" ht="14.5" customHeight="1" thickBot="1" x14ac:dyDescent="0.4">
      <c r="B6" s="549"/>
      <c r="C6" s="550"/>
    </row>
    <row r="7" spans="2:5" s="544" customFormat="1" ht="44" thickBot="1" x14ac:dyDescent="0.4">
      <c r="B7" s="551" t="s">
        <v>533</v>
      </c>
      <c r="C7" s="552" t="s">
        <v>534</v>
      </c>
      <c r="D7" s="553" t="s">
        <v>535</v>
      </c>
      <c r="E7" s="554" t="s">
        <v>536</v>
      </c>
    </row>
    <row r="8" spans="2:5" s="557" customFormat="1" ht="37.15" customHeight="1" x14ac:dyDescent="0.35">
      <c r="B8" s="555"/>
      <c r="C8" s="556" t="s">
        <v>36</v>
      </c>
      <c r="D8" s="555"/>
      <c r="E8" s="555" t="s">
        <v>36</v>
      </c>
    </row>
    <row r="9" spans="2:5" x14ac:dyDescent="0.35">
      <c r="B9" s="558" t="s">
        <v>537</v>
      </c>
      <c r="C9" s="559">
        <f>+'[5]Rate Class Energy Model'!$H$62</f>
        <v>378871008.47059846</v>
      </c>
      <c r="D9" s="560">
        <f>C9/$C$17</f>
        <v>0.22605420266513854</v>
      </c>
      <c r="E9" s="559">
        <f>D9*$C$4</f>
        <v>3595618.1475916938</v>
      </c>
    </row>
    <row r="10" spans="2:5" x14ac:dyDescent="0.35">
      <c r="B10" s="558" t="s">
        <v>538</v>
      </c>
      <c r="C10" s="559">
        <f>+'[5]Rate Class Energy Model'!$I$62</f>
        <v>148787702.95485026</v>
      </c>
      <c r="D10" s="560">
        <f t="shared" ref="D10:D16" si="0">C10/$C$17</f>
        <v>8.8774503210493752E-2</v>
      </c>
      <c r="E10" s="559">
        <f t="shared" ref="E10:E16" si="1">D10*$C$4</f>
        <v>1412047.2480661138</v>
      </c>
    </row>
    <row r="11" spans="2:5" x14ac:dyDescent="0.35">
      <c r="B11" s="558" t="s">
        <v>539</v>
      </c>
      <c r="C11" s="559">
        <f>+'[5]Rate Class Energy Model'!$J$62</f>
        <v>399661949.82963043</v>
      </c>
      <c r="D11" s="560">
        <f t="shared" si="0"/>
        <v>0.23845916257628558</v>
      </c>
      <c r="E11" s="559">
        <f t="shared" si="1"/>
        <v>3792931.439938399</v>
      </c>
    </row>
    <row r="12" spans="2:5" x14ac:dyDescent="0.35">
      <c r="B12" s="558" t="s">
        <v>540</v>
      </c>
      <c r="C12" s="559">
        <f>+'[5]Rate Class Energy Model'!$K$62</f>
        <v>465120498.28736901</v>
      </c>
      <c r="D12" s="560">
        <f t="shared" si="0"/>
        <v>0.27751514640298086</v>
      </c>
      <c r="E12" s="559">
        <f t="shared" si="1"/>
        <v>4414155.9186858144</v>
      </c>
    </row>
    <row r="13" spans="2:5" x14ac:dyDescent="0.35">
      <c r="B13" s="558" t="s">
        <v>541</v>
      </c>
      <c r="C13" s="559">
        <f>+'[5]Rate Class Energy Model'!$L$62</f>
        <v>271481475.0073272</v>
      </c>
      <c r="D13" s="560">
        <f t="shared" si="0"/>
        <v>0.16198000638494234</v>
      </c>
      <c r="E13" s="559">
        <f t="shared" si="1"/>
        <v>2576453.9815588933</v>
      </c>
    </row>
    <row r="14" spans="2:5" x14ac:dyDescent="0.35">
      <c r="B14" s="558" t="s">
        <v>542</v>
      </c>
      <c r="C14" s="559">
        <f>+'[5]Rate Class Energy Model'!$O$62</f>
        <v>2229301.0499360212</v>
      </c>
      <c r="D14" s="560">
        <f t="shared" si="0"/>
        <v>1.3301172696695027E-3</v>
      </c>
      <c r="E14" s="559">
        <f t="shared" si="1"/>
        <v>21156.845291363112</v>
      </c>
    </row>
    <row r="15" spans="2:5" x14ac:dyDescent="0.35">
      <c r="B15" s="558" t="s">
        <v>41</v>
      </c>
      <c r="C15" s="559">
        <f>+'[5]Rate Class Energy Model'!$N$62</f>
        <v>88740.018817051008</v>
      </c>
      <c r="D15" s="560">
        <f t="shared" si="0"/>
        <v>5.2946923226337533E-5</v>
      </c>
      <c r="E15" s="559">
        <f t="shared" si="1"/>
        <v>842.17376083812485</v>
      </c>
    </row>
    <row r="16" spans="2:5" ht="15" thickBot="1" x14ac:dyDescent="0.4">
      <c r="B16" s="561" t="s">
        <v>42</v>
      </c>
      <c r="C16" s="562">
        <f>+'[5]Rate Class Energy Model'!$M$62</f>
        <v>9777748.2982900348</v>
      </c>
      <c r="D16" s="563">
        <f t="shared" si="0"/>
        <v>5.8339145672633196E-3</v>
      </c>
      <c r="E16" s="562">
        <f t="shared" si="1"/>
        <v>92794.245106890376</v>
      </c>
    </row>
    <row r="17" spans="2:5" s="544" customFormat="1" ht="15" thickBot="1" x14ac:dyDescent="0.4">
      <c r="B17" s="551" t="s">
        <v>543</v>
      </c>
      <c r="C17" s="564">
        <f>SUM(C9:C16)</f>
        <v>1676018423.9168181</v>
      </c>
      <c r="D17" s="565">
        <f>SUM(D9:D16)</f>
        <v>1</v>
      </c>
      <c r="E17" s="566">
        <f>SUM(E9:E16)</f>
        <v>15906000.000000007</v>
      </c>
    </row>
    <row r="19" spans="2:5" ht="15" thickBot="1" x14ac:dyDescent="0.4"/>
    <row r="20" spans="2:5" ht="62.25" customHeight="1" thickBot="1" x14ac:dyDescent="0.4">
      <c r="B20" s="551" t="s">
        <v>533</v>
      </c>
      <c r="C20" s="567" t="s">
        <v>536</v>
      </c>
      <c r="D20" s="568"/>
    </row>
    <row r="21" spans="2:5" x14ac:dyDescent="0.35">
      <c r="B21" s="569"/>
      <c r="C21" s="570" t="s">
        <v>37</v>
      </c>
      <c r="D21" s="571"/>
    </row>
    <row r="22" spans="2:5" x14ac:dyDescent="0.35">
      <c r="B22" s="572" t="s">
        <v>537</v>
      </c>
      <c r="C22" s="573"/>
      <c r="D22" s="574"/>
    </row>
    <row r="23" spans="2:5" x14ac:dyDescent="0.35">
      <c r="B23" s="572" t="s">
        <v>538</v>
      </c>
      <c r="C23" s="573"/>
      <c r="D23" s="574"/>
    </row>
    <row r="24" spans="2:5" x14ac:dyDescent="0.35">
      <c r="B24" s="572" t="s">
        <v>539</v>
      </c>
      <c r="C24" s="575">
        <f>+'[9]Rate Class Load Model'!$J$13</f>
        <v>11072.809594397084</v>
      </c>
      <c r="D24" s="576">
        <f>C24/E11</f>
        <v>2.9193276413604029E-3</v>
      </c>
    </row>
    <row r="25" spans="2:5" x14ac:dyDescent="0.35">
      <c r="B25" s="572" t="s">
        <v>540</v>
      </c>
      <c r="C25" s="575">
        <f>+'[9]Rate Class Load Model'!$K$13</f>
        <v>2456.7131554919761</v>
      </c>
      <c r="D25" s="576">
        <f>C25/E12</f>
        <v>5.5655332542566612E-4</v>
      </c>
    </row>
    <row r="26" spans="2:5" x14ac:dyDescent="0.35">
      <c r="B26" s="572" t="s">
        <v>541</v>
      </c>
      <c r="C26" s="575">
        <f>+'[9]Rate Class Load Model'!$L$13</f>
        <v>4003.2171855461202</v>
      </c>
      <c r="D26" s="576">
        <f>C26/E13</f>
        <v>1.553770109693152E-3</v>
      </c>
    </row>
    <row r="27" spans="2:5" x14ac:dyDescent="0.35">
      <c r="B27" s="572" t="s">
        <v>542</v>
      </c>
      <c r="C27" s="573"/>
      <c r="D27" s="576"/>
    </row>
    <row r="28" spans="2:5" x14ac:dyDescent="0.35">
      <c r="B28" s="572" t="s">
        <v>41</v>
      </c>
      <c r="C28" s="575">
        <f>+'[9]Rate Class Load Model'!$N$13</f>
        <v>0</v>
      </c>
      <c r="D28" s="576"/>
    </row>
    <row r="29" spans="2:5" ht="15" thickBot="1" x14ac:dyDescent="0.4">
      <c r="B29" s="577" t="s">
        <v>42</v>
      </c>
      <c r="C29" s="578">
        <f>+'[9]Rate Class Load Model'!$M$13</f>
        <v>0</v>
      </c>
      <c r="D29" s="576"/>
    </row>
    <row r="30" spans="2:5" s="544" customFormat="1" ht="15" thickBot="1" x14ac:dyDescent="0.4">
      <c r="B30" s="579" t="s">
        <v>543</v>
      </c>
      <c r="C30" s="580">
        <f>SUM(C24:C29)</f>
        <v>17532.73993543518</v>
      </c>
      <c r="D30" s="581"/>
    </row>
    <row r="32" spans="2:5" ht="15" thickBot="1" x14ac:dyDescent="0.4"/>
    <row r="33" spans="2:33" ht="48.65" customHeight="1" thickBot="1" x14ac:dyDescent="0.4">
      <c r="B33" s="1370" t="s">
        <v>544</v>
      </c>
      <c r="C33" s="1371"/>
      <c r="D33" s="1371"/>
      <c r="E33" s="1371"/>
      <c r="F33" s="1371"/>
      <c r="G33" s="1371"/>
      <c r="H33" s="1371"/>
      <c r="I33" s="1371"/>
      <c r="J33" s="1371"/>
      <c r="K33" s="1371"/>
      <c r="L33" s="1371"/>
      <c r="M33" s="1371"/>
      <c r="N33" s="1371"/>
      <c r="O33" s="1371"/>
      <c r="P33" s="1371"/>
      <c r="Q33" s="1371"/>
      <c r="R33" s="1371"/>
      <c r="S33" s="582"/>
      <c r="T33" s="1363" t="s">
        <v>545</v>
      </c>
      <c r="U33" s="1372"/>
      <c r="V33" s="1372"/>
      <c r="W33" s="1373"/>
      <c r="X33" s="1373"/>
      <c r="Y33" s="1373"/>
      <c r="Z33" s="1374"/>
      <c r="AA33" s="583"/>
      <c r="AB33" s="583"/>
      <c r="AC33" s="583"/>
      <c r="AD33" s="583"/>
      <c r="AE33" s="583"/>
      <c r="AF33" s="583"/>
      <c r="AG33" s="583"/>
    </row>
    <row r="34" spans="2:33" ht="39" customHeight="1" thickBot="1" x14ac:dyDescent="0.4">
      <c r="B34" s="1375" t="s">
        <v>533</v>
      </c>
      <c r="C34" s="1377" t="s">
        <v>546</v>
      </c>
      <c r="D34" s="1379" t="s">
        <v>547</v>
      </c>
      <c r="E34" s="1380"/>
      <c r="F34" s="1381"/>
      <c r="G34" s="584"/>
      <c r="H34" s="1379" t="s">
        <v>548</v>
      </c>
      <c r="I34" s="1382"/>
      <c r="J34" s="1382"/>
      <c r="K34" s="1383"/>
      <c r="L34" s="584"/>
      <c r="M34" s="1379" t="s">
        <v>549</v>
      </c>
      <c r="N34" s="1383"/>
      <c r="O34" s="584"/>
      <c r="P34" s="1379" t="s">
        <v>550</v>
      </c>
      <c r="Q34" s="1382"/>
      <c r="R34" s="1383"/>
      <c r="S34" s="584"/>
      <c r="T34" s="1379" t="s">
        <v>551</v>
      </c>
      <c r="U34" s="1382"/>
      <c r="V34" s="1383"/>
      <c r="X34" s="1349" t="s">
        <v>552</v>
      </c>
      <c r="Y34" s="1350"/>
      <c r="Z34" s="1351"/>
      <c r="AB34" s="583"/>
      <c r="AC34" s="1352"/>
      <c r="AD34" s="1353"/>
      <c r="AE34" s="574"/>
      <c r="AF34" s="1354"/>
      <c r="AG34" s="1355"/>
    </row>
    <row r="35" spans="2:33" ht="61" customHeight="1" thickBot="1" x14ac:dyDescent="0.4">
      <c r="B35" s="1376"/>
      <c r="C35" s="1378"/>
      <c r="D35" s="585" t="s">
        <v>553</v>
      </c>
      <c r="E35" s="586" t="s">
        <v>554</v>
      </c>
      <c r="F35" s="587" t="s">
        <v>555</v>
      </c>
      <c r="G35" s="588"/>
      <c r="H35" s="585" t="s">
        <v>553</v>
      </c>
      <c r="I35" s="586" t="s">
        <v>556</v>
      </c>
      <c r="J35" s="586" t="s">
        <v>554</v>
      </c>
      <c r="K35" s="587" t="s">
        <v>555</v>
      </c>
      <c r="L35" s="588"/>
      <c r="M35" s="585" t="s">
        <v>553</v>
      </c>
      <c r="N35" s="587" t="s">
        <v>555</v>
      </c>
      <c r="O35" s="588"/>
      <c r="P35" s="585" t="s">
        <v>553</v>
      </c>
      <c r="Q35" s="586" t="s">
        <v>554</v>
      </c>
      <c r="R35" s="587" t="s">
        <v>555</v>
      </c>
      <c r="S35" s="588"/>
      <c r="T35" s="585" t="s">
        <v>553</v>
      </c>
      <c r="U35" s="586" t="s">
        <v>554</v>
      </c>
      <c r="V35" s="587" t="s">
        <v>555</v>
      </c>
      <c r="X35" s="585" t="s">
        <v>553</v>
      </c>
      <c r="Y35" s="586" t="s">
        <v>554</v>
      </c>
      <c r="Z35" s="587" t="s">
        <v>555</v>
      </c>
      <c r="AB35" s="583"/>
      <c r="AC35" s="1352"/>
      <c r="AD35" s="1353"/>
      <c r="AE35" s="574"/>
      <c r="AF35" s="589"/>
      <c r="AG35" s="589"/>
    </row>
    <row r="36" spans="2:33" x14ac:dyDescent="0.35">
      <c r="B36" s="590" t="s">
        <v>38</v>
      </c>
      <c r="C36" s="591" t="s">
        <v>36</v>
      </c>
      <c r="D36" s="592">
        <v>1.6400000000000001E-2</v>
      </c>
      <c r="E36" s="593">
        <v>-5.0000000000000001E-4</v>
      </c>
      <c r="F36" s="594">
        <f>SUM(D36:E36)</f>
        <v>1.5900000000000001E-2</v>
      </c>
      <c r="G36" s="588"/>
      <c r="H36" s="592">
        <v>1.7000000000000001E-2</v>
      </c>
      <c r="I36" s="593">
        <v>-1E-4</v>
      </c>
      <c r="J36" s="593">
        <v>-5.0000000000000001E-4</v>
      </c>
      <c r="K36" s="595">
        <f>0.017-0.0001-0.0005</f>
        <v>1.6400000000000001E-2</v>
      </c>
      <c r="L36" s="588"/>
      <c r="M36" s="1192">
        <v>1.7000000000000001E-2</v>
      </c>
      <c r="N36" s="595">
        <f t="shared" ref="N36:N43" si="2">SUM(M36:M36)</f>
        <v>1.7000000000000001E-2</v>
      </c>
      <c r="O36" s="588"/>
      <c r="P36" s="592">
        <v>1.72E-2</v>
      </c>
      <c r="Q36" s="593"/>
      <c r="R36" s="595">
        <f t="shared" ref="R36:R43" si="3">SUM(P36:Q36)</f>
        <v>1.72E-2</v>
      </c>
      <c r="S36" s="588"/>
      <c r="T36" s="592">
        <v>1.7399999999999999E-2</v>
      </c>
      <c r="U36" s="593"/>
      <c r="V36" s="595">
        <f t="shared" ref="V36:V43" si="4">SUM(T36:U36)</f>
        <v>1.7399999999999999E-2</v>
      </c>
      <c r="X36" s="592">
        <v>1.7600000000000001E-2</v>
      </c>
      <c r="Y36" s="593"/>
      <c r="Z36" s="595">
        <f t="shared" ref="Z36:Z43" si="5">SUM(X36:Y36)</f>
        <v>1.7600000000000001E-2</v>
      </c>
      <c r="AB36" s="583"/>
      <c r="AC36" s="574"/>
      <c r="AD36" s="574"/>
      <c r="AE36" s="574"/>
      <c r="AF36" s="596"/>
      <c r="AG36" s="597"/>
    </row>
    <row r="37" spans="2:33" x14ac:dyDescent="0.35">
      <c r="B37" s="572" t="s">
        <v>557</v>
      </c>
      <c r="C37" s="598" t="s">
        <v>36</v>
      </c>
      <c r="D37" s="599">
        <v>1.5599999999999999E-2</v>
      </c>
      <c r="E37" s="600">
        <v>-2.9999999999999997E-4</v>
      </c>
      <c r="F37" s="601">
        <f t="shared" ref="F37:F43" si="6">SUM(D37:E37)</f>
        <v>1.5299999999999999E-2</v>
      </c>
      <c r="G37" s="588"/>
      <c r="H37" s="599">
        <v>1.26E-2</v>
      </c>
      <c r="I37" s="600">
        <v>-1.1999999999999999E-3</v>
      </c>
      <c r="J37" s="600">
        <v>-2.9999999999999997E-4</v>
      </c>
      <c r="K37" s="602">
        <f>0.0126-0.0012-0.0003</f>
        <v>1.11E-2</v>
      </c>
      <c r="L37" s="588"/>
      <c r="M37" s="1193">
        <v>1.26E-2</v>
      </c>
      <c r="N37" s="595">
        <f t="shared" si="2"/>
        <v>1.26E-2</v>
      </c>
      <c r="O37" s="588"/>
      <c r="P37" s="599">
        <v>1.2699999999999999E-2</v>
      </c>
      <c r="Q37" s="600"/>
      <c r="R37" s="595">
        <f t="shared" si="3"/>
        <v>1.2699999999999999E-2</v>
      </c>
      <c r="S37" s="588"/>
      <c r="T37" s="599">
        <v>1.29E-2</v>
      </c>
      <c r="U37" s="600"/>
      <c r="V37" s="595">
        <f t="shared" si="4"/>
        <v>1.29E-2</v>
      </c>
      <c r="X37" s="599">
        <v>1.3100000000000001E-2</v>
      </c>
      <c r="Y37" s="600"/>
      <c r="Z37" s="595">
        <f t="shared" si="5"/>
        <v>1.3100000000000001E-2</v>
      </c>
      <c r="AB37" s="583"/>
      <c r="AC37" s="574"/>
      <c r="AD37" s="574"/>
      <c r="AE37" s="574"/>
      <c r="AF37" s="596"/>
      <c r="AG37" s="597"/>
    </row>
    <row r="38" spans="2:33" x14ac:dyDescent="0.35">
      <c r="B38" s="572" t="s">
        <v>558</v>
      </c>
      <c r="C38" s="598" t="s">
        <v>37</v>
      </c>
      <c r="D38" s="599">
        <v>2.7665000000000002</v>
      </c>
      <c r="E38" s="600">
        <v>-5.9499999999999997E-2</v>
      </c>
      <c r="F38" s="601">
        <f t="shared" si="6"/>
        <v>2.7070000000000003</v>
      </c>
      <c r="G38" s="588"/>
      <c r="H38" s="599">
        <v>2.4801000000000002</v>
      </c>
      <c r="I38" s="600">
        <v>-0.13339999999999999</v>
      </c>
      <c r="J38" s="600">
        <v>-5.9499999999999997E-2</v>
      </c>
      <c r="K38" s="602">
        <f>2.4801-0.1334-0.0595</f>
        <v>2.2872000000000003</v>
      </c>
      <c r="L38" s="588"/>
      <c r="M38" s="1193">
        <v>2.4801000000000002</v>
      </c>
      <c r="N38" s="595">
        <f t="shared" si="2"/>
        <v>2.4801000000000002</v>
      </c>
      <c r="O38" s="588"/>
      <c r="P38" s="599">
        <v>2.5068999999999999</v>
      </c>
      <c r="Q38" s="600">
        <v>-3.0999999999999999E-3</v>
      </c>
      <c r="R38" s="595">
        <f t="shared" si="3"/>
        <v>2.5038</v>
      </c>
      <c r="S38" s="588"/>
      <c r="T38" s="599">
        <v>2.5419999999999998</v>
      </c>
      <c r="U38" s="600">
        <v>-3.0999999999999999E-3</v>
      </c>
      <c r="V38" s="595">
        <f t="shared" si="4"/>
        <v>2.5388999999999999</v>
      </c>
      <c r="X38" s="599">
        <v>2.5750000000000002</v>
      </c>
      <c r="Y38" s="600">
        <v>-3.0999999999999999E-3</v>
      </c>
      <c r="Z38" s="595">
        <f t="shared" si="5"/>
        <v>2.5719000000000003</v>
      </c>
      <c r="AB38" s="583"/>
      <c r="AC38" s="574"/>
      <c r="AD38" s="574"/>
      <c r="AE38" s="574"/>
      <c r="AF38" s="596"/>
      <c r="AG38" s="597"/>
    </row>
    <row r="39" spans="2:33" x14ac:dyDescent="0.35">
      <c r="B39" s="572" t="s">
        <v>559</v>
      </c>
      <c r="C39" s="598" t="s">
        <v>37</v>
      </c>
      <c r="D39" s="599">
        <v>1.9813000000000001</v>
      </c>
      <c r="E39" s="600">
        <v>-3.2899999999999999E-2</v>
      </c>
      <c r="F39" s="601">
        <f t="shared" si="6"/>
        <v>1.9484000000000001</v>
      </c>
      <c r="G39" s="588"/>
      <c r="H39" s="599">
        <v>3.3153000000000001</v>
      </c>
      <c r="I39" s="600">
        <v>0.42780000000000001</v>
      </c>
      <c r="J39" s="600">
        <v>-3.2899999999999999E-2</v>
      </c>
      <c r="K39" s="602">
        <f>3.3153+0.4278-0.0329</f>
        <v>3.7101999999999999</v>
      </c>
      <c r="L39" s="588"/>
      <c r="M39" s="1193">
        <v>3.3153000000000001</v>
      </c>
      <c r="N39" s="595">
        <f t="shared" si="2"/>
        <v>3.3153000000000001</v>
      </c>
      <c r="O39" s="588"/>
      <c r="P39" s="599">
        <v>3.3511000000000002</v>
      </c>
      <c r="Q39" s="600">
        <v>-3.2000000000000002E-3</v>
      </c>
      <c r="R39" s="595">
        <f t="shared" si="3"/>
        <v>3.3479000000000001</v>
      </c>
      <c r="S39" s="588"/>
      <c r="T39" s="599">
        <v>3.3980000000000001</v>
      </c>
      <c r="U39" s="600">
        <v>-3.2000000000000002E-3</v>
      </c>
      <c r="V39" s="595">
        <f t="shared" si="4"/>
        <v>3.3948</v>
      </c>
      <c r="X39" s="599">
        <v>3.4422000000000001</v>
      </c>
      <c r="Y39" s="600">
        <v>-3.2000000000000002E-3</v>
      </c>
      <c r="Z39" s="595">
        <f t="shared" si="5"/>
        <v>3.4390000000000001</v>
      </c>
      <c r="AB39" s="583"/>
      <c r="AC39" s="574"/>
      <c r="AD39" s="574"/>
      <c r="AE39" s="574"/>
      <c r="AF39" s="596"/>
      <c r="AG39" s="597"/>
    </row>
    <row r="40" spans="2:33" x14ac:dyDescent="0.35">
      <c r="B40" s="572" t="s">
        <v>541</v>
      </c>
      <c r="C40" s="598" t="s">
        <v>37</v>
      </c>
      <c r="D40" s="599">
        <v>2.1764000000000001</v>
      </c>
      <c r="E40" s="600">
        <v>-3.2500000000000001E-2</v>
      </c>
      <c r="F40" s="601">
        <f t="shared" si="6"/>
        <v>2.1438999999999999</v>
      </c>
      <c r="G40" s="588"/>
      <c r="H40" s="599">
        <v>2.2679999999999998</v>
      </c>
      <c r="I40" s="600">
        <v>1.3899999999999999E-2</v>
      </c>
      <c r="J40" s="600">
        <v>-3.2500000000000001E-2</v>
      </c>
      <c r="K40" s="602">
        <f>2.268+0.0139-0.0325</f>
        <v>2.2493999999999996</v>
      </c>
      <c r="L40" s="588"/>
      <c r="M40" s="1193">
        <v>2.2679999999999998</v>
      </c>
      <c r="N40" s="595">
        <f t="shared" si="2"/>
        <v>2.2679999999999998</v>
      </c>
      <c r="O40" s="588"/>
      <c r="P40" s="599">
        <v>2.2925</v>
      </c>
      <c r="Q40" s="600">
        <v>-2.0999999999999999E-3</v>
      </c>
      <c r="R40" s="595">
        <f t="shared" si="3"/>
        <v>2.2904</v>
      </c>
      <c r="S40" s="588"/>
      <c r="T40" s="599">
        <v>2.3246000000000002</v>
      </c>
      <c r="U40" s="600">
        <v>-2.0999999999999999E-3</v>
      </c>
      <c r="V40" s="595">
        <f t="shared" si="4"/>
        <v>2.3225000000000002</v>
      </c>
      <c r="X40" s="599">
        <v>2.3548</v>
      </c>
      <c r="Y40" s="600">
        <v>-2.0999999999999999E-3</v>
      </c>
      <c r="Z40" s="595">
        <f t="shared" si="5"/>
        <v>2.3527</v>
      </c>
      <c r="AB40" s="583"/>
      <c r="AC40" s="574"/>
      <c r="AD40" s="574"/>
      <c r="AE40" s="574"/>
      <c r="AF40" s="596"/>
      <c r="AG40" s="597"/>
    </row>
    <row r="41" spans="2:33" x14ac:dyDescent="0.35">
      <c r="B41" s="572" t="s">
        <v>542</v>
      </c>
      <c r="C41" s="598" t="s">
        <v>36</v>
      </c>
      <c r="D41" s="599">
        <v>2.5000000000000001E-2</v>
      </c>
      <c r="E41" s="600">
        <v>-5.9999999999999995E-4</v>
      </c>
      <c r="F41" s="601">
        <f t="shared" si="6"/>
        <v>2.4400000000000002E-2</v>
      </c>
      <c r="G41" s="588"/>
      <c r="H41" s="599">
        <v>2.5999999999999999E-2</v>
      </c>
      <c r="I41" s="600"/>
      <c r="J41" s="600">
        <v>-5.9999999999999995E-4</v>
      </c>
      <c r="K41" s="602">
        <f>0.026-0.0006</f>
        <v>2.5399999999999999E-2</v>
      </c>
      <c r="L41" s="588"/>
      <c r="M41" s="1193">
        <v>2.5999999999999999E-2</v>
      </c>
      <c r="N41" s="595">
        <f t="shared" si="2"/>
        <v>2.5999999999999999E-2</v>
      </c>
      <c r="O41" s="588"/>
      <c r="P41" s="599">
        <v>2.63E-2</v>
      </c>
      <c r="Q41" s="600"/>
      <c r="R41" s="595">
        <f t="shared" si="3"/>
        <v>2.63E-2</v>
      </c>
      <c r="S41" s="588"/>
      <c r="T41" s="599">
        <v>2.6700000000000002E-2</v>
      </c>
      <c r="U41" s="600"/>
      <c r="V41" s="595">
        <f t="shared" si="4"/>
        <v>2.6700000000000002E-2</v>
      </c>
      <c r="X41" s="599">
        <v>2.7E-2</v>
      </c>
      <c r="Y41" s="600"/>
      <c r="Z41" s="595">
        <f t="shared" si="5"/>
        <v>2.7E-2</v>
      </c>
      <c r="AB41" s="583"/>
      <c r="AC41" s="574"/>
      <c r="AD41" s="574"/>
      <c r="AE41" s="574"/>
      <c r="AF41" s="596"/>
      <c r="AG41" s="597"/>
    </row>
    <row r="42" spans="2:33" x14ac:dyDescent="0.35">
      <c r="B42" s="572" t="s">
        <v>41</v>
      </c>
      <c r="C42" s="598" t="s">
        <v>37</v>
      </c>
      <c r="D42" s="599">
        <v>7.2192999999999996</v>
      </c>
      <c r="E42" s="600">
        <v>-0.1988</v>
      </c>
      <c r="F42" s="601">
        <f t="shared" si="6"/>
        <v>7.0204999999999993</v>
      </c>
      <c r="G42" s="588"/>
      <c r="H42" s="599">
        <v>7.5162000000000004</v>
      </c>
      <c r="I42" s="600">
        <v>-8.8999999999999999E-3</v>
      </c>
      <c r="J42" s="600">
        <v>-0.1988</v>
      </c>
      <c r="K42" s="602">
        <f>7.5162-0.0089-0.1988</f>
        <v>7.3085000000000004</v>
      </c>
      <c r="L42" s="588"/>
      <c r="M42" s="1193">
        <v>7.5162000000000004</v>
      </c>
      <c r="N42" s="595">
        <f t="shared" si="2"/>
        <v>7.5162000000000004</v>
      </c>
      <c r="O42" s="588"/>
      <c r="P42" s="599">
        <v>7.5974000000000004</v>
      </c>
      <c r="Q42" s="600">
        <v>-1.41E-2</v>
      </c>
      <c r="R42" s="595">
        <f t="shared" si="3"/>
        <v>7.5833000000000004</v>
      </c>
      <c r="S42" s="588"/>
      <c r="T42" s="599">
        <v>7.7038000000000002</v>
      </c>
      <c r="U42" s="600">
        <v>-1.41E-2</v>
      </c>
      <c r="V42" s="595">
        <f t="shared" si="4"/>
        <v>7.6897000000000002</v>
      </c>
      <c r="X42" s="599">
        <v>7.8038999999999996</v>
      </c>
      <c r="Y42" s="600">
        <v>-1.41E-2</v>
      </c>
      <c r="Z42" s="595">
        <f t="shared" si="5"/>
        <v>7.7897999999999996</v>
      </c>
      <c r="AB42" s="583"/>
      <c r="AC42" s="574"/>
      <c r="AD42" s="574"/>
      <c r="AE42" s="574"/>
      <c r="AF42" s="596"/>
      <c r="AG42" s="597"/>
    </row>
    <row r="43" spans="2:33" ht="15" thickBot="1" x14ac:dyDescent="0.4">
      <c r="B43" s="603" t="s">
        <v>42</v>
      </c>
      <c r="C43" s="604" t="s">
        <v>37</v>
      </c>
      <c r="D43" s="605">
        <v>5.5564999999999998</v>
      </c>
      <c r="E43" s="606">
        <v>-0.10100000000000001</v>
      </c>
      <c r="F43" s="607">
        <f t="shared" si="6"/>
        <v>5.4554999999999998</v>
      </c>
      <c r="G43" s="608"/>
      <c r="H43" s="605">
        <v>9.2150999999999996</v>
      </c>
      <c r="I43" s="606">
        <v>1.1607000000000001</v>
      </c>
      <c r="J43" s="606">
        <v>-0.10100000000000001</v>
      </c>
      <c r="K43" s="609">
        <f>9.2151+1.1607-0.101</f>
        <v>10.274799999999999</v>
      </c>
      <c r="L43" s="608"/>
      <c r="M43" s="1194">
        <v>9.2150999999999996</v>
      </c>
      <c r="N43" s="610">
        <f t="shared" si="2"/>
        <v>9.2150999999999996</v>
      </c>
      <c r="O43" s="608"/>
      <c r="P43" s="605">
        <v>9.3146000000000004</v>
      </c>
      <c r="Q43" s="606">
        <v>-1.0200000000000001E-2</v>
      </c>
      <c r="R43" s="610">
        <f t="shared" si="3"/>
        <v>9.3044000000000011</v>
      </c>
      <c r="S43" s="608"/>
      <c r="T43" s="605">
        <v>9.4450000000000003</v>
      </c>
      <c r="U43" s="606">
        <v>-1.0200000000000001E-2</v>
      </c>
      <c r="V43" s="610">
        <f t="shared" si="4"/>
        <v>9.434800000000001</v>
      </c>
      <c r="X43" s="605">
        <v>9.5678000000000001</v>
      </c>
      <c r="Y43" s="606">
        <v>-1.0200000000000001E-2</v>
      </c>
      <c r="Z43" s="610">
        <f t="shared" si="5"/>
        <v>9.5576000000000008</v>
      </c>
      <c r="AB43" s="583"/>
      <c r="AC43" s="574"/>
      <c r="AD43" s="574"/>
      <c r="AE43" s="574"/>
      <c r="AF43" s="596"/>
      <c r="AG43" s="597"/>
    </row>
    <row r="44" spans="2:33" ht="15" thickBot="1" x14ac:dyDescent="0.4">
      <c r="AB44" s="583"/>
      <c r="AC44" s="611"/>
      <c r="AD44" s="611"/>
      <c r="AE44" s="611"/>
      <c r="AF44" s="612"/>
      <c r="AG44" s="612"/>
    </row>
    <row r="45" spans="2:33" ht="15" thickBot="1" x14ac:dyDescent="0.4">
      <c r="B45" s="1346">
        <v>2012</v>
      </c>
      <c r="C45" s="1347"/>
      <c r="D45" s="1347"/>
      <c r="E45" s="1347"/>
      <c r="F45" s="1347"/>
      <c r="G45" s="1356"/>
      <c r="H45" s="1356"/>
      <c r="I45" s="1356"/>
      <c r="J45" s="1357"/>
    </row>
    <row r="46" spans="2:33" ht="45" customHeight="1" thickBot="1" x14ac:dyDescent="0.4">
      <c r="B46" s="1358" t="s">
        <v>533</v>
      </c>
      <c r="C46" s="1360" t="s">
        <v>560</v>
      </c>
      <c r="D46" s="1361"/>
      <c r="E46" s="1362"/>
      <c r="F46" s="1357"/>
      <c r="G46" s="613"/>
      <c r="H46" s="1363" t="s">
        <v>561</v>
      </c>
      <c r="I46" s="1364"/>
      <c r="J46" s="1365"/>
    </row>
    <row r="47" spans="2:33" ht="42.65" customHeight="1" thickBot="1" x14ac:dyDescent="0.4">
      <c r="B47" s="1359"/>
      <c r="C47" s="614" t="s">
        <v>562</v>
      </c>
      <c r="D47" s="615" t="s">
        <v>563</v>
      </c>
      <c r="E47" s="615" t="s">
        <v>564</v>
      </c>
      <c r="F47" s="615" t="s">
        <v>565</v>
      </c>
      <c r="G47" s="613"/>
      <c r="H47" s="616" t="s">
        <v>562</v>
      </c>
      <c r="I47" s="617" t="s">
        <v>563</v>
      </c>
      <c r="J47" s="615" t="s">
        <v>564</v>
      </c>
    </row>
    <row r="48" spans="2:33" x14ac:dyDescent="0.35">
      <c r="B48" s="618" t="s">
        <v>38</v>
      </c>
      <c r="C48" s="619">
        <f>E9*F36*3/12</f>
        <v>14292.582136676983</v>
      </c>
      <c r="D48" s="620">
        <f>E9*K36/12</f>
        <v>4914.0114683753154</v>
      </c>
      <c r="E48" s="1161">
        <f>E9*N36*8/12</f>
        <v>40750.339006039198</v>
      </c>
      <c r="F48" s="621">
        <f>SUM(C48:E48)</f>
        <v>59956.932611091499</v>
      </c>
      <c r="H48" s="622">
        <f t="shared" ref="H48:H56" si="7">C48/3</f>
        <v>4764.1940455589947</v>
      </c>
      <c r="I48" s="623">
        <f>D48</f>
        <v>4914.0114683753154</v>
      </c>
      <c r="J48" s="623">
        <f>E48/8</f>
        <v>5093.7923757548997</v>
      </c>
    </row>
    <row r="49" spans="2:10" x14ac:dyDescent="0.35">
      <c r="B49" s="598" t="s">
        <v>557</v>
      </c>
      <c r="C49" s="619">
        <f>E10*F37*3/12</f>
        <v>5401.0807238528851</v>
      </c>
      <c r="D49" s="620">
        <f>E10*K37/12</f>
        <v>1306.1437044611553</v>
      </c>
      <c r="E49" s="1161">
        <f>E10*N37*8/12</f>
        <v>11861.196883755356</v>
      </c>
      <c r="F49" s="621">
        <f t="shared" ref="F49:F55" si="8">SUM(C49:E49)</f>
        <v>18568.421312069397</v>
      </c>
      <c r="H49" s="624">
        <f t="shared" si="7"/>
        <v>1800.3602412842949</v>
      </c>
      <c r="I49" s="625">
        <f t="shared" ref="I49:I56" si="9">D49</f>
        <v>1306.1437044611553</v>
      </c>
      <c r="J49" s="625">
        <f t="shared" ref="J49:J56" si="10">E49/8</f>
        <v>1482.6496104694195</v>
      </c>
    </row>
    <row r="50" spans="2:10" x14ac:dyDescent="0.35">
      <c r="B50" s="598" t="s">
        <v>558</v>
      </c>
      <c r="C50" s="619">
        <f>C24*F38*3/12</f>
        <v>7493.5238930082269</v>
      </c>
      <c r="D50" s="620">
        <f>C24*K38/12</f>
        <v>2110.4775086920845</v>
      </c>
      <c r="E50" s="1161">
        <f>C24*N38*8/12</f>
        <v>18307.78338337614</v>
      </c>
      <c r="F50" s="621">
        <f t="shared" si="8"/>
        <v>27911.784785076452</v>
      </c>
      <c r="H50" s="624">
        <f t="shared" si="7"/>
        <v>2497.841297669409</v>
      </c>
      <c r="I50" s="625">
        <f t="shared" si="9"/>
        <v>2110.4775086920845</v>
      </c>
      <c r="J50" s="625">
        <f t="shared" si="10"/>
        <v>2288.4729229220175</v>
      </c>
    </row>
    <row r="51" spans="2:10" x14ac:dyDescent="0.35">
      <c r="B51" s="598" t="s">
        <v>559</v>
      </c>
      <c r="C51" s="619">
        <f>C25*F39*3/12</f>
        <v>1196.6649780401417</v>
      </c>
      <c r="D51" s="620">
        <f>C25*K39/12</f>
        <v>759.57476245886073</v>
      </c>
      <c r="E51" s="1161">
        <f>C25*N39*8/12</f>
        <v>5429.8274162683656</v>
      </c>
      <c r="F51" s="621">
        <f t="shared" si="8"/>
        <v>7386.067156767368</v>
      </c>
      <c r="H51" s="624">
        <f t="shared" si="7"/>
        <v>398.88832601338055</v>
      </c>
      <c r="I51" s="625">
        <f t="shared" si="9"/>
        <v>759.57476245886073</v>
      </c>
      <c r="J51" s="625">
        <f t="shared" si="10"/>
        <v>678.7284270335457</v>
      </c>
    </row>
    <row r="52" spans="2:10" x14ac:dyDescent="0.35">
      <c r="B52" s="598" t="s">
        <v>541</v>
      </c>
      <c r="C52" s="619">
        <f>C26*F40*3/12</f>
        <v>2145.6243310230816</v>
      </c>
      <c r="D52" s="620">
        <f>C26*K40/12</f>
        <v>750.40306143062014</v>
      </c>
      <c r="E52" s="1161">
        <f>C26*N40*8/12</f>
        <v>6052.8643845457336</v>
      </c>
      <c r="F52" s="621">
        <f t="shared" si="8"/>
        <v>8948.891776999435</v>
      </c>
      <c r="H52" s="624">
        <f t="shared" si="7"/>
        <v>715.20811034102724</v>
      </c>
      <c r="I52" s="625">
        <f t="shared" si="9"/>
        <v>750.40306143062014</v>
      </c>
      <c r="J52" s="625">
        <f t="shared" si="10"/>
        <v>756.6080480682167</v>
      </c>
    </row>
    <row r="53" spans="2:10" x14ac:dyDescent="0.35">
      <c r="B53" s="598" t="s">
        <v>542</v>
      </c>
      <c r="C53" s="619">
        <f>E14*F41*3/12</f>
        <v>129.056756277315</v>
      </c>
      <c r="D53" s="620">
        <f>E14*K41/12</f>
        <v>44.781989200051918</v>
      </c>
      <c r="E53" s="1161">
        <f>E14*N41*8/12</f>
        <v>366.71865171696055</v>
      </c>
      <c r="F53" s="621">
        <f t="shared" si="8"/>
        <v>540.55739719432745</v>
      </c>
      <c r="H53" s="624">
        <f t="shared" si="7"/>
        <v>43.018918759104999</v>
      </c>
      <c r="I53" s="625">
        <f t="shared" si="9"/>
        <v>44.781989200051918</v>
      </c>
      <c r="J53" s="625">
        <f t="shared" si="10"/>
        <v>45.839831464620069</v>
      </c>
    </row>
    <row r="54" spans="2:10" x14ac:dyDescent="0.35">
      <c r="B54" s="598" t="s">
        <v>41</v>
      </c>
      <c r="C54" s="619">
        <v>0</v>
      </c>
      <c r="D54" s="620">
        <v>0</v>
      </c>
      <c r="E54" s="1162">
        <f>C28*N42*8/12</f>
        <v>0</v>
      </c>
      <c r="F54" s="1160">
        <f t="shared" si="8"/>
        <v>0</v>
      </c>
      <c r="H54" s="624">
        <f t="shared" si="7"/>
        <v>0</v>
      </c>
      <c r="I54" s="625">
        <f t="shared" si="9"/>
        <v>0</v>
      </c>
      <c r="J54" s="625">
        <f t="shared" si="10"/>
        <v>0</v>
      </c>
    </row>
    <row r="55" spans="2:10" ht="15" thickBot="1" x14ac:dyDescent="0.4">
      <c r="B55" s="626" t="s">
        <v>42</v>
      </c>
      <c r="C55" s="627">
        <f>C29*F43*3/12</f>
        <v>0</v>
      </c>
      <c r="D55" s="628">
        <f>C29*K43/12</f>
        <v>0</v>
      </c>
      <c r="E55" s="1163">
        <f>C29*N43*8/12</f>
        <v>0</v>
      </c>
      <c r="F55" s="629">
        <f t="shared" si="8"/>
        <v>0</v>
      </c>
      <c r="H55" s="630">
        <f t="shared" si="7"/>
        <v>0</v>
      </c>
      <c r="I55" s="631">
        <f t="shared" si="9"/>
        <v>0</v>
      </c>
      <c r="J55" s="631">
        <f t="shared" si="10"/>
        <v>0</v>
      </c>
    </row>
    <row r="56" spans="2:10" ht="15" thickBot="1" x14ac:dyDescent="0.4">
      <c r="B56" s="579" t="s">
        <v>35</v>
      </c>
      <c r="C56" s="632">
        <f>SUM(C48:C55)</f>
        <v>30658.532818878633</v>
      </c>
      <c r="D56" s="633">
        <f>SUM(D48:D55)</f>
        <v>9885.392494618085</v>
      </c>
      <c r="E56" s="633">
        <f>SUM(E48:E55)</f>
        <v>82768.729725701749</v>
      </c>
      <c r="F56" s="634">
        <f>SUM(F48:F55)</f>
        <v>123312.65503919848</v>
      </c>
      <c r="H56" s="635">
        <f t="shared" si="7"/>
        <v>10219.510939626211</v>
      </c>
      <c r="I56" s="636">
        <f t="shared" si="9"/>
        <v>9885.392494618085</v>
      </c>
      <c r="J56" s="636">
        <f t="shared" si="10"/>
        <v>10346.091215712719</v>
      </c>
    </row>
    <row r="57" spans="2:10" ht="15" thickBot="1" x14ac:dyDescent="0.4">
      <c r="B57" s="579" t="s">
        <v>566</v>
      </c>
      <c r="C57" s="1366">
        <f>SUM(C56:E56)</f>
        <v>123312.65503919846</v>
      </c>
      <c r="D57" s="1367"/>
      <c r="E57" s="1367"/>
      <c r="F57" s="1368"/>
      <c r="H57" s="637"/>
      <c r="I57" s="637"/>
      <c r="J57" s="637"/>
    </row>
    <row r="58" spans="2:10" ht="15" thickBot="1" x14ac:dyDescent="0.4"/>
    <row r="59" spans="2:10" ht="15" thickBot="1" x14ac:dyDescent="0.4">
      <c r="B59" s="1346">
        <v>2013</v>
      </c>
      <c r="C59" s="1347"/>
      <c r="D59" s="1348"/>
    </row>
    <row r="60" spans="2:10" ht="15" customHeight="1" x14ac:dyDescent="0.35">
      <c r="B60" s="1340" t="s">
        <v>533</v>
      </c>
      <c r="C60" s="1342" t="s">
        <v>567</v>
      </c>
      <c r="D60" s="1344" t="s">
        <v>561</v>
      </c>
    </row>
    <row r="61" spans="2:10" ht="42" customHeight="1" thickBot="1" x14ac:dyDescent="0.4">
      <c r="B61" s="1341"/>
      <c r="C61" s="1343"/>
      <c r="D61" s="1345"/>
      <c r="F61" s="638"/>
    </row>
    <row r="62" spans="2:10" x14ac:dyDescent="0.35">
      <c r="B62" s="639" t="s">
        <v>38</v>
      </c>
      <c r="C62" s="640">
        <f>+E9*R36</f>
        <v>61844.63213857713</v>
      </c>
      <c r="D62" s="641">
        <f>C62/12</f>
        <v>5153.7193448814278</v>
      </c>
    </row>
    <row r="63" spans="2:10" x14ac:dyDescent="0.35">
      <c r="B63" s="642" t="s">
        <v>557</v>
      </c>
      <c r="C63" s="640">
        <f>+E10*R37</f>
        <v>17933.000050439645</v>
      </c>
      <c r="D63" s="641">
        <f t="shared" ref="D63:D70" si="11">C63/12</f>
        <v>1494.4166708699704</v>
      </c>
    </row>
    <row r="64" spans="2:10" x14ac:dyDescent="0.35">
      <c r="B64" s="642" t="s">
        <v>558</v>
      </c>
      <c r="C64" s="643">
        <f>+C24*R38</f>
        <v>27724.100662451419</v>
      </c>
      <c r="D64" s="641">
        <f t="shared" si="11"/>
        <v>2310.3417218709515</v>
      </c>
    </row>
    <row r="65" spans="2:4" x14ac:dyDescent="0.35">
      <c r="B65" s="642" t="s">
        <v>559</v>
      </c>
      <c r="C65" s="643">
        <f>+C25*R39</f>
        <v>8224.8299732715877</v>
      </c>
      <c r="D65" s="641">
        <f t="shared" si="11"/>
        <v>685.40249777263227</v>
      </c>
    </row>
    <row r="66" spans="2:4" x14ac:dyDescent="0.35">
      <c r="B66" s="642" t="s">
        <v>541</v>
      </c>
      <c r="C66" s="643">
        <f>+C26*R40</f>
        <v>9168.9686417748344</v>
      </c>
      <c r="D66" s="641">
        <f t="shared" si="11"/>
        <v>764.08072014790287</v>
      </c>
    </row>
    <row r="67" spans="2:4" x14ac:dyDescent="0.35">
      <c r="B67" s="642" t="s">
        <v>542</v>
      </c>
      <c r="C67" s="640">
        <f>+E14*R41</f>
        <v>556.4250311628499</v>
      </c>
      <c r="D67" s="641">
        <f t="shared" si="11"/>
        <v>46.368752596904159</v>
      </c>
    </row>
    <row r="68" spans="2:4" x14ac:dyDescent="0.35">
      <c r="B68" s="642" t="s">
        <v>41</v>
      </c>
      <c r="C68" s="643">
        <f>+C28*R42</f>
        <v>0</v>
      </c>
      <c r="D68" s="641">
        <f t="shared" si="11"/>
        <v>0</v>
      </c>
    </row>
    <row r="69" spans="2:4" ht="15" thickBot="1" x14ac:dyDescent="0.4">
      <c r="B69" s="644" t="s">
        <v>42</v>
      </c>
      <c r="C69" s="645">
        <f>+C29*R43</f>
        <v>0</v>
      </c>
      <c r="D69" s="646">
        <f t="shared" si="11"/>
        <v>0</v>
      </c>
    </row>
    <row r="70" spans="2:4" ht="15" thickBot="1" x14ac:dyDescent="0.4">
      <c r="B70" s="579" t="s">
        <v>568</v>
      </c>
      <c r="C70" s="647">
        <f>SUM(C62:C69)</f>
        <v>125451.95649767747</v>
      </c>
      <c r="D70" s="648">
        <f t="shared" si="11"/>
        <v>10454.329708139789</v>
      </c>
    </row>
    <row r="71" spans="2:4" ht="15" thickBot="1" x14ac:dyDescent="0.4"/>
    <row r="72" spans="2:4" ht="15" thickBot="1" x14ac:dyDescent="0.4">
      <c r="B72" s="1346">
        <v>2014</v>
      </c>
      <c r="C72" s="1347"/>
      <c r="D72" s="1348"/>
    </row>
    <row r="73" spans="2:4" ht="24.65" customHeight="1" x14ac:dyDescent="0.35">
      <c r="B73" s="1340" t="s">
        <v>533</v>
      </c>
      <c r="C73" s="1342" t="s">
        <v>569</v>
      </c>
      <c r="D73" s="1344" t="s">
        <v>561</v>
      </c>
    </row>
    <row r="74" spans="2:4" ht="33.65" customHeight="1" thickBot="1" x14ac:dyDescent="0.4">
      <c r="B74" s="1341"/>
      <c r="C74" s="1343"/>
      <c r="D74" s="1345"/>
    </row>
    <row r="75" spans="2:4" x14ac:dyDescent="0.35">
      <c r="B75" s="639" t="s">
        <v>38</v>
      </c>
      <c r="C75" s="640">
        <f>+E9*V36</f>
        <v>62563.755768095471</v>
      </c>
      <c r="D75" s="641">
        <f>C75/12</f>
        <v>5213.6463140079559</v>
      </c>
    </row>
    <row r="76" spans="2:4" x14ac:dyDescent="0.35">
      <c r="B76" s="642" t="s">
        <v>557</v>
      </c>
      <c r="C76" s="640">
        <f>+E10*V37</f>
        <v>18215.409500052869</v>
      </c>
      <c r="D76" s="641">
        <f t="shared" ref="D76:D83" si="12">C76/12</f>
        <v>1517.9507916710725</v>
      </c>
    </row>
    <row r="77" spans="2:4" x14ac:dyDescent="0.35">
      <c r="B77" s="642" t="s">
        <v>558</v>
      </c>
      <c r="C77" s="640">
        <f>+C24*V38</f>
        <v>28112.756279214755</v>
      </c>
      <c r="D77" s="641">
        <f t="shared" si="12"/>
        <v>2342.7296899345629</v>
      </c>
    </row>
    <row r="78" spans="2:4" x14ac:dyDescent="0.35">
      <c r="B78" s="642" t="s">
        <v>559</v>
      </c>
      <c r="C78" s="640">
        <f>+C25*V39</f>
        <v>8340.0498202641611</v>
      </c>
      <c r="D78" s="641">
        <f t="shared" si="12"/>
        <v>695.00415168868005</v>
      </c>
    </row>
    <row r="79" spans="2:4" x14ac:dyDescent="0.35">
      <c r="B79" s="642" t="s">
        <v>541</v>
      </c>
      <c r="C79" s="640">
        <f>+C26*V40</f>
        <v>9297.4719134308652</v>
      </c>
      <c r="D79" s="641">
        <f t="shared" si="12"/>
        <v>774.78932611923881</v>
      </c>
    </row>
    <row r="80" spans="2:4" x14ac:dyDescent="0.35">
      <c r="B80" s="642" t="s">
        <v>542</v>
      </c>
      <c r="C80" s="640">
        <f>+E14*V41</f>
        <v>564.88776927939512</v>
      </c>
      <c r="D80" s="641">
        <f t="shared" si="12"/>
        <v>47.073980773282926</v>
      </c>
    </row>
    <row r="81" spans="2:4" x14ac:dyDescent="0.35">
      <c r="B81" s="642" t="s">
        <v>41</v>
      </c>
      <c r="C81" s="640">
        <f>+C28*V42</f>
        <v>0</v>
      </c>
      <c r="D81" s="641">
        <f t="shared" si="12"/>
        <v>0</v>
      </c>
    </row>
    <row r="82" spans="2:4" ht="15" thickBot="1" x14ac:dyDescent="0.4">
      <c r="B82" s="644" t="s">
        <v>42</v>
      </c>
      <c r="C82" s="640">
        <f>+C29*V43</f>
        <v>0</v>
      </c>
      <c r="D82" s="646">
        <f t="shared" si="12"/>
        <v>0</v>
      </c>
    </row>
    <row r="83" spans="2:4" ht="15" thickBot="1" x14ac:dyDescent="0.4">
      <c r="B83" s="579" t="s">
        <v>568</v>
      </c>
      <c r="C83" s="647">
        <f>SUM(C75:C82)</f>
        <v>127094.33105033751</v>
      </c>
      <c r="D83" s="648">
        <f t="shared" si="12"/>
        <v>10591.194254194792</v>
      </c>
    </row>
    <row r="84" spans="2:4" s="445" customFormat="1" ht="15" thickBot="1" x14ac:dyDescent="0.4">
      <c r="B84" s="568"/>
      <c r="C84" s="649"/>
      <c r="D84" s="649"/>
    </row>
    <row r="85" spans="2:4" s="445" customFormat="1" ht="15" thickBot="1" x14ac:dyDescent="0.4">
      <c r="B85" s="1346">
        <v>2015</v>
      </c>
      <c r="C85" s="1347"/>
      <c r="D85" s="1348"/>
    </row>
    <row r="86" spans="2:4" s="445" customFormat="1" ht="14.5" customHeight="1" x14ac:dyDescent="0.35">
      <c r="B86" s="1340" t="s">
        <v>533</v>
      </c>
      <c r="C86" s="1342" t="s">
        <v>570</v>
      </c>
      <c r="D86" s="1344" t="s">
        <v>561</v>
      </c>
    </row>
    <row r="87" spans="2:4" s="445" customFormat="1" ht="27.65" customHeight="1" thickBot="1" x14ac:dyDescent="0.4">
      <c r="B87" s="1341"/>
      <c r="C87" s="1343"/>
      <c r="D87" s="1345"/>
    </row>
    <row r="88" spans="2:4" s="445" customFormat="1" x14ac:dyDescent="0.35">
      <c r="B88" s="639" t="s">
        <v>38</v>
      </c>
      <c r="C88" s="640">
        <f>E9*Z36</f>
        <v>63282.879397613811</v>
      </c>
      <c r="D88" s="641">
        <f>C88/12</f>
        <v>5273.573283134484</v>
      </c>
    </row>
    <row r="89" spans="2:4" s="445" customFormat="1" x14ac:dyDescent="0.35">
      <c r="B89" s="642" t="s">
        <v>557</v>
      </c>
      <c r="C89" s="640">
        <f>E10*Z37</f>
        <v>18497.818949666093</v>
      </c>
      <c r="D89" s="641">
        <f t="shared" ref="D89:D96" si="13">C89/12</f>
        <v>1541.4849124721743</v>
      </c>
    </row>
    <row r="90" spans="2:4" s="445" customFormat="1" x14ac:dyDescent="0.35">
      <c r="B90" s="642" t="s">
        <v>558</v>
      </c>
      <c r="C90" s="640">
        <f>C24*Z38</f>
        <v>28478.158995829865</v>
      </c>
      <c r="D90" s="641">
        <f t="shared" si="13"/>
        <v>2373.1799163191554</v>
      </c>
    </row>
    <row r="91" spans="2:4" s="445" customFormat="1" x14ac:dyDescent="0.35">
      <c r="B91" s="642" t="s">
        <v>559</v>
      </c>
      <c r="C91" s="640">
        <f>C25*Z39</f>
        <v>8448.6365417369052</v>
      </c>
      <c r="D91" s="641">
        <f t="shared" si="13"/>
        <v>704.0530451447421</v>
      </c>
    </row>
    <row r="92" spans="2:4" s="445" customFormat="1" x14ac:dyDescent="0.35">
      <c r="B92" s="642" t="s">
        <v>541</v>
      </c>
      <c r="C92" s="640">
        <f>C26*Z40</f>
        <v>9418.3690724343578</v>
      </c>
      <c r="D92" s="641">
        <f t="shared" si="13"/>
        <v>784.86408936952978</v>
      </c>
    </row>
    <row r="93" spans="2:4" s="445" customFormat="1" x14ac:dyDescent="0.35">
      <c r="B93" s="642" t="s">
        <v>542</v>
      </c>
      <c r="C93" s="640">
        <f>E14*Z41</f>
        <v>571.23482286680405</v>
      </c>
      <c r="D93" s="641">
        <f t="shared" si="13"/>
        <v>47.602901905567002</v>
      </c>
    </row>
    <row r="94" spans="2:4" s="445" customFormat="1" x14ac:dyDescent="0.35">
      <c r="B94" s="642" t="s">
        <v>41</v>
      </c>
      <c r="C94" s="640">
        <f>C28*Z42</f>
        <v>0</v>
      </c>
      <c r="D94" s="641">
        <f t="shared" si="13"/>
        <v>0</v>
      </c>
    </row>
    <row r="95" spans="2:4" s="445" customFormat="1" ht="15" thickBot="1" x14ac:dyDescent="0.4">
      <c r="B95" s="644" t="s">
        <v>42</v>
      </c>
      <c r="C95" s="640">
        <f>C29*Z43</f>
        <v>0</v>
      </c>
      <c r="D95" s="646">
        <f t="shared" si="13"/>
        <v>0</v>
      </c>
    </row>
    <row r="96" spans="2:4" s="445" customFormat="1" ht="15" thickBot="1" x14ac:dyDescent="0.4">
      <c r="B96" s="579" t="s">
        <v>568</v>
      </c>
      <c r="C96" s="647">
        <f>SUM(C88:C95)</f>
        <v>128697.09778014783</v>
      </c>
      <c r="D96" s="648">
        <f t="shared" si="13"/>
        <v>10724.758148345652</v>
      </c>
    </row>
    <row r="97" spans="2:11" s="445" customFormat="1" x14ac:dyDescent="0.35">
      <c r="B97" s="568"/>
      <c r="C97" s="649"/>
      <c r="D97" s="649"/>
    </row>
    <row r="98" spans="2:11" s="445" customFormat="1" x14ac:dyDescent="0.35">
      <c r="B98" s="568"/>
      <c r="C98" s="649"/>
      <c r="D98" s="649"/>
    </row>
    <row r="99" spans="2:11" x14ac:dyDescent="0.35">
      <c r="B99" s="544" t="s">
        <v>571</v>
      </c>
      <c r="C99" s="544"/>
      <c r="D99" s="650">
        <f>+F56+C70+C83+C96</f>
        <v>504556.04036736127</v>
      </c>
    </row>
    <row r="100" spans="2:11" s="544" customFormat="1" ht="33.65" customHeight="1" x14ac:dyDescent="0.35">
      <c r="B100" s="1334"/>
      <c r="C100" s="1335"/>
      <c r="D100" s="1335"/>
      <c r="E100" s="651"/>
      <c r="F100" s="651"/>
      <c r="G100" s="651"/>
      <c r="H100" s="652"/>
      <c r="I100" s="1336"/>
      <c r="J100" s="1337"/>
      <c r="K100" s="653"/>
    </row>
    <row r="101" spans="2:11" s="611" customFormat="1" ht="15" customHeight="1" x14ac:dyDescent="0.35">
      <c r="B101" s="654"/>
      <c r="C101" s="655"/>
      <c r="D101" s="655"/>
      <c r="E101" s="656"/>
      <c r="F101" s="656"/>
      <c r="H101" s="651"/>
      <c r="I101" s="651"/>
      <c r="J101" s="651"/>
    </row>
    <row r="102" spans="2:11" s="611" customFormat="1" x14ac:dyDescent="0.35">
      <c r="B102" s="657"/>
      <c r="C102" s="658"/>
      <c r="D102" s="658"/>
      <c r="E102" s="659"/>
      <c r="F102" s="657"/>
      <c r="H102" s="657"/>
      <c r="I102" s="660"/>
      <c r="J102" s="612"/>
    </row>
    <row r="103" spans="2:11" s="611" customFormat="1" x14ac:dyDescent="0.35">
      <c r="B103" s="657"/>
      <c r="C103" s="658"/>
      <c r="D103" s="658"/>
      <c r="E103" s="661"/>
      <c r="F103" s="657"/>
      <c r="H103" s="657"/>
      <c r="I103" s="660"/>
      <c r="J103" s="612"/>
    </row>
    <row r="104" spans="2:11" s="611" customFormat="1" x14ac:dyDescent="0.35">
      <c r="B104" s="657"/>
      <c r="C104" s="658"/>
      <c r="D104" s="658"/>
      <c r="E104" s="661"/>
      <c r="F104" s="657"/>
      <c r="H104" s="657"/>
      <c r="I104" s="660"/>
      <c r="J104" s="612"/>
    </row>
    <row r="105" spans="2:11" s="611" customFormat="1" x14ac:dyDescent="0.35">
      <c r="B105" s="662"/>
      <c r="C105" s="658"/>
      <c r="D105" s="658"/>
      <c r="E105" s="661"/>
      <c r="F105" s="662"/>
      <c r="H105" s="662"/>
      <c r="I105" s="660"/>
      <c r="J105" s="612"/>
    </row>
    <row r="106" spans="2:11" s="611" customFormat="1" x14ac:dyDescent="0.35">
      <c r="B106" s="663"/>
      <c r="C106" s="658"/>
      <c r="D106" s="658"/>
      <c r="E106" s="661"/>
      <c r="F106" s="663"/>
      <c r="H106" s="663"/>
      <c r="I106" s="660"/>
      <c r="J106" s="612"/>
    </row>
    <row r="107" spans="2:11" s="611" customFormat="1" x14ac:dyDescent="0.35">
      <c r="B107" s="663"/>
      <c r="C107" s="658"/>
      <c r="D107" s="658"/>
      <c r="E107" s="661"/>
      <c r="F107" s="663"/>
      <c r="H107" s="663"/>
      <c r="I107" s="660"/>
      <c r="J107" s="612"/>
    </row>
    <row r="108" spans="2:11" s="611" customFormat="1" x14ac:dyDescent="0.35">
      <c r="B108" s="663"/>
      <c r="C108" s="658"/>
      <c r="D108" s="658"/>
      <c r="E108" s="661"/>
      <c r="F108" s="663"/>
      <c r="H108" s="663"/>
      <c r="I108" s="660"/>
      <c r="J108" s="612"/>
    </row>
    <row r="109" spans="2:11" s="611" customFormat="1" x14ac:dyDescent="0.35">
      <c r="B109" s="663"/>
      <c r="C109" s="658"/>
      <c r="D109" s="658"/>
      <c r="E109" s="661"/>
      <c r="F109" s="663"/>
      <c r="H109" s="663"/>
      <c r="I109" s="660"/>
      <c r="J109" s="612"/>
    </row>
    <row r="110" spans="2:11" s="611" customFormat="1" x14ac:dyDescent="0.35">
      <c r="B110" s="664"/>
      <c r="C110" s="665"/>
      <c r="D110" s="665"/>
      <c r="E110" s="661"/>
      <c r="F110" s="666"/>
      <c r="I110" s="612"/>
      <c r="J110" s="612"/>
    </row>
    <row r="111" spans="2:11" s="611" customFormat="1" x14ac:dyDescent="0.35">
      <c r="B111" s="667"/>
      <c r="C111" s="661"/>
      <c r="D111" s="661"/>
      <c r="E111" s="661"/>
      <c r="F111" s="666"/>
    </row>
    <row r="112" spans="2:11" x14ac:dyDescent="0.35">
      <c r="B112" s="611"/>
      <c r="C112" s="611"/>
      <c r="D112" s="611"/>
      <c r="E112" s="611"/>
      <c r="F112" s="611"/>
      <c r="G112" s="611"/>
      <c r="H112" s="611"/>
      <c r="I112" s="611"/>
      <c r="J112" s="611"/>
    </row>
    <row r="113" spans="2:10" ht="15" customHeight="1" x14ac:dyDescent="0.35">
      <c r="B113" s="1338"/>
      <c r="C113" s="1339"/>
      <c r="D113" s="1339"/>
      <c r="E113" s="611"/>
      <c r="F113" s="611"/>
      <c r="G113" s="611"/>
      <c r="H113" s="611"/>
      <c r="I113" s="611"/>
      <c r="J113" s="611"/>
    </row>
    <row r="114" spans="2:10" ht="15" customHeight="1" x14ac:dyDescent="0.35">
      <c r="B114" s="1338"/>
      <c r="C114" s="1336"/>
      <c r="D114" s="1334"/>
      <c r="E114" s="611"/>
      <c r="F114" s="611"/>
      <c r="G114" s="611"/>
      <c r="H114" s="611"/>
      <c r="I114" s="611"/>
      <c r="J114" s="611"/>
    </row>
    <row r="115" spans="2:10" ht="46" customHeight="1" x14ac:dyDescent="0.35">
      <c r="B115" s="1338"/>
      <c r="C115" s="1337"/>
      <c r="D115" s="1334"/>
      <c r="E115" s="611"/>
      <c r="F115" s="611"/>
      <c r="G115" s="611"/>
      <c r="H115" s="611"/>
      <c r="I115" s="611"/>
      <c r="J115" s="611"/>
    </row>
    <row r="116" spans="2:10" x14ac:dyDescent="0.35">
      <c r="B116" s="611"/>
      <c r="C116" s="666"/>
      <c r="D116" s="666"/>
      <c r="E116" s="611"/>
      <c r="F116" s="611"/>
      <c r="G116" s="611"/>
      <c r="H116" s="611"/>
      <c r="I116" s="611"/>
      <c r="J116" s="611"/>
    </row>
    <row r="117" spans="2:10" x14ac:dyDescent="0.35">
      <c r="B117" s="611"/>
      <c r="C117" s="666"/>
      <c r="D117" s="666"/>
      <c r="E117" s="611"/>
      <c r="F117" s="611"/>
      <c r="G117" s="611"/>
      <c r="H117" s="611"/>
      <c r="I117" s="611"/>
      <c r="J117" s="611"/>
    </row>
    <row r="118" spans="2:10" x14ac:dyDescent="0.35">
      <c r="B118" s="611"/>
      <c r="C118" s="666"/>
      <c r="D118" s="666"/>
      <c r="E118" s="611"/>
      <c r="F118" s="611"/>
      <c r="G118" s="611"/>
      <c r="H118" s="611"/>
      <c r="I118" s="611"/>
      <c r="J118" s="611"/>
    </row>
    <row r="119" spans="2:10" x14ac:dyDescent="0.35">
      <c r="B119" s="611"/>
      <c r="C119" s="666"/>
      <c r="D119" s="666"/>
      <c r="E119" s="611"/>
      <c r="F119" s="611"/>
      <c r="G119" s="611"/>
      <c r="H119" s="611"/>
      <c r="I119" s="611"/>
      <c r="J119" s="611"/>
    </row>
    <row r="120" spans="2:10" x14ac:dyDescent="0.35">
      <c r="B120" s="611"/>
      <c r="C120" s="666"/>
      <c r="D120" s="666"/>
      <c r="E120" s="611"/>
      <c r="F120" s="611"/>
      <c r="G120" s="611"/>
      <c r="H120" s="611"/>
      <c r="I120" s="611"/>
      <c r="J120" s="611"/>
    </row>
    <row r="121" spans="2:10" x14ac:dyDescent="0.35">
      <c r="B121" s="611"/>
      <c r="C121" s="666"/>
      <c r="D121" s="666"/>
      <c r="E121" s="611"/>
      <c r="F121" s="611"/>
      <c r="G121" s="611"/>
      <c r="H121" s="611"/>
      <c r="I121" s="611"/>
      <c r="J121" s="611"/>
    </row>
    <row r="122" spans="2:10" x14ac:dyDescent="0.35">
      <c r="B122" s="611"/>
      <c r="C122" s="666"/>
      <c r="D122" s="666"/>
      <c r="E122" s="611"/>
      <c r="F122" s="611"/>
      <c r="G122" s="611"/>
      <c r="H122" s="611"/>
      <c r="I122" s="611"/>
      <c r="J122" s="611"/>
    </row>
    <row r="123" spans="2:10" x14ac:dyDescent="0.35">
      <c r="B123" s="611"/>
      <c r="C123" s="666"/>
      <c r="D123" s="666"/>
      <c r="E123" s="611"/>
      <c r="F123" s="611"/>
      <c r="G123" s="611"/>
      <c r="H123" s="611"/>
      <c r="I123" s="611"/>
      <c r="J123" s="611"/>
    </row>
    <row r="124" spans="2:10" x14ac:dyDescent="0.35">
      <c r="B124" s="568"/>
      <c r="C124" s="649"/>
      <c r="D124" s="649"/>
      <c r="E124" s="666"/>
      <c r="F124" s="611"/>
      <c r="G124" s="611"/>
      <c r="H124" s="611"/>
      <c r="I124" s="611"/>
      <c r="J124" s="611"/>
    </row>
  </sheetData>
  <mergeCells count="37">
    <mergeCell ref="B2:E2"/>
    <mergeCell ref="B33:R33"/>
    <mergeCell ref="T33:Z33"/>
    <mergeCell ref="B34:B35"/>
    <mergeCell ref="C34:C35"/>
    <mergeCell ref="D34:F34"/>
    <mergeCell ref="H34:K34"/>
    <mergeCell ref="M34:N34"/>
    <mergeCell ref="P34:R34"/>
    <mergeCell ref="T34:V34"/>
    <mergeCell ref="B72:D72"/>
    <mergeCell ref="X34:Z34"/>
    <mergeCell ref="AC34:AC35"/>
    <mergeCell ref="AD34:AD35"/>
    <mergeCell ref="AF34:AG34"/>
    <mergeCell ref="B45:J45"/>
    <mergeCell ref="B46:B47"/>
    <mergeCell ref="C46:F46"/>
    <mergeCell ref="H46:J46"/>
    <mergeCell ref="C57:F57"/>
    <mergeCell ref="B59:D59"/>
    <mergeCell ref="B60:B61"/>
    <mergeCell ref="C60:C61"/>
    <mergeCell ref="D60:D61"/>
    <mergeCell ref="B73:B74"/>
    <mergeCell ref="C73:C74"/>
    <mergeCell ref="D73:D74"/>
    <mergeCell ref="B85:D85"/>
    <mergeCell ref="B86:B87"/>
    <mergeCell ref="C86:C87"/>
    <mergeCell ref="D86:D87"/>
    <mergeCell ref="B100:D100"/>
    <mergeCell ref="I100:J100"/>
    <mergeCell ref="B113:D113"/>
    <mergeCell ref="B114:B115"/>
    <mergeCell ref="C114:C115"/>
    <mergeCell ref="D114:D115"/>
  </mergeCells>
  <pageMargins left="0.7" right="0.7" top="0.75" bottom="0.75" header="0.3" footer="0.3"/>
  <pageSetup orientation="portrait" verticalDpi="300"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N100"/>
  <sheetViews>
    <sheetView topLeftCell="G55" workbookViewId="0">
      <selection activeCell="Q67" sqref="Q67"/>
    </sheetView>
  </sheetViews>
  <sheetFormatPr defaultColWidth="8.7265625" defaultRowHeight="14.5" x14ac:dyDescent="0.35"/>
  <cols>
    <col min="1" max="1" width="8.7265625" style="543"/>
    <col min="2" max="2" width="24" style="543" bestFit="1" customWidth="1"/>
    <col min="3" max="3" width="10.1796875" style="543" bestFit="1" customWidth="1"/>
    <col min="4" max="4" width="13.6328125" style="543" customWidth="1"/>
    <col min="5" max="5" width="12.26953125" style="543" customWidth="1"/>
    <col min="6" max="6" width="14.453125" style="543" customWidth="1"/>
    <col min="7" max="7" width="1.7265625" style="543" customWidth="1"/>
    <col min="8" max="8" width="12.7265625" style="543" customWidth="1"/>
    <col min="9" max="10" width="11.81640625" style="543" customWidth="1"/>
    <col min="11" max="11" width="0.81640625" style="543" customWidth="1"/>
    <col min="12" max="12" width="13.26953125" style="543" customWidth="1"/>
    <col min="13" max="13" width="13.453125" style="543" customWidth="1"/>
    <col min="14" max="14" width="13" style="543" customWidth="1"/>
    <col min="15" max="15" width="11.453125" style="543" customWidth="1"/>
    <col min="16" max="16" width="14.81640625" style="543" customWidth="1"/>
    <col min="17" max="17" width="11.1796875" style="543" customWidth="1"/>
    <col min="18" max="18" width="13.1796875" style="543" customWidth="1"/>
    <col min="19" max="19" width="13.26953125" style="543" customWidth="1"/>
    <col min="20" max="20" width="2.7265625" style="543" customWidth="1"/>
    <col min="21" max="21" width="17" style="543" customWidth="1"/>
    <col min="22" max="22" width="13.81640625" style="543" customWidth="1"/>
    <col min="23" max="23" width="14.26953125" style="543" customWidth="1"/>
    <col min="24" max="24" width="11.453125" style="543" customWidth="1"/>
    <col min="25" max="25" width="14.1796875" style="543" customWidth="1"/>
    <col min="26" max="26" width="14.453125" style="543" customWidth="1"/>
    <col min="27" max="27" width="12.7265625" style="543" customWidth="1"/>
    <col min="28" max="28" width="11.26953125" style="543" customWidth="1"/>
    <col min="29" max="29" width="12.453125" style="543" customWidth="1"/>
    <col min="30" max="30" width="10.54296875" style="543" customWidth="1"/>
    <col min="31" max="31" width="3.1796875" style="543" customWidth="1"/>
    <col min="32" max="33" width="11.453125" style="543" customWidth="1"/>
    <col min="34" max="34" width="9.7265625" style="543" customWidth="1"/>
    <col min="35" max="35" width="3.1796875" style="543" customWidth="1"/>
    <col min="36" max="36" width="29.453125" style="543" bestFit="1" customWidth="1"/>
    <col min="37" max="37" width="4.54296875" style="543" bestFit="1" customWidth="1"/>
    <col min="38" max="38" width="2" style="543" customWidth="1"/>
    <col min="39" max="39" width="12.1796875" style="543" customWidth="1"/>
    <col min="40" max="40" width="9.81640625" style="543" customWidth="1"/>
    <col min="41" max="16384" width="8.7265625" style="543"/>
  </cols>
  <sheetData>
    <row r="1" spans="2:40" ht="15" thickBot="1" x14ac:dyDescent="0.4"/>
    <row r="2" spans="2:40" ht="15" thickBot="1" x14ac:dyDescent="0.4">
      <c r="B2" s="1473" t="s">
        <v>544</v>
      </c>
      <c r="C2" s="1474"/>
      <c r="D2" s="1474"/>
      <c r="E2" s="1474"/>
      <c r="F2" s="1474"/>
      <c r="G2" s="1474"/>
      <c r="H2" s="1474"/>
      <c r="I2" s="1474"/>
      <c r="J2" s="1474"/>
      <c r="K2" s="1474"/>
      <c r="L2" s="1474"/>
      <c r="M2" s="1474"/>
      <c r="N2" s="1474"/>
      <c r="O2" s="1474"/>
      <c r="P2" s="1474"/>
      <c r="Q2" s="1474"/>
      <c r="R2" s="1474"/>
      <c r="S2" s="1474"/>
      <c r="T2" s="1474"/>
      <c r="U2" s="1474"/>
      <c r="V2" s="1474"/>
      <c r="W2" s="1474"/>
      <c r="X2" s="1474"/>
      <c r="Y2" s="1474"/>
      <c r="Z2" s="1474"/>
      <c r="AA2" s="1474"/>
      <c r="AB2" s="1474"/>
      <c r="AC2" s="1474"/>
      <c r="AD2" s="1474"/>
      <c r="AE2" s="1474"/>
      <c r="AF2" s="1474"/>
      <c r="AG2" s="1474"/>
      <c r="AH2" s="1475"/>
      <c r="AI2" s="668"/>
      <c r="AJ2" s="668"/>
      <c r="AK2" s="668"/>
      <c r="AL2" s="668"/>
      <c r="AM2" s="668"/>
      <c r="AN2" s="668"/>
    </row>
    <row r="3" spans="2:40" ht="27.65" customHeight="1" thickBot="1" x14ac:dyDescent="0.4">
      <c r="B3" s="1476" t="s">
        <v>533</v>
      </c>
      <c r="C3" s="1478" t="s">
        <v>546</v>
      </c>
      <c r="D3" s="1470" t="s">
        <v>572</v>
      </c>
      <c r="E3" s="1480"/>
      <c r="F3" s="1471"/>
      <c r="G3" s="669"/>
      <c r="H3" s="1470" t="s">
        <v>573</v>
      </c>
      <c r="I3" s="1480"/>
      <c r="J3" s="1471"/>
      <c r="K3" s="670"/>
      <c r="L3" s="1470" t="s">
        <v>574</v>
      </c>
      <c r="M3" s="1480"/>
      <c r="N3" s="1471"/>
      <c r="O3" s="584"/>
      <c r="P3" s="1470" t="s">
        <v>575</v>
      </c>
      <c r="Q3" s="1481"/>
      <c r="R3" s="1481"/>
      <c r="S3" s="1482"/>
      <c r="U3" s="1470" t="s">
        <v>576</v>
      </c>
      <c r="V3" s="1482"/>
      <c r="X3" s="1470" t="s">
        <v>577</v>
      </c>
      <c r="Y3" s="1481"/>
      <c r="Z3" s="1482"/>
      <c r="AB3" s="1470" t="s">
        <v>578</v>
      </c>
      <c r="AC3" s="1481"/>
      <c r="AD3" s="1482"/>
      <c r="AE3" s="445"/>
      <c r="AF3" s="1470" t="s">
        <v>579</v>
      </c>
      <c r="AG3" s="1481"/>
      <c r="AH3" s="1482"/>
      <c r="AI3" s="671"/>
      <c r="AJ3" s="1338"/>
      <c r="AK3" s="1385"/>
      <c r="AL3" s="672"/>
      <c r="AM3" s="1462"/>
      <c r="AN3" s="1463"/>
    </row>
    <row r="4" spans="2:40" ht="73" thickBot="1" x14ac:dyDescent="0.4">
      <c r="B4" s="1477"/>
      <c r="C4" s="1479"/>
      <c r="D4" s="673" t="s">
        <v>553</v>
      </c>
      <c r="E4" s="673" t="s">
        <v>554</v>
      </c>
      <c r="F4" s="674" t="s">
        <v>555</v>
      </c>
      <c r="G4" s="675"/>
      <c r="H4" s="676" t="s">
        <v>553</v>
      </c>
      <c r="I4" s="677" t="s">
        <v>554</v>
      </c>
      <c r="J4" s="678" t="s">
        <v>555</v>
      </c>
      <c r="K4" s="675"/>
      <c r="L4" s="676" t="s">
        <v>553</v>
      </c>
      <c r="M4" s="677" t="s">
        <v>554</v>
      </c>
      <c r="N4" s="678" t="s">
        <v>555</v>
      </c>
      <c r="O4" s="588"/>
      <c r="P4" s="676" t="s">
        <v>553</v>
      </c>
      <c r="Q4" s="677" t="s">
        <v>556</v>
      </c>
      <c r="R4" s="677" t="s">
        <v>554</v>
      </c>
      <c r="S4" s="678" t="s">
        <v>555</v>
      </c>
      <c r="U4" s="676" t="s">
        <v>553</v>
      </c>
      <c r="V4" s="678" t="s">
        <v>555</v>
      </c>
      <c r="X4" s="676" t="s">
        <v>553</v>
      </c>
      <c r="Y4" s="677" t="s">
        <v>554</v>
      </c>
      <c r="Z4" s="678" t="s">
        <v>555</v>
      </c>
      <c r="AB4" s="676" t="s">
        <v>553</v>
      </c>
      <c r="AC4" s="677" t="s">
        <v>554</v>
      </c>
      <c r="AD4" s="678" t="s">
        <v>555</v>
      </c>
      <c r="AF4" s="676" t="s">
        <v>553</v>
      </c>
      <c r="AG4" s="677" t="s">
        <v>554</v>
      </c>
      <c r="AH4" s="678" t="s">
        <v>555</v>
      </c>
      <c r="AI4" s="611"/>
      <c r="AJ4" s="1338"/>
      <c r="AK4" s="1385"/>
      <c r="AL4" s="611"/>
      <c r="AM4" s="651"/>
      <c r="AN4" s="651"/>
    </row>
    <row r="5" spans="2:40" x14ac:dyDescent="0.35">
      <c r="B5" s="590" t="s">
        <v>38</v>
      </c>
      <c r="C5" s="679" t="s">
        <v>36</v>
      </c>
      <c r="D5" s="680">
        <v>1.6400000000000001E-2</v>
      </c>
      <c r="E5" s="681">
        <v>-2.9999999999999997E-4</v>
      </c>
      <c r="F5" s="682">
        <f>SUM(D5:E5)</f>
        <v>1.61E-2</v>
      </c>
      <c r="G5" s="588"/>
      <c r="H5" s="592">
        <v>1.6400000000000001E-2</v>
      </c>
      <c r="I5" s="593">
        <v>-5.0000000000000001E-4</v>
      </c>
      <c r="J5" s="594">
        <f t="shared" ref="J5:J12" si="0">SUM(H5:I5)</f>
        <v>1.5900000000000001E-2</v>
      </c>
      <c r="K5" s="588"/>
      <c r="L5" s="592">
        <v>1.6400000000000001E-2</v>
      </c>
      <c r="M5" s="593">
        <v>-5.0000000000000001E-4</v>
      </c>
      <c r="N5" s="594">
        <f>SUM(L5:M5)</f>
        <v>1.5900000000000001E-2</v>
      </c>
      <c r="O5" s="588"/>
      <c r="P5" s="592">
        <v>1.7000000000000001E-2</v>
      </c>
      <c r="Q5" s="593">
        <v>-1E-4</v>
      </c>
      <c r="R5" s="593">
        <v>-5.0000000000000001E-4</v>
      </c>
      <c r="S5" s="595">
        <f>0.017-0.0001-0.0005</f>
        <v>1.6400000000000001E-2</v>
      </c>
      <c r="U5" s="1192">
        <v>1.7000000000000001E-2</v>
      </c>
      <c r="V5" s="595">
        <f t="shared" ref="V5:V12" si="1">SUM(U5:U5)</f>
        <v>1.7000000000000001E-2</v>
      </c>
      <c r="X5" s="592">
        <v>1.72E-2</v>
      </c>
      <c r="Y5" s="593"/>
      <c r="Z5" s="595">
        <f t="shared" ref="Z5:Z12" si="2">SUM(X5:Y5)</f>
        <v>1.72E-2</v>
      </c>
      <c r="AB5" s="592">
        <v>1.7399999999999999E-2</v>
      </c>
      <c r="AC5" s="593"/>
      <c r="AD5" s="595">
        <f t="shared" ref="AD5:AD12" si="3">SUM(AB5:AC5)</f>
        <v>1.7399999999999999E-2</v>
      </c>
      <c r="AF5" s="592">
        <v>1.7600000000000001E-2</v>
      </c>
      <c r="AG5" s="593"/>
      <c r="AH5" s="595">
        <f t="shared" ref="AH5:AH12" si="4">SUM(AF5:AG5)</f>
        <v>1.7600000000000001E-2</v>
      </c>
      <c r="AI5" s="611"/>
      <c r="AJ5" s="611"/>
      <c r="AK5" s="611"/>
      <c r="AL5" s="611"/>
      <c r="AM5" s="660"/>
      <c r="AN5" s="612"/>
    </row>
    <row r="6" spans="2:40" x14ac:dyDescent="0.35">
      <c r="B6" s="572" t="s">
        <v>557</v>
      </c>
      <c r="C6" s="573" t="s">
        <v>36</v>
      </c>
      <c r="D6" s="599">
        <v>1.5599999999999999E-2</v>
      </c>
      <c r="E6" s="600">
        <v>-2.0000000000000001E-4</v>
      </c>
      <c r="F6" s="594">
        <f t="shared" ref="F6:F12" si="5">SUM(D6:E6)</f>
        <v>1.5399999999999999E-2</v>
      </c>
      <c r="G6" s="588"/>
      <c r="H6" s="599">
        <v>1.5599999999999999E-2</v>
      </c>
      <c r="I6" s="600">
        <v>-2.9999999999999997E-4</v>
      </c>
      <c r="J6" s="594">
        <f t="shared" si="0"/>
        <v>1.5299999999999999E-2</v>
      </c>
      <c r="K6" s="588"/>
      <c r="L6" s="599">
        <v>1.5599999999999999E-2</v>
      </c>
      <c r="M6" s="600">
        <v>-2.9999999999999997E-4</v>
      </c>
      <c r="N6" s="601">
        <f t="shared" ref="N6:N12" si="6">SUM(L6:M6)</f>
        <v>1.5299999999999999E-2</v>
      </c>
      <c r="O6" s="588"/>
      <c r="P6" s="599">
        <v>1.26E-2</v>
      </c>
      <c r="Q6" s="600">
        <v>-1.1999999999999999E-3</v>
      </c>
      <c r="R6" s="600">
        <v>-2.9999999999999997E-4</v>
      </c>
      <c r="S6" s="602">
        <f>0.0126-0.0012-0.0003</f>
        <v>1.11E-2</v>
      </c>
      <c r="U6" s="1193">
        <v>1.26E-2</v>
      </c>
      <c r="V6" s="595">
        <f t="shared" si="1"/>
        <v>1.26E-2</v>
      </c>
      <c r="X6" s="599">
        <v>1.2699999999999999E-2</v>
      </c>
      <c r="Y6" s="600"/>
      <c r="Z6" s="595">
        <f t="shared" si="2"/>
        <v>1.2699999999999999E-2</v>
      </c>
      <c r="AB6" s="599">
        <v>1.29E-2</v>
      </c>
      <c r="AC6" s="600"/>
      <c r="AD6" s="595">
        <f t="shared" si="3"/>
        <v>1.29E-2</v>
      </c>
      <c r="AF6" s="599">
        <v>1.3100000000000001E-2</v>
      </c>
      <c r="AG6" s="600"/>
      <c r="AH6" s="595">
        <f t="shared" si="4"/>
        <v>1.3100000000000001E-2</v>
      </c>
      <c r="AI6" s="611"/>
      <c r="AJ6" s="611"/>
      <c r="AK6" s="611"/>
      <c r="AL6" s="611"/>
      <c r="AM6" s="660"/>
      <c r="AN6" s="612"/>
    </row>
    <row r="7" spans="2:40" x14ac:dyDescent="0.35">
      <c r="B7" s="572" t="s">
        <v>558</v>
      </c>
      <c r="C7" s="573" t="s">
        <v>37</v>
      </c>
      <c r="D7" s="599">
        <v>2.7614999999999998</v>
      </c>
      <c r="E7" s="600">
        <v>-3.3099999999999997E-2</v>
      </c>
      <c r="F7" s="594">
        <f t="shared" si="5"/>
        <v>2.7283999999999997</v>
      </c>
      <c r="G7" s="588"/>
      <c r="H7" s="599">
        <v>2.7665000000000002</v>
      </c>
      <c r="I7" s="600">
        <v>-5.9499999999999997E-2</v>
      </c>
      <c r="J7" s="594">
        <f t="shared" si="0"/>
        <v>2.7070000000000003</v>
      </c>
      <c r="K7" s="588"/>
      <c r="L7" s="599">
        <v>2.7665000000000002</v>
      </c>
      <c r="M7" s="600">
        <v>-5.9499999999999997E-2</v>
      </c>
      <c r="N7" s="601">
        <f t="shared" si="6"/>
        <v>2.7070000000000003</v>
      </c>
      <c r="O7" s="588"/>
      <c r="P7" s="599">
        <v>2.4801000000000002</v>
      </c>
      <c r="Q7" s="600">
        <v>-0.13339999999999999</v>
      </c>
      <c r="R7" s="600">
        <v>-5.9499999999999997E-2</v>
      </c>
      <c r="S7" s="602">
        <f>2.4801-0.1334-0.0595</f>
        <v>2.2872000000000003</v>
      </c>
      <c r="U7" s="1193">
        <v>2.4801000000000002</v>
      </c>
      <c r="V7" s="595">
        <f t="shared" si="1"/>
        <v>2.4801000000000002</v>
      </c>
      <c r="X7" s="599">
        <v>2.5068999999999999</v>
      </c>
      <c r="Y7" s="600">
        <v>-3.0999999999999999E-3</v>
      </c>
      <c r="Z7" s="595">
        <f t="shared" si="2"/>
        <v>2.5038</v>
      </c>
      <c r="AB7" s="599">
        <v>2.5419999999999998</v>
      </c>
      <c r="AC7" s="600">
        <v>-3.0999999999999999E-3</v>
      </c>
      <c r="AD7" s="595">
        <f t="shared" si="3"/>
        <v>2.5388999999999999</v>
      </c>
      <c r="AF7" s="599">
        <v>2.5750000000000002</v>
      </c>
      <c r="AG7" s="600">
        <v>-3.0999999999999999E-3</v>
      </c>
      <c r="AH7" s="595">
        <f t="shared" si="4"/>
        <v>2.5719000000000003</v>
      </c>
      <c r="AI7" s="611"/>
      <c r="AJ7" s="611"/>
      <c r="AK7" s="611"/>
      <c r="AL7" s="611"/>
      <c r="AM7" s="660"/>
      <c r="AN7" s="612"/>
    </row>
    <row r="8" spans="2:40" x14ac:dyDescent="0.35">
      <c r="B8" s="572" t="s">
        <v>559</v>
      </c>
      <c r="C8" s="573" t="s">
        <v>37</v>
      </c>
      <c r="D8" s="599">
        <v>1.9777</v>
      </c>
      <c r="E8" s="600">
        <v>-1.83E-2</v>
      </c>
      <c r="F8" s="594">
        <f t="shared" si="5"/>
        <v>1.9594</v>
      </c>
      <c r="G8" s="588"/>
      <c r="H8" s="599">
        <v>1.9813000000000001</v>
      </c>
      <c r="I8" s="600">
        <v>-3.2899999999999999E-2</v>
      </c>
      <c r="J8" s="594">
        <f t="shared" si="0"/>
        <v>1.9484000000000001</v>
      </c>
      <c r="K8" s="588"/>
      <c r="L8" s="599">
        <v>1.9813000000000001</v>
      </c>
      <c r="M8" s="600">
        <v>-3.2899999999999999E-2</v>
      </c>
      <c r="N8" s="601">
        <f t="shared" si="6"/>
        <v>1.9484000000000001</v>
      </c>
      <c r="O8" s="588"/>
      <c r="P8" s="599">
        <v>3.3153000000000001</v>
      </c>
      <c r="Q8" s="600">
        <v>0.42780000000000001</v>
      </c>
      <c r="R8" s="600">
        <v>-3.2899999999999999E-2</v>
      </c>
      <c r="S8" s="602">
        <f>3.3153+0.4278-0.0329</f>
        <v>3.7101999999999999</v>
      </c>
      <c r="U8" s="1193">
        <v>3.3153000000000001</v>
      </c>
      <c r="V8" s="595">
        <f t="shared" si="1"/>
        <v>3.3153000000000001</v>
      </c>
      <c r="X8" s="599">
        <v>3.3511000000000002</v>
      </c>
      <c r="Y8" s="600">
        <v>-3.2000000000000002E-3</v>
      </c>
      <c r="Z8" s="595">
        <f t="shared" si="2"/>
        <v>3.3479000000000001</v>
      </c>
      <c r="AB8" s="599">
        <v>3.3980000000000001</v>
      </c>
      <c r="AC8" s="600">
        <v>-3.2000000000000002E-3</v>
      </c>
      <c r="AD8" s="595">
        <f t="shared" si="3"/>
        <v>3.3948</v>
      </c>
      <c r="AF8" s="599">
        <v>3.4422000000000001</v>
      </c>
      <c r="AG8" s="600">
        <v>-3.2000000000000002E-3</v>
      </c>
      <c r="AH8" s="595">
        <f t="shared" si="4"/>
        <v>3.4390000000000001</v>
      </c>
      <c r="AI8" s="611"/>
      <c r="AJ8" s="611"/>
      <c r="AK8" s="611"/>
      <c r="AL8" s="611"/>
      <c r="AM8" s="660"/>
      <c r="AN8" s="612"/>
    </row>
    <row r="9" spans="2:40" x14ac:dyDescent="0.35">
      <c r="B9" s="572" t="s">
        <v>541</v>
      </c>
      <c r="C9" s="573" t="s">
        <v>37</v>
      </c>
      <c r="D9" s="599">
        <v>2.1724999999999999</v>
      </c>
      <c r="E9" s="600">
        <v>-1.8100000000000002E-2</v>
      </c>
      <c r="F9" s="594">
        <f t="shared" si="5"/>
        <v>2.1543999999999999</v>
      </c>
      <c r="G9" s="588"/>
      <c r="H9" s="599">
        <v>2.1764000000000001</v>
      </c>
      <c r="I9" s="600">
        <v>-3.2500000000000001E-2</v>
      </c>
      <c r="J9" s="594">
        <f t="shared" si="0"/>
        <v>2.1438999999999999</v>
      </c>
      <c r="K9" s="588"/>
      <c r="L9" s="599">
        <v>2.1764000000000001</v>
      </c>
      <c r="M9" s="600">
        <v>-3.2500000000000001E-2</v>
      </c>
      <c r="N9" s="601">
        <f t="shared" si="6"/>
        <v>2.1438999999999999</v>
      </c>
      <c r="O9" s="588"/>
      <c r="P9" s="599">
        <v>2.2679999999999998</v>
      </c>
      <c r="Q9" s="600">
        <v>1.3899999999999999E-2</v>
      </c>
      <c r="R9" s="600">
        <v>-3.2500000000000001E-2</v>
      </c>
      <c r="S9" s="602">
        <f>2.268+0.0139-0.0325</f>
        <v>2.2493999999999996</v>
      </c>
      <c r="U9" s="1193">
        <v>2.2679999999999998</v>
      </c>
      <c r="V9" s="595">
        <f t="shared" si="1"/>
        <v>2.2679999999999998</v>
      </c>
      <c r="X9" s="599">
        <v>2.2925</v>
      </c>
      <c r="Y9" s="600">
        <v>-2.0999999999999999E-3</v>
      </c>
      <c r="Z9" s="595">
        <f t="shared" si="2"/>
        <v>2.2904</v>
      </c>
      <c r="AB9" s="599">
        <v>2.3246000000000002</v>
      </c>
      <c r="AC9" s="600">
        <v>-2.0999999999999999E-3</v>
      </c>
      <c r="AD9" s="595">
        <f t="shared" si="3"/>
        <v>2.3225000000000002</v>
      </c>
      <c r="AF9" s="599">
        <v>2.3548</v>
      </c>
      <c r="AG9" s="600">
        <v>-2.0999999999999999E-3</v>
      </c>
      <c r="AH9" s="595">
        <f t="shared" si="4"/>
        <v>2.3527</v>
      </c>
      <c r="AI9" s="611"/>
      <c r="AJ9" s="611"/>
      <c r="AK9" s="611"/>
      <c r="AL9" s="611"/>
      <c r="AM9" s="660"/>
      <c r="AN9" s="612"/>
    </row>
    <row r="10" spans="2:40" x14ac:dyDescent="0.35">
      <c r="B10" s="572" t="s">
        <v>542</v>
      </c>
      <c r="C10" s="573" t="s">
        <v>36</v>
      </c>
      <c r="D10" s="599">
        <v>2.5000000000000001E-2</v>
      </c>
      <c r="E10" s="600">
        <v>-2.9999999999999997E-4</v>
      </c>
      <c r="F10" s="594">
        <f t="shared" si="5"/>
        <v>2.47E-2</v>
      </c>
      <c r="G10" s="588"/>
      <c r="H10" s="599">
        <v>2.5000000000000001E-2</v>
      </c>
      <c r="I10" s="600">
        <v>-5.9999999999999995E-4</v>
      </c>
      <c r="J10" s="594">
        <f t="shared" si="0"/>
        <v>2.4400000000000002E-2</v>
      </c>
      <c r="K10" s="588"/>
      <c r="L10" s="599">
        <v>2.5000000000000001E-2</v>
      </c>
      <c r="M10" s="600">
        <v>-5.9999999999999995E-4</v>
      </c>
      <c r="N10" s="601">
        <f t="shared" si="6"/>
        <v>2.4400000000000002E-2</v>
      </c>
      <c r="O10" s="588"/>
      <c r="P10" s="599">
        <v>2.5999999999999999E-2</v>
      </c>
      <c r="Q10" s="600"/>
      <c r="R10" s="600">
        <v>-5.9999999999999995E-4</v>
      </c>
      <c r="S10" s="602">
        <f>0.026-0.0006</f>
        <v>2.5399999999999999E-2</v>
      </c>
      <c r="U10" s="1193">
        <v>2.5999999999999999E-2</v>
      </c>
      <c r="V10" s="595">
        <f t="shared" si="1"/>
        <v>2.5999999999999999E-2</v>
      </c>
      <c r="X10" s="599">
        <v>2.63E-2</v>
      </c>
      <c r="Y10" s="600"/>
      <c r="Z10" s="595">
        <f t="shared" si="2"/>
        <v>2.63E-2</v>
      </c>
      <c r="AB10" s="599">
        <v>2.6700000000000002E-2</v>
      </c>
      <c r="AC10" s="600"/>
      <c r="AD10" s="595">
        <f t="shared" si="3"/>
        <v>2.6700000000000002E-2</v>
      </c>
      <c r="AF10" s="599">
        <v>2.7E-2</v>
      </c>
      <c r="AG10" s="600"/>
      <c r="AH10" s="595">
        <f t="shared" si="4"/>
        <v>2.7E-2</v>
      </c>
      <c r="AI10" s="611"/>
      <c r="AJ10" s="611"/>
      <c r="AK10" s="611"/>
      <c r="AL10" s="611"/>
      <c r="AM10" s="660"/>
      <c r="AN10" s="612"/>
    </row>
    <row r="11" spans="2:40" x14ac:dyDescent="0.35">
      <c r="B11" s="572" t="s">
        <v>41</v>
      </c>
      <c r="C11" s="573" t="s">
        <v>37</v>
      </c>
      <c r="D11" s="599">
        <v>7.2062999999999997</v>
      </c>
      <c r="E11" s="600">
        <v>-0.11070000000000001</v>
      </c>
      <c r="F11" s="594">
        <f t="shared" si="5"/>
        <v>7.0956000000000001</v>
      </c>
      <c r="G11" s="588"/>
      <c r="H11" s="599">
        <v>7.2192999999999996</v>
      </c>
      <c r="I11" s="600">
        <v>-0.1988</v>
      </c>
      <c r="J11" s="594">
        <f t="shared" si="0"/>
        <v>7.0204999999999993</v>
      </c>
      <c r="K11" s="588"/>
      <c r="L11" s="599">
        <v>7.2192999999999996</v>
      </c>
      <c r="M11" s="600">
        <v>-0.1988</v>
      </c>
      <c r="N11" s="601">
        <f t="shared" si="6"/>
        <v>7.0204999999999993</v>
      </c>
      <c r="O11" s="588"/>
      <c r="P11" s="599">
        <v>7.5162000000000004</v>
      </c>
      <c r="Q11" s="600">
        <v>-8.8999999999999999E-3</v>
      </c>
      <c r="R11" s="600">
        <v>-0.1988</v>
      </c>
      <c r="S11" s="602">
        <f>7.5162-0.0089-0.1988</f>
        <v>7.3085000000000004</v>
      </c>
      <c r="U11" s="1193">
        <v>7.5162000000000004</v>
      </c>
      <c r="V11" s="595">
        <f t="shared" si="1"/>
        <v>7.5162000000000004</v>
      </c>
      <c r="X11" s="599">
        <v>7.5974000000000004</v>
      </c>
      <c r="Y11" s="600">
        <v>-1.41E-2</v>
      </c>
      <c r="Z11" s="595">
        <f t="shared" si="2"/>
        <v>7.5833000000000004</v>
      </c>
      <c r="AB11" s="599">
        <v>7.7038000000000002</v>
      </c>
      <c r="AC11" s="600">
        <v>-1.41E-2</v>
      </c>
      <c r="AD11" s="595">
        <f t="shared" si="3"/>
        <v>7.6897000000000002</v>
      </c>
      <c r="AF11" s="599">
        <v>7.8038999999999996</v>
      </c>
      <c r="AG11" s="600">
        <v>-1.41E-2</v>
      </c>
      <c r="AH11" s="595">
        <f t="shared" si="4"/>
        <v>7.7897999999999996</v>
      </c>
      <c r="AI11" s="611"/>
      <c r="AJ11" s="611"/>
      <c r="AK11" s="611"/>
      <c r="AL11" s="611"/>
      <c r="AM11" s="660"/>
      <c r="AN11" s="612"/>
    </row>
    <row r="12" spans="2:40" ht="15" thickBot="1" x14ac:dyDescent="0.4">
      <c r="B12" s="603" t="s">
        <v>42</v>
      </c>
      <c r="C12" s="683" t="s">
        <v>37</v>
      </c>
      <c r="D12" s="605">
        <v>5.5465</v>
      </c>
      <c r="E12" s="606">
        <v>-5.6500000000000002E-2</v>
      </c>
      <c r="F12" s="684">
        <f t="shared" si="5"/>
        <v>5.49</v>
      </c>
      <c r="G12" s="685"/>
      <c r="H12" s="605">
        <v>5.5564999999999998</v>
      </c>
      <c r="I12" s="606">
        <v>-0.10100000000000001</v>
      </c>
      <c r="J12" s="594">
        <f t="shared" si="0"/>
        <v>5.4554999999999998</v>
      </c>
      <c r="K12" s="588"/>
      <c r="L12" s="605">
        <v>5.5564999999999998</v>
      </c>
      <c r="M12" s="606">
        <v>-0.10100000000000001</v>
      </c>
      <c r="N12" s="607">
        <f t="shared" si="6"/>
        <v>5.4554999999999998</v>
      </c>
      <c r="O12" s="608"/>
      <c r="P12" s="605">
        <v>9.2150999999999996</v>
      </c>
      <c r="Q12" s="606">
        <v>1.1607000000000001</v>
      </c>
      <c r="R12" s="606">
        <v>-0.10100000000000001</v>
      </c>
      <c r="S12" s="609">
        <f>9.2151+1.1607-0.101</f>
        <v>10.274799999999999</v>
      </c>
      <c r="U12" s="1194">
        <v>9.2150999999999996</v>
      </c>
      <c r="V12" s="595">
        <f t="shared" si="1"/>
        <v>9.2150999999999996</v>
      </c>
      <c r="X12" s="605">
        <v>9.3146000000000004</v>
      </c>
      <c r="Y12" s="606">
        <v>-1.0200000000000001E-2</v>
      </c>
      <c r="Z12" s="595">
        <f t="shared" si="2"/>
        <v>9.3044000000000011</v>
      </c>
      <c r="AB12" s="605">
        <v>9.4450000000000003</v>
      </c>
      <c r="AC12" s="606">
        <v>-1.0200000000000001E-2</v>
      </c>
      <c r="AD12" s="610">
        <f t="shared" si="3"/>
        <v>9.434800000000001</v>
      </c>
      <c r="AF12" s="605">
        <v>9.5678000000000001</v>
      </c>
      <c r="AG12" s="606">
        <v>-1.0200000000000001E-2</v>
      </c>
      <c r="AH12" s="610">
        <f t="shared" si="4"/>
        <v>9.5576000000000008</v>
      </c>
      <c r="AI12" s="611"/>
      <c r="AJ12" s="611"/>
      <c r="AK12" s="611"/>
      <c r="AL12" s="611"/>
      <c r="AM12" s="660"/>
      <c r="AN12" s="612"/>
    </row>
    <row r="13" spans="2:40" x14ac:dyDescent="0.35">
      <c r="AI13" s="611"/>
      <c r="AJ13" s="611"/>
      <c r="AK13" s="611"/>
      <c r="AL13" s="611"/>
      <c r="AM13" s="612"/>
      <c r="AN13" s="612"/>
    </row>
    <row r="14" spans="2:40" ht="15" thickBot="1" x14ac:dyDescent="0.4"/>
    <row r="15" spans="2:40" ht="14.5" customHeight="1" x14ac:dyDescent="0.35">
      <c r="B15" s="1464" t="s">
        <v>533</v>
      </c>
      <c r="C15" s="1465" t="s">
        <v>580</v>
      </c>
      <c r="D15" s="1466"/>
      <c r="E15" s="1424" t="s">
        <v>581</v>
      </c>
      <c r="F15" s="1469"/>
      <c r="G15" s="613"/>
      <c r="H15" s="1424" t="s">
        <v>582</v>
      </c>
      <c r="I15" s="1469"/>
      <c r="P15" s="1354"/>
      <c r="Q15" s="1354"/>
    </row>
    <row r="16" spans="2:40" ht="15" thickBot="1" x14ac:dyDescent="0.4">
      <c r="B16" s="1358"/>
      <c r="C16" s="1467"/>
      <c r="D16" s="1468"/>
      <c r="E16" s="1470"/>
      <c r="F16" s="1471"/>
      <c r="G16" s="613"/>
      <c r="H16" s="1470"/>
      <c r="I16" s="1471"/>
      <c r="P16" s="1354"/>
      <c r="Q16" s="1354"/>
    </row>
    <row r="17" spans="2:31" x14ac:dyDescent="0.35">
      <c r="B17" s="686"/>
      <c r="C17" s="687" t="s">
        <v>36</v>
      </c>
      <c r="D17" s="688" t="s">
        <v>37</v>
      </c>
      <c r="E17" s="687" t="s">
        <v>36</v>
      </c>
      <c r="F17" s="688" t="s">
        <v>37</v>
      </c>
      <c r="H17" s="687" t="s">
        <v>36</v>
      </c>
      <c r="I17" s="688" t="s">
        <v>37</v>
      </c>
      <c r="P17" s="689"/>
      <c r="Q17" s="653"/>
    </row>
    <row r="18" spans="2:31" x14ac:dyDescent="0.35">
      <c r="B18" s="642" t="s">
        <v>38</v>
      </c>
      <c r="C18" s="690">
        <f>+'10. Guelph_CDM Prgs'!G5</f>
        <v>1613390</v>
      </c>
      <c r="D18" s="575">
        <f>('10. Guelph_CDM Prgs'!G18)*12</f>
        <v>7740</v>
      </c>
      <c r="E18" s="690">
        <f>'10. Guelph_CDM Prgs'!U5</f>
        <v>2488258.0683048731</v>
      </c>
      <c r="F18" s="575">
        <f>('10. Guelph_CDM Prgs'!U18)*12</f>
        <v>10287.766013454228</v>
      </c>
      <c r="H18" s="690">
        <f>'10. Guelph_CDM Prgs'!AH5</f>
        <v>3318705.8588964818</v>
      </c>
      <c r="I18" s="575">
        <f>('10. Guelph_CDM Prgs'!AH18)*12</f>
        <v>13460.044413414329</v>
      </c>
      <c r="P18" s="691"/>
      <c r="Q18" s="692"/>
    </row>
    <row r="19" spans="2:31" x14ac:dyDescent="0.35">
      <c r="B19" s="642" t="s">
        <v>557</v>
      </c>
      <c r="C19" s="690">
        <f>'10. Guelph_CDM Prgs'!G6</f>
        <v>778995</v>
      </c>
      <c r="D19" s="575">
        <f>('10. Guelph_CDM Prgs'!G19)*12</f>
        <v>3756</v>
      </c>
      <c r="E19" s="690">
        <f>'10. Guelph_CDM Prgs'!U6</f>
        <v>1679338.5814217203</v>
      </c>
      <c r="F19" s="575">
        <f>('10. Guelph_CDM Prgs'!U19)*12</f>
        <v>6836.892561567709</v>
      </c>
      <c r="H19" s="690">
        <f>'10. Guelph_CDM Prgs'!AH6</f>
        <v>2016535.5872168005</v>
      </c>
      <c r="I19" s="575">
        <f>('10. Guelph_CDM Prgs'!AH19)*12</f>
        <v>8616.0682351617434</v>
      </c>
      <c r="P19" s="691"/>
      <c r="Q19" s="692"/>
      <c r="AD19" s="597"/>
      <c r="AE19" s="596"/>
    </row>
    <row r="20" spans="2:31" x14ac:dyDescent="0.35">
      <c r="B20" s="642" t="s">
        <v>558</v>
      </c>
      <c r="C20" s="690">
        <f>'10. Guelph_CDM Prgs'!G7</f>
        <v>2251022.6999999997</v>
      </c>
      <c r="D20" s="575">
        <f>('10. Guelph_CDM Prgs'!G20)*12</f>
        <v>8549.4</v>
      </c>
      <c r="E20" s="690">
        <f>'10. Guelph_CDM Prgs'!U7</f>
        <v>6732201.2912295703</v>
      </c>
      <c r="F20" s="575">
        <f>('10. Guelph_CDM Prgs'!U20)*12</f>
        <v>25732.852974085989</v>
      </c>
      <c r="H20" s="690">
        <f>'10. Guelph_CDM Prgs'!AH7</f>
        <v>8681266.0652991571</v>
      </c>
      <c r="I20" s="575">
        <f>('10. Guelph_CDM Prgs'!AH20)*12</f>
        <v>32890.081493305115</v>
      </c>
      <c r="P20" s="691"/>
      <c r="Q20" s="692"/>
      <c r="AD20" s="597"/>
      <c r="AE20" s="596"/>
    </row>
    <row r="21" spans="2:31" x14ac:dyDescent="0.35">
      <c r="B21" s="642" t="s">
        <v>559</v>
      </c>
      <c r="C21" s="690">
        <f>'10. Guelph_CDM Prgs'!G8</f>
        <v>5996618.3499999996</v>
      </c>
      <c r="D21" s="575">
        <f>('10. Guelph_CDM Prgs'!G21)*12</f>
        <v>11644.2</v>
      </c>
      <c r="E21" s="690">
        <f>'10. Guelph_CDM Prgs'!U8</f>
        <v>6141624.7492586104</v>
      </c>
      <c r="F21" s="575">
        <f>('10. Guelph_CDM Prgs'!U21)*12</f>
        <v>10878.396153729162</v>
      </c>
      <c r="H21" s="690">
        <f>'10. Guelph_CDM Prgs'!AH8</f>
        <v>7164794.6618649084</v>
      </c>
      <c r="I21" s="575">
        <f>('10. Guelph_CDM Prgs'!AH21)*12</f>
        <v>16031.628007369607</v>
      </c>
      <c r="P21" s="691"/>
      <c r="Q21" s="692"/>
      <c r="AD21" s="597"/>
      <c r="AE21" s="596"/>
    </row>
    <row r="22" spans="2:31" x14ac:dyDescent="0.35">
      <c r="B22" s="642" t="s">
        <v>541</v>
      </c>
      <c r="C22" s="690">
        <f>'10. Guelph_CDM Prgs'!G9</f>
        <v>3766136.95</v>
      </c>
      <c r="D22" s="575">
        <f>('10. Guelph_CDM Prgs'!G22)*12</f>
        <v>9338.4000000000015</v>
      </c>
      <c r="E22" s="690">
        <f>'10. Guelph_CDM Prgs'!U9</f>
        <v>6301375.3090084661</v>
      </c>
      <c r="F22" s="575">
        <f>('10. Guelph_CDM Prgs'!U22)*12</f>
        <v>42892.520297162911</v>
      </c>
      <c r="H22" s="690">
        <f>'10. Guelph_CDM Prgs'!AH9</f>
        <v>10214319.999718133</v>
      </c>
      <c r="I22" s="575">
        <f>('10. Guelph_CDM Prgs'!AH22)*12</f>
        <v>85750.041798647377</v>
      </c>
      <c r="P22" s="691"/>
      <c r="Q22" s="692"/>
      <c r="AD22" s="597"/>
      <c r="AE22" s="596"/>
    </row>
    <row r="23" spans="2:31" x14ac:dyDescent="0.35">
      <c r="B23" s="642" t="s">
        <v>542</v>
      </c>
      <c r="C23" s="690">
        <f>'10. Guelph_CDM Prgs'!G10</f>
        <v>0</v>
      </c>
      <c r="D23" s="575">
        <f>('10. Guelph_CDM Prgs'!G23)*12</f>
        <v>0</v>
      </c>
      <c r="E23" s="690">
        <f>'10. Guelph_CDM Prgs'!U10</f>
        <v>0</v>
      </c>
      <c r="F23" s="575">
        <f>('10. Guelph_CDM Prgs'!U23)*12</f>
        <v>0</v>
      </c>
      <c r="H23" s="690">
        <f>'10. Guelph_CDM Prgs'!AH10</f>
        <v>0</v>
      </c>
      <c r="I23" s="575">
        <f>('10. Guelph_CDM Prgs'!AH23)*12</f>
        <v>0</v>
      </c>
      <c r="P23" s="691"/>
      <c r="Q23" s="692"/>
      <c r="AD23" s="597"/>
      <c r="AE23" s="596"/>
    </row>
    <row r="24" spans="2:31" x14ac:dyDescent="0.35">
      <c r="B24" s="642" t="s">
        <v>41</v>
      </c>
      <c r="C24" s="690">
        <f>'10. Guelph_CDM Prgs'!G11</f>
        <v>0</v>
      </c>
      <c r="D24" s="575">
        <f>('10. Guelph_CDM Prgs'!G24)*12</f>
        <v>0</v>
      </c>
      <c r="E24" s="690">
        <f>'10. Guelph_CDM Prgs'!U11</f>
        <v>0</v>
      </c>
      <c r="F24" s="575">
        <f>('10. Guelph_CDM Prgs'!U24)*12</f>
        <v>0</v>
      </c>
      <c r="H24" s="690">
        <f>'10. Guelph_CDM Prgs'!AH11</f>
        <v>0</v>
      </c>
      <c r="I24" s="575">
        <f>('10. Guelph_CDM Prgs'!AH24)*12</f>
        <v>0</v>
      </c>
      <c r="P24" s="691"/>
      <c r="Q24" s="692"/>
      <c r="AD24" s="597"/>
      <c r="AE24" s="596"/>
    </row>
    <row r="25" spans="2:31" ht="15" thickBot="1" x14ac:dyDescent="0.4">
      <c r="B25" s="644" t="s">
        <v>42</v>
      </c>
      <c r="C25" s="693">
        <f>'10. Guelph_CDM Prgs'!G12</f>
        <v>0</v>
      </c>
      <c r="D25" s="694">
        <f>('10. Guelph_CDM Prgs'!G25)*12</f>
        <v>0</v>
      </c>
      <c r="E25" s="693">
        <f>'10. Guelph_CDM Prgs'!U12</f>
        <v>0</v>
      </c>
      <c r="F25" s="578">
        <f>('10. Guelph_CDM Prgs'!U25)*12</f>
        <v>0</v>
      </c>
      <c r="H25" s="693">
        <f>'10. Guelph_CDM Prgs'!AH12</f>
        <v>0</v>
      </c>
      <c r="I25" s="578">
        <f>('10. Guelph_CDM Prgs'!AH25)*12</f>
        <v>0</v>
      </c>
      <c r="P25" s="691"/>
      <c r="Q25" s="692"/>
      <c r="AD25" s="597"/>
      <c r="AE25" s="596"/>
    </row>
    <row r="26" spans="2:31" ht="15" thickBot="1" x14ac:dyDescent="0.4">
      <c r="B26" s="695" t="s">
        <v>35</v>
      </c>
      <c r="C26" s="696">
        <f>SUM(C18:C25)</f>
        <v>14406163</v>
      </c>
      <c r="D26" s="697">
        <f>SUM(D18:D25)</f>
        <v>41028</v>
      </c>
      <c r="E26" s="698">
        <f t="shared" ref="E26:F26" si="7">SUM(E18:E25)</f>
        <v>23342797.99922324</v>
      </c>
      <c r="F26" s="699">
        <f t="shared" si="7"/>
        <v>96628.428</v>
      </c>
      <c r="H26" s="698">
        <f t="shared" ref="H26:I26" si="8">SUM(H18:H25)</f>
        <v>31395622.172995482</v>
      </c>
      <c r="I26" s="699">
        <f t="shared" si="8"/>
        <v>156747.86394789818</v>
      </c>
      <c r="P26" s="700"/>
      <c r="Q26" s="700"/>
      <c r="AD26" s="597"/>
      <c r="AE26" s="596"/>
    </row>
    <row r="28" spans="2:31" ht="15" thickBot="1" x14ac:dyDescent="0.4"/>
    <row r="29" spans="2:31" ht="14.5" customHeight="1" x14ac:dyDescent="0.35">
      <c r="B29" s="1340" t="s">
        <v>533</v>
      </c>
      <c r="C29" s="1458"/>
      <c r="D29" s="1459" t="s">
        <v>583</v>
      </c>
      <c r="E29" s="1438" t="s">
        <v>584</v>
      </c>
      <c r="F29" s="1438" t="s">
        <v>585</v>
      </c>
      <c r="G29" s="613"/>
      <c r="H29" s="1443" t="s">
        <v>586</v>
      </c>
      <c r="I29" s="1443" t="s">
        <v>587</v>
      </c>
      <c r="J29" s="1438" t="s">
        <v>564</v>
      </c>
      <c r="K29" s="613"/>
      <c r="L29" s="1438" t="s">
        <v>588</v>
      </c>
      <c r="M29" s="1424" t="s">
        <v>589</v>
      </c>
      <c r="N29" s="1438" t="s">
        <v>590</v>
      </c>
      <c r="O29" s="613"/>
      <c r="P29" s="1438" t="s">
        <v>591</v>
      </c>
    </row>
    <row r="30" spans="2:31" ht="46.5" customHeight="1" thickBot="1" x14ac:dyDescent="0.4">
      <c r="B30" s="1341"/>
      <c r="C30" s="1431"/>
      <c r="D30" s="1460"/>
      <c r="E30" s="1451"/>
      <c r="F30" s="1449"/>
      <c r="G30" s="613"/>
      <c r="H30" s="1452"/>
      <c r="I30" s="1461"/>
      <c r="J30" s="1451"/>
      <c r="K30" s="613"/>
      <c r="L30" s="1449"/>
      <c r="M30" s="1453"/>
      <c r="N30" s="1448"/>
      <c r="O30" s="613"/>
      <c r="P30" s="1472"/>
    </row>
    <row r="31" spans="2:31" x14ac:dyDescent="0.35">
      <c r="B31" s="1419" t="s">
        <v>38</v>
      </c>
      <c r="C31" s="1457"/>
      <c r="D31" s="701">
        <f>C18*F5*4/12</f>
        <v>8658.5263333333332</v>
      </c>
      <c r="E31" s="702">
        <f>+C18*J5*8/12</f>
        <v>17101.934000000001</v>
      </c>
      <c r="F31" s="703">
        <f>SUM(D31:E31)</f>
        <v>25760.460333333336</v>
      </c>
      <c r="H31" s="704">
        <f>E18*N5*3/12</f>
        <v>9890.8258215118713</v>
      </c>
      <c r="I31" s="704">
        <f>E18*S5/12</f>
        <v>3400.6193600166603</v>
      </c>
      <c r="J31" s="705">
        <f>E18*V5*8/12</f>
        <v>28200.258107455229</v>
      </c>
      <c r="L31" s="703">
        <f>SUM(H31:J31)</f>
        <v>41491.703288983757</v>
      </c>
      <c r="M31" s="706">
        <f>H18*Z5</f>
        <v>57081.74077301949</v>
      </c>
      <c r="N31" s="703">
        <f>+N70*AD5</f>
        <v>93552.042743211452</v>
      </c>
      <c r="P31" s="707">
        <f t="shared" ref="P31:P38" si="9">+F31+L31+M31+N31</f>
        <v>217885.94713854801</v>
      </c>
    </row>
    <row r="32" spans="2:31" x14ac:dyDescent="0.35">
      <c r="B32" s="1411" t="s">
        <v>557</v>
      </c>
      <c r="C32" s="1392"/>
      <c r="D32" s="708">
        <f>C19*F6*4/12</f>
        <v>3998.8409999999999</v>
      </c>
      <c r="E32" s="709">
        <f>+C19*J6*8/12</f>
        <v>7945.7489999999998</v>
      </c>
      <c r="F32" s="710">
        <f t="shared" ref="F32:F39" si="10">SUM(D32:E32)</f>
        <v>11944.59</v>
      </c>
      <c r="H32" s="711">
        <f>E19*N6*3/12</f>
        <v>6423.4700739380796</v>
      </c>
      <c r="I32" s="711">
        <f>E19*S6/12</f>
        <v>1553.3881878150914</v>
      </c>
      <c r="J32" s="712">
        <f>E19*V6*8/12</f>
        <v>14106.444083942451</v>
      </c>
      <c r="L32" s="710">
        <f t="shared" ref="L32:L38" si="11">SUM(H32:J32)</f>
        <v>22083.302345695622</v>
      </c>
      <c r="M32" s="713">
        <f>H19*Z6</f>
        <v>25610.001957653367</v>
      </c>
      <c r="N32" s="710">
        <f>+N71*AD6</f>
        <v>53269.895173669393</v>
      </c>
      <c r="P32" s="714">
        <f t="shared" si="9"/>
        <v>112907.78947701838</v>
      </c>
    </row>
    <row r="33" spans="2:16" x14ac:dyDescent="0.35">
      <c r="B33" s="1411" t="s">
        <v>558</v>
      </c>
      <c r="C33" s="1392"/>
      <c r="D33" s="708">
        <f>D20*F7*4/12</f>
        <v>7775.3943199999994</v>
      </c>
      <c r="E33" s="709">
        <f>D20*J7*8/12</f>
        <v>15428.8172</v>
      </c>
      <c r="F33" s="710">
        <f t="shared" si="10"/>
        <v>23204.211519999997</v>
      </c>
      <c r="H33" s="711">
        <f>F20*N7*3/12</f>
        <v>17414.708250212694</v>
      </c>
      <c r="I33" s="711">
        <f>F20*S7/12</f>
        <v>4904.6817768607898</v>
      </c>
      <c r="J33" s="712">
        <f>F20*V7*8/12</f>
        <v>42546.699107353772</v>
      </c>
      <c r="L33" s="710">
        <f t="shared" si="11"/>
        <v>64866.089134427253</v>
      </c>
      <c r="M33" s="713">
        <f>I20*Z7</f>
        <v>82350.186042937348</v>
      </c>
      <c r="N33" s="710">
        <f>+O72*AD7</f>
        <v>79605.622800588346</v>
      </c>
      <c r="P33" s="714">
        <f t="shared" si="9"/>
        <v>250026.10949795294</v>
      </c>
    </row>
    <row r="34" spans="2:16" x14ac:dyDescent="0.35">
      <c r="B34" s="1411" t="s">
        <v>559</v>
      </c>
      <c r="C34" s="1392"/>
      <c r="D34" s="708">
        <f t="shared" ref="D34:D35" si="12">D21*F8*4/12</f>
        <v>7605.2151600000007</v>
      </c>
      <c r="E34" s="709">
        <f t="shared" ref="E34:E35" si="13">D21*J8*8/12</f>
        <v>15125.03952</v>
      </c>
      <c r="F34" s="710">
        <f t="shared" si="10"/>
        <v>22730.254680000002</v>
      </c>
      <c r="H34" s="711">
        <f>F21*N8*3/12</f>
        <v>5298.8667664814748</v>
      </c>
      <c r="I34" s="711">
        <f>F21*S8/12</f>
        <v>3363.4187841304943</v>
      </c>
      <c r="J34" s="712">
        <f>F21*V8*8/12</f>
        <v>24043.431178972194</v>
      </c>
      <c r="L34" s="710">
        <f t="shared" si="11"/>
        <v>32705.716729584165</v>
      </c>
      <c r="M34" s="713">
        <f>I21*Z8</f>
        <v>53672.28740587271</v>
      </c>
      <c r="N34" s="710">
        <f>+O73*AD8</f>
        <v>68625.416123616684</v>
      </c>
      <c r="P34" s="714">
        <f t="shared" si="9"/>
        <v>177733.67493907356</v>
      </c>
    </row>
    <row r="35" spans="2:16" x14ac:dyDescent="0.35">
      <c r="B35" s="1411" t="s">
        <v>541</v>
      </c>
      <c r="C35" s="1392"/>
      <c r="D35" s="708">
        <f t="shared" si="12"/>
        <v>6706.2163200000005</v>
      </c>
      <c r="E35" s="709">
        <f t="shared" si="13"/>
        <v>13347.063840000003</v>
      </c>
      <c r="F35" s="710">
        <f t="shared" si="10"/>
        <v>20053.280160000002</v>
      </c>
      <c r="H35" s="711">
        <f>F22*N9*3/12</f>
        <v>22989.31856627189</v>
      </c>
      <c r="I35" s="711">
        <f>F22*S9/12</f>
        <v>8040.2029297031868</v>
      </c>
      <c r="J35" s="712">
        <f>F22*V9*8/12</f>
        <v>64853.490689310311</v>
      </c>
      <c r="L35" s="710">
        <f t="shared" si="11"/>
        <v>95883.012185285392</v>
      </c>
      <c r="M35" s="713">
        <f>I22*Z9</f>
        <v>196401.89573562195</v>
      </c>
      <c r="N35" s="710">
        <f>+O74*AD9</f>
        <v>216191.43757842464</v>
      </c>
      <c r="P35" s="714">
        <f t="shared" si="9"/>
        <v>528529.62565933191</v>
      </c>
    </row>
    <row r="36" spans="2:16" x14ac:dyDescent="0.35">
      <c r="B36" s="1411" t="s">
        <v>542</v>
      </c>
      <c r="C36" s="1392"/>
      <c r="D36" s="708">
        <f>C23*F10*4/12</f>
        <v>0</v>
      </c>
      <c r="E36" s="709">
        <f>+C23*J10*8/12</f>
        <v>0</v>
      </c>
      <c r="F36" s="710">
        <f t="shared" si="10"/>
        <v>0</v>
      </c>
      <c r="H36" s="711">
        <f>E23*N10*3/12</f>
        <v>0</v>
      </c>
      <c r="I36" s="711">
        <f>E23*S10/12</f>
        <v>0</v>
      </c>
      <c r="J36" s="712">
        <f>E23*V10*8/12</f>
        <v>0</v>
      </c>
      <c r="L36" s="710">
        <f t="shared" si="11"/>
        <v>0</v>
      </c>
      <c r="M36" s="713">
        <f>H23*Z10</f>
        <v>0</v>
      </c>
      <c r="N36" s="710">
        <f>+N75*AD10</f>
        <v>0</v>
      </c>
      <c r="P36" s="714">
        <f t="shared" si="9"/>
        <v>0</v>
      </c>
    </row>
    <row r="37" spans="2:16" x14ac:dyDescent="0.35">
      <c r="B37" s="1411" t="s">
        <v>41</v>
      </c>
      <c r="C37" s="1392"/>
      <c r="D37" s="708">
        <f t="shared" ref="D37:D38" si="14">D24*F11*4/12</f>
        <v>0</v>
      </c>
      <c r="E37" s="709">
        <f t="shared" ref="E37:E38" si="15">D24*J11*8/12</f>
        <v>0</v>
      </c>
      <c r="F37" s="710">
        <f t="shared" si="10"/>
        <v>0</v>
      </c>
      <c r="H37" s="711">
        <f>F24*N11*3/12</f>
        <v>0</v>
      </c>
      <c r="I37" s="711">
        <f>F24*S11/12</f>
        <v>0</v>
      </c>
      <c r="J37" s="712">
        <f>F24*V11*8/12</f>
        <v>0</v>
      </c>
      <c r="L37" s="710">
        <f t="shared" si="11"/>
        <v>0</v>
      </c>
      <c r="M37" s="713">
        <f>I24*Z11</f>
        <v>0</v>
      </c>
      <c r="N37" s="710">
        <f>+O76*AD11</f>
        <v>0</v>
      </c>
      <c r="P37" s="714">
        <f t="shared" si="9"/>
        <v>0</v>
      </c>
    </row>
    <row r="38" spans="2:16" ht="15" thickBot="1" x14ac:dyDescent="0.4">
      <c r="B38" s="1415" t="s">
        <v>42</v>
      </c>
      <c r="C38" s="1455"/>
      <c r="D38" s="715">
        <f t="shared" si="14"/>
        <v>0</v>
      </c>
      <c r="E38" s="716">
        <f t="shared" si="15"/>
        <v>0</v>
      </c>
      <c r="F38" s="717">
        <f t="shared" si="10"/>
        <v>0</v>
      </c>
      <c r="H38" s="718">
        <f>F25*N12*3/12</f>
        <v>0</v>
      </c>
      <c r="I38" s="718">
        <f>F25*S12/12</f>
        <v>0</v>
      </c>
      <c r="J38" s="719">
        <f>F25*V12*8/12</f>
        <v>0</v>
      </c>
      <c r="L38" s="717">
        <f t="shared" si="11"/>
        <v>0</v>
      </c>
      <c r="M38" s="720">
        <f>I25*Z12</f>
        <v>0</v>
      </c>
      <c r="N38" s="717">
        <f>+O77*AD12</f>
        <v>0</v>
      </c>
      <c r="P38" s="721">
        <f t="shared" si="9"/>
        <v>0</v>
      </c>
    </row>
    <row r="39" spans="2:16" s="544" customFormat="1" ht="15" thickBot="1" x14ac:dyDescent="0.4">
      <c r="B39" s="1402" t="s">
        <v>35</v>
      </c>
      <c r="C39" s="1456"/>
      <c r="D39" s="722">
        <f>SUM(D31:D38)</f>
        <v>34744.193133333334</v>
      </c>
      <c r="E39" s="723">
        <f t="shared" ref="E39" si="16">SUM(E31:E38)</f>
        <v>68948.603560000003</v>
      </c>
      <c r="F39" s="724">
        <f t="shared" si="10"/>
        <v>103692.79669333334</v>
      </c>
      <c r="H39" s="725">
        <f>SUM(H31:H38)</f>
        <v>62017.18947841601</v>
      </c>
      <c r="I39" s="725">
        <f>SUM(I31:I38)</f>
        <v>21262.311038526223</v>
      </c>
      <c r="J39" s="726">
        <f>SUM(J31:J38)</f>
        <v>173750.32316703396</v>
      </c>
      <c r="L39" s="727">
        <f>SUM(L31:L38)</f>
        <v>257029.8236839762</v>
      </c>
      <c r="M39" s="728">
        <f>SUM(M31:M38)</f>
        <v>415116.11191510491</v>
      </c>
      <c r="N39" s="724">
        <f>SUM(N31:N38)</f>
        <v>511244.41441951052</v>
      </c>
      <c r="P39" s="729">
        <f>SUM(P31:P38)</f>
        <v>1287083.1467119248</v>
      </c>
    </row>
    <row r="40" spans="2:16" ht="15" thickBot="1" x14ac:dyDescent="0.4">
      <c r="B40" s="544"/>
    </row>
    <row r="41" spans="2:16" ht="15" thickBot="1" x14ac:dyDescent="0.4">
      <c r="B41" s="1360" t="s">
        <v>592</v>
      </c>
      <c r="C41" s="1361"/>
      <c r="D41" s="1361"/>
      <c r="E41" s="1361"/>
      <c r="F41" s="1361"/>
      <c r="G41" s="1361"/>
      <c r="H41" s="1361"/>
      <c r="I41" s="1361"/>
      <c r="J41" s="1361"/>
      <c r="K41" s="1361"/>
      <c r="L41" s="1361"/>
      <c r="M41" s="1362"/>
      <c r="N41" s="1357"/>
    </row>
    <row r="42" spans="2:16" ht="14.5" customHeight="1" x14ac:dyDescent="0.35">
      <c r="B42" s="1429" t="s">
        <v>533</v>
      </c>
      <c r="C42" s="1430"/>
      <c r="D42" s="1432" t="s">
        <v>593</v>
      </c>
      <c r="E42" s="1448" t="s">
        <v>594</v>
      </c>
      <c r="F42" s="1448"/>
      <c r="G42" s="613"/>
      <c r="H42" s="1434" t="s">
        <v>547</v>
      </c>
      <c r="I42" s="1453" t="s">
        <v>595</v>
      </c>
      <c r="J42" s="1438" t="s">
        <v>596</v>
      </c>
      <c r="K42" s="730"/>
      <c r="L42" s="731"/>
      <c r="M42" s="1448" t="s">
        <v>597</v>
      </c>
      <c r="N42" s="1438" t="s">
        <v>598</v>
      </c>
    </row>
    <row r="43" spans="2:16" ht="42" customHeight="1" thickBot="1" x14ac:dyDescent="0.4">
      <c r="B43" s="1341"/>
      <c r="C43" s="1431"/>
      <c r="D43" s="1450"/>
      <c r="E43" s="1451"/>
      <c r="F43" s="1448"/>
      <c r="G43" s="613"/>
      <c r="H43" s="1452"/>
      <c r="I43" s="1454"/>
      <c r="J43" s="1451"/>
      <c r="K43" s="732"/>
      <c r="L43" s="733"/>
      <c r="M43" s="1449"/>
      <c r="N43" s="1449"/>
    </row>
    <row r="44" spans="2:16" ht="15" thickBot="1" x14ac:dyDescent="0.4">
      <c r="B44" s="1419" t="s">
        <v>38</v>
      </c>
      <c r="C44" s="1420"/>
      <c r="D44" s="734">
        <f>+D31/4</f>
        <v>2164.6315833333333</v>
      </c>
      <c r="E44" s="702">
        <f>E31/8</f>
        <v>2137.7417500000001</v>
      </c>
      <c r="F44" s="735"/>
      <c r="H44" s="704">
        <f>H31/3</f>
        <v>3296.9419405039571</v>
      </c>
      <c r="I44" s="736">
        <f t="shared" ref="I44:I51" si="17">I31</f>
        <v>3400.6193600166603</v>
      </c>
      <c r="J44" s="737">
        <f>J31/8</f>
        <v>3525.0322634319036</v>
      </c>
      <c r="K44" s="738"/>
      <c r="L44" s="739"/>
      <c r="M44" s="740">
        <f t="shared" ref="M44:N51" si="18">+M31/12</f>
        <v>4756.8117310849575</v>
      </c>
      <c r="N44" s="740">
        <f t="shared" si="18"/>
        <v>7796.003561934288</v>
      </c>
    </row>
    <row r="45" spans="2:16" ht="15" thickBot="1" x14ac:dyDescent="0.4">
      <c r="B45" s="1411" t="s">
        <v>557</v>
      </c>
      <c r="C45" s="1412"/>
      <c r="D45" s="704">
        <f t="shared" ref="D45:D51" si="19">+D32/4</f>
        <v>999.71024999999997</v>
      </c>
      <c r="E45" s="702">
        <f t="shared" ref="E45:E51" si="20">E32/8</f>
        <v>993.21862499999997</v>
      </c>
      <c r="F45" s="741"/>
      <c r="H45" s="704">
        <f t="shared" ref="H45:H51" si="21">H32/3</f>
        <v>2141.1566913126931</v>
      </c>
      <c r="I45" s="736">
        <f t="shared" si="17"/>
        <v>1553.3881878150914</v>
      </c>
      <c r="J45" s="737">
        <f t="shared" ref="J45:J51" si="22">J32/8</f>
        <v>1763.3055104928064</v>
      </c>
      <c r="K45" s="742"/>
      <c r="L45" s="743"/>
      <c r="M45" s="740">
        <f t="shared" si="18"/>
        <v>2134.1668298044474</v>
      </c>
      <c r="N45" s="740">
        <f t="shared" si="18"/>
        <v>4439.157931139116</v>
      </c>
    </row>
    <row r="46" spans="2:16" ht="15" thickBot="1" x14ac:dyDescent="0.4">
      <c r="B46" s="1411" t="s">
        <v>558</v>
      </c>
      <c r="C46" s="1412"/>
      <c r="D46" s="704">
        <f t="shared" si="19"/>
        <v>1943.8485799999999</v>
      </c>
      <c r="E46" s="702">
        <f t="shared" si="20"/>
        <v>1928.6021499999999</v>
      </c>
      <c r="F46" s="741"/>
      <c r="H46" s="704">
        <f t="shared" si="21"/>
        <v>5804.902750070898</v>
      </c>
      <c r="I46" s="736">
        <f t="shared" si="17"/>
        <v>4904.6817768607898</v>
      </c>
      <c r="J46" s="737">
        <f t="shared" si="22"/>
        <v>5318.3373884192215</v>
      </c>
      <c r="K46" s="742"/>
      <c r="L46" s="743"/>
      <c r="M46" s="740">
        <f t="shared" si="18"/>
        <v>6862.5155035781127</v>
      </c>
      <c r="N46" s="740">
        <f t="shared" si="18"/>
        <v>6633.8019000490285</v>
      </c>
    </row>
    <row r="47" spans="2:16" ht="15" thickBot="1" x14ac:dyDescent="0.4">
      <c r="B47" s="1411" t="s">
        <v>559</v>
      </c>
      <c r="C47" s="1412"/>
      <c r="D47" s="704">
        <f t="shared" si="19"/>
        <v>1901.3037900000002</v>
      </c>
      <c r="E47" s="702">
        <f t="shared" si="20"/>
        <v>1890.62994</v>
      </c>
      <c r="F47" s="741"/>
      <c r="H47" s="704">
        <f t="shared" si="21"/>
        <v>1766.2889221604917</v>
      </c>
      <c r="I47" s="736">
        <f t="shared" si="17"/>
        <v>3363.4187841304943</v>
      </c>
      <c r="J47" s="737">
        <f t="shared" si="22"/>
        <v>3005.4288973715243</v>
      </c>
      <c r="K47" s="742"/>
      <c r="L47" s="743"/>
      <c r="M47" s="740">
        <f t="shared" si="18"/>
        <v>4472.6906171560595</v>
      </c>
      <c r="N47" s="740">
        <f t="shared" si="18"/>
        <v>5718.7846769680573</v>
      </c>
    </row>
    <row r="48" spans="2:16" ht="15" thickBot="1" x14ac:dyDescent="0.4">
      <c r="B48" s="1411" t="s">
        <v>541</v>
      </c>
      <c r="C48" s="1412"/>
      <c r="D48" s="704">
        <f t="shared" si="19"/>
        <v>1676.5540800000001</v>
      </c>
      <c r="E48" s="702">
        <f t="shared" si="20"/>
        <v>1668.3829800000003</v>
      </c>
      <c r="F48" s="741"/>
      <c r="H48" s="704">
        <f t="shared" si="21"/>
        <v>7663.1061887572969</v>
      </c>
      <c r="I48" s="736">
        <f t="shared" si="17"/>
        <v>8040.2029297031868</v>
      </c>
      <c r="J48" s="737">
        <f t="shared" si="22"/>
        <v>8106.6863361637888</v>
      </c>
      <c r="K48" s="742"/>
      <c r="L48" s="743"/>
      <c r="M48" s="740">
        <f t="shared" si="18"/>
        <v>16366.824644635162</v>
      </c>
      <c r="N48" s="740">
        <f t="shared" si="18"/>
        <v>18015.953131535385</v>
      </c>
    </row>
    <row r="49" spans="2:28" ht="15" thickBot="1" x14ac:dyDescent="0.4">
      <c r="B49" s="1411" t="s">
        <v>542</v>
      </c>
      <c r="C49" s="1412"/>
      <c r="D49" s="704">
        <f t="shared" si="19"/>
        <v>0</v>
      </c>
      <c r="E49" s="702">
        <f t="shared" si="20"/>
        <v>0</v>
      </c>
      <c r="F49" s="741"/>
      <c r="H49" s="704">
        <f t="shared" si="21"/>
        <v>0</v>
      </c>
      <c r="I49" s="736">
        <f t="shared" si="17"/>
        <v>0</v>
      </c>
      <c r="J49" s="737">
        <f t="shared" si="22"/>
        <v>0</v>
      </c>
      <c r="K49" s="742"/>
      <c r="L49" s="743"/>
      <c r="M49" s="740">
        <f t="shared" si="18"/>
        <v>0</v>
      </c>
      <c r="N49" s="740">
        <f t="shared" si="18"/>
        <v>0</v>
      </c>
    </row>
    <row r="50" spans="2:28" ht="15" thickBot="1" x14ac:dyDescent="0.4">
      <c r="B50" s="1411" t="s">
        <v>41</v>
      </c>
      <c r="C50" s="1412"/>
      <c r="D50" s="704">
        <f t="shared" si="19"/>
        <v>0</v>
      </c>
      <c r="E50" s="702">
        <f t="shared" si="20"/>
        <v>0</v>
      </c>
      <c r="F50" s="741"/>
      <c r="H50" s="704">
        <f t="shared" si="21"/>
        <v>0</v>
      </c>
      <c r="I50" s="736">
        <f t="shared" si="17"/>
        <v>0</v>
      </c>
      <c r="J50" s="737">
        <f t="shared" si="22"/>
        <v>0</v>
      </c>
      <c r="K50" s="742"/>
      <c r="L50" s="743"/>
      <c r="M50" s="740">
        <f t="shared" si="18"/>
        <v>0</v>
      </c>
      <c r="N50" s="740">
        <f t="shared" si="18"/>
        <v>0</v>
      </c>
    </row>
    <row r="51" spans="2:28" ht="15" thickBot="1" x14ac:dyDescent="0.4">
      <c r="B51" s="1415" t="s">
        <v>42</v>
      </c>
      <c r="C51" s="1416"/>
      <c r="D51" s="744">
        <f t="shared" si="19"/>
        <v>0</v>
      </c>
      <c r="E51" s="702">
        <f t="shared" si="20"/>
        <v>0</v>
      </c>
      <c r="F51" s="745"/>
      <c r="H51" s="704">
        <f t="shared" si="21"/>
        <v>0</v>
      </c>
      <c r="I51" s="736">
        <f t="shared" si="17"/>
        <v>0</v>
      </c>
      <c r="J51" s="737">
        <f t="shared" si="22"/>
        <v>0</v>
      </c>
      <c r="K51" s="742"/>
      <c r="L51" s="743"/>
      <c r="M51" s="740">
        <f t="shared" si="18"/>
        <v>0</v>
      </c>
      <c r="N51" s="740">
        <f t="shared" si="18"/>
        <v>0</v>
      </c>
    </row>
    <row r="52" spans="2:28" ht="15" thickBot="1" x14ac:dyDescent="0.4">
      <c r="B52" s="1402" t="s">
        <v>35</v>
      </c>
      <c r="C52" s="1403"/>
      <c r="D52" s="746">
        <f>SUM(D44:D51)</f>
        <v>8686.0482833333335</v>
      </c>
      <c r="E52" s="723">
        <f t="shared" ref="E52" si="23">SUM(E44:E51)</f>
        <v>8618.5754450000004</v>
      </c>
      <c r="F52" s="724"/>
      <c r="G52" s="544"/>
      <c r="H52" s="725">
        <f>SUM(H44:H51)</f>
        <v>20672.396492805336</v>
      </c>
      <c r="I52" s="747">
        <f>SUM(I44:I51)</f>
        <v>21262.311038526223</v>
      </c>
      <c r="J52" s="747">
        <f>SUM(J44:J51)</f>
        <v>21718.790395879245</v>
      </c>
      <c r="K52" s="748"/>
      <c r="L52" s="749"/>
      <c r="M52" s="750">
        <f>SUM(M44:M51)</f>
        <v>34593.00932625874</v>
      </c>
      <c r="N52" s="750">
        <f>SUM(N44:N51)</f>
        <v>42603.701201625874</v>
      </c>
    </row>
    <row r="53" spans="2:28" ht="15" thickBot="1" x14ac:dyDescent="0.4">
      <c r="D53" s="751"/>
      <c r="E53" s="751"/>
      <c r="F53" s="752"/>
      <c r="G53" s="445"/>
      <c r="H53" s="751"/>
      <c r="I53" s="751"/>
      <c r="J53" s="752"/>
    </row>
    <row r="54" spans="2:28" ht="30.65" customHeight="1" thickBot="1" x14ac:dyDescent="0.4">
      <c r="B54" s="753"/>
      <c r="U54" s="1360" t="s">
        <v>599</v>
      </c>
      <c r="V54" s="1427"/>
      <c r="W54" s="1427"/>
      <c r="X54" s="1427"/>
      <c r="Y54" s="1427"/>
      <c r="Z54" s="1428"/>
    </row>
    <row r="55" spans="2:28" ht="34" customHeight="1" thickBot="1" x14ac:dyDescent="0.4">
      <c r="B55" s="1360" t="s">
        <v>600</v>
      </c>
      <c r="C55" s="1361"/>
      <c r="D55" s="1361"/>
      <c r="E55" s="1361"/>
      <c r="F55" s="1423"/>
      <c r="G55" s="754"/>
      <c r="H55" s="1409"/>
      <c r="I55" s="1336"/>
      <c r="J55" s="755"/>
      <c r="L55" s="1424" t="s">
        <v>601</v>
      </c>
      <c r="M55" s="1425"/>
      <c r="N55" s="1425"/>
      <c r="O55" s="1425"/>
      <c r="P55" s="1425"/>
      <c r="Q55" s="1425"/>
      <c r="R55" s="1426"/>
      <c r="U55" s="1360" t="s">
        <v>602</v>
      </c>
      <c r="V55" s="1427"/>
      <c r="W55" s="1427"/>
      <c r="X55" s="1427"/>
      <c r="Y55" s="1427"/>
      <c r="Z55" s="1428"/>
      <c r="AA55" s="1336"/>
    </row>
    <row r="56" spans="2:28" ht="14.5" customHeight="1" x14ac:dyDescent="0.35">
      <c r="B56" s="1429" t="s">
        <v>533</v>
      </c>
      <c r="C56" s="1430"/>
      <c r="D56" s="1432" t="s">
        <v>603</v>
      </c>
      <c r="E56" s="1434" t="s">
        <v>604</v>
      </c>
      <c r="F56" s="1436" t="s">
        <v>605</v>
      </c>
      <c r="H56" s="1337"/>
      <c r="I56" s="1336"/>
      <c r="J56" s="1336"/>
      <c r="L56" s="1340" t="s">
        <v>533</v>
      </c>
      <c r="M56" s="1447"/>
      <c r="N56" s="1443" t="s">
        <v>603</v>
      </c>
      <c r="O56" s="1443" t="s">
        <v>604</v>
      </c>
      <c r="P56" s="1436" t="s">
        <v>606</v>
      </c>
      <c r="Q56" s="1443" t="s">
        <v>607</v>
      </c>
      <c r="R56" s="1438" t="s">
        <v>608</v>
      </c>
      <c r="U56" s="1429" t="s">
        <v>533</v>
      </c>
      <c r="V56" s="1440"/>
      <c r="W56" s="1432" t="s">
        <v>603</v>
      </c>
      <c r="X56" s="1443" t="s">
        <v>607</v>
      </c>
      <c r="Y56" s="1445" t="s">
        <v>609</v>
      </c>
      <c r="Z56" s="1436" t="s">
        <v>610</v>
      </c>
      <c r="AA56" s="1336"/>
    </row>
    <row r="57" spans="2:28" ht="65.150000000000006" customHeight="1" thickBot="1" x14ac:dyDescent="0.4">
      <c r="B57" s="1341"/>
      <c r="C57" s="1431"/>
      <c r="D57" s="1433"/>
      <c r="E57" s="1435"/>
      <c r="F57" s="1437"/>
      <c r="H57" s="1337"/>
      <c r="I57" s="1336"/>
      <c r="J57" s="1336"/>
      <c r="L57" s="1341"/>
      <c r="M57" s="1441"/>
      <c r="N57" s="1444"/>
      <c r="O57" s="1444"/>
      <c r="P57" s="1437"/>
      <c r="Q57" s="1439"/>
      <c r="R57" s="1439"/>
      <c r="U57" s="1341"/>
      <c r="V57" s="1441"/>
      <c r="W57" s="1442"/>
      <c r="X57" s="1444"/>
      <c r="Y57" s="1446"/>
      <c r="Z57" s="1437"/>
      <c r="AA57" s="1336"/>
    </row>
    <row r="58" spans="2:28" x14ac:dyDescent="0.35">
      <c r="B58" s="1419" t="s">
        <v>38</v>
      </c>
      <c r="C58" s="1420"/>
      <c r="D58" s="734">
        <f>'11. Guelph_Continuity Schedule'!BQ8+'11. Guelph_Continuity Schedule'!BQ23</f>
        <v>109146.26106033122</v>
      </c>
      <c r="E58" s="756">
        <f>'[4]Lost revenue'!D58/'[4]Lost revenue'!$D$66*'11. Guelph_Continuity Schedule'!$BQ$40</f>
        <v>2313.4025367900576</v>
      </c>
      <c r="F58" s="703">
        <f>SUM(D58:E58)</f>
        <v>111459.66359712128</v>
      </c>
      <c r="H58" s="752"/>
      <c r="I58" s="752"/>
      <c r="J58" s="752"/>
      <c r="L58" s="1421" t="s">
        <v>38</v>
      </c>
      <c r="M58" s="1422"/>
      <c r="N58" s="757">
        <f>'[7]Lost revenue'!D58</f>
        <v>2864.1073881087505</v>
      </c>
      <c r="O58" s="758">
        <f>'[7]Lost revenue'!E58</f>
        <v>101.44948062660561</v>
      </c>
      <c r="P58" s="759">
        <f>'[7]Lost revenue'!F58</f>
        <v>2965.5568687353561</v>
      </c>
      <c r="Q58" s="760">
        <f>'[7]Lost revenue'!H58</f>
        <v>34.154480603196838</v>
      </c>
      <c r="R58" s="757">
        <f>'[7]Lost revenue'!I58</f>
        <v>2999.7113493385532</v>
      </c>
      <c r="U58" s="1421" t="s">
        <v>38</v>
      </c>
      <c r="V58" s="1422"/>
      <c r="W58" s="757">
        <f>D58-N58</f>
        <v>106282.15367222247</v>
      </c>
      <c r="X58" s="761">
        <f t="shared" ref="X58:X65" si="24">E58-O58-Q58</f>
        <v>2177.7985755602549</v>
      </c>
      <c r="Y58" s="761">
        <f>W58*1.1%</f>
        <v>1169.1036903944473</v>
      </c>
      <c r="Z58" s="759">
        <f>SUM(W58:Y58)</f>
        <v>109629.05593817717</v>
      </c>
      <c r="AA58" s="762"/>
      <c r="AB58" s="776">
        <f>W58+X58</f>
        <v>108459.95224778273</v>
      </c>
    </row>
    <row r="59" spans="2:28" x14ac:dyDescent="0.35">
      <c r="B59" s="1411" t="s">
        <v>557</v>
      </c>
      <c r="C59" s="1412"/>
      <c r="D59" s="711">
        <f>'11. Guelph_Continuity Schedule'!BQ9+'11. Guelph_Continuity Schedule'!BQ24</f>
        <v>93889.830609871919</v>
      </c>
      <c r="E59" s="756">
        <f>'[4]Lost revenue'!D59/'[4]Lost revenue'!$D$66*'11. Guelph_Continuity Schedule'!$BQ$40</f>
        <v>1993.1097261674934</v>
      </c>
      <c r="F59" s="710">
        <f t="shared" ref="F59:F66" si="25">SUM(D59:E59)</f>
        <v>95882.940336039406</v>
      </c>
      <c r="H59" s="752"/>
      <c r="I59" s="752"/>
      <c r="J59" s="752"/>
      <c r="L59" s="1413" t="s">
        <v>557</v>
      </c>
      <c r="M59" s="1414"/>
      <c r="N59" s="763">
        <f>'[7]Lost revenue'!D59</f>
        <v>23248.428846268056</v>
      </c>
      <c r="O59" s="758">
        <f>'[7]Lost revenue'!E59</f>
        <v>823.48205295329376</v>
      </c>
      <c r="P59" s="764">
        <f>'[7]Lost revenue'!F59</f>
        <v>24071.910899221351</v>
      </c>
      <c r="Q59" s="765">
        <f>'[7]Lost revenue'!H59</f>
        <v>277.23751399174648</v>
      </c>
      <c r="R59" s="763">
        <f>'[7]Lost revenue'!I59</f>
        <v>24349.148413213097</v>
      </c>
      <c r="U59" s="1413" t="s">
        <v>557</v>
      </c>
      <c r="V59" s="1414"/>
      <c r="W59" s="763">
        <f t="shared" ref="W59:W65" si="26">D59-N59</f>
        <v>70641.401763603862</v>
      </c>
      <c r="X59" s="761">
        <f t="shared" si="24"/>
        <v>892.39015922245312</v>
      </c>
      <c r="Y59" s="761">
        <f t="shared" ref="Y59:Y65" si="27">W59*1.1%</f>
        <v>777.05541939964257</v>
      </c>
      <c r="Z59" s="764">
        <f t="shared" ref="Z59:Z65" si="28">SUM(W59:Y59)</f>
        <v>72310.847342225956</v>
      </c>
      <c r="AA59" s="762"/>
      <c r="AB59" s="776">
        <f t="shared" ref="AB59:AB65" si="29">W59+X59</f>
        <v>71533.79192282632</v>
      </c>
    </row>
    <row r="60" spans="2:28" x14ac:dyDescent="0.35">
      <c r="B60" s="1411" t="s">
        <v>558</v>
      </c>
      <c r="C60" s="1412"/>
      <c r="D60" s="711">
        <f>'11. Guelph_Continuity Schedule'!BQ10+'11. Guelph_Continuity Schedule'!BQ25</f>
        <v>221496.01620756337</v>
      </c>
      <c r="E60" s="756">
        <f>'[4]Lost revenue'!D60/'[4]Lost revenue'!$D$66*'11. Guelph_Continuity Schedule'!$BQ$40</f>
        <v>4706.6230656793368</v>
      </c>
      <c r="F60" s="710">
        <f t="shared" si="25"/>
        <v>226202.6392732427</v>
      </c>
      <c r="H60" s="752"/>
      <c r="I60" s="752"/>
      <c r="J60" s="752"/>
      <c r="L60" s="1413" t="s">
        <v>558</v>
      </c>
      <c r="M60" s="1414"/>
      <c r="N60" s="763">
        <f>'[7]Lost revenue'!D60</f>
        <v>41602.771409432215</v>
      </c>
      <c r="O60" s="758">
        <f>'[7]Lost revenue'!E60</f>
        <v>1473.6107904463947</v>
      </c>
      <c r="P60" s="764">
        <f>'[7]Lost revenue'!F60</f>
        <v>43076.382199878608</v>
      </c>
      <c r="Q60" s="765">
        <f>'[7]Lost revenue'!H60</f>
        <v>496.11304905747897</v>
      </c>
      <c r="R60" s="763">
        <f>'[7]Lost revenue'!I60</f>
        <v>43572.495248936088</v>
      </c>
      <c r="U60" s="1413" t="s">
        <v>558</v>
      </c>
      <c r="V60" s="1414"/>
      <c r="W60" s="763">
        <f t="shared" si="26"/>
        <v>179893.24479813117</v>
      </c>
      <c r="X60" s="761">
        <f t="shared" si="24"/>
        <v>2736.8992261754629</v>
      </c>
      <c r="Y60" s="761">
        <f t="shared" si="27"/>
        <v>1978.825692779443</v>
      </c>
      <c r="Z60" s="764">
        <f t="shared" si="28"/>
        <v>184608.96971708609</v>
      </c>
      <c r="AA60" s="762"/>
      <c r="AB60" s="776">
        <f t="shared" si="29"/>
        <v>182630.14402430665</v>
      </c>
    </row>
    <row r="61" spans="2:28" x14ac:dyDescent="0.35">
      <c r="B61" s="1411" t="s">
        <v>559</v>
      </c>
      <c r="C61" s="1412"/>
      <c r="D61" s="711">
        <f>'11. Guelph_Continuity Schedule'!BQ11+'11. Guelph_Continuity Schedule'!BQ26</f>
        <v>286127.11935163039</v>
      </c>
      <c r="E61" s="756">
        <f>'[4]Lost revenue'!D61/'[4]Lost revenue'!$D$66*'11. Guelph_Continuity Schedule'!$BQ$40</f>
        <v>6077.0699126102745</v>
      </c>
      <c r="F61" s="710">
        <f t="shared" si="25"/>
        <v>292204.18926424067</v>
      </c>
      <c r="H61" s="752"/>
      <c r="I61" s="752"/>
      <c r="J61" s="752"/>
      <c r="L61" s="1413" t="s">
        <v>559</v>
      </c>
      <c r="M61" s="1414"/>
      <c r="N61" s="763">
        <f>'[7]Lost revenue'!D61</f>
        <v>27080.993442001029</v>
      </c>
      <c r="O61" s="758">
        <f>'[7]Lost revenue'!E61</f>
        <v>959.23523361938953</v>
      </c>
      <c r="P61" s="764">
        <f>'[7]Lost revenue'!F61</f>
        <v>28040.228675620419</v>
      </c>
      <c r="Q61" s="765">
        <f>'[7]Lost revenue'!H61</f>
        <v>322.94084679586217</v>
      </c>
      <c r="R61" s="763">
        <f>'[7]Lost revenue'!I61</f>
        <v>28363.169522416283</v>
      </c>
      <c r="U61" s="1413" t="s">
        <v>559</v>
      </c>
      <c r="V61" s="1414"/>
      <c r="W61" s="763">
        <f t="shared" si="26"/>
        <v>259046.12590962937</v>
      </c>
      <c r="X61" s="761">
        <f t="shared" si="24"/>
        <v>4794.8938321950227</v>
      </c>
      <c r="Y61" s="761">
        <f t="shared" si="27"/>
        <v>2849.5073850059234</v>
      </c>
      <c r="Z61" s="764">
        <f t="shared" si="28"/>
        <v>266690.5271268303</v>
      </c>
      <c r="AA61" s="762"/>
      <c r="AB61" s="776">
        <f t="shared" si="29"/>
        <v>263841.01974182436</v>
      </c>
    </row>
    <row r="62" spans="2:28" x14ac:dyDescent="0.35">
      <c r="B62" s="1411" t="s">
        <v>541</v>
      </c>
      <c r="C62" s="1412"/>
      <c r="D62" s="711">
        <f>'11. Guelph_Continuity Schedule'!BQ12+'11. Guelph_Continuity Schedule'!BQ27</f>
        <v>848148.75830259104</v>
      </c>
      <c r="E62" s="756">
        <f>'[4]Lost revenue'!D62/'[4]Lost revenue'!$D$66*'11. Guelph_Continuity Schedule'!$BQ$40</f>
        <v>18014.714946937249</v>
      </c>
      <c r="F62" s="710">
        <f t="shared" si="25"/>
        <v>866163.47324952832</v>
      </c>
      <c r="H62" s="752"/>
      <c r="I62" s="752"/>
      <c r="J62" s="752"/>
      <c r="L62" s="1413" t="s">
        <v>541</v>
      </c>
      <c r="M62" s="1414"/>
      <c r="N62" s="763">
        <f>'[7]Lost revenue'!D62</f>
        <v>195241.56901394576</v>
      </c>
      <c r="O62" s="758">
        <f>'[7]Lost revenue'!E62</f>
        <v>6915.6470373366783</v>
      </c>
      <c r="P62" s="764">
        <f>'[7]Lost revenue'!F62</f>
        <v>202157.21605128245</v>
      </c>
      <c r="Q62" s="765">
        <f>'[7]Lost revenue'!H62</f>
        <v>2328.2557104913026</v>
      </c>
      <c r="R62" s="763">
        <f>'[7]Lost revenue'!I62</f>
        <v>204485.47176177375</v>
      </c>
      <c r="U62" s="1413" t="s">
        <v>541</v>
      </c>
      <c r="V62" s="1414"/>
      <c r="W62" s="763">
        <f t="shared" si="26"/>
        <v>652907.18928864528</v>
      </c>
      <c r="X62" s="761">
        <f t="shared" si="24"/>
        <v>8770.8121991092667</v>
      </c>
      <c r="Y62" s="761">
        <f t="shared" si="27"/>
        <v>7181.9790821750985</v>
      </c>
      <c r="Z62" s="764">
        <f t="shared" si="28"/>
        <v>668859.98056992958</v>
      </c>
      <c r="AA62" s="762"/>
      <c r="AB62" s="776">
        <f t="shared" si="29"/>
        <v>661678.00148775452</v>
      </c>
    </row>
    <row r="63" spans="2:28" x14ac:dyDescent="0.35">
      <c r="B63" s="1411" t="s">
        <v>542</v>
      </c>
      <c r="C63" s="1412"/>
      <c r="D63" s="711">
        <f>'11. Guelph_Continuity Schedule'!BQ13+'11. Guelph_Continuity Schedule'!BQ28</f>
        <v>-2233.1050205033771</v>
      </c>
      <c r="E63" s="756">
        <f>'[4]Lost revenue'!D63/'[4]Lost revenue'!$D$66*'11. Guelph_Continuity Schedule'!$BQ$40</f>
        <v>-47.485555407037758</v>
      </c>
      <c r="F63" s="710">
        <f t="shared" si="25"/>
        <v>-2280.5905759104148</v>
      </c>
      <c r="H63" s="752"/>
      <c r="I63" s="752"/>
      <c r="J63" s="752"/>
      <c r="L63" s="1413" t="s">
        <v>542</v>
      </c>
      <c r="M63" s="1414"/>
      <c r="N63" s="763">
        <f>'[7]Lost revenue'!D63</f>
        <v>-1096.9824283571777</v>
      </c>
      <c r="O63" s="758">
        <f>'[7]Lost revenue'!E63</f>
        <v>-38.85618886896382</v>
      </c>
      <c r="P63" s="764">
        <f>'[7]Lost revenue'!F63</f>
        <v>-1135.8386172261414</v>
      </c>
      <c r="Q63" s="765">
        <f>'[7]Lost revenue'!H63</f>
        <v>-13.081515458159339</v>
      </c>
      <c r="R63" s="763">
        <f>'[7]Lost revenue'!I63</f>
        <v>-1148.9201326843008</v>
      </c>
      <c r="U63" s="1413" t="s">
        <v>542</v>
      </c>
      <c r="V63" s="1414"/>
      <c r="W63" s="763">
        <f t="shared" si="26"/>
        <v>-1136.1225921461994</v>
      </c>
      <c r="X63" s="761">
        <f t="shared" si="24"/>
        <v>4.452148920085401</v>
      </c>
      <c r="Y63" s="761">
        <f t="shared" si="27"/>
        <v>-12.497348513608195</v>
      </c>
      <c r="Z63" s="764">
        <f t="shared" si="28"/>
        <v>-1144.1677917397221</v>
      </c>
      <c r="AA63" s="762"/>
      <c r="AB63" s="776">
        <f t="shared" si="29"/>
        <v>-1131.670443226114</v>
      </c>
    </row>
    <row r="64" spans="2:28" x14ac:dyDescent="0.35">
      <c r="B64" s="1411" t="s">
        <v>41</v>
      </c>
      <c r="C64" s="1412"/>
      <c r="D64" s="711">
        <f>'11. Guelph_Continuity Schedule'!BQ14+'11. Guelph_Continuity Schedule'!BQ29</f>
        <v>0</v>
      </c>
      <c r="E64" s="756">
        <f>'[4]Lost revenue'!D64/'[4]Lost revenue'!$D$66*'11. Guelph_Continuity Schedule'!$BQ$40</f>
        <v>0</v>
      </c>
      <c r="F64" s="710">
        <f t="shared" si="25"/>
        <v>0</v>
      </c>
      <c r="H64" s="752"/>
      <c r="I64" s="752"/>
      <c r="J64" s="752"/>
      <c r="L64" s="1413" t="s">
        <v>41</v>
      </c>
      <c r="M64" s="1414"/>
      <c r="N64" s="763">
        <f>'[7]Lost revenue'!D64</f>
        <v>0</v>
      </c>
      <c r="O64" s="758">
        <f>'[7]Lost revenue'!E64</f>
        <v>0</v>
      </c>
      <c r="P64" s="764">
        <f>'[7]Lost revenue'!F64</f>
        <v>0</v>
      </c>
      <c r="Q64" s="765">
        <f>'[7]Lost revenue'!H64</f>
        <v>0</v>
      </c>
      <c r="R64" s="763">
        <f>'[7]Lost revenue'!I64</f>
        <v>0</v>
      </c>
      <c r="U64" s="1413" t="s">
        <v>41</v>
      </c>
      <c r="V64" s="1414"/>
      <c r="W64" s="763">
        <f t="shared" si="26"/>
        <v>0</v>
      </c>
      <c r="X64" s="761">
        <f t="shared" si="24"/>
        <v>0</v>
      </c>
      <c r="Y64" s="761">
        <f t="shared" si="27"/>
        <v>0</v>
      </c>
      <c r="Z64" s="764">
        <f t="shared" si="28"/>
        <v>0</v>
      </c>
      <c r="AA64" s="762"/>
      <c r="AB64" s="776">
        <f t="shared" si="29"/>
        <v>0</v>
      </c>
    </row>
    <row r="65" spans="2:28" ht="15" thickBot="1" x14ac:dyDescent="0.4">
      <c r="B65" s="1415" t="s">
        <v>42</v>
      </c>
      <c r="C65" s="1416"/>
      <c r="D65" s="766">
        <f>'11. Guelph_Continuity Schedule'!BQ15+'11. Guelph_Continuity Schedule'!BQ30</f>
        <v>0</v>
      </c>
      <c r="E65" s="756">
        <f>'[4]Lost revenue'!D65/'[4]Lost revenue'!$D$66*'11. Guelph_Continuity Schedule'!$BQ$40</f>
        <v>0</v>
      </c>
      <c r="F65" s="717">
        <f t="shared" si="25"/>
        <v>0</v>
      </c>
      <c r="H65" s="752"/>
      <c r="I65" s="752"/>
      <c r="J65" s="752"/>
      <c r="L65" s="1417" t="s">
        <v>42</v>
      </c>
      <c r="M65" s="1418"/>
      <c r="N65" s="767">
        <f>'[7]Lost revenue'!D65</f>
        <v>0</v>
      </c>
      <c r="O65" s="758">
        <f>'[7]Lost revenue'!E65</f>
        <v>0</v>
      </c>
      <c r="P65" s="768">
        <f>'[7]Lost revenue'!F65</f>
        <v>0</v>
      </c>
      <c r="Q65" s="769">
        <f>'[7]Lost revenue'!H65</f>
        <v>0</v>
      </c>
      <c r="R65" s="770">
        <f>'[7]Lost revenue'!I65</f>
        <v>0</v>
      </c>
      <c r="U65" s="1417" t="s">
        <v>42</v>
      </c>
      <c r="V65" s="1418"/>
      <c r="W65" s="767">
        <f t="shared" si="26"/>
        <v>0</v>
      </c>
      <c r="X65" s="761">
        <f t="shared" si="24"/>
        <v>0</v>
      </c>
      <c r="Y65" s="761">
        <f t="shared" si="27"/>
        <v>0</v>
      </c>
      <c r="Z65" s="768">
        <f t="shared" si="28"/>
        <v>0</v>
      </c>
      <c r="AA65" s="762" t="s">
        <v>611</v>
      </c>
      <c r="AB65" s="776">
        <f t="shared" si="29"/>
        <v>0</v>
      </c>
    </row>
    <row r="66" spans="2:28" ht="15" thickBot="1" x14ac:dyDescent="0.4">
      <c r="B66" s="1402" t="s">
        <v>35</v>
      </c>
      <c r="C66" s="1403"/>
      <c r="D66" s="771">
        <f>SUM(D58:D65)</f>
        <v>1556574.8805114846</v>
      </c>
      <c r="E66" s="723">
        <f t="shared" ref="E66" si="30">SUM(E58:E65)</f>
        <v>33057.434632777367</v>
      </c>
      <c r="F66" s="727">
        <f t="shared" si="25"/>
        <v>1589632.315144262</v>
      </c>
      <c r="G66" s="544"/>
      <c r="H66" s="772"/>
      <c r="I66" s="772"/>
      <c r="J66" s="772"/>
      <c r="L66" s="1402" t="s">
        <v>35</v>
      </c>
      <c r="M66" s="1403"/>
      <c r="N66" s="771">
        <f>'[7]Lost revenue'!D66</f>
        <v>288940.88767139864</v>
      </c>
      <c r="O66" s="723">
        <f>'[7]Lost revenue'!E66</f>
        <v>10234.568406113398</v>
      </c>
      <c r="P66" s="727">
        <f>'[7]Lost revenue'!F66</f>
        <v>299175.45607751206</v>
      </c>
      <c r="Q66" s="723">
        <f>'[7]Lost revenue'!H66</f>
        <v>3445.6200854814279</v>
      </c>
      <c r="R66" s="725">
        <f>'[7]Lost revenue'!I66</f>
        <v>302621.07616299344</v>
      </c>
      <c r="U66" s="1402" t="s">
        <v>35</v>
      </c>
      <c r="V66" s="1403"/>
      <c r="W66" s="771">
        <f>SUM(W58:W65)</f>
        <v>1267633.9928400859</v>
      </c>
      <c r="X66" s="725">
        <f>SUM(X58:X65)</f>
        <v>19377.246141182546</v>
      </c>
      <c r="Y66" s="750">
        <f>SUM(Y58:Y65)</f>
        <v>13943.973921240946</v>
      </c>
      <c r="Z66" s="727">
        <f>SUM(Z58:Z65)</f>
        <v>1300955.2129025094</v>
      </c>
      <c r="AA66" s="772">
        <f>X66+Y66</f>
        <v>33321.22006242349</v>
      </c>
    </row>
    <row r="67" spans="2:28" x14ac:dyDescent="0.35">
      <c r="Q67" s="776">
        <f>+O66+Q66</f>
        <v>13680.188491594825</v>
      </c>
      <c r="W67" s="776"/>
      <c r="X67" s="776"/>
    </row>
    <row r="68" spans="2:28" ht="15" thickBot="1" x14ac:dyDescent="0.4">
      <c r="B68" s="773"/>
      <c r="C68" s="773"/>
      <c r="D68" s="774"/>
      <c r="F68" s="775"/>
      <c r="R68" s="776"/>
      <c r="S68" s="776">
        <f>F66-R66</f>
        <v>1287011.2389812686</v>
      </c>
      <c r="U68" s="1336"/>
      <c r="V68" s="1404"/>
      <c r="W68" s="1404"/>
      <c r="X68" s="1404"/>
      <c r="Y68" s="1404"/>
      <c r="Z68" s="1404"/>
    </row>
    <row r="69" spans="2:28" ht="44.15" customHeight="1" thickBot="1" x14ac:dyDescent="0.4">
      <c r="B69" s="1405" t="s">
        <v>794</v>
      </c>
      <c r="C69" s="1406"/>
      <c r="D69" s="777" t="s">
        <v>36</v>
      </c>
      <c r="E69" s="777" t="s">
        <v>37</v>
      </c>
      <c r="F69" s="778" t="s">
        <v>612</v>
      </c>
      <c r="G69" s="544"/>
      <c r="H69" s="779" t="s">
        <v>613</v>
      </c>
      <c r="L69" s="1407" t="s">
        <v>614</v>
      </c>
      <c r="M69" s="1408"/>
      <c r="N69" s="777" t="s">
        <v>36</v>
      </c>
      <c r="O69" s="777" t="s">
        <v>37</v>
      </c>
      <c r="P69" s="778" t="s">
        <v>615</v>
      </c>
      <c r="Q69" s="779" t="s">
        <v>616</v>
      </c>
      <c r="U69" s="1338"/>
      <c r="V69" s="1386"/>
      <c r="W69" s="1409"/>
      <c r="X69" s="1409"/>
      <c r="Y69" s="1409"/>
      <c r="Z69" s="1336"/>
    </row>
    <row r="70" spans="2:28" ht="15.5" x14ac:dyDescent="0.35">
      <c r="B70" s="1400" t="s">
        <v>38</v>
      </c>
      <c r="C70" s="1401"/>
      <c r="D70" s="780">
        <f>+'10. Guelph_CDM Prgs'!BI5</f>
        <v>7892529.1952932347</v>
      </c>
      <c r="E70" s="781">
        <f>'10. Guelph_CDM Prgs'!BI18*12</f>
        <v>24149.364744340735</v>
      </c>
      <c r="F70" s="782">
        <f>+D70*AH5</f>
        <v>138908.51383716095</v>
      </c>
      <c r="G70" s="638"/>
      <c r="H70" s="783">
        <f>F70/12</f>
        <v>11575.70948643008</v>
      </c>
      <c r="L70" s="784" t="s">
        <v>38</v>
      </c>
      <c r="M70" s="785"/>
      <c r="N70" s="690">
        <f>'10. Guelph_CDM Prgs'!AU5</f>
        <v>5376554.1806443371</v>
      </c>
      <c r="O70" s="575">
        <f>('10. Guelph_CDM Prgs'!AU18)*12</f>
        <v>26715.126436275757</v>
      </c>
      <c r="P70" s="782">
        <f t="shared" ref="P70:P77" si="31">N31</f>
        <v>93552.042743211452</v>
      </c>
      <c r="Q70" s="783">
        <f>P70/12</f>
        <v>7796.003561934288</v>
      </c>
      <c r="U70" s="1338"/>
      <c r="V70" s="1386"/>
      <c r="W70" s="1410"/>
      <c r="X70" s="1410"/>
      <c r="Y70" s="1410"/>
      <c r="Z70" s="1336"/>
    </row>
    <row r="71" spans="2:28" s="544" customFormat="1" ht="15.5" x14ac:dyDescent="0.35">
      <c r="B71" s="1391" t="s">
        <v>617</v>
      </c>
      <c r="C71" s="1392"/>
      <c r="D71" s="786">
        <f>+'10. Guelph_CDM Prgs'!BI6</f>
        <v>4137151.980540581</v>
      </c>
      <c r="E71" s="787">
        <f>'10. Guelph_CDM Prgs'!BI19*12</f>
        <v>13186.097710335627</v>
      </c>
      <c r="F71" s="782">
        <f>+D71*AH6</f>
        <v>54196.690945081617</v>
      </c>
      <c r="G71" s="638"/>
      <c r="H71" s="782">
        <f t="shared" ref="H71:H77" si="32">F71/12</f>
        <v>4516.3909120901344</v>
      </c>
      <c r="L71" s="788" t="s">
        <v>617</v>
      </c>
      <c r="M71" s="789"/>
      <c r="N71" s="690">
        <f>'10. Guelph_CDM Prgs'!AU6</f>
        <v>4129449.2382689454</v>
      </c>
      <c r="O71" s="575">
        <f>('10. Guelph_CDM Prgs'!AU19)*12</f>
        <v>10143.973153041647</v>
      </c>
      <c r="P71" s="782">
        <f t="shared" si="31"/>
        <v>53269.895173669393</v>
      </c>
      <c r="Q71" s="782">
        <f t="shared" ref="Q71:Q77" si="33">P71/12</f>
        <v>4439.157931139116</v>
      </c>
      <c r="U71" s="1386"/>
      <c r="V71" s="1386"/>
      <c r="W71" s="762"/>
      <c r="X71" s="762"/>
      <c r="Y71" s="611"/>
      <c r="Z71" s="762"/>
    </row>
    <row r="72" spans="2:28" ht="15.5" x14ac:dyDescent="0.35">
      <c r="B72" s="1391" t="s">
        <v>558</v>
      </c>
      <c r="C72" s="1392"/>
      <c r="D72" s="786">
        <f>+'10. Guelph_CDM Prgs'!BI7</f>
        <v>12988173.761201447</v>
      </c>
      <c r="E72" s="787">
        <f>'10. Guelph_CDM Prgs'!BI20*12</f>
        <v>32542.753385505945</v>
      </c>
      <c r="F72" s="782">
        <f>+E72*AH7</f>
        <v>83696.707432182753</v>
      </c>
      <c r="G72" s="638"/>
      <c r="H72" s="782">
        <f t="shared" si="32"/>
        <v>6974.7256193485628</v>
      </c>
      <c r="L72" s="788" t="s">
        <v>558</v>
      </c>
      <c r="M72" s="789"/>
      <c r="N72" s="690">
        <f>'10. Guelph_CDM Prgs'!AU7</f>
        <v>11352328.411947576</v>
      </c>
      <c r="O72" s="575">
        <f>('10. Guelph_CDM Prgs'!AU20)*12</f>
        <v>31354.375044542263</v>
      </c>
      <c r="P72" s="782">
        <f t="shared" si="31"/>
        <v>79605.622800588346</v>
      </c>
      <c r="Q72" s="782">
        <f t="shared" si="33"/>
        <v>6633.8019000490285</v>
      </c>
      <c r="U72" s="1386"/>
      <c r="V72" s="1386"/>
      <c r="W72" s="762"/>
      <c r="X72" s="762"/>
      <c r="Y72" s="611"/>
      <c r="Z72" s="762"/>
    </row>
    <row r="73" spans="2:28" ht="15.5" x14ac:dyDescent="0.35">
      <c r="B73" s="1399" t="s">
        <v>559</v>
      </c>
      <c r="C73" s="1392"/>
      <c r="D73" s="786">
        <f>+'10. Guelph_CDM Prgs'!BI8</f>
        <v>17484951.705532901</v>
      </c>
      <c r="E73" s="787">
        <f>'10. Guelph_CDM Prgs'!BI21*12</f>
        <v>40940.106980109602</v>
      </c>
      <c r="F73" s="782">
        <f>+E73*AH8</f>
        <v>140793.02790459694</v>
      </c>
      <c r="G73" s="638"/>
      <c r="H73" s="782">
        <f t="shared" si="32"/>
        <v>11732.752325383079</v>
      </c>
      <c r="L73" s="790" t="s">
        <v>559</v>
      </c>
      <c r="M73" s="791"/>
      <c r="N73" s="690">
        <f>'10. Guelph_CDM Prgs'!AU8</f>
        <v>10588565.275898661</v>
      </c>
      <c r="O73" s="575">
        <f>('10. Guelph_CDM Prgs'!AU21)*12</f>
        <v>20214.862767649545</v>
      </c>
      <c r="P73" s="782">
        <f t="shared" si="31"/>
        <v>68625.416123616684</v>
      </c>
      <c r="Q73" s="782">
        <f t="shared" si="33"/>
        <v>5718.7846769680573</v>
      </c>
      <c r="U73" s="1386"/>
      <c r="V73" s="1386"/>
      <c r="W73" s="762"/>
      <c r="X73" s="762"/>
      <c r="Y73" s="611"/>
      <c r="Z73" s="762"/>
    </row>
    <row r="74" spans="2:28" ht="15.5" x14ac:dyDescent="0.35">
      <c r="B74" s="1391" t="s">
        <v>508</v>
      </c>
      <c r="C74" s="1392"/>
      <c r="D74" s="786">
        <f>+'10. Guelph_CDM Prgs'!BI9</f>
        <v>63065566.692587495</v>
      </c>
      <c r="E74" s="787">
        <f>'10. Guelph_CDM Prgs'!BI22*12</f>
        <v>151507.98403872096</v>
      </c>
      <c r="F74" s="782">
        <f>+E74*AH9</f>
        <v>356452.83404789877</v>
      </c>
      <c r="G74" s="638"/>
      <c r="H74" s="782">
        <f t="shared" si="32"/>
        <v>29704.402837324898</v>
      </c>
      <c r="L74" s="788" t="s">
        <v>508</v>
      </c>
      <c r="M74" s="789"/>
      <c r="N74" s="690">
        <f>'10. Guelph_CDM Prgs'!AU9</f>
        <v>18372272.481245432</v>
      </c>
      <c r="O74" s="575">
        <f>('10. Guelph_CDM Prgs'!AU22)*12</f>
        <v>93085.656653788858</v>
      </c>
      <c r="P74" s="782">
        <f t="shared" si="31"/>
        <v>216191.43757842464</v>
      </c>
      <c r="Q74" s="782">
        <f t="shared" si="33"/>
        <v>18015.953131535385</v>
      </c>
      <c r="U74" s="1386"/>
      <c r="V74" s="1386"/>
      <c r="W74" s="762"/>
      <c r="X74" s="762"/>
      <c r="Y74" s="611"/>
      <c r="Z74" s="762"/>
    </row>
    <row r="75" spans="2:28" ht="15.5" x14ac:dyDescent="0.35">
      <c r="B75" s="1391" t="s">
        <v>43</v>
      </c>
      <c r="C75" s="1392"/>
      <c r="D75" s="786">
        <f>'10. Guelph_CDM Prgs'!BI10</f>
        <v>0</v>
      </c>
      <c r="E75" s="787">
        <f>'10. Guelph_CDM Prgs'!BI23</f>
        <v>0</v>
      </c>
      <c r="F75" s="782">
        <f t="shared" ref="F75" si="34">+D75*AH10</f>
        <v>0</v>
      </c>
      <c r="G75" s="638"/>
      <c r="H75" s="782">
        <f t="shared" si="32"/>
        <v>0</v>
      </c>
      <c r="L75" s="788" t="s">
        <v>43</v>
      </c>
      <c r="M75" s="789"/>
      <c r="N75" s="690">
        <f>'10. Guelph_CDM Prgs'!AU10</f>
        <v>0</v>
      </c>
      <c r="O75" s="575">
        <f>('10. Guelph_CDM Prgs'!AU23)*12</f>
        <v>0</v>
      </c>
      <c r="P75" s="782">
        <f t="shared" si="31"/>
        <v>0</v>
      </c>
      <c r="Q75" s="782">
        <f t="shared" si="33"/>
        <v>0</v>
      </c>
      <c r="U75" s="1386"/>
      <c r="V75" s="1386"/>
      <c r="W75" s="762"/>
      <c r="X75" s="762"/>
      <c r="Y75" s="611"/>
      <c r="Z75" s="762"/>
    </row>
    <row r="76" spans="2:28" ht="15.5" x14ac:dyDescent="0.35">
      <c r="B76" s="1391" t="s">
        <v>41</v>
      </c>
      <c r="C76" s="1392"/>
      <c r="D76" s="786">
        <f>'10. Guelph_CDM Prgs'!BI11</f>
        <v>0</v>
      </c>
      <c r="E76" s="787">
        <f>'10. Guelph_CDM Prgs'!BI24</f>
        <v>0</v>
      </c>
      <c r="F76" s="782">
        <f>+E76*AH11</f>
        <v>0</v>
      </c>
      <c r="G76" s="638"/>
      <c r="H76" s="782">
        <f t="shared" si="32"/>
        <v>0</v>
      </c>
      <c r="L76" s="788" t="s">
        <v>41</v>
      </c>
      <c r="M76" s="789"/>
      <c r="N76" s="690">
        <f>'10. Guelph_CDM Prgs'!AU11</f>
        <v>0</v>
      </c>
      <c r="O76" s="575">
        <f>('10. Guelph_CDM Prgs'!AU24)*12</f>
        <v>0</v>
      </c>
      <c r="P76" s="782">
        <f t="shared" si="31"/>
        <v>0</v>
      </c>
      <c r="Q76" s="782">
        <f t="shared" si="33"/>
        <v>0</v>
      </c>
      <c r="U76" s="1386"/>
      <c r="V76" s="1386"/>
      <c r="W76" s="762"/>
      <c r="X76" s="762"/>
      <c r="Y76" s="611"/>
      <c r="Z76" s="762"/>
    </row>
    <row r="77" spans="2:28" ht="16" thickBot="1" x14ac:dyDescent="0.4">
      <c r="B77" s="1391" t="s">
        <v>42</v>
      </c>
      <c r="C77" s="1392"/>
      <c r="D77" s="792">
        <f>'10. Guelph_CDM Prgs'!BI12</f>
        <v>0</v>
      </c>
      <c r="E77" s="793">
        <f>'10. Guelph_CDM Prgs'!BI25</f>
        <v>0</v>
      </c>
      <c r="F77" s="782">
        <f>+E77*AH12</f>
        <v>0</v>
      </c>
      <c r="G77" s="638"/>
      <c r="H77" s="794">
        <f t="shared" si="32"/>
        <v>0</v>
      </c>
      <c r="L77" s="1393" t="s">
        <v>42</v>
      </c>
      <c r="M77" s="1394"/>
      <c r="N77" s="693">
        <f>'10. Guelph_CDM Prgs'!AU12</f>
        <v>0</v>
      </c>
      <c r="O77" s="578">
        <f>('10. Guelph_CDM Prgs'!AU25)*12</f>
        <v>0</v>
      </c>
      <c r="P77" s="782">
        <f t="shared" si="31"/>
        <v>0</v>
      </c>
      <c r="Q77" s="794">
        <f t="shared" si="33"/>
        <v>0</v>
      </c>
      <c r="U77" s="1386"/>
      <c r="V77" s="1386"/>
      <c r="W77" s="762"/>
      <c r="X77" s="762"/>
      <c r="Y77" s="611"/>
      <c r="Z77" s="762"/>
    </row>
    <row r="78" spans="2:28" ht="16" thickBot="1" x14ac:dyDescent="0.4">
      <c r="B78" s="1395" t="s">
        <v>35</v>
      </c>
      <c r="C78" s="1396"/>
      <c r="D78" s="795">
        <f>SUM(D70:D77)</f>
        <v>105568373.33515567</v>
      </c>
      <c r="E78" s="795">
        <f t="shared" ref="E78:H78" si="35">SUM(E70:E77)</f>
        <v>262326.30685901287</v>
      </c>
      <c r="F78" s="796">
        <f t="shared" si="35"/>
        <v>774047.77416692104</v>
      </c>
      <c r="G78" s="638"/>
      <c r="H78" s="797">
        <f t="shared" si="35"/>
        <v>64503.981180576753</v>
      </c>
      <c r="L78" s="1397" t="s">
        <v>35</v>
      </c>
      <c r="M78" s="1398"/>
      <c r="N78" s="698">
        <f>SUM(N70:N77)</f>
        <v>49819169.588004954</v>
      </c>
      <c r="O78" s="699">
        <f>SUM(O70:O77)</f>
        <v>181513.9940552981</v>
      </c>
      <c r="P78" s="796">
        <f t="shared" ref="P78:Q78" si="36">SUM(P70:P77)</f>
        <v>511244.41441951052</v>
      </c>
      <c r="Q78" s="797">
        <f t="shared" si="36"/>
        <v>42603.701201625874</v>
      </c>
      <c r="U78" s="1386"/>
      <c r="V78" s="1386"/>
      <c r="W78" s="762"/>
      <c r="X78" s="762"/>
      <c r="Y78" s="611"/>
      <c r="Z78" s="762"/>
    </row>
    <row r="79" spans="2:28" x14ac:dyDescent="0.35">
      <c r="U79" s="1388"/>
      <c r="V79" s="1388"/>
      <c r="W79" s="772"/>
      <c r="X79" s="772"/>
      <c r="Y79" s="772"/>
      <c r="Z79" s="772"/>
    </row>
    <row r="81" spans="2:14" ht="15.5" x14ac:dyDescent="0.35">
      <c r="B81" s="1389"/>
      <c r="C81" s="1334"/>
      <c r="D81" s="798"/>
      <c r="E81" s="798"/>
      <c r="F81" s="656"/>
      <c r="G81" s="568"/>
      <c r="H81" s="799"/>
    </row>
    <row r="82" spans="2:14" ht="15.5" x14ac:dyDescent="0.35">
      <c r="B82" s="1384"/>
      <c r="C82" s="1385"/>
      <c r="D82" s="800"/>
      <c r="E82" s="800"/>
      <c r="F82" s="666"/>
      <c r="G82" s="611"/>
      <c r="H82" s="666"/>
    </row>
    <row r="83" spans="2:14" ht="15.5" x14ac:dyDescent="0.35">
      <c r="B83" s="1384"/>
      <c r="C83" s="1385"/>
      <c r="D83" s="800"/>
      <c r="E83" s="800"/>
      <c r="F83" s="666"/>
      <c r="G83" s="611"/>
      <c r="H83" s="666"/>
    </row>
    <row r="84" spans="2:14" ht="15.5" x14ac:dyDescent="0.35">
      <c r="B84" s="1384"/>
      <c r="C84" s="1385"/>
      <c r="D84" s="800"/>
      <c r="E84" s="800"/>
      <c r="F84" s="666"/>
      <c r="G84" s="611"/>
      <c r="H84" s="666"/>
    </row>
    <row r="85" spans="2:14" ht="15.5" x14ac:dyDescent="0.35">
      <c r="B85" s="1390"/>
      <c r="C85" s="1385"/>
      <c r="D85" s="800"/>
      <c r="E85" s="800"/>
      <c r="F85" s="666"/>
      <c r="G85" s="611"/>
      <c r="H85" s="666"/>
    </row>
    <row r="86" spans="2:14" ht="15.5" x14ac:dyDescent="0.35">
      <c r="B86" s="1384"/>
      <c r="C86" s="1385"/>
      <c r="D86" s="800"/>
      <c r="E86" s="800"/>
      <c r="F86" s="666"/>
      <c r="G86" s="611"/>
      <c r="H86" s="666"/>
    </row>
    <row r="87" spans="2:14" ht="15.5" x14ac:dyDescent="0.35">
      <c r="B87" s="1384"/>
      <c r="C87" s="1385"/>
      <c r="D87" s="800"/>
      <c r="E87" s="800"/>
      <c r="F87" s="666"/>
      <c r="G87" s="611"/>
      <c r="H87" s="666"/>
    </row>
    <row r="88" spans="2:14" ht="15.5" x14ac:dyDescent="0.35">
      <c r="B88" s="1384"/>
      <c r="C88" s="1385"/>
      <c r="D88" s="800"/>
      <c r="E88" s="800"/>
      <c r="F88" s="666"/>
      <c r="G88" s="611"/>
      <c r="H88" s="666"/>
    </row>
    <row r="89" spans="2:14" ht="15.5" x14ac:dyDescent="0.35">
      <c r="B89" s="1384"/>
      <c r="C89" s="1385"/>
      <c r="D89" s="800"/>
      <c r="E89" s="800"/>
      <c r="F89" s="666"/>
      <c r="G89" s="611"/>
      <c r="H89" s="666"/>
    </row>
    <row r="90" spans="2:14" ht="15.5" x14ac:dyDescent="0.35">
      <c r="B90" s="1384"/>
      <c r="C90" s="1386"/>
      <c r="D90" s="800"/>
      <c r="E90" s="800"/>
      <c r="F90" s="666"/>
      <c r="G90" s="611"/>
      <c r="H90" s="666"/>
    </row>
    <row r="91" spans="2:14" ht="15.5" x14ac:dyDescent="0.35">
      <c r="B91" s="1387"/>
      <c r="C91" s="1385"/>
      <c r="D91" s="801"/>
      <c r="E91" s="801"/>
      <c r="F91" s="649"/>
      <c r="G91" s="611"/>
      <c r="H91" s="649"/>
    </row>
    <row r="93" spans="2:14" x14ac:dyDescent="0.35">
      <c r="N93" s="802"/>
    </row>
    <row r="94" spans="2:14" x14ac:dyDescent="0.35">
      <c r="N94" s="803"/>
    </row>
    <row r="95" spans="2:14" x14ac:dyDescent="0.35">
      <c r="N95" s="802"/>
    </row>
    <row r="96" spans="2:14" x14ac:dyDescent="0.35">
      <c r="N96" s="802"/>
    </row>
    <row r="97" spans="14:14" x14ac:dyDescent="0.35">
      <c r="N97" s="802"/>
    </row>
    <row r="98" spans="14:14" x14ac:dyDescent="0.35">
      <c r="N98" s="802"/>
    </row>
    <row r="99" spans="14:14" x14ac:dyDescent="0.35">
      <c r="N99" s="802"/>
    </row>
    <row r="100" spans="14:14" x14ac:dyDescent="0.35">
      <c r="N100" s="802"/>
    </row>
  </sheetData>
  <mergeCells count="147">
    <mergeCell ref="B2:AH2"/>
    <mergeCell ref="B3:B4"/>
    <mergeCell ref="C3:C4"/>
    <mergeCell ref="D3:F3"/>
    <mergeCell ref="H3:J3"/>
    <mergeCell ref="L3:N3"/>
    <mergeCell ref="P3:S3"/>
    <mergeCell ref="U3:V3"/>
    <mergeCell ref="X3:Z3"/>
    <mergeCell ref="AB3:AD3"/>
    <mergeCell ref="AF3:AH3"/>
    <mergeCell ref="AJ3:AJ4"/>
    <mergeCell ref="AK3:AK4"/>
    <mergeCell ref="AM3:AN3"/>
    <mergeCell ref="B15:B16"/>
    <mergeCell ref="C15:D16"/>
    <mergeCell ref="E15:F16"/>
    <mergeCell ref="H15:I16"/>
    <mergeCell ref="P15:Q16"/>
    <mergeCell ref="N29:N30"/>
    <mergeCell ref="P29:P30"/>
    <mergeCell ref="B34:C34"/>
    <mergeCell ref="B35:C35"/>
    <mergeCell ref="B36:C36"/>
    <mergeCell ref="B37:C37"/>
    <mergeCell ref="J29:J30"/>
    <mergeCell ref="L29:L30"/>
    <mergeCell ref="M29:M30"/>
    <mergeCell ref="B38:C38"/>
    <mergeCell ref="B39:C39"/>
    <mergeCell ref="B31:C31"/>
    <mergeCell ref="B29:C30"/>
    <mergeCell ref="D29:D30"/>
    <mergeCell ref="E29:E30"/>
    <mergeCell ref="F29:F30"/>
    <mergeCell ref="H29:H30"/>
    <mergeCell ref="I29:I30"/>
    <mergeCell ref="B32:C32"/>
    <mergeCell ref="B33:C33"/>
    <mergeCell ref="B41:N41"/>
    <mergeCell ref="B42:C43"/>
    <mergeCell ref="D42:D43"/>
    <mergeCell ref="E42:E43"/>
    <mergeCell ref="F42:F43"/>
    <mergeCell ref="H42:H43"/>
    <mergeCell ref="I42:I43"/>
    <mergeCell ref="J42:J43"/>
    <mergeCell ref="B48:C48"/>
    <mergeCell ref="B49:C49"/>
    <mergeCell ref="B50:C50"/>
    <mergeCell ref="B51:C51"/>
    <mergeCell ref="B52:C52"/>
    <mergeCell ref="U54:Z54"/>
    <mergeCell ref="M42:M43"/>
    <mergeCell ref="N42:N43"/>
    <mergeCell ref="B44:C44"/>
    <mergeCell ref="B45:C45"/>
    <mergeCell ref="B46:C46"/>
    <mergeCell ref="B47:C47"/>
    <mergeCell ref="B55:F55"/>
    <mergeCell ref="H55:H57"/>
    <mergeCell ref="I55:I57"/>
    <mergeCell ref="L55:R55"/>
    <mergeCell ref="U55:Z55"/>
    <mergeCell ref="AA55:AA57"/>
    <mergeCell ref="B56:C57"/>
    <mergeCell ref="D56:D57"/>
    <mergeCell ref="E56:E57"/>
    <mergeCell ref="F56:F57"/>
    <mergeCell ref="R56:R57"/>
    <mergeCell ref="U56:V57"/>
    <mergeCell ref="W56:W57"/>
    <mergeCell ref="X56:X57"/>
    <mergeCell ref="Y56:Y57"/>
    <mergeCell ref="Z56:Z57"/>
    <mergeCell ref="J56:J57"/>
    <mergeCell ref="L56:M57"/>
    <mergeCell ref="N56:N57"/>
    <mergeCell ref="O56:O57"/>
    <mergeCell ref="P56:P57"/>
    <mergeCell ref="Q56:Q57"/>
    <mergeCell ref="B60:C60"/>
    <mergeCell ref="L60:M60"/>
    <mergeCell ref="U60:V60"/>
    <mergeCell ref="B61:C61"/>
    <mergeCell ref="L61:M61"/>
    <mergeCell ref="U61:V61"/>
    <mergeCell ref="B58:C58"/>
    <mergeCell ref="L58:M58"/>
    <mergeCell ref="U58:V58"/>
    <mergeCell ref="B59:C59"/>
    <mergeCell ref="L59:M59"/>
    <mergeCell ref="U59:V59"/>
    <mergeCell ref="B64:C64"/>
    <mergeCell ref="L64:M64"/>
    <mergeCell ref="U64:V64"/>
    <mergeCell ref="B65:C65"/>
    <mergeCell ref="L65:M65"/>
    <mergeCell ref="U65:V65"/>
    <mergeCell ref="B62:C62"/>
    <mergeCell ref="L62:M62"/>
    <mergeCell ref="U62:V62"/>
    <mergeCell ref="B63:C63"/>
    <mergeCell ref="L63:M63"/>
    <mergeCell ref="U63:V63"/>
    <mergeCell ref="Z69:Z70"/>
    <mergeCell ref="B70:C70"/>
    <mergeCell ref="B71:C71"/>
    <mergeCell ref="U71:V71"/>
    <mergeCell ref="B72:C72"/>
    <mergeCell ref="U72:V72"/>
    <mergeCell ref="B66:C66"/>
    <mergeCell ref="L66:M66"/>
    <mergeCell ref="U66:V66"/>
    <mergeCell ref="U68:Z68"/>
    <mergeCell ref="B69:C69"/>
    <mergeCell ref="L69:M69"/>
    <mergeCell ref="U69:V70"/>
    <mergeCell ref="W69:W70"/>
    <mergeCell ref="X69:X70"/>
    <mergeCell ref="Y69:Y70"/>
    <mergeCell ref="B76:C76"/>
    <mergeCell ref="U76:V76"/>
    <mergeCell ref="B77:C77"/>
    <mergeCell ref="L77:M77"/>
    <mergeCell ref="U77:V77"/>
    <mergeCell ref="B78:C78"/>
    <mergeCell ref="L78:M78"/>
    <mergeCell ref="U78:V78"/>
    <mergeCell ref="B73:C73"/>
    <mergeCell ref="U73:V73"/>
    <mergeCell ref="B74:C74"/>
    <mergeCell ref="U74:V74"/>
    <mergeCell ref="B75:C75"/>
    <mergeCell ref="U75:V75"/>
    <mergeCell ref="B86:C86"/>
    <mergeCell ref="B87:C87"/>
    <mergeCell ref="B88:C88"/>
    <mergeCell ref="B89:C89"/>
    <mergeCell ref="B90:C90"/>
    <mergeCell ref="B91:C91"/>
    <mergeCell ref="U79:V79"/>
    <mergeCell ref="B81:C81"/>
    <mergeCell ref="B82:C82"/>
    <mergeCell ref="B83:C83"/>
    <mergeCell ref="B84:C84"/>
    <mergeCell ref="B85:C85"/>
  </mergeCells>
  <pageMargins left="0.70866141732283472" right="0.70866141732283472" top="0.74803149606299213" bottom="0.74803149606299213" header="0.31496062992125984" footer="0.31496062992125984"/>
  <pageSetup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135"/>
  <sheetViews>
    <sheetView topLeftCell="AJ16" zoomScale="85" zoomScaleNormal="85" workbookViewId="0">
      <selection activeCell="AO26" sqref="AO26"/>
    </sheetView>
  </sheetViews>
  <sheetFormatPr defaultRowHeight="14.5" x14ac:dyDescent="0.35"/>
  <cols>
    <col min="1" max="1" width="37.81640625" customWidth="1"/>
    <col min="2" max="9" width="11.7265625" customWidth="1"/>
    <col min="10" max="10" width="1.7265625" style="805" customWidth="1"/>
    <col min="11" max="21" width="11.7265625" customWidth="1"/>
    <col min="22" max="22" width="1.7265625" customWidth="1"/>
    <col min="23" max="34" width="11.7265625" customWidth="1"/>
    <col min="35" max="35" width="1.7265625" customWidth="1"/>
    <col min="36" max="36" width="11.7265625" customWidth="1"/>
    <col min="37" max="37" width="12.54296875" bestFit="1" customWidth="1"/>
    <col min="38" max="47" width="11.7265625" customWidth="1"/>
    <col min="48" max="48" width="1.7265625" customWidth="1"/>
    <col min="49" max="61" width="11.7265625" customWidth="1"/>
  </cols>
  <sheetData>
    <row r="1" spans="1:63" x14ac:dyDescent="0.35">
      <c r="A1" s="804" t="str">
        <f ca="1">CELL("filename")</f>
        <v>\\qghas400\shared\Rate Submissions\2017\Interrogatories\Guelph Responses to IRs\LRAMVA Fourth IR\[Updated_Guelph LRAM Summary_20161018_V2.xlsx]IRR 3 a</v>
      </c>
    </row>
    <row r="2" spans="1:63" x14ac:dyDescent="0.35">
      <c r="A2" s="804"/>
    </row>
    <row r="3" spans="1:63" ht="15.75" customHeight="1" thickBot="1" x14ac:dyDescent="0.4">
      <c r="A3" s="1369" t="s">
        <v>618</v>
      </c>
      <c r="B3" s="1369"/>
      <c r="C3" s="1369"/>
      <c r="D3" s="1369"/>
      <c r="E3" s="1369"/>
      <c r="F3" s="1369"/>
      <c r="G3" s="1369"/>
      <c r="H3" s="1369"/>
      <c r="I3" s="806"/>
      <c r="J3" s="445"/>
      <c r="K3" s="1494" t="s">
        <v>619</v>
      </c>
      <c r="L3" s="1494"/>
      <c r="M3" s="1494"/>
      <c r="N3" s="1494"/>
      <c r="O3" s="1494"/>
      <c r="P3" s="1494"/>
      <c r="Q3" s="1494"/>
      <c r="R3" s="1494"/>
      <c r="S3" s="1494"/>
      <c r="T3" s="1494"/>
      <c r="U3" s="1494"/>
      <c r="W3" s="1494" t="s">
        <v>620</v>
      </c>
      <c r="X3" s="1494"/>
      <c r="Y3" s="1494"/>
      <c r="Z3" s="1494"/>
      <c r="AA3" s="1494"/>
      <c r="AB3" s="1494"/>
      <c r="AC3" s="1494"/>
      <c r="AD3" s="1494"/>
      <c r="AE3" s="1494"/>
      <c r="AF3" s="1494"/>
      <c r="AG3" s="1494"/>
      <c r="AH3" s="1494"/>
      <c r="AJ3" s="1495" t="s">
        <v>621</v>
      </c>
      <c r="AK3" s="1495"/>
      <c r="AL3" s="1495"/>
      <c r="AM3" s="1495"/>
      <c r="AN3" s="1495"/>
      <c r="AO3" s="1495"/>
      <c r="AP3" s="1495"/>
      <c r="AQ3" s="1495"/>
      <c r="AR3" s="1495"/>
      <c r="AS3" s="1495"/>
      <c r="AT3" s="1495"/>
      <c r="AU3" s="1495"/>
      <c r="AW3" s="1494" t="s">
        <v>763</v>
      </c>
      <c r="AX3" s="1494"/>
      <c r="AY3" s="1494"/>
      <c r="AZ3" s="1494"/>
      <c r="BA3" s="1494"/>
      <c r="BB3" s="1494"/>
      <c r="BC3" s="1494"/>
      <c r="BD3" s="1494"/>
      <c r="BE3" s="1494"/>
      <c r="BF3" s="1494"/>
      <c r="BG3" s="1494"/>
      <c r="BH3" s="1494"/>
      <c r="BI3" s="1494"/>
      <c r="BK3" s="805"/>
    </row>
    <row r="4" spans="1:63" ht="78.5" thickBot="1" x14ac:dyDescent="0.4">
      <c r="A4" s="807" t="str">
        <f>[10]ByRateGroupCalc!L18</f>
        <v>RATE CODE</v>
      </c>
      <c r="B4" s="808" t="str">
        <f>[10]ByRateGroupCalc!N18</f>
        <v>Residential Program Total</v>
      </c>
      <c r="C4" s="808" t="str">
        <f>[10]ByRateGroupCalc!O18</f>
        <v>Commercial &amp; Institutional Program Total</v>
      </c>
      <c r="D4" s="808" t="str">
        <f>[10]ByRateGroupCalc!P18</f>
        <v>Industrial Program Total</v>
      </c>
      <c r="E4" s="808" t="str">
        <f>[10]ByRateGroupCalc!Q18</f>
        <v>Home Assistance Program Total</v>
      </c>
      <c r="F4" s="808" t="str">
        <f>[10]ByRateGroupCalc!R18</f>
        <v>Pre-2011 Programs completed in 2011 Total</v>
      </c>
      <c r="G4" s="808" t="str">
        <f>[10]ByRateGroupCalc!S18</f>
        <v>Total</v>
      </c>
      <c r="H4" s="808" t="s">
        <v>622</v>
      </c>
      <c r="I4" s="808" t="s">
        <v>623</v>
      </c>
      <c r="J4" s="809"/>
      <c r="K4" s="808" t="str">
        <f>[10]ByRateGroupCalc!U18</f>
        <v>Residential Program Total</v>
      </c>
      <c r="L4" s="808" t="str">
        <f>[10]ByRateGroupCalc!V18</f>
        <v>Commercial &amp; Institutional Program Total</v>
      </c>
      <c r="M4" s="808" t="str">
        <f>[10]ByRateGroupCalc!W18</f>
        <v>Industrial Program Total</v>
      </c>
      <c r="N4" s="808" t="str">
        <f>[10]ByRateGroupCalc!X18</f>
        <v>Home Assistance Program Total</v>
      </c>
      <c r="O4" s="808" t="str">
        <f>[10]ByRateGroupCalc!Y18</f>
        <v>Pre-2011 Programs completed in 2011 Total</v>
      </c>
      <c r="P4" s="808" t="s">
        <v>624</v>
      </c>
      <c r="Q4" s="808" t="s">
        <v>625</v>
      </c>
      <c r="R4" s="808" t="s">
        <v>626</v>
      </c>
      <c r="S4" s="808" t="s">
        <v>627</v>
      </c>
      <c r="T4" s="808" t="s">
        <v>628</v>
      </c>
      <c r="U4" s="808" t="str">
        <f>[10]ByRateGroupCalc!Z18</f>
        <v>Total</v>
      </c>
      <c r="W4" s="808" t="str">
        <f t="shared" ref="W4:Z4" si="0">K4</f>
        <v>Residential Program Total</v>
      </c>
      <c r="X4" s="808" t="str">
        <f t="shared" si="0"/>
        <v>Commercial &amp; Institutional Program Total</v>
      </c>
      <c r="Y4" s="808" t="str">
        <f t="shared" si="0"/>
        <v>Industrial Program Total</v>
      </c>
      <c r="Z4" s="808" t="str">
        <f t="shared" si="0"/>
        <v>Home Assistance Program Total</v>
      </c>
      <c r="AA4" s="808" t="s">
        <v>629</v>
      </c>
      <c r="AB4" s="808" t="s">
        <v>624</v>
      </c>
      <c r="AC4" s="808" t="s">
        <v>625</v>
      </c>
      <c r="AD4" s="808" t="s">
        <v>630</v>
      </c>
      <c r="AE4" s="808" t="s">
        <v>627</v>
      </c>
      <c r="AF4" s="808" t="s">
        <v>631</v>
      </c>
      <c r="AG4" s="808" t="s">
        <v>632</v>
      </c>
      <c r="AH4" s="808" t="str">
        <f>U4</f>
        <v>Total</v>
      </c>
      <c r="AJ4" s="808" t="str">
        <f t="shared" ref="AJ4:AM4" si="1">W4</f>
        <v>Residential Program Total</v>
      </c>
      <c r="AK4" s="808" t="str">
        <f t="shared" si="1"/>
        <v>Commercial &amp; Institutional Program Total</v>
      </c>
      <c r="AL4" s="808" t="str">
        <f t="shared" si="1"/>
        <v>Industrial Program Total</v>
      </c>
      <c r="AM4" s="808" t="str">
        <f t="shared" si="1"/>
        <v>Home Assistance Program Total</v>
      </c>
      <c r="AN4" s="808" t="s">
        <v>624</v>
      </c>
      <c r="AO4" s="808" t="s">
        <v>625</v>
      </c>
      <c r="AP4" s="808" t="s">
        <v>633</v>
      </c>
      <c r="AQ4" s="808" t="s">
        <v>627</v>
      </c>
      <c r="AR4" s="808" t="s">
        <v>634</v>
      </c>
      <c r="AS4" s="808" t="s">
        <v>635</v>
      </c>
      <c r="AT4" s="808" t="s">
        <v>636</v>
      </c>
      <c r="AU4" s="808" t="str">
        <f>AH4</f>
        <v>Total</v>
      </c>
      <c r="AW4" s="808" t="s">
        <v>764</v>
      </c>
      <c r="AX4" s="808" t="s">
        <v>765</v>
      </c>
      <c r="AY4" s="808" t="s">
        <v>766</v>
      </c>
      <c r="AZ4" s="808" t="s">
        <v>767</v>
      </c>
      <c r="BA4" s="808" t="s">
        <v>768</v>
      </c>
      <c r="BB4" s="808"/>
      <c r="BC4" s="808" t="s">
        <v>637</v>
      </c>
      <c r="BD4" s="808" t="s">
        <v>627</v>
      </c>
      <c r="BE4" s="808" t="s">
        <v>638</v>
      </c>
      <c r="BF4" s="808" t="s">
        <v>639</v>
      </c>
      <c r="BG4" s="808" t="s">
        <v>640</v>
      </c>
      <c r="BH4" s="808" t="s">
        <v>641</v>
      </c>
      <c r="BI4" s="808" t="str">
        <f>AU4</f>
        <v>Total</v>
      </c>
      <c r="BK4" s="805"/>
    </row>
    <row r="5" spans="1:63" x14ac:dyDescent="0.35">
      <c r="A5" s="810" t="s">
        <v>38</v>
      </c>
      <c r="B5" s="811">
        <f>[10]ByRateGroupCalc!N19</f>
        <v>1613390</v>
      </c>
      <c r="C5" s="811"/>
      <c r="D5" s="811"/>
      <c r="E5" s="811"/>
      <c r="F5" s="811"/>
      <c r="G5" s="812">
        <f>[10]ByRateGroupCalc!S19</f>
        <v>1613390</v>
      </c>
      <c r="H5" s="813">
        <f>G5/G$13</f>
        <v>0.11199304075623745</v>
      </c>
      <c r="I5" s="813">
        <v>0</v>
      </c>
      <c r="J5" s="814"/>
      <c r="K5" s="811">
        <v>876212</v>
      </c>
      <c r="L5" s="811"/>
      <c r="M5" s="811"/>
      <c r="N5" s="811">
        <v>0</v>
      </c>
      <c r="O5" s="811"/>
      <c r="P5" s="811"/>
      <c r="Q5" s="811"/>
      <c r="R5" s="815">
        <f>SUM(K5:Q5)</f>
        <v>876212</v>
      </c>
      <c r="S5" s="813">
        <f>R5/R$13</f>
        <v>9.7915714159911391E-2</v>
      </c>
      <c r="T5" s="811">
        <f>G5*$T$14</f>
        <v>1612046.0683048728</v>
      </c>
      <c r="U5" s="812">
        <f>R5+T5</f>
        <v>2488258.0683048731</v>
      </c>
      <c r="W5" s="816">
        <v>835414.45600000001</v>
      </c>
      <c r="X5" s="816"/>
      <c r="Y5" s="811"/>
      <c r="Z5" s="811">
        <v>0</v>
      </c>
      <c r="AA5" s="811"/>
      <c r="AB5" s="811"/>
      <c r="AC5" s="811"/>
      <c r="AD5" s="815">
        <f>SUM(W5:AC5)</f>
        <v>835414.45600000001</v>
      </c>
      <c r="AE5" s="813">
        <f>AD5/AD$13</f>
        <v>0.1031143825926291</v>
      </c>
      <c r="AF5" s="811">
        <f>$G5*$AF$14</f>
        <v>1610702.1366097459</v>
      </c>
      <c r="AG5" s="811">
        <f>$R5*$AG$14</f>
        <v>872589.266286736</v>
      </c>
      <c r="AH5" s="812">
        <f>AD5+SUM(AF5:AG5)</f>
        <v>3318705.8588964818</v>
      </c>
      <c r="AJ5" s="811">
        <v>2137653.253</v>
      </c>
      <c r="AK5" s="811"/>
      <c r="AL5" s="811"/>
      <c r="AM5" s="811">
        <v>20414.023000000001</v>
      </c>
      <c r="AN5" s="811">
        <v>0</v>
      </c>
      <c r="AO5" s="817">
        <v>-61605.475690551357</v>
      </c>
      <c r="AP5" s="815">
        <f>SUM(AJ5:AO5)</f>
        <v>2096461.8003094487</v>
      </c>
      <c r="AQ5" s="813">
        <f>AP5/$AP$13</f>
        <v>0.11157005282185746</v>
      </c>
      <c r="AR5" s="811">
        <f>$G5*$AR$14</f>
        <v>1593567.0074968762</v>
      </c>
      <c r="AS5" s="811">
        <f>$R5*$AS$14</f>
        <v>861525.24170298351</v>
      </c>
      <c r="AT5" s="811">
        <f>AD5*$AT$14</f>
        <v>825000.13113502832</v>
      </c>
      <c r="AU5" s="812">
        <f>AP5+SUM(AR5:AT5)</f>
        <v>5376554.1806443371</v>
      </c>
      <c r="AW5" s="816">
        <v>2615165</v>
      </c>
      <c r="AX5" s="816"/>
      <c r="AY5" s="816"/>
      <c r="AZ5" s="816"/>
      <c r="BA5" s="816"/>
      <c r="BB5" s="811"/>
      <c r="BC5" s="815">
        <f>SUM(AW5:BB5)</f>
        <v>2615165</v>
      </c>
      <c r="BD5" s="813">
        <f>BC5/$BC$13</f>
        <v>4.611050677539244E-2</v>
      </c>
      <c r="BE5" s="811">
        <f>$G5*$BE$14</f>
        <v>1579085.7561806513</v>
      </c>
      <c r="BF5" s="811">
        <f>$R5*$BF$14</f>
        <v>801110.57836950349</v>
      </c>
      <c r="BG5" s="811">
        <f>AD5*$BG$14</f>
        <v>822411.96394565445</v>
      </c>
      <c r="BH5" s="811">
        <f>AP5*$BH$14</f>
        <v>2074755.8967974249</v>
      </c>
      <c r="BI5" s="812">
        <f>BC5+SUM(BE5:BH5)</f>
        <v>7892529.1952932347</v>
      </c>
      <c r="BK5" s="805"/>
    </row>
    <row r="6" spans="1:63" x14ac:dyDescent="0.35">
      <c r="A6" s="810" t="s">
        <v>557</v>
      </c>
      <c r="B6" s="811"/>
      <c r="C6" s="818">
        <f>[10]ByRateGroupCalc!O20</f>
        <v>778995</v>
      </c>
      <c r="D6" s="817"/>
      <c r="E6" s="811"/>
      <c r="F6" s="811"/>
      <c r="G6" s="812">
        <f>[10]ByRateGroupCalc!S20</f>
        <v>778995</v>
      </c>
      <c r="H6" s="813">
        <f t="shared" ref="H6:H12" si="2">G6/G$13</f>
        <v>5.4073732193645176E-2</v>
      </c>
      <c r="I6" s="813">
        <f t="shared" ref="I6:I12" si="3">G6/NRESkWh</f>
        <v>6.0893365339946236E-2</v>
      </c>
      <c r="J6" s="814"/>
      <c r="K6" s="811"/>
      <c r="L6" s="816">
        <v>900008.99955000007</v>
      </c>
      <c r="M6" s="817"/>
      <c r="N6" s="811"/>
      <c r="O6" s="811">
        <v>983.47400000000005</v>
      </c>
      <c r="P6" s="811"/>
      <c r="Q6" s="811"/>
      <c r="R6" s="815">
        <f t="shared" ref="R6:R12" si="4">SUM(K6:Q6)</f>
        <v>900992.47355000011</v>
      </c>
      <c r="S6" s="813">
        <f t="shared" ref="S6:S12" si="5">R6/R$13</f>
        <v>0.1006849044527504</v>
      </c>
      <c r="T6" s="811">
        <f t="shared" ref="T6:T12" si="6">G6*$T$14</f>
        <v>778346.1078717201</v>
      </c>
      <c r="U6" s="812">
        <f t="shared" ref="U6:U12" si="7">R6+T6</f>
        <v>1679338.5814217203</v>
      </c>
      <c r="W6" s="816"/>
      <c r="X6" s="816">
        <v>341571.08750000002</v>
      </c>
      <c r="Y6" s="817"/>
      <c r="Z6" s="811"/>
      <c r="AA6" s="811"/>
      <c r="AB6" s="811"/>
      <c r="AC6" s="811"/>
      <c r="AD6" s="815">
        <f t="shared" ref="AD6:AD12" si="8">SUM(W6:AC6)</f>
        <v>341571.08750000002</v>
      </c>
      <c r="AE6" s="813">
        <f t="shared" ref="AE6:AE12" si="9">AD6/AD$13</f>
        <v>4.2159782543977661E-2</v>
      </c>
      <c r="AF6" s="811">
        <f t="shared" ref="AF6:AF12" si="10">$G6*$AF$14</f>
        <v>777697.2157434402</v>
      </c>
      <c r="AG6" s="811">
        <f t="shared" ref="AG6:AG12" si="11">$R6*$AG$14</f>
        <v>897267.28397336032</v>
      </c>
      <c r="AH6" s="812">
        <f t="shared" ref="AH6:AH11" si="12">AD6+SUM(AF6:AG6)</f>
        <v>2016535.5872168005</v>
      </c>
      <c r="AJ6" s="811"/>
      <c r="AK6" s="817">
        <v>1579133.1233999999</v>
      </c>
      <c r="AL6" s="817"/>
      <c r="AM6" s="817"/>
      <c r="AN6" s="817"/>
      <c r="AO6" s="816">
        <v>557688.87752349186</v>
      </c>
      <c r="AP6" s="815">
        <f t="shared" ref="AP6:AP12" si="13">SUM(AJ6:AO6)</f>
        <v>2136822.000923492</v>
      </c>
      <c r="AQ6" s="813">
        <f t="shared" ref="AQ6:AQ12" si="14">AP6/$AP$13</f>
        <v>0.11371795254211227</v>
      </c>
      <c r="AR6" s="811">
        <f t="shared" ref="AR6:AR12" si="15">$G6*$AR$14</f>
        <v>769423.84110787162</v>
      </c>
      <c r="AS6" s="811">
        <f t="shared" ref="AS6:AS12" si="16">$R6*$AS$14</f>
        <v>885890.3536447034</v>
      </c>
      <c r="AT6" s="811">
        <f t="shared" ref="AT6:AT12" si="17">AD6*$AT$14</f>
        <v>337313.04259287828</v>
      </c>
      <c r="AU6" s="812">
        <f t="shared" ref="AU6:AU12" si="18">AP6+SUM(AR6:AT6)</f>
        <v>4129449.2382689454</v>
      </c>
      <c r="AW6" s="816"/>
      <c r="AX6" s="818">
        <v>100000</v>
      </c>
      <c r="AY6" s="818"/>
      <c r="AZ6" s="818"/>
      <c r="BA6" s="818"/>
      <c r="BB6" s="817"/>
      <c r="BC6" s="815">
        <f t="shared" ref="BC6:BC12" si="19">SUM(AW6:BB6)</f>
        <v>100000</v>
      </c>
      <c r="BD6" s="813">
        <f t="shared" ref="BD6:BD12" si="20">BC6/$BC$13</f>
        <v>1.763196845147149E-3</v>
      </c>
      <c r="BE6" s="811">
        <f t="shared" ref="BE6:BE12" si="21">$G6*$BE$14</f>
        <v>762431.84142454492</v>
      </c>
      <c r="BF6" s="811">
        <f t="shared" ref="BF6:BF12" si="22">$R6*$BF$14</f>
        <v>823767.08101716265</v>
      </c>
      <c r="BG6" s="811">
        <f t="shared" ref="BG6:BG12" si="23">AD6*$BG$14</f>
        <v>336254.83361031045</v>
      </c>
      <c r="BH6" s="811">
        <f>AP6*$BH$14</f>
        <v>2114698.2244885629</v>
      </c>
      <c r="BI6" s="812">
        <f t="shared" ref="BI6:BI12" si="24">BC6+SUM(BE6:BH6)</f>
        <v>4137151.980540581</v>
      </c>
      <c r="BK6" s="805"/>
    </row>
    <row r="7" spans="1:63" x14ac:dyDescent="0.35">
      <c r="A7" s="810" t="s">
        <v>558</v>
      </c>
      <c r="B7" s="819"/>
      <c r="C7" s="816">
        <f>[10]ByRateGroupCalc!O21</f>
        <v>533135.25</v>
      </c>
      <c r="D7" s="816">
        <f>[10]ByRateGroupCalc!P21</f>
        <v>555604.04999999993</v>
      </c>
      <c r="E7" s="820"/>
      <c r="F7" s="811">
        <f>[10]ByRateGroupCalc!R21</f>
        <v>1162283.3999999999</v>
      </c>
      <c r="G7" s="812">
        <f>[10]ByRateGroupCalc!S21</f>
        <v>2251022.6999999997</v>
      </c>
      <c r="H7" s="813">
        <f t="shared" si="2"/>
        <v>0.15625414622894379</v>
      </c>
      <c r="I7" s="813">
        <f t="shared" si="3"/>
        <v>0.17596049738395261</v>
      </c>
      <c r="J7" s="814"/>
      <c r="K7" s="819"/>
      <c r="L7" s="816">
        <v>2100020.9989499999</v>
      </c>
      <c r="M7" s="816">
        <v>1500014.9992500001</v>
      </c>
      <c r="N7" s="820"/>
      <c r="O7" s="811"/>
      <c r="P7" s="811"/>
      <c r="Q7" s="812">
        <v>883017.66399999999</v>
      </c>
      <c r="R7" s="815">
        <f t="shared" si="4"/>
        <v>4483053.6622000001</v>
      </c>
      <c r="S7" s="813">
        <f t="shared" si="5"/>
        <v>0.50097624884333836</v>
      </c>
      <c r="T7" s="811">
        <f t="shared" si="6"/>
        <v>2249147.6290295706</v>
      </c>
      <c r="U7" s="812">
        <f t="shared" si="7"/>
        <v>6732201.2912295703</v>
      </c>
      <c r="W7" s="816"/>
      <c r="X7" s="816">
        <v>1370356.2880000002</v>
      </c>
      <c r="Y7" s="816">
        <v>341571.08750000002</v>
      </c>
      <c r="Z7" s="820"/>
      <c r="AA7" s="811"/>
      <c r="AB7" s="820"/>
      <c r="AC7" s="820">
        <v>257547.83499999999</v>
      </c>
      <c r="AD7" s="815">
        <f t="shared" si="8"/>
        <v>1969475.2105</v>
      </c>
      <c r="AE7" s="813">
        <f t="shared" si="9"/>
        <v>0.24309038334643776</v>
      </c>
      <c r="AF7" s="811">
        <f t="shared" si="10"/>
        <v>2247272.5580591415</v>
      </c>
      <c r="AG7" s="811">
        <f t="shared" si="11"/>
        <v>4464518.296740016</v>
      </c>
      <c r="AH7" s="812">
        <f t="shared" si="12"/>
        <v>8681266.0652991571</v>
      </c>
      <c r="AJ7" s="819"/>
      <c r="AK7" s="817">
        <v>1894959.7480799998</v>
      </c>
      <c r="AL7" s="817"/>
      <c r="AM7" s="816"/>
      <c r="AN7" s="816"/>
      <c r="AO7" s="816">
        <v>881169.35320573195</v>
      </c>
      <c r="AP7" s="815">
        <f t="shared" si="13"/>
        <v>2776129.1012857319</v>
      </c>
      <c r="AQ7" s="813">
        <f t="shared" si="14"/>
        <v>0.14774076514297879</v>
      </c>
      <c r="AR7" s="811">
        <f t="shared" si="15"/>
        <v>2223365.4031861718</v>
      </c>
      <c r="AS7" s="811">
        <f t="shared" si="16"/>
        <v>4407910.2887135763</v>
      </c>
      <c r="AT7" s="811">
        <f t="shared" si="17"/>
        <v>1944923.6187620957</v>
      </c>
      <c r="AU7" s="812">
        <f t="shared" si="18"/>
        <v>11352328.411947576</v>
      </c>
      <c r="AW7" s="1091"/>
      <c r="AX7" s="818">
        <v>2000000</v>
      </c>
      <c r="AY7" s="818"/>
      <c r="AZ7" s="816"/>
      <c r="BA7" s="816"/>
      <c r="BB7" s="816"/>
      <c r="BC7" s="815">
        <f t="shared" si="19"/>
        <v>2000000</v>
      </c>
      <c r="BD7" s="813">
        <f t="shared" si="20"/>
        <v>3.526393690294298E-2</v>
      </c>
      <c r="BE7" s="811">
        <f t="shared" si="21"/>
        <v>2203160.9731120877</v>
      </c>
      <c r="BF7" s="811">
        <f t="shared" si="22"/>
        <v>4098804.5269712843</v>
      </c>
      <c r="BG7" s="811">
        <f t="shared" si="23"/>
        <v>1938822.0591308349</v>
      </c>
      <c r="BH7" s="811">
        <f>AP7*$BH$14</f>
        <v>2747386.20198724</v>
      </c>
      <c r="BI7" s="812">
        <f t="shared" si="24"/>
        <v>12988173.761201447</v>
      </c>
      <c r="BK7" s="805"/>
    </row>
    <row r="8" spans="1:63" x14ac:dyDescent="0.35">
      <c r="A8" s="810" t="s">
        <v>559</v>
      </c>
      <c r="B8" s="819"/>
      <c r="C8" s="816">
        <f>[10]ByRateGroupCalc!O22</f>
        <v>0</v>
      </c>
      <c r="D8" s="816">
        <f>[10]ByRateGroupCalc!P22</f>
        <v>185201.35</v>
      </c>
      <c r="E8" s="820"/>
      <c r="F8" s="811">
        <f>[10]ByRateGroupCalc!R22</f>
        <v>5811417</v>
      </c>
      <c r="G8" s="812">
        <f>[10]ByRateGroupCalc!S22</f>
        <v>5996618.3499999996</v>
      </c>
      <c r="H8" s="813">
        <f t="shared" si="2"/>
        <v>0.41625367906777117</v>
      </c>
      <c r="I8" s="813">
        <f t="shared" si="3"/>
        <v>0.46875046950336724</v>
      </c>
      <c r="J8" s="821"/>
      <c r="K8" s="819"/>
      <c r="L8" s="816">
        <v>0</v>
      </c>
      <c r="M8" s="816">
        <v>150001.49992500001</v>
      </c>
      <c r="N8" s="820"/>
      <c r="O8" s="811"/>
      <c r="P8" s="811"/>
      <c r="Q8" s="811"/>
      <c r="R8" s="815">
        <f t="shared" si="4"/>
        <v>150001.49992500001</v>
      </c>
      <c r="S8" s="813">
        <f t="shared" si="5"/>
        <v>1.6762500388278489E-2</v>
      </c>
      <c r="T8" s="811">
        <f t="shared" si="6"/>
        <v>5991623.2493336108</v>
      </c>
      <c r="U8" s="812">
        <f t="shared" si="7"/>
        <v>6141624.7492586104</v>
      </c>
      <c r="W8" s="816"/>
      <c r="X8" s="816">
        <v>0</v>
      </c>
      <c r="Y8" s="816">
        <v>1028785.2004999999</v>
      </c>
      <c r="Z8" s="820"/>
      <c r="AA8" s="811"/>
      <c r="AB8" s="820"/>
      <c r="AC8" s="820"/>
      <c r="AD8" s="815">
        <f t="shared" si="8"/>
        <v>1028785.2004999999</v>
      </c>
      <c r="AE8" s="813">
        <f t="shared" si="9"/>
        <v>0.1269819429243772</v>
      </c>
      <c r="AF8" s="811">
        <f t="shared" si="10"/>
        <v>5986628.148667221</v>
      </c>
      <c r="AG8" s="811">
        <f t="shared" si="11"/>
        <v>149381.31269768692</v>
      </c>
      <c r="AH8" s="812">
        <f t="shared" si="12"/>
        <v>7164794.6618649084</v>
      </c>
      <c r="AJ8" s="819"/>
      <c r="AK8" s="817">
        <v>2684526.3097800002</v>
      </c>
      <c r="AL8" s="817"/>
      <c r="AM8" s="816"/>
      <c r="AN8" s="816"/>
      <c r="AO8" s="816">
        <v>817650.81880174344</v>
      </c>
      <c r="AP8" s="815">
        <f t="shared" si="13"/>
        <v>3502177.1285817437</v>
      </c>
      <c r="AQ8" s="813">
        <f t="shared" si="14"/>
        <v>0.18637977909718709</v>
      </c>
      <c r="AR8" s="811">
        <f t="shared" si="15"/>
        <v>5922940.615170761</v>
      </c>
      <c r="AS8" s="811">
        <f t="shared" si="16"/>
        <v>147487.22738183875</v>
      </c>
      <c r="AT8" s="811">
        <f t="shared" si="17"/>
        <v>1015960.3047643172</v>
      </c>
      <c r="AU8" s="812">
        <f t="shared" si="18"/>
        <v>10588565.275898661</v>
      </c>
      <c r="AW8" s="1091"/>
      <c r="AX8" s="818">
        <v>7000000</v>
      </c>
      <c r="AY8" s="818"/>
      <c r="AZ8" s="816"/>
      <c r="BA8" s="816"/>
      <c r="BB8" s="816"/>
      <c r="BC8" s="815">
        <f t="shared" si="19"/>
        <v>7000000</v>
      </c>
      <c r="BD8" s="813">
        <f t="shared" si="20"/>
        <v>0.12342377916030042</v>
      </c>
      <c r="BE8" s="811">
        <f t="shared" si="21"/>
        <v>5869116.96597631</v>
      </c>
      <c r="BF8" s="811">
        <f t="shared" si="22"/>
        <v>137144.65033714421</v>
      </c>
      <c r="BG8" s="811">
        <f t="shared" si="23"/>
        <v>1012773.0626933619</v>
      </c>
      <c r="BH8" s="811">
        <f>AP8*$BH$14</f>
        <v>3465917.0265260842</v>
      </c>
      <c r="BI8" s="812">
        <f t="shared" si="24"/>
        <v>17484951.705532901</v>
      </c>
      <c r="BK8" s="805"/>
    </row>
    <row r="9" spans="1:63" x14ac:dyDescent="0.35">
      <c r="A9" s="810" t="s">
        <v>541</v>
      </c>
      <c r="B9" s="819"/>
      <c r="C9" s="816">
        <f>[10]ByRateGroupCalc!O23</f>
        <v>28059.75</v>
      </c>
      <c r="D9" s="816">
        <f>[10]ByRateGroupCalc!P23</f>
        <v>2963221.6</v>
      </c>
      <c r="E9" s="820"/>
      <c r="F9" s="811">
        <f>[10]ByRateGroupCalc!R23</f>
        <v>774855.60000000009</v>
      </c>
      <c r="G9" s="812">
        <f>[10]ByRateGroupCalc!S23</f>
        <v>3766136.95</v>
      </c>
      <c r="H9" s="813">
        <f t="shared" si="2"/>
        <v>0.26142540175340234</v>
      </c>
      <c r="I9" s="813">
        <f t="shared" si="3"/>
        <v>0.2943956677727339</v>
      </c>
      <c r="J9" s="821"/>
      <c r="K9" s="819"/>
      <c r="L9" s="816">
        <v>900008.99955000007</v>
      </c>
      <c r="M9" s="816">
        <v>450004.49977500003</v>
      </c>
      <c r="N9" s="820"/>
      <c r="O9" s="811"/>
      <c r="P9" s="811">
        <v>1188362</v>
      </c>
      <c r="Q9" s="811"/>
      <c r="R9" s="815">
        <f t="shared" si="4"/>
        <v>2538375.4993250002</v>
      </c>
      <c r="S9" s="813">
        <f t="shared" si="5"/>
        <v>0.28366063215572151</v>
      </c>
      <c r="T9" s="811">
        <f t="shared" si="6"/>
        <v>3762999.8096834654</v>
      </c>
      <c r="U9" s="812">
        <f t="shared" si="7"/>
        <v>6301375.3090084661</v>
      </c>
      <c r="W9" s="816"/>
      <c r="X9" s="816">
        <v>2732568.7</v>
      </c>
      <c r="Y9" s="816">
        <v>1098008.1465</v>
      </c>
      <c r="Z9" s="820"/>
      <c r="AA9" s="811"/>
      <c r="AB9" s="820">
        <v>96000</v>
      </c>
      <c r="AC9" s="820"/>
      <c r="AD9" s="815">
        <f t="shared" si="8"/>
        <v>3926576.8465</v>
      </c>
      <c r="AE9" s="813">
        <f t="shared" si="9"/>
        <v>0.48465350859257827</v>
      </c>
      <c r="AF9" s="811">
        <f t="shared" si="10"/>
        <v>3759862.6693669306</v>
      </c>
      <c r="AG9" s="811">
        <f t="shared" si="11"/>
        <v>2527880.4838512018</v>
      </c>
      <c r="AH9" s="812">
        <f t="shared" si="12"/>
        <v>10214319.999718133</v>
      </c>
      <c r="AJ9" s="819"/>
      <c r="AK9" s="811">
        <v>1737046.4357399999</v>
      </c>
      <c r="AL9" s="811"/>
      <c r="AM9" s="816"/>
      <c r="AN9" s="816"/>
      <c r="AO9" s="822">
        <v>6541905.8631595848</v>
      </c>
      <c r="AP9" s="815">
        <f t="shared" si="13"/>
        <v>8278952.2988995844</v>
      </c>
      <c r="AQ9" s="813">
        <f t="shared" si="14"/>
        <v>0.44059145039586434</v>
      </c>
      <c r="AR9" s="811">
        <f t="shared" si="15"/>
        <v>3719864.1303311121</v>
      </c>
      <c r="AS9" s="811">
        <f t="shared" si="16"/>
        <v>2495828.139296086</v>
      </c>
      <c r="AT9" s="811">
        <f t="shared" si="17"/>
        <v>3877627.9127186495</v>
      </c>
      <c r="AU9" s="812">
        <f t="shared" si="18"/>
        <v>18372272.481245432</v>
      </c>
      <c r="AW9" s="1091"/>
      <c r="AX9" s="816">
        <v>45000000</v>
      </c>
      <c r="AY9" s="816"/>
      <c r="AZ9" s="816"/>
      <c r="BA9" s="816"/>
      <c r="BB9" s="816"/>
      <c r="BC9" s="815">
        <f t="shared" si="19"/>
        <v>45000000</v>
      </c>
      <c r="BD9" s="813">
        <f t="shared" si="20"/>
        <v>0.79343858031621706</v>
      </c>
      <c r="BE9" s="811">
        <f t="shared" si="21"/>
        <v>3686060.5393430246</v>
      </c>
      <c r="BF9" s="811">
        <f t="shared" si="22"/>
        <v>2320807.5949464603</v>
      </c>
      <c r="BG9" s="811">
        <f t="shared" si="23"/>
        <v>3865463.1275779596</v>
      </c>
      <c r="BH9" s="811">
        <f t="shared" ref="BH9:BH12" si="25">AP9*$BH$14</f>
        <v>8193235.4307200462</v>
      </c>
      <c r="BI9" s="812">
        <f t="shared" si="24"/>
        <v>63065566.692587495</v>
      </c>
      <c r="BK9" s="805"/>
    </row>
    <row r="10" spans="1:63" x14ac:dyDescent="0.35">
      <c r="A10" s="810" t="s">
        <v>542</v>
      </c>
      <c r="B10" s="811"/>
      <c r="C10" s="822"/>
      <c r="D10" s="822"/>
      <c r="E10" s="811"/>
      <c r="F10" s="811"/>
      <c r="G10" s="812">
        <f>[10]ByRateGroupCalc!S24</f>
        <v>0</v>
      </c>
      <c r="H10" s="813">
        <f t="shared" si="2"/>
        <v>0</v>
      </c>
      <c r="I10" s="813">
        <f t="shared" si="3"/>
        <v>0</v>
      </c>
      <c r="J10" s="821"/>
      <c r="K10" s="811"/>
      <c r="L10" s="822"/>
      <c r="M10" s="822"/>
      <c r="N10" s="811"/>
      <c r="O10" s="811"/>
      <c r="P10" s="811"/>
      <c r="Q10" s="811"/>
      <c r="R10" s="815">
        <f t="shared" si="4"/>
        <v>0</v>
      </c>
      <c r="S10" s="813">
        <f t="shared" si="5"/>
        <v>0</v>
      </c>
      <c r="T10" s="811">
        <f t="shared" si="6"/>
        <v>0</v>
      </c>
      <c r="U10" s="812">
        <f t="shared" si="7"/>
        <v>0</v>
      </c>
      <c r="W10" s="816"/>
      <c r="X10" s="818"/>
      <c r="Y10" s="822"/>
      <c r="Z10" s="811"/>
      <c r="AA10" s="811"/>
      <c r="AB10" s="811"/>
      <c r="AC10" s="811"/>
      <c r="AD10" s="815">
        <f t="shared" si="8"/>
        <v>0</v>
      </c>
      <c r="AE10" s="813">
        <f t="shared" si="9"/>
        <v>0</v>
      </c>
      <c r="AF10" s="811">
        <f t="shared" si="10"/>
        <v>0</v>
      </c>
      <c r="AG10" s="811">
        <f t="shared" si="11"/>
        <v>0</v>
      </c>
      <c r="AH10" s="812">
        <f t="shared" si="12"/>
        <v>0</v>
      </c>
      <c r="AJ10" s="811"/>
      <c r="AK10" s="822"/>
      <c r="AL10" s="822"/>
      <c r="AM10" s="822"/>
      <c r="AN10" s="822"/>
      <c r="AP10" s="815">
        <f t="shared" si="13"/>
        <v>0</v>
      </c>
      <c r="AQ10" s="813">
        <f t="shared" si="14"/>
        <v>0</v>
      </c>
      <c r="AR10" s="811">
        <f t="shared" si="15"/>
        <v>0</v>
      </c>
      <c r="AS10" s="811">
        <f t="shared" si="16"/>
        <v>0</v>
      </c>
      <c r="AT10" s="811">
        <f t="shared" si="17"/>
        <v>0</v>
      </c>
      <c r="AU10" s="812">
        <f t="shared" si="18"/>
        <v>0</v>
      </c>
      <c r="AW10" s="816"/>
      <c r="AX10" s="1092"/>
      <c r="AY10" s="1092"/>
      <c r="AZ10" s="1092"/>
      <c r="BA10" s="1092"/>
      <c r="BB10" s="822"/>
      <c r="BC10" s="815">
        <f t="shared" si="19"/>
        <v>0</v>
      </c>
      <c r="BD10" s="813">
        <f t="shared" si="20"/>
        <v>0</v>
      </c>
      <c r="BE10" s="811">
        <f t="shared" si="21"/>
        <v>0</v>
      </c>
      <c r="BF10" s="811">
        <f t="shared" si="22"/>
        <v>0</v>
      </c>
      <c r="BG10" s="811">
        <f t="shared" si="23"/>
        <v>0</v>
      </c>
      <c r="BH10" s="811">
        <f t="shared" si="25"/>
        <v>0</v>
      </c>
      <c r="BI10" s="812">
        <f t="shared" si="24"/>
        <v>0</v>
      </c>
      <c r="BK10" s="805"/>
    </row>
    <row r="11" spans="1:63" x14ac:dyDescent="0.35">
      <c r="A11" s="810" t="s">
        <v>41</v>
      </c>
      <c r="B11" s="811"/>
      <c r="C11" s="811"/>
      <c r="D11" s="811"/>
      <c r="E11" s="811"/>
      <c r="F11" s="811"/>
      <c r="G11" s="812">
        <f>[10]ByRateGroupCalc!S25</f>
        <v>0</v>
      </c>
      <c r="H11" s="813">
        <f t="shared" si="2"/>
        <v>0</v>
      </c>
      <c r="I11" s="813">
        <f t="shared" si="3"/>
        <v>0</v>
      </c>
      <c r="J11" s="821"/>
      <c r="K11" s="811"/>
      <c r="L11" s="811"/>
      <c r="M11" s="811"/>
      <c r="N11" s="811"/>
      <c r="O11" s="811"/>
      <c r="P11" s="811"/>
      <c r="Q11" s="811"/>
      <c r="R11" s="815">
        <f t="shared" si="4"/>
        <v>0</v>
      </c>
      <c r="S11" s="813">
        <f t="shared" si="5"/>
        <v>0</v>
      </c>
      <c r="T11" s="811">
        <f t="shared" si="6"/>
        <v>0</v>
      </c>
      <c r="U11" s="812">
        <f t="shared" si="7"/>
        <v>0</v>
      </c>
      <c r="W11" s="811"/>
      <c r="X11" s="817"/>
      <c r="Y11" s="811"/>
      <c r="Z11" s="811"/>
      <c r="AA11" s="811"/>
      <c r="AB11" s="811"/>
      <c r="AC11" s="811"/>
      <c r="AD11" s="815">
        <f t="shared" si="8"/>
        <v>0</v>
      </c>
      <c r="AE11" s="813">
        <f t="shared" si="9"/>
        <v>0</v>
      </c>
      <c r="AF11" s="811">
        <f t="shared" si="10"/>
        <v>0</v>
      </c>
      <c r="AG11" s="811">
        <f t="shared" si="11"/>
        <v>0</v>
      </c>
      <c r="AH11" s="812">
        <f t="shared" si="12"/>
        <v>0</v>
      </c>
      <c r="AJ11" s="811"/>
      <c r="AK11" s="811"/>
      <c r="AL11" s="811"/>
      <c r="AM11" s="811"/>
      <c r="AN11" s="811"/>
      <c r="AO11" s="811"/>
      <c r="AP11" s="815">
        <f t="shared" si="13"/>
        <v>0</v>
      </c>
      <c r="AQ11" s="813">
        <f t="shared" si="14"/>
        <v>0</v>
      </c>
      <c r="AR11" s="811">
        <f t="shared" si="15"/>
        <v>0</v>
      </c>
      <c r="AS11" s="811">
        <f t="shared" si="16"/>
        <v>0</v>
      </c>
      <c r="AT11" s="811">
        <f t="shared" si="17"/>
        <v>0</v>
      </c>
      <c r="AU11" s="812">
        <f t="shared" si="18"/>
        <v>0</v>
      </c>
      <c r="AW11" s="816"/>
      <c r="AX11" s="816"/>
      <c r="AY11" s="816"/>
      <c r="AZ11" s="816"/>
      <c r="BA11" s="816"/>
      <c r="BB11" s="811"/>
      <c r="BC11" s="815">
        <f t="shared" si="19"/>
        <v>0</v>
      </c>
      <c r="BD11" s="813">
        <f t="shared" si="20"/>
        <v>0</v>
      </c>
      <c r="BE11" s="811">
        <f t="shared" si="21"/>
        <v>0</v>
      </c>
      <c r="BF11" s="811">
        <f t="shared" si="22"/>
        <v>0</v>
      </c>
      <c r="BG11" s="811">
        <f t="shared" si="23"/>
        <v>0</v>
      </c>
      <c r="BH11" s="811">
        <f t="shared" si="25"/>
        <v>0</v>
      </c>
      <c r="BI11" s="812">
        <f t="shared" si="24"/>
        <v>0</v>
      </c>
      <c r="BK11" s="805"/>
    </row>
    <row r="12" spans="1:63" ht="15" thickBot="1" x14ac:dyDescent="0.4">
      <c r="A12" s="823" t="s">
        <v>42</v>
      </c>
      <c r="B12" s="817"/>
      <c r="C12" s="817"/>
      <c r="D12" s="817"/>
      <c r="E12" s="817"/>
      <c r="F12" s="817"/>
      <c r="G12" s="824">
        <f>[10]ByRateGroupCalc!S26</f>
        <v>0</v>
      </c>
      <c r="H12" s="813">
        <f t="shared" si="2"/>
        <v>0</v>
      </c>
      <c r="I12" s="813">
        <f t="shared" si="3"/>
        <v>0</v>
      </c>
      <c r="J12" s="821"/>
      <c r="K12" s="817"/>
      <c r="L12" s="817"/>
      <c r="M12" s="817"/>
      <c r="N12" s="817"/>
      <c r="O12" s="817"/>
      <c r="P12" s="811"/>
      <c r="Q12" s="811"/>
      <c r="R12" s="815">
        <f t="shared" si="4"/>
        <v>0</v>
      </c>
      <c r="S12" s="813">
        <f t="shared" si="5"/>
        <v>0</v>
      </c>
      <c r="T12" s="811">
        <f t="shared" si="6"/>
        <v>0</v>
      </c>
      <c r="U12" s="812">
        <f t="shared" si="7"/>
        <v>0</v>
      </c>
      <c r="W12" s="817"/>
      <c r="X12" s="817"/>
      <c r="Y12" s="817"/>
      <c r="Z12" s="817"/>
      <c r="AA12" s="817"/>
      <c r="AB12" s="817"/>
      <c r="AC12" s="817"/>
      <c r="AD12" s="815">
        <f t="shared" si="8"/>
        <v>0</v>
      </c>
      <c r="AE12" s="813">
        <f t="shared" si="9"/>
        <v>0</v>
      </c>
      <c r="AF12" s="811">
        <f t="shared" si="10"/>
        <v>0</v>
      </c>
      <c r="AG12" s="811">
        <f t="shared" si="11"/>
        <v>0</v>
      </c>
      <c r="AH12" s="812">
        <f t="shared" ref="AH12" si="26">SUM(W12:AG12)</f>
        <v>0</v>
      </c>
      <c r="AJ12" s="817"/>
      <c r="AK12" s="817"/>
      <c r="AL12" s="817"/>
      <c r="AM12" s="817"/>
      <c r="AN12" s="817"/>
      <c r="AO12" s="817"/>
      <c r="AP12" s="815">
        <f t="shared" si="13"/>
        <v>0</v>
      </c>
      <c r="AQ12" s="813">
        <f t="shared" si="14"/>
        <v>0</v>
      </c>
      <c r="AR12" s="811">
        <f t="shared" si="15"/>
        <v>0</v>
      </c>
      <c r="AS12" s="811">
        <f t="shared" si="16"/>
        <v>0</v>
      </c>
      <c r="AT12" s="811">
        <f t="shared" si="17"/>
        <v>0</v>
      </c>
      <c r="AU12" s="812">
        <f t="shared" si="18"/>
        <v>0</v>
      </c>
      <c r="AW12" s="818"/>
      <c r="AX12" s="818"/>
      <c r="AY12" s="818"/>
      <c r="AZ12" s="818"/>
      <c r="BA12" s="818"/>
      <c r="BB12" s="817"/>
      <c r="BC12" s="815">
        <f t="shared" si="19"/>
        <v>0</v>
      </c>
      <c r="BD12" s="813">
        <f t="shared" si="20"/>
        <v>0</v>
      </c>
      <c r="BE12" s="811">
        <f t="shared" si="21"/>
        <v>0</v>
      </c>
      <c r="BF12" s="811">
        <f t="shared" si="22"/>
        <v>0</v>
      </c>
      <c r="BG12" s="811">
        <f t="shared" si="23"/>
        <v>0</v>
      </c>
      <c r="BH12" s="811">
        <f t="shared" si="25"/>
        <v>0</v>
      </c>
      <c r="BI12" s="812">
        <f t="shared" si="24"/>
        <v>0</v>
      </c>
      <c r="BK12" s="805"/>
    </row>
    <row r="13" spans="1:63" ht="15" thickBot="1" x14ac:dyDescent="0.4">
      <c r="A13" s="825" t="str">
        <f>[10]ByRateGroupCalc!L27</f>
        <v>Total</v>
      </c>
      <c r="B13" s="826">
        <f>[10]ByRateGroupCalc!N27</f>
        <v>1613390</v>
      </c>
      <c r="C13" s="827">
        <f>[10]ByRateGroupCalc!O27</f>
        <v>1340190</v>
      </c>
      <c r="D13" s="827">
        <f>[10]ByRateGroupCalc!P27</f>
        <v>3704027</v>
      </c>
      <c r="E13" s="827">
        <f>[10]ByRateGroupCalc!Q27</f>
        <v>0</v>
      </c>
      <c r="F13" s="827">
        <f>[10]ByRateGroupCalc!R27</f>
        <v>7748556</v>
      </c>
      <c r="G13" s="828">
        <f>[10]ByRateGroupCalc!S27</f>
        <v>14406163</v>
      </c>
      <c r="H13" s="829">
        <f>SUM(H5:H12)</f>
        <v>1</v>
      </c>
      <c r="I13" s="829">
        <f>SUM(I5:I12)</f>
        <v>1</v>
      </c>
      <c r="J13" s="821"/>
      <c r="K13" s="830">
        <f>SUM(K5:K12)</f>
        <v>876212</v>
      </c>
      <c r="L13" s="830">
        <f t="shared" ref="L13:Q13" si="27">SUM(L5:L12)</f>
        <v>3900038.9980499996</v>
      </c>
      <c r="M13" s="830">
        <f t="shared" si="27"/>
        <v>2100020.9989499999</v>
      </c>
      <c r="N13" s="830">
        <f t="shared" si="27"/>
        <v>0</v>
      </c>
      <c r="O13" s="830">
        <f t="shared" si="27"/>
        <v>983.47400000000005</v>
      </c>
      <c r="P13" s="830">
        <f t="shared" si="27"/>
        <v>1188362</v>
      </c>
      <c r="Q13" s="830">
        <f t="shared" si="27"/>
        <v>883017.66399999999</v>
      </c>
      <c r="R13" s="831">
        <f>SUM(R5:R12)</f>
        <v>8948635.1349999998</v>
      </c>
      <c r="S13" s="832">
        <f>SUM(S5:S12)</f>
        <v>1.0000000000000002</v>
      </c>
      <c r="T13" s="830">
        <f>SUM(T5:T12)</f>
        <v>14394162.864223238</v>
      </c>
      <c r="U13" s="830">
        <f>SUM(U5:U12)</f>
        <v>23342797.99922324</v>
      </c>
      <c r="W13" s="826">
        <f>SUM(W5:W12)</f>
        <v>835414.45600000001</v>
      </c>
      <c r="X13" s="826">
        <f t="shared" ref="X13:AC13" si="28">SUM(X5:X12)</f>
        <v>4444496.0755000003</v>
      </c>
      <c r="Y13" s="826">
        <f t="shared" si="28"/>
        <v>2468364.4345</v>
      </c>
      <c r="Z13" s="826">
        <f t="shared" si="28"/>
        <v>0</v>
      </c>
      <c r="AA13" s="826">
        <f t="shared" si="28"/>
        <v>0</v>
      </c>
      <c r="AB13" s="826">
        <f t="shared" si="28"/>
        <v>96000</v>
      </c>
      <c r="AC13" s="826">
        <f t="shared" si="28"/>
        <v>257547.83499999999</v>
      </c>
      <c r="AD13" s="831">
        <f>SUM(AD5:AD12)</f>
        <v>8101822.801</v>
      </c>
      <c r="AE13" s="832">
        <f>SUM(AE5:AE12)</f>
        <v>1</v>
      </c>
      <c r="AF13" s="830">
        <f>SUM(AF5:AF12)</f>
        <v>14382162.72844648</v>
      </c>
      <c r="AG13" s="830">
        <f>SUM(AG5:AG12)</f>
        <v>8911636.6435490027</v>
      </c>
      <c r="AH13" s="830">
        <f>SUM(AH5:AH12)</f>
        <v>31395622.172995482</v>
      </c>
      <c r="AJ13" s="826">
        <f>SUM(AJ5:AJ12)</f>
        <v>2137653.253</v>
      </c>
      <c r="AK13" s="826">
        <f t="shared" ref="AK13:AM13" si="29">SUM(AK5:AK12)</f>
        <v>7895665.6169999996</v>
      </c>
      <c r="AL13" s="826">
        <f t="shared" si="29"/>
        <v>0</v>
      </c>
      <c r="AM13" s="833">
        <f t="shared" si="29"/>
        <v>20414.023000000001</v>
      </c>
      <c r="AN13" s="833"/>
      <c r="AO13" s="833"/>
      <c r="AP13" s="831">
        <f>SUM(AP5:AP12)</f>
        <v>18790542.330000002</v>
      </c>
      <c r="AQ13" s="832">
        <f>SUM(AQ5:AQ12)</f>
        <v>0.99999999999999989</v>
      </c>
      <c r="AR13" s="830">
        <f>SUM(AR5:AR12)</f>
        <v>14229160.997292792</v>
      </c>
      <c r="AS13" s="830">
        <f t="shared" ref="AS13" si="30">SUM(AS5:AS12)</f>
        <v>8798641.250739187</v>
      </c>
      <c r="AT13" s="830">
        <f>SUM(AT5:AT12)</f>
        <v>8000825.0099729691</v>
      </c>
      <c r="AU13" s="830">
        <f t="shared" ref="AU13" si="31">SUM(AU5:AU12)</f>
        <v>49819169.588004954</v>
      </c>
      <c r="AW13" s="826">
        <f>SUM(AW5:AW12)</f>
        <v>2615165</v>
      </c>
      <c r="AX13" s="826">
        <f t="shared" ref="AX13:BB13" si="32">SUM(AX5:AX12)</f>
        <v>54100000</v>
      </c>
      <c r="AY13" s="826">
        <f t="shared" si="32"/>
        <v>0</v>
      </c>
      <c r="AZ13" s="833">
        <f t="shared" si="32"/>
        <v>0</v>
      </c>
      <c r="BA13" s="833">
        <f t="shared" si="32"/>
        <v>0</v>
      </c>
      <c r="BB13" s="833">
        <f t="shared" si="32"/>
        <v>0</v>
      </c>
      <c r="BC13" s="831">
        <f>SUM(BC5:BC12)</f>
        <v>56715165</v>
      </c>
      <c r="BD13" s="832">
        <f>SUM(BD5:BD12)</f>
        <v>1</v>
      </c>
      <c r="BE13" s="830">
        <f>SUM(BE5:BE12)</f>
        <v>14099856.076036621</v>
      </c>
      <c r="BF13" s="830">
        <f t="shared" ref="BF13" si="33">SUM(BF5:BF12)</f>
        <v>8181634.4316415545</v>
      </c>
      <c r="BG13" s="830">
        <f>SUM(BG5:BG12)</f>
        <v>7975725.0469581215</v>
      </c>
      <c r="BH13" s="830">
        <f>SUM(BH5:BH12)</f>
        <v>18595992.780519359</v>
      </c>
      <c r="BI13" s="830">
        <f t="shared" ref="BI13" si="34">SUM(BI5:BI12)</f>
        <v>105568373.33515567</v>
      </c>
      <c r="BK13" s="805"/>
    </row>
    <row r="14" spans="1:63" x14ac:dyDescent="0.35">
      <c r="K14" s="834"/>
      <c r="L14" s="834"/>
      <c r="M14" s="805"/>
      <c r="N14" s="805"/>
      <c r="O14" s="805"/>
      <c r="P14" s="805"/>
      <c r="Q14" s="805"/>
      <c r="R14" s="834"/>
      <c r="S14" s="835" t="s">
        <v>642</v>
      </c>
      <c r="T14" s="836">
        <f>C89</f>
        <v>0.99916701374427319</v>
      </c>
      <c r="AD14" s="834"/>
      <c r="AE14" s="835" t="s">
        <v>642</v>
      </c>
      <c r="AF14" s="836">
        <f>D89</f>
        <v>0.99833402748854638</v>
      </c>
      <c r="AG14" s="836">
        <f>D91</f>
        <v>0.99586545982791386</v>
      </c>
      <c r="AL14" s="837"/>
      <c r="AP14" s="837">
        <v>18790542</v>
      </c>
      <c r="AQ14" s="835" t="s">
        <v>642</v>
      </c>
      <c r="AR14" s="836">
        <f>E89</f>
        <v>0.98771345272802991</v>
      </c>
      <c r="AS14" s="836">
        <f>E91</f>
        <v>0.98323835065370424</v>
      </c>
      <c r="AT14" s="836">
        <f>E93</f>
        <v>0.98753394223648472</v>
      </c>
      <c r="AY14" s="837"/>
      <c r="BC14" s="837"/>
      <c r="BD14" s="835" t="s">
        <v>642</v>
      </c>
      <c r="BE14" s="836">
        <f>F109</f>
        <v>0.97873778576825898</v>
      </c>
      <c r="BF14" s="836">
        <f>F110</f>
        <v>0.91428852648617398</v>
      </c>
      <c r="BG14" s="1198">
        <f>F111</f>
        <v>0.98443587854990922</v>
      </c>
      <c r="BH14" s="1197">
        <f>F112</f>
        <v>0.98964641115386887</v>
      </c>
      <c r="BK14" s="805"/>
    </row>
    <row r="15" spans="1:63" s="805" customFormat="1" x14ac:dyDescent="0.35">
      <c r="K15" s="834"/>
      <c r="L15" s="834"/>
      <c r="R15" s="834"/>
      <c r="S15" s="838"/>
      <c r="T15" s="839"/>
      <c r="X15" s="834"/>
      <c r="AE15" s="838"/>
      <c r="AF15" s="839"/>
      <c r="AG15" s="839"/>
      <c r="AL15" s="821"/>
      <c r="AQ15" s="838"/>
      <c r="AR15" s="839"/>
      <c r="AS15" s="839"/>
      <c r="AT15" s="840"/>
      <c r="AY15" s="821"/>
      <c r="BD15" s="838"/>
      <c r="BE15" s="838"/>
      <c r="BF15" s="838"/>
      <c r="BG15" s="838"/>
      <c r="BH15" s="839"/>
    </row>
    <row r="16" spans="1:63" ht="15" customHeight="1" x14ac:dyDescent="0.35">
      <c r="A16" s="1496" t="s">
        <v>643</v>
      </c>
      <c r="B16" s="1496"/>
      <c r="C16" s="1496"/>
      <c r="D16" s="1496"/>
      <c r="E16" s="1496"/>
      <c r="F16" s="1496"/>
      <c r="G16" s="1496"/>
      <c r="H16" s="1496"/>
      <c r="I16" s="841"/>
      <c r="J16" s="445"/>
      <c r="K16" s="1496" t="s">
        <v>644</v>
      </c>
      <c r="L16" s="1496"/>
      <c r="M16" s="1496"/>
      <c r="N16" s="1496"/>
      <c r="O16" s="1496"/>
      <c r="P16" s="1496"/>
      <c r="Q16" s="1496"/>
      <c r="R16" s="1496"/>
      <c r="S16" s="1496"/>
      <c r="T16" s="1496"/>
      <c r="U16" s="1496"/>
      <c r="W16" s="1496" t="s">
        <v>645</v>
      </c>
      <c r="X16" s="1496"/>
      <c r="Y16" s="1496"/>
      <c r="Z16" s="1496"/>
      <c r="AA16" s="1496"/>
      <c r="AB16" s="1496"/>
      <c r="AC16" s="1496"/>
      <c r="AD16" s="1496"/>
      <c r="AE16" s="1496"/>
      <c r="AF16" s="1496"/>
      <c r="AG16" s="1496"/>
      <c r="AH16" s="1496"/>
      <c r="AJ16" s="1496" t="s">
        <v>646</v>
      </c>
      <c r="AK16" s="1496"/>
      <c r="AL16" s="1496"/>
      <c r="AM16" s="1496"/>
      <c r="AN16" s="1496"/>
      <c r="AO16" s="1496"/>
      <c r="AP16" s="1496"/>
      <c r="AQ16" s="1496"/>
      <c r="AR16" s="1496"/>
      <c r="AS16" s="1496"/>
      <c r="AT16" s="1496"/>
      <c r="AU16" s="1496"/>
      <c r="AW16" s="1496" t="s">
        <v>769</v>
      </c>
      <c r="AX16" s="1496"/>
      <c r="AY16" s="1496"/>
      <c r="AZ16" s="1496"/>
      <c r="BA16" s="1496"/>
      <c r="BB16" s="1496"/>
      <c r="BC16" s="1496"/>
      <c r="BD16" s="1496"/>
      <c r="BE16" s="1496"/>
      <c r="BF16" s="1496"/>
      <c r="BG16" s="1496"/>
      <c r="BH16" s="1496"/>
      <c r="BI16" s="1496"/>
      <c r="BK16" s="805"/>
    </row>
    <row r="17" spans="1:63" ht="78" x14ac:dyDescent="0.35">
      <c r="A17" s="842" t="str">
        <f>[10]ByRateGroupCalc!L43</f>
        <v>RATE CODE</v>
      </c>
      <c r="B17" s="808" t="str">
        <f>[10]ByRateGroupCalc!N43</f>
        <v>Residential Program Total</v>
      </c>
      <c r="C17" s="808" t="str">
        <f>[10]ByRateGroupCalc!O43</f>
        <v>Commercial &amp; Institutional Program Total</v>
      </c>
      <c r="D17" s="808" t="str">
        <f>[10]ByRateGroupCalc!P43</f>
        <v>Industrial Program Total</v>
      </c>
      <c r="E17" s="808" t="str">
        <f>[10]ByRateGroupCalc!Q43</f>
        <v>Home Assistance Program Total</v>
      </c>
      <c r="F17" s="808" t="str">
        <f>[10]ByRateGroupCalc!R43</f>
        <v>Pre-2011 Programs completed in 2011 Total</v>
      </c>
      <c r="G17" s="808" t="str">
        <f>[10]ByRateGroupCalc!S43</f>
        <v>Total</v>
      </c>
      <c r="H17" s="808" t="s">
        <v>622</v>
      </c>
      <c r="I17" s="808" t="s">
        <v>623</v>
      </c>
      <c r="J17" s="809"/>
      <c r="K17" s="808" t="str">
        <f>[10]ByRateGroupCalc!U43</f>
        <v>Residential Program Total</v>
      </c>
      <c r="L17" s="808" t="str">
        <f>[10]ByRateGroupCalc!V43</f>
        <v>Commercial &amp; Institutional Program Total</v>
      </c>
      <c r="M17" s="808" t="str">
        <f>[10]ByRateGroupCalc!W43</f>
        <v>Industrial Program Total</v>
      </c>
      <c r="N17" s="808" t="str">
        <f>[10]ByRateGroupCalc!X43</f>
        <v>Home Assistance Program Total</v>
      </c>
      <c r="O17" s="808" t="str">
        <f>[10]ByRateGroupCalc!Y43</f>
        <v>Pre-2011 Programs completed in 2011 Total</v>
      </c>
      <c r="P17" s="808" t="s">
        <v>624</v>
      </c>
      <c r="Q17" s="808" t="s">
        <v>625</v>
      </c>
      <c r="R17" s="808" t="s">
        <v>626</v>
      </c>
      <c r="S17" s="808" t="s">
        <v>627</v>
      </c>
      <c r="T17" s="808" t="str">
        <f>T4</f>
        <v>2011 OPA programs persistence in 2012 towards 2014 Target</v>
      </c>
      <c r="U17" s="808" t="str">
        <f>[10]ByRateGroupCalc!Z43</f>
        <v>Total</v>
      </c>
      <c r="W17" s="808" t="str">
        <f t="shared" ref="W17:Z17" si="35">K17</f>
        <v>Residential Program Total</v>
      </c>
      <c r="X17" s="808" t="str">
        <f t="shared" si="35"/>
        <v>Commercial &amp; Institutional Program Total</v>
      </c>
      <c r="Y17" s="808" t="str">
        <f t="shared" si="35"/>
        <v>Industrial Program Total</v>
      </c>
      <c r="Z17" s="808" t="str">
        <f t="shared" si="35"/>
        <v>Home Assistance Program Total</v>
      </c>
      <c r="AA17" s="808" t="s">
        <v>629</v>
      </c>
      <c r="AB17" s="808" t="s">
        <v>624</v>
      </c>
      <c r="AC17" s="808" t="s">
        <v>625</v>
      </c>
      <c r="AD17" s="808" t="s">
        <v>630</v>
      </c>
      <c r="AE17" s="808" t="s">
        <v>627</v>
      </c>
      <c r="AF17" s="808" t="str">
        <f t="shared" ref="AF17:AG17" si="36">AF4</f>
        <v>2011 OPA programs persistence  in 2013 towards 2014 Target</v>
      </c>
      <c r="AG17" s="808" t="str">
        <f t="shared" si="36"/>
        <v>2012 OPA programs persistence  in 2013 towards 2014 Target</v>
      </c>
      <c r="AH17" s="808" t="str">
        <f>U17</f>
        <v>Total</v>
      </c>
      <c r="AJ17" s="808" t="str">
        <f t="shared" ref="AJ17:AM17" si="37">W17</f>
        <v>Residential Program Total</v>
      </c>
      <c r="AK17" s="808" t="str">
        <f t="shared" si="37"/>
        <v>Commercial &amp; Institutional Program Total</v>
      </c>
      <c r="AL17" s="808" t="str">
        <f t="shared" si="37"/>
        <v>Industrial Program Total</v>
      </c>
      <c r="AM17" s="808" t="str">
        <f t="shared" si="37"/>
        <v>Home Assistance Program Total</v>
      </c>
      <c r="AN17" s="808" t="s">
        <v>624</v>
      </c>
      <c r="AO17" s="808" t="s">
        <v>625</v>
      </c>
      <c r="AP17" s="808" t="s">
        <v>633</v>
      </c>
      <c r="AQ17" s="808" t="s">
        <v>627</v>
      </c>
      <c r="AR17" s="808" t="str">
        <f t="shared" ref="AR17:AT17" si="38">AR4</f>
        <v>2011 OPA programs persistence in 2014 towards 2014 Target</v>
      </c>
      <c r="AS17" s="808" t="str">
        <f t="shared" si="38"/>
        <v>2012 OPA programs persistence in 2014 towards 2014 Target</v>
      </c>
      <c r="AT17" s="808" t="str">
        <f t="shared" si="38"/>
        <v>2013 OPA programs persistence in 2014 towards 2014 Target</v>
      </c>
      <c r="AU17" s="808" t="str">
        <f>AH17</f>
        <v>Total</v>
      </c>
      <c r="AW17" s="808" t="s">
        <v>764</v>
      </c>
      <c r="AX17" s="808" t="s">
        <v>765</v>
      </c>
      <c r="AY17" s="808" t="s">
        <v>766</v>
      </c>
      <c r="AZ17" s="808" t="s">
        <v>767</v>
      </c>
      <c r="BA17" s="808" t="s">
        <v>768</v>
      </c>
      <c r="BB17" s="808"/>
      <c r="BC17" s="808" t="s">
        <v>637</v>
      </c>
      <c r="BD17" s="808" t="s">
        <v>627</v>
      </c>
      <c r="BE17" s="808" t="s">
        <v>638</v>
      </c>
      <c r="BF17" s="808" t="s">
        <v>639</v>
      </c>
      <c r="BG17" s="808" t="s">
        <v>640</v>
      </c>
      <c r="BH17" s="808" t="s">
        <v>641</v>
      </c>
      <c r="BI17" s="808" t="str">
        <f>AU17</f>
        <v>Total</v>
      </c>
      <c r="BK17" s="805"/>
    </row>
    <row r="18" spans="1:63" x14ac:dyDescent="0.35">
      <c r="A18" s="810" t="s">
        <v>38</v>
      </c>
      <c r="B18" s="811">
        <f>[10]ByRateGroupCalc!N44</f>
        <v>645</v>
      </c>
      <c r="C18" s="811"/>
      <c r="D18" s="811"/>
      <c r="E18" s="811"/>
      <c r="F18" s="811">
        <f>[10]ByRateGroupCalc!R44</f>
        <v>0</v>
      </c>
      <c r="G18" s="812">
        <f>[10]ByRateGroupCalc!S44</f>
        <v>645</v>
      </c>
      <c r="H18" s="813">
        <f>G18/G$26</f>
        <v>0.18865165252997954</v>
      </c>
      <c r="I18" s="813">
        <v>0</v>
      </c>
      <c r="J18" s="814"/>
      <c r="K18" s="811">
        <v>294</v>
      </c>
      <c r="L18" s="817"/>
      <c r="M18" s="817"/>
      <c r="N18" s="811">
        <v>0</v>
      </c>
      <c r="O18" s="811"/>
      <c r="P18" s="811"/>
      <c r="Q18" s="811"/>
      <c r="R18" s="815">
        <f>SUM(K18:Q18)</f>
        <v>294</v>
      </c>
      <c r="S18" s="813">
        <f>R18/R$26</f>
        <v>5.8029725035819539E-2</v>
      </c>
      <c r="T18" s="811">
        <f>G18*$T$27</f>
        <v>563.31383445451888</v>
      </c>
      <c r="U18" s="1164">
        <f>R18+T18</f>
        <v>857.31383445451888</v>
      </c>
      <c r="W18" s="816">
        <v>327.73200000000003</v>
      </c>
      <c r="X18" s="816"/>
      <c r="Y18" s="811"/>
      <c r="Z18" s="811">
        <v>0</v>
      </c>
      <c r="AA18" s="811"/>
      <c r="AB18" s="811"/>
      <c r="AC18" s="811"/>
      <c r="AD18" s="815">
        <f>SUM(W18:AC18)</f>
        <v>327.73200000000003</v>
      </c>
      <c r="AE18" s="813">
        <f>AD18/AD$26</f>
        <v>5.3807542138421781E-2</v>
      </c>
      <c r="AF18" s="811">
        <f>$G18*$AF$27</f>
        <v>562.37057619186896</v>
      </c>
      <c r="AG18" s="811">
        <f>$R18*$AG$27</f>
        <v>231.56779159265838</v>
      </c>
      <c r="AH18" s="1164">
        <f>AD18+AF18+AG18</f>
        <v>1121.6703677845273</v>
      </c>
      <c r="AJ18" s="811">
        <v>722.03</v>
      </c>
      <c r="AK18" s="811"/>
      <c r="AL18" s="811"/>
      <c r="AM18" s="811">
        <v>1.4179999999999999</v>
      </c>
      <c r="AN18" s="811">
        <v>688.42399999999998</v>
      </c>
      <c r="AO18" s="811">
        <v>-45.543340583828552</v>
      </c>
      <c r="AP18" s="815">
        <f>SUM(AJ18:AO18)</f>
        <v>1366.3286594161714</v>
      </c>
      <c r="AQ18" s="813">
        <f>AP18/$AP$26</f>
        <v>0.20114656279874654</v>
      </c>
      <c r="AR18" s="811">
        <f>$G18*$AR$27</f>
        <v>552.37203860778004</v>
      </c>
      <c r="AS18" s="811">
        <f>$R18*$AS$27</f>
        <v>229.59502664298401</v>
      </c>
      <c r="AT18" s="811">
        <f t="shared" ref="AT18:AT25" si="39">AD18*$AT$27</f>
        <v>77.964811689377782</v>
      </c>
      <c r="AU18" s="1165">
        <f>AP18+AR18+AS18+AT18</f>
        <v>2226.260536356313</v>
      </c>
      <c r="AW18" s="816">
        <v>532</v>
      </c>
      <c r="AX18" s="816"/>
      <c r="AY18" s="811"/>
      <c r="AZ18" s="811"/>
      <c r="BA18" s="811"/>
      <c r="BB18" s="811"/>
      <c r="BC18" s="815">
        <f>SUM(AW18:BB18)</f>
        <v>532</v>
      </c>
      <c r="BD18" s="813">
        <f>BC18/$BC$26</f>
        <v>4.4215425531914897E-2</v>
      </c>
      <c r="BE18" s="811">
        <f>$G18*$BE$27</f>
        <v>622.43807323287001</v>
      </c>
      <c r="BF18" s="811">
        <f>$R18*$BF$27</f>
        <v>98.322759942612436</v>
      </c>
      <c r="BG18" s="816">
        <f>AD18*$BG$27</f>
        <v>77.717635534424844</v>
      </c>
      <c r="BH18" s="816">
        <f>AP18*$BH$27</f>
        <v>681.96859331848725</v>
      </c>
      <c r="BI18" s="812">
        <f>BC18+BE18+BF18+BG18+BH18</f>
        <v>2012.4470620283946</v>
      </c>
      <c r="BK18" s="805"/>
    </row>
    <row r="19" spans="1:63" x14ac:dyDescent="0.35">
      <c r="A19" s="810" t="s">
        <v>557</v>
      </c>
      <c r="B19" s="811"/>
      <c r="C19" s="817">
        <f>[10]ByRateGroupCalc!O45</f>
        <v>313</v>
      </c>
      <c r="D19" s="817"/>
      <c r="E19" s="811"/>
      <c r="F19" s="811">
        <f>[10]ByRateGroupCalc!R45</f>
        <v>0</v>
      </c>
      <c r="G19" s="812">
        <f>[10]ByRateGroupCalc!S45</f>
        <v>313</v>
      </c>
      <c r="H19" s="813">
        <f>G19/G$26</f>
        <v>9.1547236033928045E-2</v>
      </c>
      <c r="I19" s="813">
        <f t="shared" ref="I19:I25" si="40">G19/NRESkW</f>
        <v>0.11283345349675558</v>
      </c>
      <c r="J19" s="814"/>
      <c r="K19" s="819"/>
      <c r="L19" s="811">
        <v>295.36599999999999</v>
      </c>
      <c r="M19" s="811"/>
      <c r="N19" s="820"/>
      <c r="O19" s="811">
        <v>1.0149999999999999</v>
      </c>
      <c r="P19" s="811"/>
      <c r="Q19" s="811"/>
      <c r="R19" s="815">
        <f t="shared" ref="R19:R25" si="41">SUM(K19:Q19)</f>
        <v>296.38099999999997</v>
      </c>
      <c r="S19" s="813">
        <f t="shared" ref="S19:S25" si="42">R19/R$26</f>
        <v>5.8499686856602826E-2</v>
      </c>
      <c r="T19" s="811">
        <f t="shared" ref="T19:T25" si="43">G19*$T$27</f>
        <v>273.36004679730917</v>
      </c>
      <c r="U19" s="1164">
        <f t="shared" ref="U19:U25" si="44">R19+T19</f>
        <v>569.74104679730908</v>
      </c>
      <c r="W19" s="816"/>
      <c r="X19" s="816">
        <v>211.6602</v>
      </c>
      <c r="Y19" s="817"/>
      <c r="Z19" s="811"/>
      <c r="AA19" s="811"/>
      <c r="AB19" s="811"/>
      <c r="AC19" s="811"/>
      <c r="AD19" s="815">
        <f t="shared" ref="AD19:AD25" si="45">SUM(W19:AC19)</f>
        <v>211.6602</v>
      </c>
      <c r="AE19" s="813">
        <f t="shared" ref="AE19:AE25" si="46">AD19/AD$26</f>
        <v>3.4750696088654089E-2</v>
      </c>
      <c r="AF19" s="811">
        <f t="shared" ref="AF19:AF25" si="47">$G19*$AF$27</f>
        <v>272.90231061713951</v>
      </c>
      <c r="AG19" s="811">
        <f t="shared" ref="AG19:AG25" si="48">$R19*$AG$27</f>
        <v>233.44317564633903</v>
      </c>
      <c r="AH19" s="1164">
        <f t="shared" ref="AH19:AH25" si="49">AD19+AF19+AG19</f>
        <v>718.00568626347854</v>
      </c>
      <c r="AJ19" s="811"/>
      <c r="AK19" s="817">
        <v>190.9992</v>
      </c>
      <c r="AL19" s="817"/>
      <c r="AM19" s="817"/>
      <c r="AN19" s="817"/>
      <c r="AO19" s="817">
        <v>104.47489267339844</v>
      </c>
      <c r="AP19" s="815">
        <f>SUM(AJ19:AO19)</f>
        <v>295.47409267339845</v>
      </c>
      <c r="AQ19" s="813">
        <f>AP19/$AP$26</f>
        <v>4.3498756853075311E-2</v>
      </c>
      <c r="AR19" s="811">
        <f t="shared" ref="AR19:AR25" si="50">$G19*$AR$27</f>
        <v>268.05030710734133</v>
      </c>
      <c r="AS19" s="811">
        <f t="shared" ref="AS19:AS25" si="51">$R19*$AS$27</f>
        <v>231.45443398460625</v>
      </c>
      <c r="AT19" s="811">
        <f t="shared" si="39"/>
        <v>50.352262321457893</v>
      </c>
      <c r="AU19" s="1165">
        <f t="shared" ref="AU19:AU25" si="52">AP19+AR19+AS19+AT19</f>
        <v>845.33109608680388</v>
      </c>
      <c r="AW19" s="816"/>
      <c r="AX19" s="818">
        <v>500</v>
      </c>
      <c r="AY19" s="817"/>
      <c r="AZ19" s="817"/>
      <c r="BA19" s="817"/>
      <c r="BB19" s="817"/>
      <c r="BC19" s="815">
        <f t="shared" ref="BC19:BC25" si="53">SUM(AW19:BB19)</f>
        <v>500</v>
      </c>
      <c r="BD19" s="813">
        <f t="shared" ref="BD19:BD24" si="54">BC19/$BC$26</f>
        <v>4.1555851063829786E-2</v>
      </c>
      <c r="BE19" s="811">
        <f t="shared" ref="BE19:BE25" si="55">$G19*$BE$27</f>
        <v>302.05134406494312</v>
      </c>
      <c r="BF19" s="811">
        <f t="shared" ref="BF19:BF25" si="56">$R19*$BF$27</f>
        <v>99.11904052568508</v>
      </c>
      <c r="BG19" s="816">
        <f t="shared" ref="BG19:BG25" si="57">AD19*$BG$27</f>
        <v>50.192627759094229</v>
      </c>
      <c r="BH19" s="816">
        <f t="shared" ref="BH19:BH25" si="58">AP19*$BH$27</f>
        <v>147.47846351158003</v>
      </c>
      <c r="BI19" s="812">
        <f t="shared" ref="BI19:BI25" si="59">BC19+BE19+BF19+BG19+BH19</f>
        <v>1098.8414758613023</v>
      </c>
      <c r="BK19" s="805"/>
    </row>
    <row r="20" spans="1:63" x14ac:dyDescent="0.35">
      <c r="A20" s="810" t="s">
        <v>558</v>
      </c>
      <c r="B20" s="819"/>
      <c r="C20" s="816">
        <f>[10]ByRateGroupCalc!O46</f>
        <v>376.2</v>
      </c>
      <c r="D20" s="816">
        <f>[10]ByRateGroupCalc!P46</f>
        <v>119.2</v>
      </c>
      <c r="E20" s="820"/>
      <c r="F20" s="811">
        <f>[10]ByRateGroupCalc!R46</f>
        <v>217.04999999999998</v>
      </c>
      <c r="G20" s="812">
        <f>[10]ByRateGroupCalc!S46</f>
        <v>712.44999999999993</v>
      </c>
      <c r="H20" s="813">
        <f t="shared" ref="H20:H25" si="60">G20/G$26</f>
        <v>0.20837964317051769</v>
      </c>
      <c r="I20" s="813">
        <f t="shared" si="40"/>
        <v>0.25683129055515497</v>
      </c>
      <c r="J20" s="814"/>
      <c r="K20" s="819"/>
      <c r="L20" s="816">
        <v>945.1712</v>
      </c>
      <c r="M20" s="816">
        <v>472.5856</v>
      </c>
      <c r="N20" s="820"/>
      <c r="O20" s="811"/>
      <c r="P20" s="811"/>
      <c r="Q20" s="811">
        <v>104.426</v>
      </c>
      <c r="R20" s="815">
        <f t="shared" si="41"/>
        <v>1522.1828</v>
      </c>
      <c r="S20" s="813">
        <f t="shared" si="42"/>
        <v>0.30044846713691803</v>
      </c>
      <c r="T20" s="811">
        <f t="shared" si="43"/>
        <v>622.22161450716578</v>
      </c>
      <c r="U20" s="1164">
        <f t="shared" si="44"/>
        <v>2144.4044145071657</v>
      </c>
      <c r="W20" s="816"/>
      <c r="X20" s="816">
        <v>707.97474999999997</v>
      </c>
      <c r="Y20" s="816">
        <v>158.74515</v>
      </c>
      <c r="Z20" s="820"/>
      <c r="AA20" s="820"/>
      <c r="AB20" s="820"/>
      <c r="AC20" s="820">
        <v>54</v>
      </c>
      <c r="AD20" s="815">
        <f t="shared" si="45"/>
        <v>920.71989999999994</v>
      </c>
      <c r="AE20" s="813">
        <f t="shared" si="46"/>
        <v>0.15116520454802546</v>
      </c>
      <c r="AF20" s="811">
        <f t="shared" si="47"/>
        <v>621.17971629131318</v>
      </c>
      <c r="AG20" s="811">
        <f t="shared" si="48"/>
        <v>1198.9405081507796</v>
      </c>
      <c r="AH20" s="1164">
        <f t="shared" si="49"/>
        <v>2740.8401244420929</v>
      </c>
      <c r="AJ20" s="819"/>
      <c r="AK20" s="819">
        <v>356.53184000000005</v>
      </c>
      <c r="AL20" s="816"/>
      <c r="AM20" s="816"/>
      <c r="AN20" s="816"/>
      <c r="AO20" s="816">
        <v>238.43874700472836</v>
      </c>
      <c r="AP20" s="815">
        <f t="shared" ref="AP20:AP25" si="61">SUM(AJ20:AO20)</f>
        <v>594.97058700472837</v>
      </c>
      <c r="AQ20" s="813">
        <f t="shared" ref="AQ20:AQ25" si="62">AP20/$AP$26</f>
        <v>8.7589678894308673E-2</v>
      </c>
      <c r="AR20" s="811">
        <f t="shared" si="50"/>
        <v>610.13559520327567</v>
      </c>
      <c r="AS20" s="811">
        <f t="shared" si="51"/>
        <v>1188.7265323860272</v>
      </c>
      <c r="AT20" s="811">
        <f t="shared" si="39"/>
        <v>219.03187245115743</v>
      </c>
      <c r="AU20" s="1165">
        <f t="shared" si="52"/>
        <v>2612.8645870451887</v>
      </c>
      <c r="AW20" s="1091"/>
      <c r="AX20" s="1091">
        <v>1000</v>
      </c>
      <c r="AY20" s="816"/>
      <c r="AZ20" s="816"/>
      <c r="BA20" s="816"/>
      <c r="BB20" s="816"/>
      <c r="BC20" s="815">
        <f t="shared" si="53"/>
        <v>1000</v>
      </c>
      <c r="BD20" s="813">
        <f t="shared" si="54"/>
        <v>8.3111702127659573E-2</v>
      </c>
      <c r="BE20" s="811">
        <f t="shared" si="55"/>
        <v>687.52869034846231</v>
      </c>
      <c r="BF20" s="811">
        <f t="shared" si="56"/>
        <v>509.0653538543321</v>
      </c>
      <c r="BG20" s="816">
        <f t="shared" si="57"/>
        <v>218.33746359065358</v>
      </c>
      <c r="BH20" s="816">
        <f t="shared" si="58"/>
        <v>296.96460766538092</v>
      </c>
      <c r="BI20" s="812">
        <f t="shared" si="59"/>
        <v>2711.8961154588287</v>
      </c>
      <c r="BK20" s="805"/>
    </row>
    <row r="21" spans="1:63" x14ac:dyDescent="0.35">
      <c r="A21" s="810" t="s">
        <v>559</v>
      </c>
      <c r="B21" s="819"/>
      <c r="C21" s="816">
        <f>[10]ByRateGroupCalc!O47</f>
        <v>0</v>
      </c>
      <c r="D21" s="816">
        <f>[10]ByRateGroupCalc!P47</f>
        <v>29.8</v>
      </c>
      <c r="E21" s="820"/>
      <c r="F21" s="811">
        <f>[10]ByRateGroupCalc!R47</f>
        <v>940.55000000000007</v>
      </c>
      <c r="G21" s="812">
        <f>[10]ByRateGroupCalc!S47</f>
        <v>970.35</v>
      </c>
      <c r="H21" s="813">
        <f t="shared" si="60"/>
        <v>0.28381105586428779</v>
      </c>
      <c r="I21" s="813">
        <f t="shared" si="40"/>
        <v>0.34980173035328049</v>
      </c>
      <c r="J21" s="821"/>
      <c r="K21" s="819"/>
      <c r="L21" s="816">
        <v>0</v>
      </c>
      <c r="M21" s="816">
        <v>59.0732</v>
      </c>
      <c r="N21" s="820"/>
      <c r="P21" s="811"/>
      <c r="Q21" s="811"/>
      <c r="R21" s="815">
        <f t="shared" si="41"/>
        <v>59.0732</v>
      </c>
      <c r="S21" s="813">
        <f t="shared" si="42"/>
        <v>1.1659869227843452E-2</v>
      </c>
      <c r="T21" s="811">
        <f t="shared" si="43"/>
        <v>847.45981281076342</v>
      </c>
      <c r="U21" s="1164">
        <f t="shared" si="44"/>
        <v>906.53301281076347</v>
      </c>
      <c r="W21" s="816"/>
      <c r="X21" s="816">
        <v>0</v>
      </c>
      <c r="Y21" s="816">
        <v>443.39949999999999</v>
      </c>
      <c r="Z21" s="820"/>
      <c r="AA21" s="820"/>
      <c r="AB21" s="820"/>
      <c r="AC21" s="820"/>
      <c r="AD21" s="815">
        <f t="shared" si="45"/>
        <v>443.39949999999999</v>
      </c>
      <c r="AE21" s="813">
        <f t="shared" si="46"/>
        <v>7.279800959444041E-2</v>
      </c>
      <c r="AF21" s="811">
        <f t="shared" si="47"/>
        <v>846.04075753144184</v>
      </c>
      <c r="AG21" s="811">
        <f t="shared" si="48"/>
        <v>46.528743082691925</v>
      </c>
      <c r="AH21" s="1164">
        <f t="shared" si="49"/>
        <v>1335.9690006141338</v>
      </c>
      <c r="AJ21" s="819"/>
      <c r="AK21" s="819">
        <v>522.06448</v>
      </c>
      <c r="AL21" s="816"/>
      <c r="AM21" s="816"/>
      <c r="AN21" s="816"/>
      <c r="AO21" s="816">
        <v>179.89510750280715</v>
      </c>
      <c r="AP21" s="815">
        <f t="shared" si="61"/>
        <v>701.95958750280715</v>
      </c>
      <c r="AQ21" s="813">
        <f t="shared" si="62"/>
        <v>0.10334025951717109</v>
      </c>
      <c r="AR21" s="811">
        <f t="shared" si="50"/>
        <v>830.99877157063463</v>
      </c>
      <c r="AS21" s="811">
        <f t="shared" si="51"/>
        <v>46.132356897572528</v>
      </c>
      <c r="AT21" s="811">
        <f t="shared" si="39"/>
        <v>105.48118133311444</v>
      </c>
      <c r="AU21" s="1165">
        <f t="shared" si="52"/>
        <v>1684.5718973041287</v>
      </c>
      <c r="AW21" s="1091"/>
      <c r="AX21" s="1091">
        <v>2000</v>
      </c>
      <c r="AY21" s="816"/>
      <c r="AZ21" s="816"/>
      <c r="BA21" s="816"/>
      <c r="BB21" s="816"/>
      <c r="BC21" s="815">
        <f t="shared" si="53"/>
        <v>2000</v>
      </c>
      <c r="BD21" s="813">
        <f t="shared" si="54"/>
        <v>0.16622340425531915</v>
      </c>
      <c r="BE21" s="811">
        <f t="shared" si="55"/>
        <v>936.40741761475249</v>
      </c>
      <c r="BF21" s="811">
        <f t="shared" si="56"/>
        <v>19.755918580414736</v>
      </c>
      <c r="BG21" s="816">
        <f t="shared" si="57"/>
        <v>105.14676850947178</v>
      </c>
      <c r="BH21" s="816">
        <f t="shared" si="58"/>
        <v>350.3654769711618</v>
      </c>
      <c r="BI21" s="812">
        <f t="shared" si="59"/>
        <v>3411.6755816758005</v>
      </c>
      <c r="BK21" s="805"/>
    </row>
    <row r="22" spans="1:63" x14ac:dyDescent="0.35">
      <c r="A22" s="810" t="s">
        <v>541</v>
      </c>
      <c r="B22" s="819"/>
      <c r="C22" s="816">
        <f>[10]ByRateGroupCalc!O48</f>
        <v>41.800000000000004</v>
      </c>
      <c r="D22" s="816">
        <f>[10]ByRateGroupCalc!P48</f>
        <v>447</v>
      </c>
      <c r="E22" s="820"/>
      <c r="F22" s="811">
        <f>[10]ByRateGroupCalc!R48</f>
        <v>289.40000000000003</v>
      </c>
      <c r="G22" s="812">
        <f>[10]ByRateGroupCalc!S48</f>
        <v>778.2</v>
      </c>
      <c r="H22" s="813">
        <f t="shared" si="60"/>
        <v>0.22761041240128693</v>
      </c>
      <c r="I22" s="813">
        <f t="shared" si="40"/>
        <v>0.28053352559480893</v>
      </c>
      <c r="J22" s="821"/>
      <c r="K22" s="819"/>
      <c r="L22" s="816">
        <v>472.5856</v>
      </c>
      <c r="M22" s="816">
        <v>118.1464</v>
      </c>
      <c r="N22" s="820"/>
      <c r="O22" s="811"/>
      <c r="P22" s="811">
        <v>2304</v>
      </c>
      <c r="Q22" s="811"/>
      <c r="R22" s="815">
        <f t="shared" si="41"/>
        <v>2894.732</v>
      </c>
      <c r="S22" s="813">
        <f t="shared" si="42"/>
        <v>0.57136225174281619</v>
      </c>
      <c r="T22" s="811">
        <f t="shared" si="43"/>
        <v>679.6446914302428</v>
      </c>
      <c r="U22" s="1164">
        <f t="shared" si="44"/>
        <v>3574.3766914302428</v>
      </c>
      <c r="W22" s="816"/>
      <c r="X22" s="816">
        <v>899.55584999999996</v>
      </c>
      <c r="Y22" s="816">
        <v>3271.7515500000004</v>
      </c>
      <c r="Z22" s="820"/>
      <c r="AA22" s="820"/>
      <c r="AB22" s="820">
        <v>16</v>
      </c>
      <c r="AC22" s="820"/>
      <c r="AD22" s="815">
        <f t="shared" si="45"/>
        <v>4187.3074000000006</v>
      </c>
      <c r="AE22" s="813">
        <f t="shared" si="46"/>
        <v>0.68747854763045824</v>
      </c>
      <c r="AF22" s="811">
        <f t="shared" si="47"/>
        <v>678.50663936823628</v>
      </c>
      <c r="AG22" s="811">
        <f t="shared" si="48"/>
        <v>2280.0227771857112</v>
      </c>
      <c r="AH22" s="1164">
        <f t="shared" si="49"/>
        <v>7145.8368165539487</v>
      </c>
      <c r="AJ22" s="819"/>
      <c r="AK22" s="819">
        <v>203.73248000000001</v>
      </c>
      <c r="AL22" s="816"/>
      <c r="AM22" s="816"/>
      <c r="AN22" s="816"/>
      <c r="AO22" s="816">
        <v>3630.2365934028953</v>
      </c>
      <c r="AP22" s="815">
        <f t="shared" si="61"/>
        <v>3833.9690734028954</v>
      </c>
      <c r="AQ22" s="813">
        <f t="shared" si="62"/>
        <v>0.56442474193669834</v>
      </c>
      <c r="AR22" s="811">
        <f t="shared" si="50"/>
        <v>666.44328751096816</v>
      </c>
      <c r="AS22" s="811">
        <f t="shared" si="51"/>
        <v>2260.5988798105386</v>
      </c>
      <c r="AT22" s="811">
        <f t="shared" si="39"/>
        <v>996.12681375800378</v>
      </c>
      <c r="AU22" s="1165">
        <f t="shared" si="52"/>
        <v>7757.1380544824051</v>
      </c>
      <c r="AW22" s="1091"/>
      <c r="AX22" s="1091">
        <v>8000</v>
      </c>
      <c r="AY22" s="816"/>
      <c r="AZ22" s="816"/>
      <c r="BA22" s="816"/>
      <c r="BB22" s="816"/>
      <c r="BC22" s="815">
        <f t="shared" si="53"/>
        <v>8000</v>
      </c>
      <c r="BD22" s="813">
        <f t="shared" si="54"/>
        <v>0.66489361702127658</v>
      </c>
      <c r="BE22" s="811">
        <f t="shared" si="55"/>
        <v>750.978773007472</v>
      </c>
      <c r="BF22" s="811">
        <f t="shared" si="56"/>
        <v>968.0885698442122</v>
      </c>
      <c r="BG22" s="816">
        <f t="shared" si="57"/>
        <v>992.96873782175726</v>
      </c>
      <c r="BH22" s="816">
        <f t="shared" si="58"/>
        <v>1913.6292558866387</v>
      </c>
      <c r="BI22" s="812">
        <f t="shared" si="59"/>
        <v>12625.66533656008</v>
      </c>
      <c r="BK22" s="805"/>
    </row>
    <row r="23" spans="1:63" x14ac:dyDescent="0.35">
      <c r="A23" s="810" t="s">
        <v>542</v>
      </c>
      <c r="B23" s="811"/>
      <c r="C23" s="822"/>
      <c r="D23" s="822"/>
      <c r="E23" s="811"/>
      <c r="F23" s="811"/>
      <c r="G23" s="812">
        <f>[10]ByRateGroupCalc!S49</f>
        <v>0</v>
      </c>
      <c r="H23" s="813">
        <f t="shared" si="60"/>
        <v>0</v>
      </c>
      <c r="I23" s="813">
        <f t="shared" si="40"/>
        <v>0</v>
      </c>
      <c r="J23" s="821"/>
      <c r="K23" s="819"/>
      <c r="L23" s="811"/>
      <c r="M23" s="811"/>
      <c r="N23" s="820"/>
      <c r="O23" s="811"/>
      <c r="P23" s="811"/>
      <c r="Q23" s="811"/>
      <c r="R23" s="815">
        <f t="shared" si="41"/>
        <v>0</v>
      </c>
      <c r="S23" s="813">
        <f t="shared" si="42"/>
        <v>0</v>
      </c>
      <c r="T23" s="811">
        <f t="shared" si="43"/>
        <v>0</v>
      </c>
      <c r="U23" s="1164">
        <f t="shared" si="44"/>
        <v>0</v>
      </c>
      <c r="W23" s="811"/>
      <c r="X23" s="817"/>
      <c r="Y23" s="822"/>
      <c r="Z23" s="811"/>
      <c r="AA23" s="811"/>
      <c r="AB23" s="811"/>
      <c r="AC23" s="811"/>
      <c r="AD23" s="815">
        <f t="shared" si="45"/>
        <v>0</v>
      </c>
      <c r="AE23" s="813">
        <f t="shared" si="46"/>
        <v>0</v>
      </c>
      <c r="AF23" s="811">
        <f t="shared" si="47"/>
        <v>0</v>
      </c>
      <c r="AG23" s="811">
        <f t="shared" si="48"/>
        <v>0</v>
      </c>
      <c r="AH23" s="1164">
        <f t="shared" si="49"/>
        <v>0</v>
      </c>
      <c r="AJ23" s="811"/>
      <c r="AK23" s="822"/>
      <c r="AL23" s="822"/>
      <c r="AM23" s="822"/>
      <c r="AN23" s="822"/>
      <c r="AO23" s="822"/>
      <c r="AP23" s="815">
        <f t="shared" si="61"/>
        <v>0</v>
      </c>
      <c r="AQ23" s="813">
        <f t="shared" si="62"/>
        <v>0</v>
      </c>
      <c r="AR23" s="811">
        <f t="shared" si="50"/>
        <v>0</v>
      </c>
      <c r="AS23" s="811">
        <f t="shared" si="51"/>
        <v>0</v>
      </c>
      <c r="AT23" s="811">
        <f t="shared" si="39"/>
        <v>0</v>
      </c>
      <c r="AU23" s="1165">
        <f t="shared" si="52"/>
        <v>0</v>
      </c>
      <c r="AW23" s="811"/>
      <c r="AX23" s="822"/>
      <c r="AY23" s="822"/>
      <c r="AZ23" s="822"/>
      <c r="BA23" s="822"/>
      <c r="BB23" s="822"/>
      <c r="BC23" s="815">
        <f t="shared" si="53"/>
        <v>0</v>
      </c>
      <c r="BD23" s="813">
        <f t="shared" si="54"/>
        <v>0</v>
      </c>
      <c r="BE23" s="811">
        <f t="shared" si="55"/>
        <v>0</v>
      </c>
      <c r="BF23" s="811">
        <f t="shared" si="56"/>
        <v>0</v>
      </c>
      <c r="BG23" s="816">
        <f t="shared" si="57"/>
        <v>0</v>
      </c>
      <c r="BH23" s="816">
        <f t="shared" si="58"/>
        <v>0</v>
      </c>
      <c r="BI23" s="812">
        <f t="shared" si="59"/>
        <v>0</v>
      </c>
      <c r="BK23" s="805"/>
    </row>
    <row r="24" spans="1:63" x14ac:dyDescent="0.35">
      <c r="A24" s="810" t="s">
        <v>41</v>
      </c>
      <c r="B24" s="811"/>
      <c r="C24" s="811"/>
      <c r="D24" s="811"/>
      <c r="E24" s="811"/>
      <c r="F24" s="811"/>
      <c r="G24" s="812">
        <f>[10]ByRateGroupCalc!S50</f>
        <v>0</v>
      </c>
      <c r="H24" s="813">
        <f t="shared" si="60"/>
        <v>0</v>
      </c>
      <c r="I24" s="813">
        <f t="shared" si="40"/>
        <v>0</v>
      </c>
      <c r="J24" s="821"/>
      <c r="K24" s="811"/>
      <c r="L24" s="811"/>
      <c r="M24" s="811"/>
      <c r="N24" s="811"/>
      <c r="O24" s="811"/>
      <c r="P24" s="811"/>
      <c r="Q24" s="811"/>
      <c r="R24" s="815">
        <f t="shared" si="41"/>
        <v>0</v>
      </c>
      <c r="S24" s="813">
        <f t="shared" si="42"/>
        <v>0</v>
      </c>
      <c r="T24" s="811">
        <f t="shared" si="43"/>
        <v>0</v>
      </c>
      <c r="U24" s="1164">
        <f t="shared" si="44"/>
        <v>0</v>
      </c>
      <c r="W24" s="811"/>
      <c r="X24" s="817"/>
      <c r="Y24" s="811"/>
      <c r="Z24" s="811"/>
      <c r="AA24" s="811"/>
      <c r="AB24" s="811"/>
      <c r="AC24" s="811"/>
      <c r="AD24" s="815">
        <f t="shared" si="45"/>
        <v>0</v>
      </c>
      <c r="AE24" s="813">
        <f t="shared" si="46"/>
        <v>0</v>
      </c>
      <c r="AF24" s="811">
        <f t="shared" si="47"/>
        <v>0</v>
      </c>
      <c r="AG24" s="811">
        <f t="shared" si="48"/>
        <v>0</v>
      </c>
      <c r="AH24" s="1164">
        <f t="shared" si="49"/>
        <v>0</v>
      </c>
      <c r="AJ24" s="811"/>
      <c r="AK24" s="811"/>
      <c r="AL24" s="811"/>
      <c r="AM24" s="811"/>
      <c r="AN24" s="811"/>
      <c r="AO24" s="811"/>
      <c r="AP24" s="815">
        <f t="shared" si="61"/>
        <v>0</v>
      </c>
      <c r="AQ24" s="813">
        <f t="shared" si="62"/>
        <v>0</v>
      </c>
      <c r="AR24" s="811">
        <f t="shared" si="50"/>
        <v>0</v>
      </c>
      <c r="AS24" s="811">
        <f t="shared" si="51"/>
        <v>0</v>
      </c>
      <c r="AT24" s="811">
        <f t="shared" si="39"/>
        <v>0</v>
      </c>
      <c r="AU24" s="1165">
        <f t="shared" si="52"/>
        <v>0</v>
      </c>
      <c r="AW24" s="811"/>
      <c r="AX24" s="811"/>
      <c r="AY24" s="811"/>
      <c r="AZ24" s="811"/>
      <c r="BA24" s="811"/>
      <c r="BB24" s="811"/>
      <c r="BC24" s="815">
        <f t="shared" si="53"/>
        <v>0</v>
      </c>
      <c r="BD24" s="813">
        <f t="shared" si="54"/>
        <v>0</v>
      </c>
      <c r="BE24" s="811">
        <f t="shared" si="55"/>
        <v>0</v>
      </c>
      <c r="BF24" s="811">
        <f t="shared" si="56"/>
        <v>0</v>
      </c>
      <c r="BG24" s="816">
        <f t="shared" si="57"/>
        <v>0</v>
      </c>
      <c r="BH24" s="816">
        <f t="shared" si="58"/>
        <v>0</v>
      </c>
      <c r="BI24" s="812">
        <f t="shared" si="59"/>
        <v>0</v>
      </c>
      <c r="BK24" s="805"/>
    </row>
    <row r="25" spans="1:63" ht="15" thickBot="1" x14ac:dyDescent="0.4">
      <c r="A25" s="823" t="s">
        <v>42</v>
      </c>
      <c r="B25" s="817"/>
      <c r="C25" s="817"/>
      <c r="D25" s="817"/>
      <c r="E25" s="817"/>
      <c r="F25" s="817"/>
      <c r="G25" s="824">
        <f>[10]ByRateGroupCalc!S51</f>
        <v>0</v>
      </c>
      <c r="H25" s="813">
        <f t="shared" si="60"/>
        <v>0</v>
      </c>
      <c r="I25" s="813">
        <f t="shared" si="40"/>
        <v>0</v>
      </c>
      <c r="J25" s="821"/>
      <c r="K25" s="817"/>
      <c r="L25" s="817"/>
      <c r="M25" s="811"/>
      <c r="N25" s="811"/>
      <c r="O25" s="811"/>
      <c r="P25" s="811"/>
      <c r="Q25" s="811"/>
      <c r="R25" s="815">
        <f t="shared" si="41"/>
        <v>0</v>
      </c>
      <c r="S25" s="813">
        <f t="shared" si="42"/>
        <v>0</v>
      </c>
      <c r="T25" s="811">
        <f t="shared" si="43"/>
        <v>0</v>
      </c>
      <c r="U25" s="1164">
        <f t="shared" si="44"/>
        <v>0</v>
      </c>
      <c r="W25" s="817"/>
      <c r="X25" s="817"/>
      <c r="Y25" s="817"/>
      <c r="Z25" s="817"/>
      <c r="AA25" s="817"/>
      <c r="AB25" s="817"/>
      <c r="AC25" s="817"/>
      <c r="AD25" s="815">
        <f t="shared" si="45"/>
        <v>0</v>
      </c>
      <c r="AE25" s="813">
        <f t="shared" si="46"/>
        <v>0</v>
      </c>
      <c r="AF25" s="811">
        <f t="shared" si="47"/>
        <v>0</v>
      </c>
      <c r="AG25" s="811">
        <f t="shared" si="48"/>
        <v>0</v>
      </c>
      <c r="AH25" s="1164">
        <f t="shared" si="49"/>
        <v>0</v>
      </c>
      <c r="AJ25" s="817"/>
      <c r="AK25" s="817"/>
      <c r="AL25" s="817"/>
      <c r="AM25" s="817"/>
      <c r="AN25" s="817"/>
      <c r="AO25" s="817"/>
      <c r="AP25" s="815">
        <f t="shared" si="61"/>
        <v>0</v>
      </c>
      <c r="AQ25" s="813">
        <f t="shared" si="62"/>
        <v>0</v>
      </c>
      <c r="AR25" s="811">
        <f t="shared" si="50"/>
        <v>0</v>
      </c>
      <c r="AS25" s="811">
        <f t="shared" si="51"/>
        <v>0</v>
      </c>
      <c r="AT25" s="811">
        <f t="shared" si="39"/>
        <v>0</v>
      </c>
      <c r="AU25" s="1165">
        <f t="shared" si="52"/>
        <v>0</v>
      </c>
      <c r="AW25" s="817"/>
      <c r="AX25" s="817"/>
      <c r="AY25" s="817"/>
      <c r="AZ25" s="817"/>
      <c r="BA25" s="817"/>
      <c r="BB25" s="817"/>
      <c r="BC25" s="815">
        <f t="shared" si="53"/>
        <v>0</v>
      </c>
      <c r="BD25" s="813">
        <f t="shared" ref="BD25" si="63">BC25/$AP$13</f>
        <v>0</v>
      </c>
      <c r="BE25" s="811">
        <f t="shared" si="55"/>
        <v>0</v>
      </c>
      <c r="BF25" s="811">
        <f t="shared" si="56"/>
        <v>0</v>
      </c>
      <c r="BG25" s="816">
        <f t="shared" si="57"/>
        <v>0</v>
      </c>
      <c r="BH25" s="816">
        <f t="shared" si="58"/>
        <v>0</v>
      </c>
      <c r="BI25" s="812">
        <f t="shared" si="59"/>
        <v>0</v>
      </c>
      <c r="BK25" s="805"/>
    </row>
    <row r="26" spans="1:63" ht="15" thickBot="1" x14ac:dyDescent="0.4">
      <c r="A26" s="825" t="str">
        <f>[10]ByRateGroupCalc!L52</f>
        <v>Total</v>
      </c>
      <c r="B26" s="843">
        <f>[10]ByRateGroupCalc!N52</f>
        <v>645</v>
      </c>
      <c r="C26" s="844">
        <f>[10]ByRateGroupCalc!O52</f>
        <v>731</v>
      </c>
      <c r="D26" s="844">
        <f>[10]ByRateGroupCalc!P52</f>
        <v>596</v>
      </c>
      <c r="E26" s="844">
        <f>[10]ByRateGroupCalc!Q52</f>
        <v>0</v>
      </c>
      <c r="F26" s="844">
        <f>[10]ByRateGroupCalc!R52</f>
        <v>1447</v>
      </c>
      <c r="G26" s="845">
        <f>SUM(G18:G25)</f>
        <v>3419</v>
      </c>
      <c r="H26" s="829">
        <f>SUM(H18:H25)</f>
        <v>1</v>
      </c>
      <c r="I26" s="829">
        <f>SUM(I18:I25)</f>
        <v>1</v>
      </c>
      <c r="J26" s="821"/>
      <c r="K26" s="830">
        <f>SUM(K18:K25)</f>
        <v>294</v>
      </c>
      <c r="L26" s="830">
        <f t="shared" ref="L26:Q26" si="64">SUM(L18:L25)</f>
        <v>1713.1228000000001</v>
      </c>
      <c r="M26" s="830">
        <f t="shared" si="64"/>
        <v>649.80520000000001</v>
      </c>
      <c r="N26" s="830">
        <f t="shared" si="64"/>
        <v>0</v>
      </c>
      <c r="O26" s="830">
        <f t="shared" si="64"/>
        <v>1.0149999999999999</v>
      </c>
      <c r="P26" s="830">
        <f t="shared" si="64"/>
        <v>2304</v>
      </c>
      <c r="Q26" s="830">
        <f t="shared" si="64"/>
        <v>104.426</v>
      </c>
      <c r="R26" s="831">
        <f>SUM(R18:R25)</f>
        <v>5066.3689999999997</v>
      </c>
      <c r="S26" s="832">
        <f>SUM(S18:S25)</f>
        <v>1</v>
      </c>
      <c r="T26" s="846">
        <f t="shared" ref="T26" si="65">SUM(T18:T25)</f>
        <v>2986.0000000000005</v>
      </c>
      <c r="U26" s="847">
        <f>SUM(U18:U25)</f>
        <v>8052.3690000000006</v>
      </c>
      <c r="W26" s="843">
        <f>SUM(W18:W25)</f>
        <v>327.73200000000003</v>
      </c>
      <c r="X26" s="843">
        <f t="shared" ref="X26:AC26" si="66">SUM(X18:X25)</f>
        <v>1819.1907999999999</v>
      </c>
      <c r="Y26" s="843">
        <f t="shared" si="66"/>
        <v>3873.8962000000001</v>
      </c>
      <c r="Z26" s="843">
        <f t="shared" si="66"/>
        <v>0</v>
      </c>
      <c r="AA26" s="843">
        <f t="shared" si="66"/>
        <v>0</v>
      </c>
      <c r="AB26" s="843">
        <f t="shared" si="66"/>
        <v>16</v>
      </c>
      <c r="AC26" s="843">
        <f t="shared" si="66"/>
        <v>54</v>
      </c>
      <c r="AD26" s="831">
        <f>SUM(AD18:AD25)</f>
        <v>6090.8190000000004</v>
      </c>
      <c r="AE26" s="832">
        <f>SUM(AE18:AE25)</f>
        <v>1</v>
      </c>
      <c r="AF26" s="846">
        <f t="shared" ref="AF26:AG26" si="67">SUM(AF18:AF25)</f>
        <v>2981</v>
      </c>
      <c r="AG26" s="846">
        <f t="shared" si="67"/>
        <v>3990.5029956581802</v>
      </c>
      <c r="AH26" s="847">
        <f>SUM(AH18:AH25)</f>
        <v>13062.321995658182</v>
      </c>
      <c r="AJ26" s="843">
        <f>SUM(AJ18:AJ25)</f>
        <v>722.03</v>
      </c>
      <c r="AK26" s="843">
        <f>SUM(AK18:AK25)</f>
        <v>1273.328</v>
      </c>
      <c r="AL26" s="843">
        <f t="shared" ref="AL26:AO26" si="68">SUM(AL18:AL25)</f>
        <v>0</v>
      </c>
      <c r="AM26" s="848">
        <f t="shared" si="68"/>
        <v>1.4179999999999999</v>
      </c>
      <c r="AN26" s="848">
        <f t="shared" si="68"/>
        <v>688.42399999999998</v>
      </c>
      <c r="AO26" s="848">
        <f t="shared" si="68"/>
        <v>4107.5020000000004</v>
      </c>
      <c r="AP26" s="831">
        <f>SUM(AP18:AP25)</f>
        <v>6792.7020000000011</v>
      </c>
      <c r="AQ26" s="832">
        <f>SUM(AQ18:AQ25)</f>
        <v>1</v>
      </c>
      <c r="AR26" s="846">
        <f t="shared" ref="AR26:AT26" si="69">SUM(AR18:AR25)</f>
        <v>2928</v>
      </c>
      <c r="AS26" s="846">
        <f t="shared" si="69"/>
        <v>3956.5072297217284</v>
      </c>
      <c r="AT26" s="846">
        <f t="shared" si="69"/>
        <v>1448.9569415531114</v>
      </c>
      <c r="AU26" s="846">
        <f>SUM(AU18:AU25)</f>
        <v>15126.166171274839</v>
      </c>
      <c r="AW26" s="843">
        <f>SUM(AW18:AW25)</f>
        <v>532</v>
      </c>
      <c r="AX26" s="843">
        <f>SUM(AX18:AX25)</f>
        <v>11500</v>
      </c>
      <c r="AY26" s="843">
        <f t="shared" ref="AY26:BB26" si="70">SUM(AY18:AY25)</f>
        <v>0</v>
      </c>
      <c r="AZ26" s="848">
        <f t="shared" si="70"/>
        <v>0</v>
      </c>
      <c r="BA26" s="848">
        <f t="shared" si="70"/>
        <v>0</v>
      </c>
      <c r="BB26" s="848">
        <f t="shared" si="70"/>
        <v>0</v>
      </c>
      <c r="BC26" s="831">
        <f>SUM(BC18:BC25)</f>
        <v>12032</v>
      </c>
      <c r="BD26" s="832">
        <f>SUM(BD18:BD25)</f>
        <v>1</v>
      </c>
      <c r="BE26" s="846">
        <f>SUM(BE18:BE25)</f>
        <v>3299.4042982684996</v>
      </c>
      <c r="BF26" s="846">
        <f t="shared" ref="BF26" si="71">SUM(BF18:BF25)</f>
        <v>1694.3516427472564</v>
      </c>
      <c r="BG26" s="846">
        <f>SUM(BG18:BG25)</f>
        <v>1444.3632332154016</v>
      </c>
      <c r="BH26" s="846">
        <f>SUM(BH18:BH25)</f>
        <v>3390.4063973532484</v>
      </c>
      <c r="BI26" s="846">
        <f t="shared" ref="BI26" si="72">SUM(BI18:BI25)</f>
        <v>21860.525571584407</v>
      </c>
      <c r="BK26" s="805"/>
    </row>
    <row r="27" spans="1:63" x14ac:dyDescent="0.35">
      <c r="C27" s="837"/>
      <c r="D27" s="837"/>
      <c r="F27" s="849"/>
      <c r="G27" s="849"/>
      <c r="H27" s="850" t="s">
        <v>647</v>
      </c>
      <c r="I27" s="851">
        <f>SUM(G6:G12)</f>
        <v>12792773</v>
      </c>
      <c r="K27" s="834"/>
      <c r="L27" s="834"/>
      <c r="M27" s="805"/>
      <c r="N27" s="805"/>
      <c r="O27" s="805"/>
      <c r="P27" s="805"/>
      <c r="Q27" s="805"/>
      <c r="R27" s="834"/>
      <c r="S27" s="835" t="s">
        <v>642</v>
      </c>
      <c r="T27" s="836">
        <f>C100</f>
        <v>0.87335478210002926</v>
      </c>
      <c r="AD27" s="834"/>
      <c r="AE27" s="835" t="s">
        <v>642</v>
      </c>
      <c r="AF27" s="836">
        <f>D100</f>
        <v>0.87189236618894406</v>
      </c>
      <c r="AG27" s="836">
        <f>D102</f>
        <v>0.78764554963489242</v>
      </c>
      <c r="AP27" s="852">
        <v>11683</v>
      </c>
      <c r="AQ27" s="835" t="s">
        <v>642</v>
      </c>
      <c r="AR27" s="836">
        <f>E100</f>
        <v>0.85639075753144189</v>
      </c>
      <c r="AS27" s="836">
        <f>E102</f>
        <v>0.78093546477205444</v>
      </c>
      <c r="AT27" s="836">
        <f>E104</f>
        <v>0.2378919717616155</v>
      </c>
      <c r="BC27" s="853"/>
      <c r="BD27" s="835" t="s">
        <v>642</v>
      </c>
      <c r="BE27" s="1197">
        <f>F121</f>
        <v>0.96502026857809298</v>
      </c>
      <c r="BF27" s="836">
        <f>F122</f>
        <v>0.33443115626738923</v>
      </c>
      <c r="BG27" s="836">
        <f>F123</f>
        <v>0.23713776968506231</v>
      </c>
      <c r="BH27" s="836">
        <f>F124</f>
        <v>0.49912485449137151</v>
      </c>
      <c r="BK27" s="805"/>
    </row>
    <row r="28" spans="1:63" x14ac:dyDescent="0.35">
      <c r="F28" s="849"/>
      <c r="G28" s="849"/>
      <c r="H28" s="850" t="s">
        <v>648</v>
      </c>
      <c r="I28" s="851">
        <f>SUM(G19:G25)</f>
        <v>2774</v>
      </c>
      <c r="AW28" s="805"/>
      <c r="AX28" s="805"/>
      <c r="AY28" s="805"/>
      <c r="AZ28" s="805"/>
      <c r="BA28" s="805"/>
      <c r="BB28" s="805"/>
      <c r="BC28" s="805"/>
      <c r="BK28" s="805"/>
    </row>
    <row r="29" spans="1:63" s="805" customFormat="1" x14ac:dyDescent="0.35">
      <c r="A29" s="854" t="s">
        <v>649</v>
      </c>
      <c r="B29" s="855"/>
      <c r="C29" s="855"/>
      <c r="D29" s="855"/>
      <c r="E29" s="855"/>
      <c r="F29" s="855"/>
      <c r="G29" s="855"/>
      <c r="H29" s="856"/>
      <c r="I29" s="857"/>
      <c r="J29" s="855"/>
      <c r="K29" s="855"/>
      <c r="L29" s="855"/>
      <c r="M29" s="855"/>
      <c r="N29" s="855"/>
      <c r="O29" s="855"/>
      <c r="P29" s="855"/>
      <c r="AP29" s="821"/>
    </row>
    <row r="30" spans="1:63" ht="15" thickBot="1" x14ac:dyDescent="0.4">
      <c r="A30" s="858"/>
    </row>
    <row r="31" spans="1:63" ht="15" thickBot="1" x14ac:dyDescent="0.4">
      <c r="A31" s="859" t="s">
        <v>650</v>
      </c>
      <c r="B31" s="1483" t="s">
        <v>651</v>
      </c>
      <c r="C31" s="1484"/>
      <c r="D31" s="1492" t="s">
        <v>652</v>
      </c>
      <c r="E31" s="1493"/>
      <c r="F31" s="1483" t="s">
        <v>653</v>
      </c>
      <c r="G31" s="1484"/>
      <c r="K31" s="860"/>
      <c r="L31" s="860"/>
      <c r="M31" s="860"/>
    </row>
    <row r="32" spans="1:63" ht="102" thickBot="1" x14ac:dyDescent="0.4">
      <c r="A32" s="859" t="s">
        <v>654</v>
      </c>
      <c r="B32" s="861" t="s">
        <v>655</v>
      </c>
      <c r="C32" s="861" t="s">
        <v>656</v>
      </c>
      <c r="D32" s="862" t="s">
        <v>655</v>
      </c>
      <c r="E32" s="862" t="s">
        <v>656</v>
      </c>
      <c r="F32" s="861" t="s">
        <v>657</v>
      </c>
      <c r="G32" s="861" t="s">
        <v>658</v>
      </c>
      <c r="K32" s="860"/>
      <c r="L32" s="860"/>
      <c r="M32" s="860"/>
    </row>
    <row r="33" spans="1:13" ht="15" thickBot="1" x14ac:dyDescent="0.4">
      <c r="A33" s="863" t="s">
        <v>659</v>
      </c>
      <c r="B33" s="864">
        <v>992</v>
      </c>
      <c r="C33" s="865">
        <v>2503429</v>
      </c>
      <c r="D33" s="866">
        <v>645</v>
      </c>
      <c r="E33" s="867">
        <v>1613390</v>
      </c>
      <c r="F33" s="864">
        <v>519</v>
      </c>
      <c r="G33" s="865">
        <v>6451825</v>
      </c>
      <c r="K33" s="868"/>
      <c r="L33" s="860"/>
      <c r="M33" s="860"/>
    </row>
    <row r="34" spans="1:13" ht="15" thickBot="1" x14ac:dyDescent="0.4">
      <c r="A34" s="863" t="s">
        <v>660</v>
      </c>
      <c r="B34" s="864">
        <v>848</v>
      </c>
      <c r="C34" s="865">
        <v>1573434</v>
      </c>
      <c r="D34" s="866">
        <v>731</v>
      </c>
      <c r="E34" s="867">
        <v>1340190</v>
      </c>
      <c r="F34" s="864">
        <v>367</v>
      </c>
      <c r="G34" s="865">
        <v>5148720</v>
      </c>
      <c r="K34" s="869"/>
      <c r="L34" s="860"/>
      <c r="M34" s="860"/>
    </row>
    <row r="35" spans="1:13" ht="15" thickBot="1" x14ac:dyDescent="0.4">
      <c r="A35" s="863" t="s">
        <v>661</v>
      </c>
      <c r="B35" s="864">
        <v>836</v>
      </c>
      <c r="C35" s="865">
        <v>4941627</v>
      </c>
      <c r="D35" s="866">
        <v>596</v>
      </c>
      <c r="E35" s="867">
        <v>3704027</v>
      </c>
      <c r="F35" s="864">
        <v>596</v>
      </c>
      <c r="G35" s="865">
        <v>14816107</v>
      </c>
      <c r="K35" s="869"/>
      <c r="L35" s="860"/>
      <c r="M35" s="692"/>
    </row>
    <row r="36" spans="1:13" ht="15" thickBot="1" x14ac:dyDescent="0.4">
      <c r="A36" s="863" t="s">
        <v>662</v>
      </c>
      <c r="B36" s="864">
        <v>0</v>
      </c>
      <c r="C36" s="864">
        <v>0</v>
      </c>
      <c r="D36" s="866">
        <v>0</v>
      </c>
      <c r="E36" s="866">
        <v>0</v>
      </c>
      <c r="F36" s="864">
        <v>0</v>
      </c>
      <c r="G36" s="864">
        <v>0</v>
      </c>
      <c r="K36" s="870"/>
      <c r="L36" s="860"/>
      <c r="M36" s="692"/>
    </row>
    <row r="37" spans="1:13" ht="15" thickBot="1" x14ac:dyDescent="0.4">
      <c r="A37" s="863" t="s">
        <v>629</v>
      </c>
      <c r="B37" s="865">
        <v>2787</v>
      </c>
      <c r="C37" s="865">
        <v>14917506</v>
      </c>
      <c r="D37" s="867">
        <v>1447</v>
      </c>
      <c r="E37" s="867">
        <v>7748556</v>
      </c>
      <c r="F37" s="865">
        <v>1447</v>
      </c>
      <c r="G37" s="865">
        <v>30994225</v>
      </c>
      <c r="K37" s="860"/>
      <c r="L37" s="860"/>
      <c r="M37" s="692"/>
    </row>
    <row r="38" spans="1:13" ht="15" thickBot="1" x14ac:dyDescent="0.4">
      <c r="A38" s="871" t="s">
        <v>663</v>
      </c>
      <c r="B38" s="872">
        <v>5463</v>
      </c>
      <c r="C38" s="872">
        <v>23935996</v>
      </c>
      <c r="D38" s="873">
        <v>3418</v>
      </c>
      <c r="E38" s="873">
        <v>14406163</v>
      </c>
      <c r="F38" s="872">
        <v>2928</v>
      </c>
      <c r="G38" s="872">
        <v>57410878</v>
      </c>
      <c r="K38" s="860"/>
      <c r="L38" s="860"/>
      <c r="M38" s="692"/>
    </row>
    <row r="39" spans="1:13" ht="15" thickBot="1" x14ac:dyDescent="0.4">
      <c r="A39" s="874" t="s">
        <v>664</v>
      </c>
      <c r="B39" s="875"/>
      <c r="C39" s="875"/>
      <c r="D39" s="875"/>
      <c r="E39" s="875"/>
      <c r="F39" s="875"/>
      <c r="G39" s="875"/>
    </row>
    <row r="40" spans="1:13" ht="15" thickBot="1" x14ac:dyDescent="0.4">
      <c r="A40" s="876" t="s">
        <v>665</v>
      </c>
      <c r="B40" s="1483" t="s">
        <v>651</v>
      </c>
      <c r="C40" s="1484"/>
      <c r="D40" s="1485" t="s">
        <v>652</v>
      </c>
      <c r="E40" s="1486"/>
      <c r="F40" s="1483" t="s">
        <v>653</v>
      </c>
      <c r="G40" s="1484"/>
    </row>
    <row r="41" spans="1:13" ht="102" thickBot="1" x14ac:dyDescent="0.4">
      <c r="A41" s="876" t="s">
        <v>654</v>
      </c>
      <c r="B41" s="861" t="s">
        <v>655</v>
      </c>
      <c r="C41" s="861" t="s">
        <v>656</v>
      </c>
      <c r="D41" s="877" t="s">
        <v>655</v>
      </c>
      <c r="E41" s="877" t="s">
        <v>656</v>
      </c>
      <c r="F41" s="861" t="s">
        <v>657</v>
      </c>
      <c r="G41" s="861" t="s">
        <v>658</v>
      </c>
    </row>
    <row r="42" spans="1:13" ht="15" thickBot="1" x14ac:dyDescent="0.4">
      <c r="A42" s="863" t="s">
        <v>659</v>
      </c>
      <c r="B42" s="878">
        <v>584.47007831143708</v>
      </c>
      <c r="C42" s="878">
        <v>1566827.4421687899</v>
      </c>
      <c r="D42" s="878">
        <v>294.45800000000003</v>
      </c>
      <c r="E42" s="878">
        <v>876211.71900000004</v>
      </c>
      <c r="F42" s="878">
        <v>813</v>
      </c>
      <c r="G42" s="878">
        <v>9080460</v>
      </c>
    </row>
    <row r="43" spans="1:13" ht="15" thickBot="1" x14ac:dyDescent="0.4">
      <c r="A43" s="863" t="s">
        <v>660</v>
      </c>
      <c r="B43" s="879">
        <v>2705.44347479716</v>
      </c>
      <c r="C43" s="879">
        <v>7560945.2135912096</v>
      </c>
      <c r="D43" s="879">
        <v>2362.9279999999999</v>
      </c>
      <c r="E43" s="879">
        <v>6000059.9970000004</v>
      </c>
      <c r="F43" s="879">
        <v>1623</v>
      </c>
      <c r="G43" s="879">
        <v>22970130</v>
      </c>
    </row>
    <row r="44" spans="1:13" ht="15" thickBot="1" x14ac:dyDescent="0.4">
      <c r="A44" s="863" t="s">
        <v>661</v>
      </c>
      <c r="B44" s="880">
        <v>0</v>
      </c>
      <c r="C44" s="880">
        <v>0</v>
      </c>
      <c r="D44" s="880">
        <v>0</v>
      </c>
      <c r="E44" s="880">
        <v>0</v>
      </c>
      <c r="F44" s="880">
        <v>596</v>
      </c>
      <c r="G44" s="880">
        <v>14816107</v>
      </c>
    </row>
    <row r="45" spans="1:13" ht="15" thickBot="1" x14ac:dyDescent="0.4">
      <c r="A45" s="863" t="s">
        <v>662</v>
      </c>
      <c r="B45" s="881">
        <v>0</v>
      </c>
      <c r="C45" s="881">
        <v>0</v>
      </c>
      <c r="D45" s="881">
        <v>0</v>
      </c>
      <c r="E45" s="881">
        <v>0</v>
      </c>
      <c r="F45" s="881">
        <v>0</v>
      </c>
      <c r="G45" s="881">
        <v>0</v>
      </c>
    </row>
    <row r="46" spans="1:13" ht="15" thickBot="1" x14ac:dyDescent="0.4">
      <c r="A46" s="863" t="s">
        <v>629</v>
      </c>
      <c r="B46" s="882">
        <v>1.0151086857340901</v>
      </c>
      <c r="C46" s="882">
        <v>983.47412611628101</v>
      </c>
      <c r="D46" s="882">
        <v>1.0149999999999999</v>
      </c>
      <c r="E46" s="882">
        <v>983.47400000000005</v>
      </c>
      <c r="F46" s="882">
        <v>1448</v>
      </c>
      <c r="G46" s="882">
        <v>30997176</v>
      </c>
    </row>
    <row r="47" spans="1:13" ht="15" thickBot="1" x14ac:dyDescent="0.4">
      <c r="A47" s="863" t="s">
        <v>624</v>
      </c>
      <c r="B47" s="883">
        <v>2304</v>
      </c>
      <c r="C47" s="883">
        <v>1188362</v>
      </c>
      <c r="D47" s="883">
        <v>2304</v>
      </c>
      <c r="E47" s="883">
        <v>1188362</v>
      </c>
      <c r="F47" s="883">
        <v>2304</v>
      </c>
      <c r="G47" s="883">
        <v>3565086</v>
      </c>
    </row>
    <row r="48" spans="1:13" ht="15" thickBot="1" x14ac:dyDescent="0.4">
      <c r="A48" s="863" t="s">
        <v>625</v>
      </c>
      <c r="B48" s="884">
        <v>161.499806448182</v>
      </c>
      <c r="C48" s="884">
        <v>1226037.8636550698</v>
      </c>
      <c r="D48" s="884">
        <v>104.426</v>
      </c>
      <c r="E48" s="884">
        <v>883017.66399999999</v>
      </c>
      <c r="F48" s="884">
        <v>102</v>
      </c>
      <c r="G48" s="884">
        <v>3524672</v>
      </c>
    </row>
    <row r="49" spans="1:13" ht="15" thickBot="1" x14ac:dyDescent="0.4">
      <c r="A49" s="871" t="s">
        <v>663</v>
      </c>
      <c r="B49" s="873">
        <v>5756.4284682425196</v>
      </c>
      <c r="C49" s="873">
        <v>11543155.9935412</v>
      </c>
      <c r="D49" s="873">
        <v>5066.8270000000002</v>
      </c>
      <c r="E49" s="873">
        <v>8948634.8540000003</v>
      </c>
      <c r="F49" s="873">
        <v>6886</v>
      </c>
      <c r="G49" s="873">
        <v>84953631</v>
      </c>
    </row>
    <row r="50" spans="1:13" ht="15" thickBot="1" x14ac:dyDescent="0.4">
      <c r="A50" s="876" t="s">
        <v>666</v>
      </c>
      <c r="B50" s="1483" t="s">
        <v>651</v>
      </c>
      <c r="C50" s="1484"/>
      <c r="D50" s="1485" t="s">
        <v>652</v>
      </c>
      <c r="E50" s="1486"/>
      <c r="F50" s="1483" t="s">
        <v>653</v>
      </c>
      <c r="G50" s="1484"/>
    </row>
    <row r="51" spans="1:13" ht="102" thickBot="1" x14ac:dyDescent="0.4">
      <c r="A51" s="876" t="s">
        <v>654</v>
      </c>
      <c r="B51" s="861" t="s">
        <v>655</v>
      </c>
      <c r="C51" s="861" t="s">
        <v>656</v>
      </c>
      <c r="D51" s="877" t="s">
        <v>655</v>
      </c>
      <c r="E51" s="877" t="s">
        <v>656</v>
      </c>
      <c r="F51" s="861" t="s">
        <v>657</v>
      </c>
      <c r="G51" s="861" t="s">
        <v>658</v>
      </c>
    </row>
    <row r="52" spans="1:13" ht="15" thickBot="1" x14ac:dyDescent="0.4">
      <c r="A52" s="863" t="s">
        <v>659</v>
      </c>
      <c r="B52" s="878">
        <v>661.20594940005765</v>
      </c>
      <c r="C52" s="878">
        <v>1493856.9802036516</v>
      </c>
      <c r="D52" s="878">
        <v>327.73200000000003</v>
      </c>
      <c r="E52" s="878">
        <v>835414.45600000001</v>
      </c>
      <c r="F52" s="878">
        <v>1141.0360000000001</v>
      </c>
      <c r="G52" s="878">
        <v>10751289.218</v>
      </c>
    </row>
    <row r="53" spans="1:13" ht="15" thickBot="1" x14ac:dyDescent="0.4">
      <c r="A53" s="863" t="s">
        <v>660</v>
      </c>
      <c r="B53" s="879">
        <v>2563.7563040210002</v>
      </c>
      <c r="C53" s="879">
        <v>9904019.8686459642</v>
      </c>
      <c r="D53" s="879">
        <v>2116.6019999999999</v>
      </c>
      <c r="E53" s="879">
        <v>6831421.75</v>
      </c>
      <c r="F53" s="879">
        <v>2674.1179999999999</v>
      </c>
      <c r="G53" s="879">
        <v>36614201.673</v>
      </c>
    </row>
    <row r="54" spans="1:13" ht="15" thickBot="1" x14ac:dyDescent="0.4">
      <c r="A54" s="863" t="s">
        <v>661</v>
      </c>
      <c r="B54" s="880">
        <v>3576</v>
      </c>
      <c r="C54" s="880">
        <v>81439</v>
      </c>
      <c r="D54" s="880">
        <v>3576.4850000000001</v>
      </c>
      <c r="E54" s="880">
        <v>81438.759999999995</v>
      </c>
      <c r="F54" s="880">
        <v>595.52700000000004</v>
      </c>
      <c r="G54" s="880">
        <v>14897545.903999999</v>
      </c>
    </row>
    <row r="55" spans="1:13" ht="15" thickBot="1" x14ac:dyDescent="0.4">
      <c r="A55" s="863" t="s">
        <v>662</v>
      </c>
      <c r="B55" s="881">
        <v>0</v>
      </c>
      <c r="C55" s="881">
        <v>0</v>
      </c>
      <c r="D55" s="881">
        <v>0</v>
      </c>
      <c r="E55" s="881">
        <v>0</v>
      </c>
      <c r="F55" s="881">
        <v>0</v>
      </c>
      <c r="G55" s="881">
        <v>0</v>
      </c>
    </row>
    <row r="56" spans="1:13" ht="15" thickBot="1" x14ac:dyDescent="0.4">
      <c r="A56" s="863" t="s">
        <v>629</v>
      </c>
      <c r="B56" s="882">
        <v>0</v>
      </c>
      <c r="C56" s="882">
        <v>0</v>
      </c>
      <c r="D56" s="882">
        <v>0</v>
      </c>
      <c r="E56" s="882">
        <v>0</v>
      </c>
      <c r="F56" s="882">
        <v>1448.134</v>
      </c>
      <c r="G56" s="882">
        <v>30997175.686000001</v>
      </c>
    </row>
    <row r="57" spans="1:13" ht="15" thickBot="1" x14ac:dyDescent="0.4">
      <c r="A57" s="863" t="s">
        <v>624</v>
      </c>
      <c r="B57" s="883">
        <v>16</v>
      </c>
      <c r="C57" s="883">
        <v>96000</v>
      </c>
      <c r="D57" s="883">
        <v>16</v>
      </c>
      <c r="E57" s="883">
        <v>96000</v>
      </c>
      <c r="F57" s="883">
        <v>2320</v>
      </c>
      <c r="G57" s="883">
        <v>3757086</v>
      </c>
    </row>
    <row r="58" spans="1:13" ht="15" thickBot="1" x14ac:dyDescent="0.4">
      <c r="A58" s="863" t="s">
        <v>625</v>
      </c>
      <c r="B58" s="884">
        <v>71.68870124484431</v>
      </c>
      <c r="C58" s="884">
        <v>321642.41378574085</v>
      </c>
      <c r="D58" s="884">
        <v>54</v>
      </c>
      <c r="E58" s="884">
        <v>257547.83499999999</v>
      </c>
      <c r="F58" s="884">
        <v>155.62799999999999</v>
      </c>
      <c r="G58" s="884">
        <v>4296774.7879999997</v>
      </c>
    </row>
    <row r="59" spans="1:13" ht="15" thickBot="1" x14ac:dyDescent="0.4">
      <c r="A59" s="871" t="s">
        <v>663</v>
      </c>
      <c r="B59" s="873">
        <v>6888.6509546659017</v>
      </c>
      <c r="C59" s="873">
        <v>11896958.262635356</v>
      </c>
      <c r="D59" s="873">
        <v>6090.8190000000004</v>
      </c>
      <c r="E59" s="873">
        <v>8101822.801</v>
      </c>
      <c r="F59" s="873">
        <v>8334.4429999999993</v>
      </c>
      <c r="G59" s="873">
        <v>101314073.26899999</v>
      </c>
    </row>
    <row r="60" spans="1:13" ht="15" thickBot="1" x14ac:dyDescent="0.4">
      <c r="A60" s="876" t="s">
        <v>667</v>
      </c>
      <c r="B60" s="1483" t="s">
        <v>651</v>
      </c>
      <c r="C60" s="1484"/>
      <c r="D60" s="1485" t="s">
        <v>652</v>
      </c>
      <c r="E60" s="1486"/>
      <c r="F60" s="1483" t="s">
        <v>653</v>
      </c>
      <c r="G60" s="1484"/>
    </row>
    <row r="61" spans="1:13" ht="102" thickBot="1" x14ac:dyDescent="0.4">
      <c r="A61" s="876" t="s">
        <v>654</v>
      </c>
      <c r="B61" s="861" t="s">
        <v>655</v>
      </c>
      <c r="C61" s="861" t="s">
        <v>656</v>
      </c>
      <c r="D61" s="877" t="s">
        <v>655</v>
      </c>
      <c r="E61" s="877" t="s">
        <v>656</v>
      </c>
      <c r="F61" s="861" t="s">
        <v>657</v>
      </c>
      <c r="G61" s="861" t="s">
        <v>658</v>
      </c>
    </row>
    <row r="62" spans="1:13" ht="15" thickBot="1" x14ac:dyDescent="0.4">
      <c r="A62" s="871" t="s">
        <v>659</v>
      </c>
      <c r="B62" s="878">
        <v>1095.941</v>
      </c>
      <c r="C62" s="878">
        <v>2388658.8220000002</v>
      </c>
      <c r="D62" s="878">
        <v>722.03</v>
      </c>
      <c r="E62" s="878">
        <v>2137653.253</v>
      </c>
      <c r="F62" s="878">
        <v>1863.067</v>
      </c>
      <c r="G62" s="878">
        <v>12888942.471000001</v>
      </c>
    </row>
    <row r="63" spans="1:13" ht="15" thickBot="1" x14ac:dyDescent="0.4">
      <c r="A63" s="863" t="s">
        <v>660</v>
      </c>
      <c r="B63" s="885">
        <v>3035.373</v>
      </c>
      <c r="C63" s="885">
        <v>11431223.460999999</v>
      </c>
      <c r="D63" s="885">
        <v>2476.991</v>
      </c>
      <c r="E63" s="885">
        <v>7895665.6169999996</v>
      </c>
      <c r="F63" s="885">
        <v>5151.1090000000004</v>
      </c>
      <c r="G63" s="885">
        <v>44509867.289999999</v>
      </c>
    </row>
    <row r="64" spans="1:13" ht="15" thickBot="1" x14ac:dyDescent="0.4">
      <c r="A64" s="863" t="s">
        <v>10</v>
      </c>
      <c r="B64" s="885">
        <v>1203.663</v>
      </c>
      <c r="C64" s="885">
        <v>0</v>
      </c>
      <c r="D64" s="886">
        <v>1203.663</v>
      </c>
      <c r="E64" s="885">
        <v>0</v>
      </c>
      <c r="F64" s="885">
        <v>1203.663</v>
      </c>
      <c r="G64" s="885">
        <v>42088.55</v>
      </c>
      <c r="H64" s="887" t="s">
        <v>668</v>
      </c>
      <c r="I64" s="888"/>
      <c r="J64" s="888"/>
      <c r="K64" s="888"/>
      <c r="L64" s="888"/>
      <c r="M64" s="888"/>
    </row>
    <row r="65" spans="1:13" ht="15" thickBot="1" x14ac:dyDescent="0.4">
      <c r="A65" s="871" t="s">
        <v>669</v>
      </c>
      <c r="B65" s="879">
        <f t="shared" ref="B65" si="73">B63-B64</f>
        <v>1831.71</v>
      </c>
      <c r="C65" s="879">
        <f>C63-C64</f>
        <v>11431223.460999999</v>
      </c>
      <c r="D65" s="879">
        <f>D63-D64</f>
        <v>1273.328</v>
      </c>
      <c r="E65" s="879">
        <f>E63-E64</f>
        <v>7895665.6169999996</v>
      </c>
      <c r="F65" s="879">
        <f t="shared" ref="F65:G65" si="74">F63-F64</f>
        <v>3947.4460000000004</v>
      </c>
      <c r="G65" s="879">
        <f t="shared" si="74"/>
        <v>44467778.740000002</v>
      </c>
    </row>
    <row r="66" spans="1:13" ht="15" thickBot="1" x14ac:dyDescent="0.4">
      <c r="A66" s="863" t="s">
        <v>661</v>
      </c>
      <c r="B66" s="885">
        <v>3686.4340000000002</v>
      </c>
      <c r="C66" s="885">
        <v>0</v>
      </c>
      <c r="D66" s="885">
        <v>3686.4340000000002</v>
      </c>
      <c r="E66" s="885">
        <v>0</v>
      </c>
      <c r="F66" s="885">
        <v>4281.9610000000002</v>
      </c>
      <c r="G66" s="885">
        <v>14897545.903999999</v>
      </c>
    </row>
    <row r="67" spans="1:13" ht="15" thickBot="1" x14ac:dyDescent="0.4">
      <c r="A67" s="863" t="s">
        <v>10</v>
      </c>
      <c r="B67" s="885">
        <v>3686.4340000000002</v>
      </c>
      <c r="C67" s="885">
        <v>0</v>
      </c>
      <c r="D67" s="886">
        <v>3686.4340000000002</v>
      </c>
      <c r="E67" s="885"/>
      <c r="F67" s="885">
        <v>3686.4340000000002</v>
      </c>
      <c r="G67" s="885">
        <v>81438.759999999995</v>
      </c>
      <c r="H67" s="887" t="s">
        <v>668</v>
      </c>
      <c r="I67" s="888"/>
      <c r="J67" s="888"/>
      <c r="K67" s="888"/>
      <c r="L67" s="888"/>
      <c r="M67" s="888"/>
    </row>
    <row r="68" spans="1:13" ht="15" thickBot="1" x14ac:dyDescent="0.4">
      <c r="A68" s="871" t="s">
        <v>670</v>
      </c>
      <c r="B68" s="880">
        <f t="shared" ref="B68:C68" si="75">B66-B67</f>
        <v>0</v>
      </c>
      <c r="C68" s="880">
        <f t="shared" si="75"/>
        <v>0</v>
      </c>
      <c r="D68" s="880">
        <f>D66-D67</f>
        <v>0</v>
      </c>
      <c r="E68" s="880">
        <f>E66-E67</f>
        <v>0</v>
      </c>
      <c r="F68" s="880">
        <f t="shared" ref="F68:G68" si="76">F66-F67</f>
        <v>595.52700000000004</v>
      </c>
      <c r="G68" s="880">
        <f t="shared" si="76"/>
        <v>14816107.143999999</v>
      </c>
    </row>
    <row r="69" spans="1:13" ht="15" thickBot="1" x14ac:dyDescent="0.4">
      <c r="A69" s="863" t="s">
        <v>662</v>
      </c>
      <c r="B69" s="881">
        <v>1.4179999999999999</v>
      </c>
      <c r="C69" s="881">
        <v>20414.023000000001</v>
      </c>
      <c r="D69" s="881">
        <v>1.4179999999999999</v>
      </c>
      <c r="E69" s="881">
        <v>20414.023000000001</v>
      </c>
      <c r="F69" s="881">
        <v>1.4179999999999999</v>
      </c>
      <c r="G69" s="881">
        <v>20414.023000000001</v>
      </c>
    </row>
    <row r="70" spans="1:13" ht="15" thickBot="1" x14ac:dyDescent="0.4">
      <c r="A70" s="863" t="s">
        <v>629</v>
      </c>
      <c r="B70" s="882">
        <v>0</v>
      </c>
      <c r="C70" s="882">
        <v>0</v>
      </c>
      <c r="D70" s="882">
        <v>0</v>
      </c>
      <c r="E70" s="882">
        <v>0</v>
      </c>
      <c r="F70" s="882">
        <v>1448.134</v>
      </c>
      <c r="G70" s="882">
        <v>30997175.686000001</v>
      </c>
    </row>
    <row r="71" spans="1:13" ht="15" thickBot="1" x14ac:dyDescent="0.4">
      <c r="A71" s="863" t="s">
        <v>624</v>
      </c>
      <c r="B71" s="883">
        <v>688.42399999999998</v>
      </c>
      <c r="C71" s="883">
        <v>0</v>
      </c>
      <c r="D71" s="883">
        <v>688.42399999999998</v>
      </c>
      <c r="E71" s="883">
        <v>0</v>
      </c>
      <c r="F71" s="883">
        <v>3008.424</v>
      </c>
      <c r="G71" s="883">
        <v>3757086</v>
      </c>
    </row>
    <row r="72" spans="1:13" ht="15" thickBot="1" x14ac:dyDescent="0.4">
      <c r="A72" s="863" t="s">
        <v>625</v>
      </c>
      <c r="B72" s="884">
        <v>4794.2759999999998</v>
      </c>
      <c r="C72" s="884">
        <v>12310964.913000001</v>
      </c>
      <c r="D72" s="884">
        <v>4107.5020000000004</v>
      </c>
      <c r="E72" s="884">
        <v>8736809.4370000008</v>
      </c>
      <c r="F72" s="884">
        <v>4263.1289999999999</v>
      </c>
      <c r="G72" s="884">
        <v>23799882.32</v>
      </c>
    </row>
    <row r="73" spans="1:13" ht="15" thickBot="1" x14ac:dyDescent="0.4">
      <c r="A73" s="871" t="s">
        <v>663</v>
      </c>
      <c r="B73" s="873">
        <v>13301.866</v>
      </c>
      <c r="C73" s="873">
        <v>26151261.219000001</v>
      </c>
      <c r="D73" s="873">
        <v>11682.799000000001</v>
      </c>
      <c r="E73" s="873">
        <v>18790542.329999998</v>
      </c>
      <c r="F73" s="873">
        <v>20017.241999999998</v>
      </c>
      <c r="G73" s="873">
        <v>130870913.69400001</v>
      </c>
    </row>
    <row r="74" spans="1:13" ht="15" thickBot="1" x14ac:dyDescent="0.4">
      <c r="A74" s="863" t="s">
        <v>671</v>
      </c>
      <c r="B74" s="886">
        <f t="shared" ref="B74:C74" si="77">B64+B67</f>
        <v>4890.0969999999998</v>
      </c>
      <c r="C74" s="886">
        <f t="shared" si="77"/>
        <v>0</v>
      </c>
      <c r="D74" s="886">
        <f>D64+D67</f>
        <v>4890.0969999999998</v>
      </c>
      <c r="E74" s="886">
        <f>E64+E67</f>
        <v>0</v>
      </c>
      <c r="F74" s="886">
        <f t="shared" ref="F74:G74" si="78">F64+F67</f>
        <v>4890.0969999999998</v>
      </c>
      <c r="G74" s="886">
        <f t="shared" si="78"/>
        <v>123527.31</v>
      </c>
      <c r="H74" s="887" t="s">
        <v>668</v>
      </c>
      <c r="I74" s="888"/>
      <c r="J74" s="888"/>
      <c r="K74" s="888"/>
      <c r="L74" s="888"/>
      <c r="M74" s="888"/>
    </row>
    <row r="75" spans="1:13" ht="15" thickBot="1" x14ac:dyDescent="0.4">
      <c r="A75" s="871" t="s">
        <v>672</v>
      </c>
      <c r="B75" s="873">
        <f t="shared" ref="B75:G75" si="79">B73-B74</f>
        <v>8411.7690000000002</v>
      </c>
      <c r="C75" s="873">
        <f t="shared" si="79"/>
        <v>26151261.219000001</v>
      </c>
      <c r="D75" s="873">
        <f t="shared" si="79"/>
        <v>6792.7020000000011</v>
      </c>
      <c r="E75" s="873">
        <f t="shared" si="79"/>
        <v>18790542.329999998</v>
      </c>
      <c r="F75" s="873">
        <f t="shared" si="79"/>
        <v>15127.144999999999</v>
      </c>
      <c r="G75" s="873">
        <f t="shared" si="79"/>
        <v>130747386.384</v>
      </c>
      <c r="H75" s="837"/>
    </row>
    <row r="76" spans="1:13" ht="15" thickBot="1" x14ac:dyDescent="0.4">
      <c r="A76" s="876" t="s">
        <v>673</v>
      </c>
      <c r="B76" s="1483" t="s">
        <v>651</v>
      </c>
      <c r="C76" s="1484"/>
      <c r="D76" s="1485" t="s">
        <v>652</v>
      </c>
      <c r="E76" s="1486"/>
      <c r="F76" s="1483" t="s">
        <v>653</v>
      </c>
      <c r="G76" s="1484"/>
      <c r="K76" s="860"/>
      <c r="L76" s="860"/>
      <c r="M76" s="889"/>
    </row>
    <row r="77" spans="1:13" ht="102" thickBot="1" x14ac:dyDescent="0.4">
      <c r="A77" s="876" t="s">
        <v>654</v>
      </c>
      <c r="B77" s="861" t="s">
        <v>655</v>
      </c>
      <c r="C77" s="861" t="s">
        <v>656</v>
      </c>
      <c r="D77" s="877" t="s">
        <v>655</v>
      </c>
      <c r="E77" s="877" t="s">
        <v>656</v>
      </c>
      <c r="F77" s="861" t="s">
        <v>657</v>
      </c>
      <c r="G77" s="861" t="s">
        <v>674</v>
      </c>
      <c r="H77" s="890" t="s">
        <v>675</v>
      </c>
      <c r="I77" s="891"/>
      <c r="J77" s="891"/>
      <c r="K77" s="892"/>
      <c r="L77" s="892"/>
      <c r="M77" s="893"/>
    </row>
    <row r="78" spans="1:13" ht="15" thickBot="1" x14ac:dyDescent="0.4">
      <c r="A78" s="871" t="s">
        <v>659</v>
      </c>
      <c r="B78" s="878"/>
      <c r="C78" s="878"/>
      <c r="D78" s="878">
        <v>348</v>
      </c>
      <c r="E78" s="878">
        <v>1182066</v>
      </c>
      <c r="F78" s="878"/>
      <c r="G78" s="878"/>
      <c r="K78" s="860"/>
      <c r="L78" s="860"/>
      <c r="M78" s="889"/>
    </row>
    <row r="79" spans="1:13" ht="15" thickBot="1" x14ac:dyDescent="0.4">
      <c r="A79" s="871" t="s">
        <v>660</v>
      </c>
      <c r="B79" s="879"/>
      <c r="C79" s="879"/>
      <c r="D79" s="879">
        <v>5610</v>
      </c>
      <c r="E79" s="879">
        <v>10880280</v>
      </c>
      <c r="F79" s="879"/>
      <c r="G79" s="879"/>
      <c r="K79" s="860"/>
      <c r="L79" s="860"/>
      <c r="M79" s="889"/>
    </row>
    <row r="80" spans="1:13" ht="15" thickBot="1" x14ac:dyDescent="0.4">
      <c r="A80" s="871" t="s">
        <v>661</v>
      </c>
      <c r="B80" s="880"/>
      <c r="C80" s="880"/>
      <c r="D80" s="880">
        <v>4389</v>
      </c>
      <c r="E80" s="880">
        <v>39012556</v>
      </c>
      <c r="F80" s="880"/>
      <c r="G80" s="880"/>
      <c r="K80" s="860"/>
      <c r="L80" s="860"/>
      <c r="M80" s="889"/>
    </row>
    <row r="81" spans="1:20" ht="15" thickBot="1" x14ac:dyDescent="0.4">
      <c r="A81" s="871" t="s">
        <v>662</v>
      </c>
      <c r="B81" s="881"/>
      <c r="C81" s="881"/>
      <c r="D81" s="881">
        <v>0</v>
      </c>
      <c r="E81" s="881">
        <v>0</v>
      </c>
      <c r="F81" s="881"/>
      <c r="G81" s="881"/>
      <c r="K81" s="860"/>
      <c r="L81" s="860"/>
      <c r="M81" s="889"/>
    </row>
    <row r="82" spans="1:20" ht="15" thickBot="1" x14ac:dyDescent="0.4">
      <c r="A82" s="871" t="s">
        <v>625</v>
      </c>
      <c r="B82" s="884"/>
      <c r="C82" s="884"/>
      <c r="D82" s="884">
        <v>0</v>
      </c>
      <c r="E82" s="884">
        <v>0</v>
      </c>
      <c r="F82" s="884"/>
      <c r="G82" s="884"/>
      <c r="K82" s="860"/>
      <c r="L82" s="860"/>
      <c r="M82" s="889"/>
    </row>
    <row r="83" spans="1:20" ht="15" thickBot="1" x14ac:dyDescent="0.4">
      <c r="A83" s="871" t="s">
        <v>676</v>
      </c>
      <c r="B83" s="873"/>
      <c r="C83" s="873"/>
      <c r="D83" s="873">
        <v>10347.245999999999</v>
      </c>
      <c r="E83" s="873">
        <v>51074902.805</v>
      </c>
      <c r="F83" s="873"/>
      <c r="G83" s="873"/>
      <c r="K83" s="860"/>
      <c r="L83" s="860"/>
      <c r="M83" s="889"/>
    </row>
    <row r="84" spans="1:20" x14ac:dyDescent="0.35">
      <c r="K84" s="860"/>
      <c r="L84" s="860"/>
      <c r="M84" s="889"/>
    </row>
    <row r="85" spans="1:20" x14ac:dyDescent="0.35">
      <c r="K85" s="860"/>
      <c r="L85" s="860"/>
      <c r="M85" s="889"/>
    </row>
    <row r="86" spans="1:20" x14ac:dyDescent="0.35">
      <c r="A86" s="894" t="s">
        <v>677</v>
      </c>
      <c r="B86" s="1487" t="s">
        <v>678</v>
      </c>
      <c r="C86" s="1488"/>
      <c r="D86" s="1488"/>
      <c r="E86" s="1488"/>
      <c r="F86" s="1488"/>
      <c r="G86" s="1488"/>
      <c r="H86" s="1488"/>
      <c r="I86" s="1488"/>
      <c r="J86" s="1488"/>
      <c r="K86" s="1488"/>
      <c r="L86" s="1488"/>
      <c r="M86" s="1489"/>
    </row>
    <row r="87" spans="1:20" x14ac:dyDescent="0.35">
      <c r="A87" s="894"/>
      <c r="B87" s="895">
        <v>2011</v>
      </c>
      <c r="C87" s="895">
        <v>2012</v>
      </c>
      <c r="D87" s="895">
        <v>2013</v>
      </c>
      <c r="E87" s="895">
        <v>2014</v>
      </c>
      <c r="F87" s="895">
        <v>2015</v>
      </c>
      <c r="G87" s="895">
        <v>2016</v>
      </c>
      <c r="H87" s="895">
        <v>2017</v>
      </c>
      <c r="I87" s="895">
        <v>2018</v>
      </c>
      <c r="K87" s="895">
        <v>2019</v>
      </c>
      <c r="L87" s="895">
        <v>2020</v>
      </c>
      <c r="M87" s="895">
        <v>2021</v>
      </c>
    </row>
    <row r="88" spans="1:20" x14ac:dyDescent="0.35">
      <c r="A88" s="896" t="s">
        <v>679</v>
      </c>
      <c r="B88" s="897">
        <v>14.406000000000001</v>
      </c>
      <c r="C88" s="897">
        <v>14.394</v>
      </c>
      <c r="D88" s="897">
        <v>14.382</v>
      </c>
      <c r="E88" s="897">
        <v>14.228999999999999</v>
      </c>
      <c r="F88" s="898"/>
      <c r="G88" s="898"/>
      <c r="H88" s="898"/>
      <c r="I88" s="898"/>
      <c r="K88" s="898"/>
      <c r="L88" s="898"/>
      <c r="M88" s="898"/>
      <c r="O88" s="899" t="s">
        <v>680</v>
      </c>
      <c r="P88" s="899"/>
      <c r="Q88" s="899"/>
      <c r="R88" s="899"/>
      <c r="S88" s="899"/>
      <c r="T88" s="899"/>
    </row>
    <row r="89" spans="1:20" x14ac:dyDescent="0.35">
      <c r="A89" s="896" t="s">
        <v>681</v>
      </c>
      <c r="B89" s="900">
        <f>B88/B88</f>
        <v>1</v>
      </c>
      <c r="C89" s="900">
        <f>C88/B88</f>
        <v>0.99916701374427319</v>
      </c>
      <c r="D89" s="900">
        <f>D88/B88</f>
        <v>0.99833402748854638</v>
      </c>
      <c r="E89" s="900">
        <f>E88/B88</f>
        <v>0.98771345272802991</v>
      </c>
      <c r="F89" s="900"/>
      <c r="G89" s="900"/>
      <c r="H89" s="900"/>
      <c r="I89" s="900"/>
      <c r="K89" s="900"/>
      <c r="L89" s="900"/>
      <c r="M89" s="900"/>
      <c r="O89" s="901" t="s">
        <v>682</v>
      </c>
      <c r="P89" s="901"/>
      <c r="Q89" s="901"/>
      <c r="R89" s="901"/>
      <c r="S89" s="901"/>
      <c r="T89" s="901"/>
    </row>
    <row r="90" spans="1:20" x14ac:dyDescent="0.35">
      <c r="A90" s="902" t="s">
        <v>683</v>
      </c>
      <c r="B90" s="903">
        <v>0.88300000000000001</v>
      </c>
      <c r="C90" s="904">
        <v>8.9489999999999998</v>
      </c>
      <c r="D90" s="904">
        <v>8.9120000000000008</v>
      </c>
      <c r="E90" s="904">
        <v>8.7989999999999995</v>
      </c>
      <c r="F90" s="905"/>
      <c r="G90" s="898"/>
      <c r="H90" s="898"/>
      <c r="I90" s="898"/>
      <c r="K90" s="905"/>
      <c r="L90" s="898"/>
      <c r="M90" s="898"/>
      <c r="O90" s="906" t="s">
        <v>684</v>
      </c>
      <c r="P90" s="906"/>
      <c r="Q90" s="906"/>
      <c r="R90" s="906"/>
      <c r="S90" s="906"/>
      <c r="T90" s="906"/>
    </row>
    <row r="91" spans="1:20" x14ac:dyDescent="0.35">
      <c r="A91" s="902" t="s">
        <v>685</v>
      </c>
      <c r="B91" s="907" t="s">
        <v>686</v>
      </c>
      <c r="C91" s="908">
        <f>C90/C90</f>
        <v>1</v>
      </c>
      <c r="D91" s="908">
        <f>D90/C90</f>
        <v>0.99586545982791386</v>
      </c>
      <c r="E91" s="908">
        <f>E90/C90</f>
        <v>0.98323835065370424</v>
      </c>
      <c r="F91" s="907"/>
      <c r="G91" s="908"/>
      <c r="H91" s="908"/>
      <c r="I91" s="908"/>
      <c r="K91" s="907"/>
      <c r="L91" s="908"/>
      <c r="M91" s="908"/>
      <c r="O91" s="909" t="s">
        <v>687</v>
      </c>
      <c r="P91" s="909"/>
      <c r="Q91" s="909"/>
      <c r="R91" s="909"/>
      <c r="S91" s="909"/>
      <c r="T91" s="909"/>
    </row>
    <row r="92" spans="1:20" x14ac:dyDescent="0.35">
      <c r="A92" s="910" t="s">
        <v>688</v>
      </c>
      <c r="B92" s="911" t="s">
        <v>686</v>
      </c>
      <c r="C92" s="912">
        <v>0.25800000000000001</v>
      </c>
      <c r="D92" s="913">
        <v>8.1020000000000003</v>
      </c>
      <c r="E92" s="913">
        <v>8.0009999999999994</v>
      </c>
      <c r="F92" s="914"/>
      <c r="G92" s="905"/>
      <c r="H92" s="898"/>
      <c r="I92" s="898"/>
      <c r="K92" s="914"/>
      <c r="L92" s="905"/>
      <c r="M92" s="898"/>
      <c r="O92" s="909" t="s">
        <v>689</v>
      </c>
      <c r="P92" s="909"/>
      <c r="Q92" s="909"/>
      <c r="R92" s="909"/>
      <c r="S92" s="909"/>
      <c r="T92" s="909"/>
    </row>
    <row r="93" spans="1:20" x14ac:dyDescent="0.35">
      <c r="A93" s="910" t="s">
        <v>690</v>
      </c>
      <c r="B93" s="915" t="s">
        <v>686</v>
      </c>
      <c r="C93" s="915" t="s">
        <v>686</v>
      </c>
      <c r="D93" s="916">
        <f>D92/D92</f>
        <v>1</v>
      </c>
      <c r="E93" s="916">
        <f>E92/D92</f>
        <v>0.98753394223648472</v>
      </c>
      <c r="F93" s="915"/>
      <c r="G93" s="915"/>
      <c r="H93" s="916"/>
      <c r="I93" s="916"/>
      <c r="K93" s="915"/>
      <c r="L93" s="915"/>
      <c r="M93" s="916"/>
    </row>
    <row r="94" spans="1:20" x14ac:dyDescent="0.35">
      <c r="A94" s="917" t="s">
        <v>691</v>
      </c>
      <c r="B94" s="918">
        <v>0.44900000000000001</v>
      </c>
      <c r="C94" s="918">
        <v>1.5760000000000001</v>
      </c>
      <c r="D94" s="918">
        <v>8.7409999999999997</v>
      </c>
      <c r="E94" s="918">
        <v>18.791</v>
      </c>
      <c r="F94" s="905"/>
      <c r="G94" s="905"/>
      <c r="H94" s="905"/>
      <c r="I94" s="905"/>
      <c r="K94" s="905"/>
      <c r="L94" s="905"/>
      <c r="M94" s="905"/>
    </row>
    <row r="95" spans="1:20" x14ac:dyDescent="0.35">
      <c r="A95" s="917" t="s">
        <v>692</v>
      </c>
      <c r="B95" s="919" t="s">
        <v>686</v>
      </c>
      <c r="C95" s="919" t="s">
        <v>686</v>
      </c>
      <c r="D95" s="919" t="s">
        <v>686</v>
      </c>
      <c r="E95" s="920">
        <f>E94/E94</f>
        <v>1</v>
      </c>
      <c r="F95" s="919"/>
      <c r="G95" s="919"/>
      <c r="H95" s="919"/>
      <c r="I95" s="920"/>
      <c r="K95" s="919"/>
      <c r="L95" s="919"/>
      <c r="M95" s="919"/>
    </row>
    <row r="96" spans="1:20" s="805" customFormat="1" x14ac:dyDescent="0.35">
      <c r="A96" s="921"/>
      <c r="B96" s="922"/>
      <c r="C96" s="923"/>
      <c r="D96" s="923"/>
      <c r="E96" s="924"/>
      <c r="F96" s="923"/>
      <c r="G96" s="923"/>
      <c r="H96" s="923"/>
      <c r="I96" s="925"/>
      <c r="K96" s="926"/>
      <c r="L96" s="926"/>
      <c r="M96" s="926"/>
    </row>
    <row r="97" spans="1:24" x14ac:dyDescent="0.35">
      <c r="A97" s="894" t="s">
        <v>693</v>
      </c>
      <c r="B97" s="1490" t="s">
        <v>678</v>
      </c>
      <c r="C97" s="1491"/>
      <c r="D97" s="1491"/>
      <c r="E97" s="1491"/>
      <c r="F97" s="1491"/>
      <c r="G97" s="1491"/>
      <c r="H97" s="1491"/>
      <c r="I97" s="1491"/>
      <c r="J97" s="1491"/>
      <c r="K97" s="1491"/>
      <c r="L97" s="1491"/>
      <c r="M97" s="1491"/>
    </row>
    <row r="98" spans="1:24" x14ac:dyDescent="0.35">
      <c r="A98" s="894"/>
      <c r="B98" s="894">
        <v>2011</v>
      </c>
      <c r="C98" s="894">
        <v>2012</v>
      </c>
      <c r="D98" s="894">
        <v>2013</v>
      </c>
      <c r="E98" s="894">
        <v>2014</v>
      </c>
      <c r="F98" s="894">
        <v>2015</v>
      </c>
      <c r="G98" s="894">
        <v>2016</v>
      </c>
      <c r="H98" s="894">
        <v>2017</v>
      </c>
      <c r="I98" s="894">
        <v>2018</v>
      </c>
      <c r="K98" s="894">
        <v>2019</v>
      </c>
      <c r="L98" s="894">
        <v>2020</v>
      </c>
      <c r="M98" s="894">
        <v>2021</v>
      </c>
    </row>
    <row r="99" spans="1:24" x14ac:dyDescent="0.35">
      <c r="A99" s="896" t="s">
        <v>679</v>
      </c>
      <c r="B99" s="897">
        <v>3.419</v>
      </c>
      <c r="C99" s="897">
        <v>2.9860000000000002</v>
      </c>
      <c r="D99" s="897">
        <v>2.9809999999999999</v>
      </c>
      <c r="E99" s="897">
        <v>2.9279999999999999</v>
      </c>
      <c r="F99" s="898"/>
      <c r="G99" s="898"/>
      <c r="H99" s="898"/>
      <c r="I99" s="898"/>
      <c r="K99" s="898"/>
      <c r="L99" s="898"/>
      <c r="M99" s="898"/>
    </row>
    <row r="100" spans="1:24" x14ac:dyDescent="0.35">
      <c r="A100" s="896" t="s">
        <v>694</v>
      </c>
      <c r="B100" s="900">
        <f>B99/B99</f>
        <v>1</v>
      </c>
      <c r="C100" s="900">
        <f>C99/B99</f>
        <v>0.87335478210002926</v>
      </c>
      <c r="D100" s="900">
        <f>D99/B99</f>
        <v>0.87189236618894406</v>
      </c>
      <c r="E100" s="900">
        <f>E99/B99</f>
        <v>0.85639075753144189</v>
      </c>
      <c r="F100" s="900"/>
      <c r="G100" s="900"/>
      <c r="H100" s="900"/>
      <c r="I100" s="900"/>
      <c r="K100" s="900"/>
      <c r="L100" s="900"/>
      <c r="M100" s="900"/>
    </row>
    <row r="101" spans="1:24" x14ac:dyDescent="0.35">
      <c r="A101" s="902" t="s">
        <v>683</v>
      </c>
      <c r="B101" s="903">
        <v>0.104</v>
      </c>
      <c r="C101" s="904">
        <v>5.0670000000000002</v>
      </c>
      <c r="D101" s="904">
        <v>3.9910000000000001</v>
      </c>
      <c r="E101" s="904">
        <v>3.9569999999999999</v>
      </c>
      <c r="F101" s="905"/>
      <c r="G101" s="898"/>
      <c r="H101" s="898"/>
      <c r="I101" s="898"/>
      <c r="K101" s="905"/>
      <c r="L101" s="898"/>
      <c r="M101" s="898"/>
    </row>
    <row r="102" spans="1:24" x14ac:dyDescent="0.35">
      <c r="A102" s="902" t="s">
        <v>695</v>
      </c>
      <c r="B102" s="927" t="s">
        <v>686</v>
      </c>
      <c r="C102" s="908">
        <f>C101/C101</f>
        <v>1</v>
      </c>
      <c r="D102" s="908">
        <f>D101/C101</f>
        <v>0.78764554963489242</v>
      </c>
      <c r="E102" s="908">
        <f>E101/C101</f>
        <v>0.78093546477205444</v>
      </c>
      <c r="F102" s="927"/>
      <c r="G102" s="908"/>
      <c r="H102" s="908"/>
      <c r="I102" s="908"/>
      <c r="K102" s="907"/>
      <c r="L102" s="908"/>
      <c r="M102" s="908"/>
    </row>
    <row r="103" spans="1:24" x14ac:dyDescent="0.35">
      <c r="A103" s="910" t="s">
        <v>688</v>
      </c>
      <c r="B103" s="911" t="s">
        <v>686</v>
      </c>
      <c r="C103" s="912">
        <v>5.3999999999999999E-2</v>
      </c>
      <c r="D103" s="913">
        <v>6.0910000000000002</v>
      </c>
      <c r="E103" s="913">
        <v>1.4490000000000001</v>
      </c>
      <c r="F103" s="914"/>
      <c r="G103" s="905"/>
      <c r="H103" s="898"/>
      <c r="I103" s="898"/>
      <c r="K103" s="914"/>
      <c r="L103" s="905"/>
      <c r="M103" s="898"/>
    </row>
    <row r="104" spans="1:24" x14ac:dyDescent="0.35">
      <c r="A104" s="910" t="s">
        <v>696</v>
      </c>
      <c r="B104" s="915" t="s">
        <v>686</v>
      </c>
      <c r="C104" s="915" t="s">
        <v>686</v>
      </c>
      <c r="D104" s="916">
        <f>D103/D103</f>
        <v>1</v>
      </c>
      <c r="E104" s="916">
        <f>E103/D103</f>
        <v>0.2378919717616155</v>
      </c>
      <c r="F104" s="915"/>
      <c r="G104" s="915"/>
      <c r="H104" s="916"/>
      <c r="I104" s="916"/>
      <c r="K104" s="915"/>
      <c r="L104" s="915"/>
      <c r="M104" s="916"/>
    </row>
    <row r="105" spans="1:24" x14ac:dyDescent="0.35">
      <c r="A105" s="917" t="s">
        <v>691</v>
      </c>
      <c r="B105" s="918">
        <v>0.11899999999999999</v>
      </c>
      <c r="C105" s="918">
        <v>2.7679999999999998</v>
      </c>
      <c r="D105" s="918">
        <v>4.1079999999999997</v>
      </c>
      <c r="E105" s="918">
        <v>11.683</v>
      </c>
      <c r="F105" s="905"/>
      <c r="G105" s="905"/>
      <c r="H105" s="905"/>
      <c r="I105" s="905"/>
      <c r="K105" s="905"/>
      <c r="L105" s="905"/>
      <c r="M105" s="905"/>
    </row>
    <row r="106" spans="1:24" x14ac:dyDescent="0.35">
      <c r="A106" s="917" t="s">
        <v>697</v>
      </c>
      <c r="B106" s="919" t="s">
        <v>686</v>
      </c>
      <c r="C106" s="919" t="s">
        <v>686</v>
      </c>
      <c r="D106" s="919" t="s">
        <v>686</v>
      </c>
      <c r="E106" s="920">
        <f>E105/E105</f>
        <v>1</v>
      </c>
      <c r="F106" s="919"/>
      <c r="G106" s="919"/>
      <c r="H106" s="919"/>
      <c r="I106" s="920"/>
      <c r="K106" s="919"/>
      <c r="L106" s="919"/>
      <c r="M106" s="919"/>
    </row>
    <row r="108" spans="1:24" x14ac:dyDescent="0.35">
      <c r="A108" s="928" t="s">
        <v>698</v>
      </c>
      <c r="B108" s="894">
        <v>2011</v>
      </c>
      <c r="C108" s="894">
        <v>2012</v>
      </c>
      <c r="D108" s="894">
        <v>2013</v>
      </c>
      <c r="E108" s="894">
        <v>2014</v>
      </c>
      <c r="F108" s="894">
        <v>2015</v>
      </c>
      <c r="G108" s="894">
        <v>2016</v>
      </c>
      <c r="H108" s="894">
        <v>2017</v>
      </c>
      <c r="I108" s="894">
        <v>2018</v>
      </c>
      <c r="K108" s="894">
        <v>2019</v>
      </c>
      <c r="L108" s="894">
        <v>2020</v>
      </c>
      <c r="M108" s="894">
        <v>2021</v>
      </c>
    </row>
    <row r="109" spans="1:24" x14ac:dyDescent="0.35">
      <c r="A109" s="929">
        <v>2011</v>
      </c>
      <c r="B109" s="1093">
        <v>1</v>
      </c>
      <c r="C109" s="1094">
        <v>0.99916749241669012</v>
      </c>
      <c r="D109" s="1094">
        <v>0.99832098719424878</v>
      </c>
      <c r="E109" s="1094">
        <v>0.98767242678612022</v>
      </c>
      <c r="F109" s="1094">
        <v>0.97873778576825898</v>
      </c>
      <c r="G109" s="1094">
        <v>0.96057588340301958</v>
      </c>
      <c r="H109" s="1094">
        <v>0.92713572219495188</v>
      </c>
      <c r="I109" s="1094">
        <v>0.92692107870590912</v>
      </c>
      <c r="J109" s="1095"/>
      <c r="K109" s="1094">
        <v>0.78551570976639318</v>
      </c>
      <c r="L109" s="1094">
        <v>0.76967914449268771</v>
      </c>
      <c r="M109" s="1094">
        <v>0.76305127698758823</v>
      </c>
      <c r="N109" s="930" t="s">
        <v>770</v>
      </c>
      <c r="O109" s="932"/>
      <c r="P109" s="932"/>
      <c r="Q109" s="932"/>
      <c r="R109" s="932"/>
      <c r="S109" s="932"/>
      <c r="T109" s="932"/>
      <c r="U109" s="932"/>
    </row>
    <row r="110" spans="1:24" x14ac:dyDescent="0.35">
      <c r="A110" s="929">
        <v>2012</v>
      </c>
      <c r="B110" s="1096" t="s">
        <v>686</v>
      </c>
      <c r="C110" s="1094">
        <v>1</v>
      </c>
      <c r="D110" s="1094">
        <v>0.99586924629844886</v>
      </c>
      <c r="E110" s="1094">
        <v>0.98332654946051079</v>
      </c>
      <c r="F110" s="1094">
        <v>0.91428852648617398</v>
      </c>
      <c r="G110" s="1094">
        <v>0.85856548661206056</v>
      </c>
      <c r="H110" s="1094">
        <v>0.76217975247305603</v>
      </c>
      <c r="I110" s="1094">
        <v>0.6729117891219667</v>
      </c>
      <c r="J110" s="1095"/>
      <c r="K110" s="1094">
        <v>0.66639145887492712</v>
      </c>
      <c r="L110" s="1094">
        <v>0.65902288210640858</v>
      </c>
      <c r="M110" s="1094">
        <v>0.58034601815641929</v>
      </c>
      <c r="N110" s="1097" t="s">
        <v>771</v>
      </c>
      <c r="O110" s="930"/>
    </row>
    <row r="111" spans="1:24" x14ac:dyDescent="0.35">
      <c r="A111" s="929">
        <v>2013</v>
      </c>
      <c r="B111" s="1096" t="s">
        <v>686</v>
      </c>
      <c r="C111" s="1098" t="s">
        <v>686</v>
      </c>
      <c r="D111" s="1094">
        <v>1</v>
      </c>
      <c r="E111" s="1094">
        <v>0.9875643991541081</v>
      </c>
      <c r="F111" s="1094">
        <v>0.98443587854990922</v>
      </c>
      <c r="G111" s="1094">
        <v>0.96795481107963688</v>
      </c>
      <c r="H111" s="1094">
        <v>0.92106828944770303</v>
      </c>
      <c r="I111" s="1094">
        <v>0.90953560626576202</v>
      </c>
      <c r="J111" s="1095"/>
      <c r="K111" s="1094">
        <v>0.90953560626576202</v>
      </c>
      <c r="L111" s="1094">
        <v>0.9074437009671994</v>
      </c>
      <c r="M111" s="1094">
        <v>0.89347895665882859</v>
      </c>
      <c r="N111" s="930" t="s">
        <v>772</v>
      </c>
      <c r="O111" s="930"/>
      <c r="P111" s="930"/>
      <c r="Q111" s="930"/>
      <c r="R111" s="930"/>
      <c r="S111" s="930"/>
      <c r="T111" s="930"/>
      <c r="U111" s="930"/>
      <c r="V111" s="930"/>
      <c r="W111" s="930"/>
      <c r="X111" s="930"/>
    </row>
    <row r="112" spans="1:24" x14ac:dyDescent="0.35">
      <c r="A112" s="929">
        <v>2014</v>
      </c>
      <c r="B112" s="933" t="s">
        <v>686</v>
      </c>
      <c r="C112" s="934" t="s">
        <v>686</v>
      </c>
      <c r="D112" s="934" t="s">
        <v>686</v>
      </c>
      <c r="E112" s="1099">
        <v>1</v>
      </c>
      <c r="F112" s="1099">
        <v>0.98964641115386887</v>
      </c>
      <c r="G112" s="1099">
        <v>0.98275111115792835</v>
      </c>
      <c r="H112" s="1099">
        <v>0.66535813037226865</v>
      </c>
      <c r="I112" s="1099">
        <v>0.63327529532052085</v>
      </c>
      <c r="J112" s="1099"/>
      <c r="K112" s="1099">
        <v>0.63060129484797101</v>
      </c>
      <c r="L112" s="1099">
        <v>0.62517023962865681</v>
      </c>
      <c r="M112" s="1099">
        <v>0.62314837252493227</v>
      </c>
      <c r="N112" s="1097" t="s">
        <v>773</v>
      </c>
    </row>
    <row r="113" spans="1:25" x14ac:dyDescent="0.35">
      <c r="A113" s="929">
        <v>2015</v>
      </c>
      <c r="B113" s="933" t="s">
        <v>686</v>
      </c>
      <c r="C113" s="934" t="s">
        <v>686</v>
      </c>
      <c r="D113" s="934" t="s">
        <v>686</v>
      </c>
      <c r="E113" s="934" t="s">
        <v>686</v>
      </c>
      <c r="F113" s="935">
        <v>1</v>
      </c>
      <c r="G113" s="935">
        <v>0.99769935782609565</v>
      </c>
      <c r="H113" s="935">
        <v>0.99591587450043773</v>
      </c>
      <c r="I113" s="935">
        <v>0.99556372346783395</v>
      </c>
      <c r="K113" s="935">
        <v>0.99280059197548853</v>
      </c>
      <c r="L113" s="935">
        <v>0.99235947593666785</v>
      </c>
      <c r="M113" s="935">
        <v>0.98551145682306218</v>
      </c>
      <c r="N113" s="1097" t="s">
        <v>774</v>
      </c>
    </row>
    <row r="114" spans="1:25" x14ac:dyDescent="0.35">
      <c r="A114" s="929">
        <v>2016</v>
      </c>
      <c r="B114" s="933" t="s">
        <v>686</v>
      </c>
      <c r="C114" s="934" t="s">
        <v>686</v>
      </c>
      <c r="D114" s="934" t="s">
        <v>686</v>
      </c>
      <c r="E114" s="934" t="s">
        <v>686</v>
      </c>
      <c r="F114" s="934" t="s">
        <v>686</v>
      </c>
      <c r="G114" s="936"/>
      <c r="H114" s="936"/>
      <c r="I114" s="936"/>
      <c r="J114" s="936"/>
      <c r="K114" s="936"/>
      <c r="L114" s="936"/>
      <c r="M114" s="936"/>
    </row>
    <row r="115" spans="1:25" x14ac:dyDescent="0.35">
      <c r="A115" s="929">
        <v>2017</v>
      </c>
      <c r="B115" s="933" t="s">
        <v>686</v>
      </c>
      <c r="C115" s="934" t="s">
        <v>686</v>
      </c>
      <c r="D115" s="934" t="s">
        <v>686</v>
      </c>
      <c r="E115" s="934" t="s">
        <v>686</v>
      </c>
      <c r="F115" s="934" t="s">
        <v>686</v>
      </c>
      <c r="G115" s="934" t="s">
        <v>686</v>
      </c>
      <c r="H115" s="936"/>
      <c r="I115" s="936"/>
      <c r="J115" s="936"/>
      <c r="K115" s="936"/>
      <c r="L115" s="936"/>
      <c r="M115" s="936"/>
    </row>
    <row r="116" spans="1:25" x14ac:dyDescent="0.35">
      <c r="A116" s="929">
        <v>2018</v>
      </c>
      <c r="B116" s="933" t="s">
        <v>686</v>
      </c>
      <c r="C116" s="934" t="s">
        <v>686</v>
      </c>
      <c r="D116" s="934" t="s">
        <v>686</v>
      </c>
      <c r="E116" s="934" t="s">
        <v>686</v>
      </c>
      <c r="F116" s="934" t="s">
        <v>686</v>
      </c>
      <c r="G116" s="934" t="s">
        <v>686</v>
      </c>
      <c r="H116" s="934" t="s">
        <v>686</v>
      </c>
      <c r="I116" s="936"/>
      <c r="J116" s="936"/>
      <c r="K116" s="936"/>
      <c r="L116" s="936"/>
      <c r="M116" s="936"/>
    </row>
    <row r="117" spans="1:25" x14ac:dyDescent="0.35">
      <c r="A117" s="929">
        <v>2019</v>
      </c>
      <c r="B117" s="933" t="s">
        <v>686</v>
      </c>
      <c r="C117" s="934" t="s">
        <v>686</v>
      </c>
      <c r="D117" s="934" t="s">
        <v>686</v>
      </c>
      <c r="E117" s="934" t="s">
        <v>686</v>
      </c>
      <c r="F117" s="934" t="s">
        <v>686</v>
      </c>
      <c r="G117" s="934" t="s">
        <v>686</v>
      </c>
      <c r="H117" s="934" t="s">
        <v>686</v>
      </c>
      <c r="I117" s="934" t="s">
        <v>686</v>
      </c>
      <c r="J117" s="931"/>
      <c r="K117" s="936"/>
      <c r="L117" s="936"/>
      <c r="M117" s="936"/>
    </row>
    <row r="118" spans="1:25" x14ac:dyDescent="0.35">
      <c r="A118" s="929">
        <v>2020</v>
      </c>
      <c r="B118" s="933" t="s">
        <v>686</v>
      </c>
      <c r="C118" s="934" t="s">
        <v>686</v>
      </c>
      <c r="D118" s="934" t="s">
        <v>686</v>
      </c>
      <c r="E118" s="934" t="s">
        <v>686</v>
      </c>
      <c r="F118" s="934" t="s">
        <v>686</v>
      </c>
      <c r="G118" s="934" t="s">
        <v>686</v>
      </c>
      <c r="H118" s="934" t="s">
        <v>686</v>
      </c>
      <c r="I118" s="934" t="s">
        <v>686</v>
      </c>
      <c r="J118" s="931"/>
      <c r="K118" s="934" t="s">
        <v>686</v>
      </c>
      <c r="L118" s="937"/>
      <c r="M118" s="936"/>
    </row>
    <row r="119" spans="1:25" x14ac:dyDescent="0.35">
      <c r="C119" s="938"/>
      <c r="D119" s="938"/>
      <c r="E119" s="938"/>
      <c r="F119" s="938"/>
      <c r="G119" s="938"/>
      <c r="H119" s="938"/>
      <c r="I119" s="938"/>
      <c r="J119" s="931"/>
      <c r="K119" s="931"/>
      <c r="L119" s="938"/>
      <c r="M119" s="938"/>
    </row>
    <row r="120" spans="1:25" x14ac:dyDescent="0.35">
      <c r="A120" s="928" t="s">
        <v>699</v>
      </c>
      <c r="B120" s="894">
        <v>2011</v>
      </c>
      <c r="C120" s="939">
        <v>2012</v>
      </c>
      <c r="D120" s="939">
        <v>2013</v>
      </c>
      <c r="E120" s="939">
        <v>2014</v>
      </c>
      <c r="F120" s="939">
        <v>2015</v>
      </c>
      <c r="G120" s="939">
        <v>2016</v>
      </c>
      <c r="H120" s="939">
        <v>2017</v>
      </c>
      <c r="I120" s="939">
        <v>2018</v>
      </c>
      <c r="J120" s="931"/>
      <c r="K120" s="939">
        <v>2019</v>
      </c>
      <c r="L120" s="939">
        <v>2020</v>
      </c>
      <c r="M120" s="939">
        <v>2021</v>
      </c>
    </row>
    <row r="121" spans="1:25" x14ac:dyDescent="0.35">
      <c r="A121" s="929">
        <v>2011</v>
      </c>
      <c r="B121" s="1093">
        <v>1</v>
      </c>
      <c r="C121" s="1094">
        <v>0.99850880386344909</v>
      </c>
      <c r="D121" s="1094">
        <v>0.98066117647106676</v>
      </c>
      <c r="E121" s="1094">
        <v>0.97540939440993379</v>
      </c>
      <c r="F121" s="1094">
        <v>0.96502026857809298</v>
      </c>
      <c r="G121" s="1094">
        <v>0.90718077209818715</v>
      </c>
      <c r="H121" s="1094">
        <v>0.90633153874346029</v>
      </c>
      <c r="I121" s="1094">
        <v>0.79982966417855483</v>
      </c>
      <c r="J121" s="1095"/>
      <c r="K121" s="1094">
        <v>0.79629174310303097</v>
      </c>
      <c r="L121" s="1094">
        <v>0.79224989300864934</v>
      </c>
      <c r="M121" s="1094">
        <v>0.72251224178024132</v>
      </c>
      <c r="N121" s="930" t="s">
        <v>770</v>
      </c>
      <c r="O121" s="930"/>
      <c r="P121" s="930"/>
      <c r="Q121" s="930"/>
      <c r="R121" s="930"/>
      <c r="S121" s="930"/>
      <c r="T121" s="930"/>
      <c r="U121" s="930"/>
      <c r="V121" s="930"/>
      <c r="W121" s="930"/>
    </row>
    <row r="122" spans="1:25" x14ac:dyDescent="0.35">
      <c r="A122" s="929">
        <v>2012</v>
      </c>
      <c r="B122" s="1096" t="s">
        <v>686</v>
      </c>
      <c r="C122" s="1094">
        <v>1</v>
      </c>
      <c r="D122" s="1094">
        <v>0.78777059603670174</v>
      </c>
      <c r="E122" s="940">
        <v>0.78104792158197334</v>
      </c>
      <c r="F122" s="940">
        <v>0.33443115626738923</v>
      </c>
      <c r="G122" s="1094">
        <v>0.31541243550269282</v>
      </c>
      <c r="H122" s="1094">
        <v>0.27090486971902844</v>
      </c>
      <c r="I122" s="1094">
        <v>0.2524749885350886</v>
      </c>
      <c r="J122" s="1095"/>
      <c r="K122" s="1094">
        <v>0.2494757016065996</v>
      </c>
      <c r="L122" s="1094">
        <v>0.24778349824296009</v>
      </c>
      <c r="M122" s="1094">
        <v>0.22594617134289027</v>
      </c>
      <c r="N122" s="1097" t="s">
        <v>771</v>
      </c>
    </row>
    <row r="123" spans="1:25" x14ac:dyDescent="0.35">
      <c r="A123" s="929">
        <v>2013</v>
      </c>
      <c r="B123" s="1096" t="s">
        <v>686</v>
      </c>
      <c r="C123" s="1098" t="s">
        <v>686</v>
      </c>
      <c r="D123" s="1094">
        <v>1</v>
      </c>
      <c r="E123" s="1094">
        <v>0.23788099534729004</v>
      </c>
      <c r="F123" s="1094">
        <v>0.23713776968506231</v>
      </c>
      <c r="G123" s="1094">
        <v>0.2334116118752681</v>
      </c>
      <c r="H123" s="1094">
        <v>0.21511493485904062</v>
      </c>
      <c r="I123" s="1094">
        <v>0.21264581970496829</v>
      </c>
      <c r="J123" s="1095"/>
      <c r="K123" s="1094">
        <v>0.21264581970496829</v>
      </c>
      <c r="L123" s="1094">
        <v>0.21195921376287893</v>
      </c>
      <c r="M123" s="1094">
        <v>0.2077466883355075</v>
      </c>
      <c r="N123" s="930" t="s">
        <v>772</v>
      </c>
      <c r="O123" s="930"/>
      <c r="P123" s="930"/>
      <c r="Q123" s="930"/>
      <c r="R123" s="930"/>
      <c r="S123" s="930"/>
      <c r="T123" s="930"/>
      <c r="U123" s="930"/>
      <c r="V123" s="930"/>
      <c r="W123" s="930"/>
      <c r="X123" s="930"/>
      <c r="Y123" s="941"/>
    </row>
    <row r="124" spans="1:25" x14ac:dyDescent="0.35">
      <c r="A124" s="929">
        <v>2014</v>
      </c>
      <c r="B124" s="933" t="s">
        <v>686</v>
      </c>
      <c r="C124" s="934" t="s">
        <v>686</v>
      </c>
      <c r="D124" s="934" t="s">
        <v>686</v>
      </c>
      <c r="E124" s="1099">
        <v>1</v>
      </c>
      <c r="F124" s="1099">
        <v>0.49912485449137151</v>
      </c>
      <c r="G124" s="1099">
        <v>0.49804777371271441</v>
      </c>
      <c r="H124" s="1099">
        <v>0.40276096894346436</v>
      </c>
      <c r="I124" s="1099">
        <v>0.390885173095884</v>
      </c>
      <c r="J124" s="1099"/>
      <c r="K124" s="1099">
        <v>0.39025310291680038</v>
      </c>
      <c r="L124" s="1099">
        <v>0.38857030594018038</v>
      </c>
      <c r="M124" s="1099">
        <v>0.38803260276583934</v>
      </c>
      <c r="N124" s="1097" t="s">
        <v>773</v>
      </c>
    </row>
    <row r="125" spans="1:25" x14ac:dyDescent="0.35">
      <c r="A125" s="929">
        <v>2015</v>
      </c>
      <c r="B125" s="933" t="s">
        <v>686</v>
      </c>
      <c r="C125" s="933" t="s">
        <v>686</v>
      </c>
      <c r="D125" s="933" t="s">
        <v>686</v>
      </c>
      <c r="E125" s="933" t="s">
        <v>686</v>
      </c>
      <c r="F125" s="935">
        <v>1</v>
      </c>
      <c r="G125" s="935">
        <v>0.99935447430000812</v>
      </c>
      <c r="H125" s="935">
        <v>0.99741789720003227</v>
      </c>
      <c r="I125" s="935">
        <v>0.99733720648753332</v>
      </c>
      <c r="J125" s="1100"/>
      <c r="K125" s="935">
        <v>0.99467441297506654</v>
      </c>
      <c r="L125" s="935">
        <v>0.99435165012507065</v>
      </c>
      <c r="M125" s="935">
        <v>0.98765432098765427</v>
      </c>
      <c r="N125" s="1097" t="s">
        <v>774</v>
      </c>
    </row>
    <row r="126" spans="1:25" x14ac:dyDescent="0.35">
      <c r="A126" s="929">
        <v>2016</v>
      </c>
      <c r="B126" s="933" t="s">
        <v>686</v>
      </c>
      <c r="C126" s="933" t="s">
        <v>686</v>
      </c>
      <c r="D126" s="933" t="s">
        <v>686</v>
      </c>
      <c r="E126" s="933" t="s">
        <v>686</v>
      </c>
      <c r="F126" s="933" t="s">
        <v>686</v>
      </c>
      <c r="G126" s="942"/>
      <c r="H126" s="942"/>
      <c r="I126" s="942"/>
      <c r="J126" s="942"/>
      <c r="K126" s="942"/>
      <c r="L126" s="942"/>
      <c r="M126" s="942"/>
    </row>
    <row r="127" spans="1:25" x14ac:dyDescent="0.35">
      <c r="A127" s="929">
        <v>2017</v>
      </c>
      <c r="B127" s="933" t="s">
        <v>686</v>
      </c>
      <c r="C127" s="933" t="s">
        <v>686</v>
      </c>
      <c r="D127" s="933" t="s">
        <v>686</v>
      </c>
      <c r="E127" s="933" t="s">
        <v>686</v>
      </c>
      <c r="F127" s="933" t="s">
        <v>686</v>
      </c>
      <c r="G127" s="933" t="s">
        <v>686</v>
      </c>
      <c r="H127" s="942"/>
      <c r="I127" s="942"/>
      <c r="J127" s="942"/>
      <c r="K127" s="942"/>
      <c r="L127" s="942"/>
      <c r="M127" s="942"/>
    </row>
    <row r="128" spans="1:25" x14ac:dyDescent="0.35">
      <c r="A128" s="929">
        <v>2018</v>
      </c>
      <c r="B128" s="933" t="s">
        <v>686</v>
      </c>
      <c r="C128" s="933" t="s">
        <v>686</v>
      </c>
      <c r="D128" s="933" t="s">
        <v>686</v>
      </c>
      <c r="E128" s="933" t="s">
        <v>686</v>
      </c>
      <c r="F128" s="933" t="s">
        <v>686</v>
      </c>
      <c r="G128" s="933" t="s">
        <v>686</v>
      </c>
      <c r="H128" s="933" t="s">
        <v>686</v>
      </c>
      <c r="I128" s="942"/>
      <c r="J128" s="942"/>
      <c r="K128" s="942"/>
      <c r="L128" s="942"/>
      <c r="M128" s="942"/>
    </row>
    <row r="129" spans="1:19" x14ac:dyDescent="0.35">
      <c r="A129" s="929">
        <v>2019</v>
      </c>
      <c r="B129" s="933" t="s">
        <v>686</v>
      </c>
      <c r="C129" s="933" t="s">
        <v>686</v>
      </c>
      <c r="D129" s="933" t="s">
        <v>686</v>
      </c>
      <c r="E129" s="933" t="s">
        <v>686</v>
      </c>
      <c r="F129" s="933" t="s">
        <v>686</v>
      </c>
      <c r="G129" s="933" t="s">
        <v>686</v>
      </c>
      <c r="H129" s="933" t="s">
        <v>686</v>
      </c>
      <c r="I129" s="933" t="s">
        <v>686</v>
      </c>
      <c r="K129" s="942"/>
      <c r="L129" s="942"/>
      <c r="M129" s="942"/>
    </row>
    <row r="130" spans="1:19" x14ac:dyDescent="0.35">
      <c r="A130" s="929">
        <v>2020</v>
      </c>
      <c r="B130" s="933" t="s">
        <v>686</v>
      </c>
      <c r="C130" s="933" t="s">
        <v>686</v>
      </c>
      <c r="D130" s="933" t="s">
        <v>686</v>
      </c>
      <c r="E130" s="933" t="s">
        <v>686</v>
      </c>
      <c r="F130" s="933" t="s">
        <v>686</v>
      </c>
      <c r="G130" s="933" t="s">
        <v>686</v>
      </c>
      <c r="H130" s="933" t="s">
        <v>686</v>
      </c>
      <c r="I130" s="933" t="s">
        <v>686</v>
      </c>
      <c r="K130" s="933" t="s">
        <v>686</v>
      </c>
      <c r="L130" s="943"/>
      <c r="M130" s="942"/>
    </row>
    <row r="131" spans="1:19" x14ac:dyDescent="0.35">
      <c r="B131" s="1101" t="s">
        <v>775</v>
      </c>
      <c r="C131" s="1102"/>
      <c r="D131" s="1102"/>
      <c r="E131" s="1102"/>
      <c r="F131" s="1102"/>
      <c r="G131" s="1102"/>
      <c r="H131" s="1102"/>
      <c r="I131" s="1102"/>
      <c r="J131" s="1102"/>
      <c r="K131" s="1102"/>
      <c r="L131" s="1102"/>
      <c r="M131" s="1102"/>
      <c r="N131" s="1102"/>
      <c r="O131" s="1102"/>
      <c r="P131" s="1102"/>
      <c r="Q131" s="1102"/>
      <c r="R131" s="1102"/>
      <c r="S131" s="1102"/>
    </row>
    <row r="132" spans="1:19" x14ac:dyDescent="0.35">
      <c r="B132" s="854" t="s">
        <v>776</v>
      </c>
      <c r="C132" s="855"/>
      <c r="D132" s="855"/>
      <c r="E132" s="855"/>
      <c r="F132" s="855"/>
      <c r="G132" s="855"/>
      <c r="H132" s="855"/>
      <c r="I132" s="855"/>
      <c r="J132" s="855"/>
      <c r="K132" s="855"/>
      <c r="L132" s="855"/>
      <c r="M132" s="855"/>
      <c r="N132" s="805"/>
      <c r="O132" s="805"/>
      <c r="P132" s="805"/>
      <c r="Q132" s="805"/>
      <c r="R132" s="805"/>
      <c r="S132" s="805"/>
    </row>
    <row r="133" spans="1:19" x14ac:dyDescent="0.35">
      <c r="E133" s="1103" t="s">
        <v>777</v>
      </c>
      <c r="F133" s="944"/>
      <c r="G133" s="945"/>
      <c r="H133" s="945"/>
      <c r="I133" s="945"/>
      <c r="J133" s="945"/>
    </row>
    <row r="135" spans="1:19" x14ac:dyDescent="0.35">
      <c r="A135" s="1104"/>
    </row>
  </sheetData>
  <mergeCells count="27">
    <mergeCell ref="A16:H16"/>
    <mergeCell ref="K16:U16"/>
    <mergeCell ref="W16:AH16"/>
    <mergeCell ref="AJ16:AU16"/>
    <mergeCell ref="AW16:BI16"/>
    <mergeCell ref="A3:H3"/>
    <mergeCell ref="K3:U3"/>
    <mergeCell ref="W3:AH3"/>
    <mergeCell ref="AJ3:AU3"/>
    <mergeCell ref="AW3:BI3"/>
    <mergeCell ref="B31:C31"/>
    <mergeCell ref="D31:E31"/>
    <mergeCell ref="F31:G31"/>
    <mergeCell ref="B40:C40"/>
    <mergeCell ref="D40:E40"/>
    <mergeCell ref="F40:G40"/>
    <mergeCell ref="B50:C50"/>
    <mergeCell ref="D50:E50"/>
    <mergeCell ref="F50:G50"/>
    <mergeCell ref="B60:C60"/>
    <mergeCell ref="D60:E60"/>
    <mergeCell ref="F60:G60"/>
    <mergeCell ref="B76:C76"/>
    <mergeCell ref="D76:E76"/>
    <mergeCell ref="F76:G76"/>
    <mergeCell ref="B86:M86"/>
    <mergeCell ref="B97:M97"/>
  </mergeCells>
  <pageMargins left="0.70866141732283472" right="0.70866141732283472" top="0.74803149606299213" bottom="0.74803149606299213" header="0.31496062992125984" footer="0.31496062992125984"/>
  <pageSetup paperSize="3" scale="73"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46"/>
  <sheetViews>
    <sheetView topLeftCell="A34" workbookViewId="0">
      <pane xSplit="3" topLeftCell="W1" activePane="topRight" state="frozen"/>
      <selection pane="topRight" activeCell="AR8" sqref="AR8"/>
    </sheetView>
  </sheetViews>
  <sheetFormatPr defaultRowHeight="14.5" x14ac:dyDescent="0.35"/>
  <cols>
    <col min="3" max="3" width="59.54296875" customWidth="1"/>
    <col min="4" max="4" width="8.7265625" customWidth="1"/>
    <col min="5" max="5" width="9.54296875" customWidth="1"/>
    <col min="6" max="6" width="10.453125" bestFit="1" customWidth="1"/>
    <col min="7" max="15" width="10.81640625" customWidth="1"/>
    <col min="16" max="16" width="14" customWidth="1"/>
    <col min="17" max="17" width="11.54296875" bestFit="1" customWidth="1"/>
    <col min="18" max="18" width="11.81640625" bestFit="1" customWidth="1"/>
    <col min="19" max="20" width="11.453125" customWidth="1"/>
    <col min="21" max="21" width="11.453125" bestFit="1" customWidth="1"/>
    <col min="22" max="29" width="11.453125" customWidth="1"/>
    <col min="30" max="30" width="12.1796875" customWidth="1"/>
    <col min="31" max="32" width="11.453125" customWidth="1"/>
    <col min="33" max="42" width="11.453125" bestFit="1" customWidth="1"/>
    <col min="43" max="43" width="12.54296875" customWidth="1"/>
    <col min="44" max="55" width="11.453125" bestFit="1" customWidth="1"/>
    <col min="56" max="56" width="12.54296875" bestFit="1" customWidth="1"/>
    <col min="57" max="66" width="11.453125" bestFit="1" customWidth="1"/>
    <col min="67" max="68" width="13" bestFit="1" customWidth="1"/>
    <col min="69" max="70" width="13.81640625" customWidth="1"/>
    <col min="72" max="72" width="9.81640625" bestFit="1" customWidth="1"/>
  </cols>
  <sheetData>
    <row r="1" spans="1:70" x14ac:dyDescent="0.35">
      <c r="A1" s="946" t="s">
        <v>700</v>
      </c>
      <c r="B1" s="946"/>
      <c r="C1" s="947"/>
      <c r="D1" s="947"/>
      <c r="E1" s="947"/>
      <c r="F1" s="947"/>
      <c r="G1" s="947"/>
      <c r="H1" s="947"/>
      <c r="I1" s="947"/>
      <c r="J1" s="947"/>
      <c r="K1" s="947"/>
      <c r="L1" s="947"/>
      <c r="M1" s="947"/>
      <c r="N1" s="947"/>
      <c r="O1" s="947"/>
      <c r="P1" s="947"/>
      <c r="Q1" s="947"/>
      <c r="R1" s="948"/>
      <c r="S1" s="947"/>
      <c r="T1" s="947"/>
      <c r="U1" s="947"/>
      <c r="V1" s="947"/>
      <c r="W1" s="947"/>
      <c r="X1" s="947"/>
      <c r="Y1" s="947"/>
      <c r="Z1" s="947"/>
      <c r="AA1" s="947"/>
      <c r="AB1" s="947"/>
      <c r="AC1" s="947"/>
      <c r="AD1" s="947"/>
      <c r="AE1" s="947"/>
      <c r="AF1" s="947"/>
      <c r="AG1" s="947"/>
      <c r="AH1" s="947"/>
      <c r="AI1" s="947"/>
      <c r="AJ1" s="947"/>
      <c r="AK1" s="947"/>
      <c r="AL1" s="947"/>
      <c r="AM1" s="947"/>
      <c r="AN1" s="947"/>
      <c r="AO1" s="947"/>
      <c r="AP1" s="947"/>
      <c r="AQ1" s="947"/>
      <c r="AR1" s="947"/>
      <c r="AS1" s="947"/>
      <c r="AT1" s="947"/>
      <c r="AU1" s="947"/>
      <c r="AV1" s="947"/>
      <c r="AW1" s="947"/>
      <c r="AX1" s="947"/>
      <c r="AY1" s="947"/>
      <c r="AZ1" s="947"/>
      <c r="BA1" s="947"/>
      <c r="BB1" s="947"/>
      <c r="BC1" s="947"/>
      <c r="BD1" s="947"/>
      <c r="BE1" s="947"/>
      <c r="BF1" s="947"/>
      <c r="BR1" s="947"/>
    </row>
    <row r="2" spans="1:70" x14ac:dyDescent="0.35">
      <c r="A2" s="947" t="s">
        <v>701</v>
      </c>
      <c r="B2" s="946"/>
      <c r="C2" s="947"/>
      <c r="D2" s="947"/>
      <c r="E2" s="947"/>
      <c r="F2" s="947"/>
      <c r="G2" s="947"/>
      <c r="H2" s="947"/>
      <c r="I2" s="947"/>
      <c r="J2" s="947"/>
      <c r="K2" s="947"/>
      <c r="L2" s="947"/>
      <c r="M2" s="947"/>
      <c r="N2" s="947"/>
      <c r="O2" s="947"/>
      <c r="P2" s="947"/>
      <c r="Q2" s="947"/>
      <c r="R2" s="948"/>
      <c r="S2" s="947"/>
      <c r="T2" s="947"/>
      <c r="U2" s="947"/>
      <c r="V2" s="947"/>
      <c r="W2" s="947"/>
      <c r="X2" s="947"/>
      <c r="Y2" s="947"/>
      <c r="Z2" s="947"/>
      <c r="AA2" s="947"/>
      <c r="AB2" s="947"/>
      <c r="AC2" s="947"/>
      <c r="AD2" s="947"/>
      <c r="AE2" s="947"/>
      <c r="AF2" s="947"/>
      <c r="AG2" s="947"/>
      <c r="AH2" s="947"/>
      <c r="AI2" s="947"/>
      <c r="AJ2" s="947"/>
      <c r="AK2" s="947"/>
      <c r="AL2" s="947"/>
      <c r="AM2" s="947"/>
      <c r="AN2" s="947"/>
      <c r="AO2" s="947"/>
      <c r="AP2" s="947"/>
      <c r="AQ2" s="947"/>
      <c r="AR2" s="947"/>
      <c r="AS2" s="947"/>
      <c r="AT2" s="947"/>
      <c r="AU2" s="947"/>
      <c r="AV2" s="947"/>
      <c r="AW2" s="947"/>
      <c r="AX2" s="947"/>
      <c r="AY2" s="947"/>
      <c r="AZ2" s="947"/>
      <c r="BA2" s="947"/>
      <c r="BB2" s="947"/>
      <c r="BC2" s="947"/>
      <c r="BD2" s="947"/>
      <c r="BE2" s="947"/>
      <c r="BF2" s="947"/>
      <c r="BR2" s="947"/>
    </row>
    <row r="3" spans="1:70" x14ac:dyDescent="0.35">
      <c r="B3" s="949"/>
      <c r="R3" s="950">
        <v>-1</v>
      </c>
      <c r="BE3" s="951">
        <v>-1</v>
      </c>
      <c r="BR3" s="952"/>
    </row>
    <row r="4" spans="1:70" ht="15" thickBot="1" x14ac:dyDescent="0.4">
      <c r="A4" s="947" t="s">
        <v>702</v>
      </c>
      <c r="B4" s="953"/>
      <c r="C4" s="947"/>
      <c r="D4" s="947"/>
      <c r="E4" s="947"/>
      <c r="F4" s="947"/>
      <c r="G4" s="947"/>
      <c r="H4" s="947"/>
      <c r="I4" s="947"/>
      <c r="J4" s="947"/>
      <c r="K4" s="947"/>
      <c r="L4" s="947"/>
      <c r="M4" s="947"/>
      <c r="N4" s="947"/>
      <c r="O4" s="947"/>
      <c r="P4" s="947"/>
      <c r="Q4" s="947"/>
      <c r="R4" s="948"/>
      <c r="S4" s="947"/>
      <c r="T4" s="947"/>
      <c r="U4" s="954"/>
      <c r="V4" s="947"/>
      <c r="W4" s="947"/>
      <c r="X4" s="947"/>
      <c r="Y4" s="947"/>
      <c r="Z4" s="947"/>
      <c r="AA4" s="947"/>
      <c r="AB4" s="947"/>
      <c r="AC4" s="947"/>
      <c r="AD4" s="947"/>
      <c r="AE4" s="947"/>
      <c r="AF4" s="947"/>
      <c r="AG4" s="947"/>
      <c r="AH4" s="947"/>
      <c r="AI4" s="947"/>
      <c r="AJ4" s="947"/>
      <c r="AK4" s="947"/>
      <c r="AL4" s="947"/>
      <c r="AM4" s="947"/>
      <c r="AN4" s="947"/>
      <c r="AO4" s="947"/>
      <c r="AP4" s="947"/>
      <c r="AQ4" s="947"/>
      <c r="AR4" s="947">
        <v>-1</v>
      </c>
      <c r="AS4" s="947"/>
      <c r="AT4" s="947"/>
      <c r="AU4" s="947"/>
      <c r="AV4" s="947"/>
      <c r="AW4" s="947"/>
      <c r="AX4" s="947"/>
      <c r="AY4" s="947"/>
      <c r="AZ4" s="947"/>
      <c r="BA4" s="947"/>
      <c r="BB4" s="947"/>
      <c r="BC4" s="947"/>
      <c r="BD4" s="947"/>
      <c r="BE4" s="947"/>
      <c r="BF4" s="947"/>
      <c r="BR4" s="947"/>
    </row>
    <row r="5" spans="1:70" ht="26.5" x14ac:dyDescent="0.35">
      <c r="A5" s="955"/>
      <c r="B5" s="956"/>
      <c r="C5" s="957"/>
      <c r="D5" s="958" t="s">
        <v>703</v>
      </c>
      <c r="E5" s="958">
        <v>2011</v>
      </c>
      <c r="F5" s="959"/>
      <c r="G5" s="959"/>
      <c r="H5" s="959"/>
      <c r="I5" s="959"/>
      <c r="J5" s="959"/>
      <c r="K5" s="959"/>
      <c r="L5" s="959"/>
      <c r="M5" s="959"/>
      <c r="N5" s="959"/>
      <c r="O5" s="959"/>
      <c r="P5" s="959"/>
      <c r="Q5" s="958">
        <v>2011</v>
      </c>
      <c r="R5" s="958">
        <v>2012</v>
      </c>
      <c r="S5" s="959"/>
      <c r="T5" s="959"/>
      <c r="U5" s="959"/>
      <c r="V5" s="959"/>
      <c r="W5" s="959"/>
      <c r="X5" s="959"/>
      <c r="Y5" s="959"/>
      <c r="Z5" s="959"/>
      <c r="AA5" s="959"/>
      <c r="AB5" s="959"/>
      <c r="AC5" s="960"/>
      <c r="AD5" s="961">
        <v>2012</v>
      </c>
      <c r="AE5" s="962">
        <v>2013</v>
      </c>
      <c r="AF5" s="959"/>
      <c r="AG5" s="959"/>
      <c r="AH5" s="959"/>
      <c r="AI5" s="959"/>
      <c r="AJ5" s="959"/>
      <c r="AK5" s="959"/>
      <c r="AL5" s="959"/>
      <c r="AM5" s="959"/>
      <c r="AN5" s="959"/>
      <c r="AO5" s="959"/>
      <c r="AP5" s="960"/>
      <c r="AQ5" s="963">
        <v>2013</v>
      </c>
      <c r="AR5" s="962">
        <v>2014</v>
      </c>
      <c r="AS5" s="959"/>
      <c r="AT5" s="959"/>
      <c r="AU5" s="959"/>
      <c r="AV5" s="959"/>
      <c r="AW5" s="959"/>
      <c r="AX5" s="959"/>
      <c r="AY5" s="959"/>
      <c r="AZ5" s="959"/>
      <c r="BA5" s="959"/>
      <c r="BB5" s="959"/>
      <c r="BC5" s="960"/>
      <c r="BD5" s="963">
        <v>2014</v>
      </c>
      <c r="BE5" s="962">
        <v>2015</v>
      </c>
      <c r="BF5" s="959"/>
      <c r="BG5" s="959"/>
      <c r="BH5" s="959"/>
      <c r="BI5" s="959"/>
      <c r="BJ5" s="959"/>
      <c r="BK5" s="959"/>
      <c r="BL5" s="959"/>
      <c r="BM5" s="959"/>
      <c r="BN5" s="959"/>
      <c r="BO5" s="959"/>
      <c r="BP5" s="960"/>
      <c r="BQ5" s="963">
        <v>2015</v>
      </c>
      <c r="BR5" s="964" t="s">
        <v>704</v>
      </c>
    </row>
    <row r="6" spans="1:70" ht="53" thickBot="1" x14ac:dyDescent="0.4">
      <c r="A6" s="965" t="s">
        <v>705</v>
      </c>
      <c r="B6" s="966" t="s">
        <v>706</v>
      </c>
      <c r="C6" s="967" t="s">
        <v>707</v>
      </c>
      <c r="D6" s="968" t="s">
        <v>708</v>
      </c>
      <c r="E6" s="969" t="s">
        <v>709</v>
      </c>
      <c r="F6" s="970" t="s">
        <v>710</v>
      </c>
      <c r="G6" s="970" t="s">
        <v>711</v>
      </c>
      <c r="H6" s="970" t="s">
        <v>712</v>
      </c>
      <c r="I6" s="970" t="s">
        <v>713</v>
      </c>
      <c r="J6" s="970" t="s">
        <v>714</v>
      </c>
      <c r="K6" s="970" t="s">
        <v>715</v>
      </c>
      <c r="L6" s="970" t="s">
        <v>716</v>
      </c>
      <c r="M6" s="970" t="s">
        <v>717</v>
      </c>
      <c r="N6" s="971" t="s">
        <v>718</v>
      </c>
      <c r="O6" s="971" t="s">
        <v>719</v>
      </c>
      <c r="P6" s="971" t="s">
        <v>720</v>
      </c>
      <c r="Q6" s="968" t="s">
        <v>528</v>
      </c>
      <c r="R6" s="969" t="s">
        <v>709</v>
      </c>
      <c r="S6" s="970" t="s">
        <v>710</v>
      </c>
      <c r="T6" s="970" t="s">
        <v>711</v>
      </c>
      <c r="U6" s="970" t="s">
        <v>712</v>
      </c>
      <c r="V6" s="970" t="s">
        <v>713</v>
      </c>
      <c r="W6" s="970" t="s">
        <v>714</v>
      </c>
      <c r="X6" s="970" t="s">
        <v>715</v>
      </c>
      <c r="Y6" s="970" t="s">
        <v>716</v>
      </c>
      <c r="Z6" s="970" t="s">
        <v>717</v>
      </c>
      <c r="AA6" s="971" t="s">
        <v>718</v>
      </c>
      <c r="AB6" s="971" t="s">
        <v>719</v>
      </c>
      <c r="AC6" s="971" t="s">
        <v>720</v>
      </c>
      <c r="AD6" s="972" t="s">
        <v>528</v>
      </c>
      <c r="AE6" s="973" t="s">
        <v>709</v>
      </c>
      <c r="AF6" s="970" t="s">
        <v>710</v>
      </c>
      <c r="AG6" s="970" t="s">
        <v>711</v>
      </c>
      <c r="AH6" s="970" t="s">
        <v>712</v>
      </c>
      <c r="AI6" s="970" t="s">
        <v>713</v>
      </c>
      <c r="AJ6" s="970" t="s">
        <v>714</v>
      </c>
      <c r="AK6" s="970" t="s">
        <v>715</v>
      </c>
      <c r="AL6" s="970" t="s">
        <v>716</v>
      </c>
      <c r="AM6" s="970" t="s">
        <v>717</v>
      </c>
      <c r="AN6" s="971" t="s">
        <v>718</v>
      </c>
      <c r="AO6" s="971" t="s">
        <v>719</v>
      </c>
      <c r="AP6" s="971" t="s">
        <v>720</v>
      </c>
      <c r="AQ6" s="972" t="s">
        <v>528</v>
      </c>
      <c r="AR6" s="973" t="s">
        <v>709</v>
      </c>
      <c r="AS6" s="970" t="s">
        <v>710</v>
      </c>
      <c r="AT6" s="970" t="s">
        <v>711</v>
      </c>
      <c r="AU6" s="970" t="s">
        <v>712</v>
      </c>
      <c r="AV6" s="970" t="s">
        <v>713</v>
      </c>
      <c r="AW6" s="970" t="s">
        <v>714</v>
      </c>
      <c r="AX6" s="970" t="s">
        <v>715</v>
      </c>
      <c r="AY6" s="970" t="s">
        <v>716</v>
      </c>
      <c r="AZ6" s="970" t="s">
        <v>717</v>
      </c>
      <c r="BA6" s="971" t="s">
        <v>718</v>
      </c>
      <c r="BB6" s="971" t="s">
        <v>719</v>
      </c>
      <c r="BC6" s="971" t="s">
        <v>720</v>
      </c>
      <c r="BD6" s="972" t="s">
        <v>528</v>
      </c>
      <c r="BE6" s="973" t="s">
        <v>709</v>
      </c>
      <c r="BF6" s="970" t="s">
        <v>710</v>
      </c>
      <c r="BG6" s="970" t="s">
        <v>711</v>
      </c>
      <c r="BH6" s="970" t="s">
        <v>712</v>
      </c>
      <c r="BI6" s="970" t="s">
        <v>713</v>
      </c>
      <c r="BJ6" s="970" t="s">
        <v>714</v>
      </c>
      <c r="BK6" s="970" t="s">
        <v>715</v>
      </c>
      <c r="BL6" s="970" t="s">
        <v>716</v>
      </c>
      <c r="BM6" s="970" t="s">
        <v>717</v>
      </c>
      <c r="BN6" s="971" t="s">
        <v>718</v>
      </c>
      <c r="BO6" s="971" t="s">
        <v>719</v>
      </c>
      <c r="BP6" s="971" t="s">
        <v>720</v>
      </c>
      <c r="BQ6" s="972" t="s">
        <v>528</v>
      </c>
      <c r="BR6" s="974" t="s">
        <v>721</v>
      </c>
    </row>
    <row r="7" spans="1:70" x14ac:dyDescent="0.35">
      <c r="A7" s="1497" t="s">
        <v>722</v>
      </c>
      <c r="B7" s="1497"/>
      <c r="C7" s="1497"/>
      <c r="D7" s="975"/>
      <c r="E7" s="975"/>
      <c r="F7" s="975"/>
      <c r="G7" s="975"/>
      <c r="H7" s="975"/>
      <c r="I7" s="975"/>
      <c r="J7" s="975"/>
      <c r="K7" s="975"/>
      <c r="L7" s="975"/>
      <c r="M7" s="975"/>
      <c r="N7" s="975"/>
      <c r="O7" s="975"/>
      <c r="P7" s="975"/>
      <c r="Q7" s="975"/>
      <c r="R7" s="975"/>
      <c r="S7" s="975"/>
      <c r="T7" s="975"/>
      <c r="U7" s="975"/>
      <c r="V7" s="975"/>
      <c r="W7" s="975"/>
      <c r="X7" s="975"/>
      <c r="Y7" s="975"/>
      <c r="Z7" s="975"/>
      <c r="AA7" s="975"/>
      <c r="AB7" s="975"/>
      <c r="AC7" s="975"/>
      <c r="AD7" s="976"/>
      <c r="AQ7" s="977"/>
      <c r="BD7" s="977"/>
      <c r="BQ7" s="977"/>
      <c r="BR7" s="978"/>
    </row>
    <row r="8" spans="1:70" x14ac:dyDescent="0.35">
      <c r="A8" s="979"/>
      <c r="B8" s="979"/>
      <c r="C8" s="860" t="s">
        <v>38</v>
      </c>
      <c r="D8" s="975"/>
      <c r="E8" s="975"/>
      <c r="F8" s="975"/>
      <c r="G8" s="975"/>
      <c r="H8" s="975"/>
      <c r="I8" s="975"/>
      <c r="J8" s="975"/>
      <c r="K8" s="975"/>
      <c r="L8" s="975"/>
      <c r="M8" s="975"/>
      <c r="N8" s="975"/>
      <c r="O8" s="975"/>
      <c r="P8" s="975"/>
      <c r="Q8" s="975">
        <f>SUM(D8:M8)</f>
        <v>0</v>
      </c>
      <c r="R8" s="950">
        <f>-'8. Guelph_Approved CDM adj'!H48</f>
        <v>-4764.1940455589947</v>
      </c>
      <c r="S8" s="980">
        <f t="shared" ref="S8:T15" si="0">R8</f>
        <v>-4764.1940455589947</v>
      </c>
      <c r="T8" s="980">
        <f t="shared" si="0"/>
        <v>-4764.1940455589947</v>
      </c>
      <c r="U8" s="950">
        <f>-'8. Guelph_Approved CDM adj'!I48</f>
        <v>-4914.0114683753154</v>
      </c>
      <c r="V8" s="950">
        <f>-'8. Guelph_Approved CDM adj'!J48</f>
        <v>-5093.7923757548997</v>
      </c>
      <c r="W8" s="980">
        <f t="shared" ref="W8:AC15" si="1">V8</f>
        <v>-5093.7923757548997</v>
      </c>
      <c r="X8" s="980">
        <f t="shared" si="1"/>
        <v>-5093.7923757548997</v>
      </c>
      <c r="Y8" s="980">
        <f t="shared" si="1"/>
        <v>-5093.7923757548997</v>
      </c>
      <c r="Z8" s="980">
        <f t="shared" si="1"/>
        <v>-5093.7923757548997</v>
      </c>
      <c r="AA8" s="980">
        <f t="shared" si="1"/>
        <v>-5093.7923757548997</v>
      </c>
      <c r="AB8" s="980">
        <f t="shared" si="1"/>
        <v>-5093.7923757548997</v>
      </c>
      <c r="AC8" s="980">
        <f t="shared" si="1"/>
        <v>-5093.7923757548997</v>
      </c>
      <c r="AD8" s="981">
        <f>SUM(Q8:AC8)</f>
        <v>-59956.932611091499</v>
      </c>
      <c r="AE8" s="950">
        <f>('8. Guelph_Approved CDM adj'!D62)*-1</f>
        <v>-5153.7193448814278</v>
      </c>
      <c r="AF8" s="951">
        <f t="shared" ref="AF8:AP15" si="2">AE8</f>
        <v>-5153.7193448814278</v>
      </c>
      <c r="AG8" s="951">
        <f t="shared" si="2"/>
        <v>-5153.7193448814278</v>
      </c>
      <c r="AH8" s="951">
        <f t="shared" si="2"/>
        <v>-5153.7193448814278</v>
      </c>
      <c r="AI8" s="951">
        <f t="shared" si="2"/>
        <v>-5153.7193448814278</v>
      </c>
      <c r="AJ8" s="951">
        <f t="shared" si="2"/>
        <v>-5153.7193448814278</v>
      </c>
      <c r="AK8" s="951">
        <f t="shared" si="2"/>
        <v>-5153.7193448814278</v>
      </c>
      <c r="AL8" s="951">
        <f t="shared" si="2"/>
        <v>-5153.7193448814278</v>
      </c>
      <c r="AM8" s="951">
        <f t="shared" si="2"/>
        <v>-5153.7193448814278</v>
      </c>
      <c r="AN8" s="951">
        <f t="shared" si="2"/>
        <v>-5153.7193448814278</v>
      </c>
      <c r="AO8" s="951">
        <f t="shared" si="2"/>
        <v>-5153.7193448814278</v>
      </c>
      <c r="AP8" s="951">
        <f t="shared" si="2"/>
        <v>-5153.7193448814278</v>
      </c>
      <c r="AQ8" s="982">
        <f>SUM(AD8:AP8)</f>
        <v>-121801.56474966857</v>
      </c>
      <c r="AR8" s="950">
        <f>('8. Guelph_Approved CDM adj'!D75)*-1</f>
        <v>-5213.6463140079559</v>
      </c>
      <c r="AS8" s="951">
        <f>$AR$8</f>
        <v>-5213.6463140079559</v>
      </c>
      <c r="AT8" s="951">
        <f t="shared" ref="AT8:BC8" si="3">$AR$8</f>
        <v>-5213.6463140079559</v>
      </c>
      <c r="AU8" s="951">
        <f t="shared" si="3"/>
        <v>-5213.6463140079559</v>
      </c>
      <c r="AV8" s="951">
        <f t="shared" si="3"/>
        <v>-5213.6463140079559</v>
      </c>
      <c r="AW8" s="951">
        <f t="shared" si="3"/>
        <v>-5213.6463140079559</v>
      </c>
      <c r="AX8" s="951">
        <f t="shared" si="3"/>
        <v>-5213.6463140079559</v>
      </c>
      <c r="AY8" s="951">
        <f t="shared" si="3"/>
        <v>-5213.6463140079559</v>
      </c>
      <c r="AZ8" s="951">
        <f t="shared" si="3"/>
        <v>-5213.6463140079559</v>
      </c>
      <c r="BA8" s="951">
        <f t="shared" si="3"/>
        <v>-5213.6463140079559</v>
      </c>
      <c r="BB8" s="951">
        <f t="shared" si="3"/>
        <v>-5213.6463140079559</v>
      </c>
      <c r="BC8" s="951">
        <f t="shared" si="3"/>
        <v>-5213.6463140079559</v>
      </c>
      <c r="BD8" s="982">
        <f>SUM(AQ8:BC8)</f>
        <v>-184365.32051776405</v>
      </c>
      <c r="BE8" s="951">
        <f>('8. Guelph_Approved CDM adj'!D88)*-1</f>
        <v>-5273.573283134484</v>
      </c>
      <c r="BF8" s="951">
        <f t="shared" ref="BF8:BP15" si="4">BE8</f>
        <v>-5273.573283134484</v>
      </c>
      <c r="BG8" s="951">
        <f t="shared" si="4"/>
        <v>-5273.573283134484</v>
      </c>
      <c r="BH8" s="951">
        <f t="shared" si="4"/>
        <v>-5273.573283134484</v>
      </c>
      <c r="BI8" s="951">
        <f t="shared" si="4"/>
        <v>-5273.573283134484</v>
      </c>
      <c r="BJ8" s="951">
        <f t="shared" si="4"/>
        <v>-5273.573283134484</v>
      </c>
      <c r="BK8" s="951">
        <f t="shared" si="4"/>
        <v>-5273.573283134484</v>
      </c>
      <c r="BL8" s="951">
        <f t="shared" si="4"/>
        <v>-5273.573283134484</v>
      </c>
      <c r="BM8" s="951">
        <f t="shared" si="4"/>
        <v>-5273.573283134484</v>
      </c>
      <c r="BN8" s="951">
        <f t="shared" si="4"/>
        <v>-5273.573283134484</v>
      </c>
      <c r="BO8" s="951">
        <f t="shared" si="4"/>
        <v>-5273.573283134484</v>
      </c>
      <c r="BP8" s="951">
        <f t="shared" si="4"/>
        <v>-5273.573283134484</v>
      </c>
      <c r="BQ8" s="982">
        <f>SUM(BD8:BP8)</f>
        <v>-247648.19991537798</v>
      </c>
      <c r="BR8" s="983">
        <f>('[11]6. Rate Rider Calculations'!H103)*-1</f>
        <v>-2864.1073881087505</v>
      </c>
    </row>
    <row r="9" spans="1:70" x14ac:dyDescent="0.35">
      <c r="A9" t="s">
        <v>527</v>
      </c>
      <c r="B9" s="949"/>
      <c r="C9" s="860" t="s">
        <v>557</v>
      </c>
      <c r="D9" s="975">
        <v>0</v>
      </c>
      <c r="E9" s="975"/>
      <c r="F9" s="975"/>
      <c r="G9" s="975"/>
      <c r="H9" s="975"/>
      <c r="I9" s="975"/>
      <c r="J9" s="975"/>
      <c r="K9" s="975"/>
      <c r="L9" s="975"/>
      <c r="M9" s="975"/>
      <c r="N9" s="975"/>
      <c r="O9" s="975"/>
      <c r="P9" s="975"/>
      <c r="Q9" s="975">
        <v>0</v>
      </c>
      <c r="R9" s="950">
        <f>-'8. Guelph_Approved CDM adj'!H49</f>
        <v>-1800.3602412842949</v>
      </c>
      <c r="S9" s="980">
        <f t="shared" si="0"/>
        <v>-1800.3602412842949</v>
      </c>
      <c r="T9" s="980">
        <f t="shared" si="0"/>
        <v>-1800.3602412842949</v>
      </c>
      <c r="U9" s="950">
        <f>-'8. Guelph_Approved CDM adj'!I49</f>
        <v>-1306.1437044611553</v>
      </c>
      <c r="V9" s="950">
        <f>-'8. Guelph_Approved CDM adj'!J49</f>
        <v>-1482.6496104694195</v>
      </c>
      <c r="W9" s="980">
        <f t="shared" si="1"/>
        <v>-1482.6496104694195</v>
      </c>
      <c r="X9" s="980">
        <f t="shared" si="1"/>
        <v>-1482.6496104694195</v>
      </c>
      <c r="Y9" s="980">
        <f t="shared" si="1"/>
        <v>-1482.6496104694195</v>
      </c>
      <c r="Z9" s="980">
        <f t="shared" si="1"/>
        <v>-1482.6496104694195</v>
      </c>
      <c r="AA9" s="980">
        <f t="shared" si="1"/>
        <v>-1482.6496104694195</v>
      </c>
      <c r="AB9" s="980">
        <f t="shared" si="1"/>
        <v>-1482.6496104694195</v>
      </c>
      <c r="AC9" s="980">
        <f t="shared" si="1"/>
        <v>-1482.6496104694195</v>
      </c>
      <c r="AD9" s="981">
        <f t="shared" ref="AD9:AD15" si="5">SUM(Q9:AC9)</f>
        <v>-18568.421312069397</v>
      </c>
      <c r="AE9" s="950">
        <f>('8. Guelph_Approved CDM adj'!D63)*-1</f>
        <v>-1494.4166708699704</v>
      </c>
      <c r="AF9" s="951">
        <f t="shared" si="2"/>
        <v>-1494.4166708699704</v>
      </c>
      <c r="AG9" s="951">
        <f t="shared" si="2"/>
        <v>-1494.4166708699704</v>
      </c>
      <c r="AH9" s="951">
        <f t="shared" si="2"/>
        <v>-1494.4166708699704</v>
      </c>
      <c r="AI9" s="951">
        <f t="shared" si="2"/>
        <v>-1494.4166708699704</v>
      </c>
      <c r="AJ9" s="951">
        <f t="shared" si="2"/>
        <v>-1494.4166708699704</v>
      </c>
      <c r="AK9" s="951">
        <f t="shared" si="2"/>
        <v>-1494.4166708699704</v>
      </c>
      <c r="AL9" s="951">
        <f t="shared" si="2"/>
        <v>-1494.4166708699704</v>
      </c>
      <c r="AM9" s="951">
        <f t="shared" si="2"/>
        <v>-1494.4166708699704</v>
      </c>
      <c r="AN9" s="951">
        <f t="shared" si="2"/>
        <v>-1494.4166708699704</v>
      </c>
      <c r="AO9" s="951">
        <f t="shared" si="2"/>
        <v>-1494.4166708699704</v>
      </c>
      <c r="AP9" s="951">
        <f t="shared" si="2"/>
        <v>-1494.4166708699704</v>
      </c>
      <c r="AQ9" s="982">
        <f t="shared" ref="AQ9:AQ15" si="6">SUM(AD9:AP9)</f>
        <v>-36501.421362509042</v>
      </c>
      <c r="AR9" s="950">
        <f>('8. Guelph_Approved CDM adj'!D76)*-1</f>
        <v>-1517.9507916710725</v>
      </c>
      <c r="AS9" s="951">
        <f>$AR$9</f>
        <v>-1517.9507916710725</v>
      </c>
      <c r="AT9" s="951">
        <f t="shared" ref="AT9:BC9" si="7">$AR$9</f>
        <v>-1517.9507916710725</v>
      </c>
      <c r="AU9" s="951">
        <f t="shared" si="7"/>
        <v>-1517.9507916710725</v>
      </c>
      <c r="AV9" s="951">
        <f t="shared" si="7"/>
        <v>-1517.9507916710725</v>
      </c>
      <c r="AW9" s="951">
        <f t="shared" si="7"/>
        <v>-1517.9507916710725</v>
      </c>
      <c r="AX9" s="951">
        <f t="shared" si="7"/>
        <v>-1517.9507916710725</v>
      </c>
      <c r="AY9" s="951">
        <f t="shared" si="7"/>
        <v>-1517.9507916710725</v>
      </c>
      <c r="AZ9" s="951">
        <f t="shared" si="7"/>
        <v>-1517.9507916710725</v>
      </c>
      <c r="BA9" s="951">
        <f t="shared" si="7"/>
        <v>-1517.9507916710725</v>
      </c>
      <c r="BB9" s="951">
        <f t="shared" si="7"/>
        <v>-1517.9507916710725</v>
      </c>
      <c r="BC9" s="951">
        <f t="shared" si="7"/>
        <v>-1517.9507916710725</v>
      </c>
      <c r="BD9" s="982">
        <f t="shared" ref="BD9:BD15" si="8">SUM(AQ9:BC9)</f>
        <v>-54716.830862561903</v>
      </c>
      <c r="BE9" s="951">
        <f>('8. Guelph_Approved CDM adj'!D89)*-1</f>
        <v>-1541.4849124721743</v>
      </c>
      <c r="BF9" s="951">
        <f t="shared" si="4"/>
        <v>-1541.4849124721743</v>
      </c>
      <c r="BG9" s="951">
        <f t="shared" si="4"/>
        <v>-1541.4849124721743</v>
      </c>
      <c r="BH9" s="951">
        <f t="shared" si="4"/>
        <v>-1541.4849124721743</v>
      </c>
      <c r="BI9" s="951">
        <f t="shared" si="4"/>
        <v>-1541.4849124721743</v>
      </c>
      <c r="BJ9" s="951">
        <f t="shared" si="4"/>
        <v>-1541.4849124721743</v>
      </c>
      <c r="BK9" s="951">
        <f t="shared" si="4"/>
        <v>-1541.4849124721743</v>
      </c>
      <c r="BL9" s="951">
        <f t="shared" si="4"/>
        <v>-1541.4849124721743</v>
      </c>
      <c r="BM9" s="951">
        <f t="shared" si="4"/>
        <v>-1541.4849124721743</v>
      </c>
      <c r="BN9" s="951">
        <f t="shared" si="4"/>
        <v>-1541.4849124721743</v>
      </c>
      <c r="BO9" s="951">
        <f t="shared" si="4"/>
        <v>-1541.4849124721743</v>
      </c>
      <c r="BP9" s="951">
        <f t="shared" si="4"/>
        <v>-1541.4849124721743</v>
      </c>
      <c r="BQ9" s="982">
        <f t="shared" ref="BQ9:BQ15" si="9">SUM(BD9:BP9)</f>
        <v>-73214.649812228017</v>
      </c>
      <c r="BR9" s="983">
        <f>('[11]6. Rate Rider Calculations'!H104)*-1</f>
        <v>-23248.428846268052</v>
      </c>
    </row>
    <row r="10" spans="1:70" x14ac:dyDescent="0.35">
      <c r="A10" s="860" t="s">
        <v>527</v>
      </c>
      <c r="B10" s="984"/>
      <c r="C10" s="860" t="s">
        <v>558</v>
      </c>
      <c r="D10" s="975">
        <v>0</v>
      </c>
      <c r="E10" s="860"/>
      <c r="F10" s="860"/>
      <c r="G10" s="860"/>
      <c r="H10" s="975"/>
      <c r="I10" s="975"/>
      <c r="J10" s="975"/>
      <c r="K10" s="975"/>
      <c r="L10" s="975"/>
      <c r="M10" s="975"/>
      <c r="N10" s="975"/>
      <c r="O10" s="975"/>
      <c r="P10" s="975"/>
      <c r="Q10" s="975">
        <v>0</v>
      </c>
      <c r="R10" s="950">
        <f>-'8. Guelph_Approved CDM adj'!H50</f>
        <v>-2497.841297669409</v>
      </c>
      <c r="S10" s="980">
        <f t="shared" si="0"/>
        <v>-2497.841297669409</v>
      </c>
      <c r="T10" s="980">
        <f t="shared" si="0"/>
        <v>-2497.841297669409</v>
      </c>
      <c r="U10" s="950">
        <f>-'8. Guelph_Approved CDM adj'!I50</f>
        <v>-2110.4775086920845</v>
      </c>
      <c r="V10" s="950">
        <f>-'8. Guelph_Approved CDM adj'!J50</f>
        <v>-2288.4729229220175</v>
      </c>
      <c r="W10" s="980">
        <f t="shared" si="1"/>
        <v>-2288.4729229220175</v>
      </c>
      <c r="X10" s="980">
        <f t="shared" si="1"/>
        <v>-2288.4729229220175</v>
      </c>
      <c r="Y10" s="980">
        <f t="shared" si="1"/>
        <v>-2288.4729229220175</v>
      </c>
      <c r="Z10" s="980">
        <f t="shared" si="1"/>
        <v>-2288.4729229220175</v>
      </c>
      <c r="AA10" s="980">
        <f t="shared" si="1"/>
        <v>-2288.4729229220175</v>
      </c>
      <c r="AB10" s="980">
        <f t="shared" si="1"/>
        <v>-2288.4729229220175</v>
      </c>
      <c r="AC10" s="980">
        <f t="shared" si="1"/>
        <v>-2288.4729229220175</v>
      </c>
      <c r="AD10" s="981">
        <f t="shared" si="5"/>
        <v>-27911.784785076452</v>
      </c>
      <c r="AE10" s="950">
        <f>('8. Guelph_Approved CDM adj'!D64)*-1</f>
        <v>-2310.3417218709515</v>
      </c>
      <c r="AF10" s="985">
        <f t="shared" si="2"/>
        <v>-2310.3417218709515</v>
      </c>
      <c r="AG10" s="985">
        <f t="shared" si="2"/>
        <v>-2310.3417218709515</v>
      </c>
      <c r="AH10" s="985">
        <f t="shared" si="2"/>
        <v>-2310.3417218709515</v>
      </c>
      <c r="AI10" s="985">
        <f t="shared" si="2"/>
        <v>-2310.3417218709515</v>
      </c>
      <c r="AJ10" s="985">
        <f t="shared" si="2"/>
        <v>-2310.3417218709515</v>
      </c>
      <c r="AK10" s="985">
        <f t="shared" si="2"/>
        <v>-2310.3417218709515</v>
      </c>
      <c r="AL10" s="985">
        <f t="shared" si="2"/>
        <v>-2310.3417218709515</v>
      </c>
      <c r="AM10" s="985">
        <f t="shared" si="2"/>
        <v>-2310.3417218709515</v>
      </c>
      <c r="AN10" s="985">
        <f t="shared" si="2"/>
        <v>-2310.3417218709515</v>
      </c>
      <c r="AO10" s="985">
        <f t="shared" si="2"/>
        <v>-2310.3417218709515</v>
      </c>
      <c r="AP10" s="985">
        <f t="shared" si="2"/>
        <v>-2310.3417218709515</v>
      </c>
      <c r="AQ10" s="982">
        <f t="shared" si="6"/>
        <v>-55635.885447527864</v>
      </c>
      <c r="AR10" s="950">
        <f>('8. Guelph_Approved CDM adj'!D77)*-1</f>
        <v>-2342.7296899345629</v>
      </c>
      <c r="AS10" s="951">
        <f>$AR$10</f>
        <v>-2342.7296899345629</v>
      </c>
      <c r="AT10" s="951">
        <f t="shared" ref="AT10:BC10" si="10">$AR$10</f>
        <v>-2342.7296899345629</v>
      </c>
      <c r="AU10" s="951">
        <f t="shared" si="10"/>
        <v>-2342.7296899345629</v>
      </c>
      <c r="AV10" s="951">
        <f t="shared" si="10"/>
        <v>-2342.7296899345629</v>
      </c>
      <c r="AW10" s="951">
        <f t="shared" si="10"/>
        <v>-2342.7296899345629</v>
      </c>
      <c r="AX10" s="951">
        <f t="shared" si="10"/>
        <v>-2342.7296899345629</v>
      </c>
      <c r="AY10" s="951">
        <f t="shared" si="10"/>
        <v>-2342.7296899345629</v>
      </c>
      <c r="AZ10" s="951">
        <f t="shared" si="10"/>
        <v>-2342.7296899345629</v>
      </c>
      <c r="BA10" s="951">
        <f t="shared" si="10"/>
        <v>-2342.7296899345629</v>
      </c>
      <c r="BB10" s="951">
        <f t="shared" si="10"/>
        <v>-2342.7296899345629</v>
      </c>
      <c r="BC10" s="951">
        <f t="shared" si="10"/>
        <v>-2342.7296899345629</v>
      </c>
      <c r="BD10" s="982">
        <f t="shared" si="8"/>
        <v>-83748.641726742644</v>
      </c>
      <c r="BE10" s="951">
        <f>('8. Guelph_Approved CDM adj'!D90)*-1</f>
        <v>-2373.1799163191554</v>
      </c>
      <c r="BF10" s="951">
        <f t="shared" si="4"/>
        <v>-2373.1799163191554</v>
      </c>
      <c r="BG10" s="951">
        <f t="shared" si="4"/>
        <v>-2373.1799163191554</v>
      </c>
      <c r="BH10" s="951">
        <f t="shared" si="4"/>
        <v>-2373.1799163191554</v>
      </c>
      <c r="BI10" s="951">
        <f t="shared" si="4"/>
        <v>-2373.1799163191554</v>
      </c>
      <c r="BJ10" s="951">
        <f t="shared" si="4"/>
        <v>-2373.1799163191554</v>
      </c>
      <c r="BK10" s="951">
        <f t="shared" si="4"/>
        <v>-2373.1799163191554</v>
      </c>
      <c r="BL10" s="951">
        <f t="shared" si="4"/>
        <v>-2373.1799163191554</v>
      </c>
      <c r="BM10" s="951">
        <f t="shared" si="4"/>
        <v>-2373.1799163191554</v>
      </c>
      <c r="BN10" s="951">
        <f t="shared" si="4"/>
        <v>-2373.1799163191554</v>
      </c>
      <c r="BO10" s="951">
        <f t="shared" si="4"/>
        <v>-2373.1799163191554</v>
      </c>
      <c r="BP10" s="951">
        <f t="shared" si="4"/>
        <v>-2373.1799163191554</v>
      </c>
      <c r="BQ10" s="982">
        <f t="shared" si="9"/>
        <v>-112226.80072257257</v>
      </c>
      <c r="BR10" s="983">
        <f>('[11]6. Rate Rider Calculations'!H105)*-1</f>
        <v>-41602.771409432207</v>
      </c>
    </row>
    <row r="11" spans="1:70" x14ac:dyDescent="0.35">
      <c r="A11" s="860"/>
      <c r="B11" s="984"/>
      <c r="C11" s="860" t="s">
        <v>559</v>
      </c>
      <c r="D11" s="975">
        <v>0</v>
      </c>
      <c r="E11" s="860"/>
      <c r="F11" s="860"/>
      <c r="G11" s="860"/>
      <c r="H11" s="975"/>
      <c r="I11" s="975"/>
      <c r="J11" s="975"/>
      <c r="K11" s="975"/>
      <c r="L11" s="975"/>
      <c r="M11" s="975"/>
      <c r="N11" s="975"/>
      <c r="O11" s="975"/>
      <c r="P11" s="975"/>
      <c r="Q11" s="975">
        <v>0</v>
      </c>
      <c r="R11" s="950">
        <f>-'8. Guelph_Approved CDM adj'!H51</f>
        <v>-398.88832601338055</v>
      </c>
      <c r="S11" s="980">
        <f t="shared" si="0"/>
        <v>-398.88832601338055</v>
      </c>
      <c r="T11" s="980">
        <f t="shared" si="0"/>
        <v>-398.88832601338055</v>
      </c>
      <c r="U11" s="950">
        <f>-'8. Guelph_Approved CDM adj'!I51</f>
        <v>-759.57476245886073</v>
      </c>
      <c r="V11" s="950">
        <f>-'8. Guelph_Approved CDM adj'!J51</f>
        <v>-678.7284270335457</v>
      </c>
      <c r="W11" s="980">
        <f t="shared" si="1"/>
        <v>-678.7284270335457</v>
      </c>
      <c r="X11" s="980">
        <f t="shared" si="1"/>
        <v>-678.7284270335457</v>
      </c>
      <c r="Y11" s="980">
        <f t="shared" si="1"/>
        <v>-678.7284270335457</v>
      </c>
      <c r="Z11" s="980">
        <f t="shared" si="1"/>
        <v>-678.7284270335457</v>
      </c>
      <c r="AA11" s="980">
        <f t="shared" si="1"/>
        <v>-678.7284270335457</v>
      </c>
      <c r="AB11" s="980">
        <f t="shared" si="1"/>
        <v>-678.7284270335457</v>
      </c>
      <c r="AC11" s="980">
        <f t="shared" si="1"/>
        <v>-678.7284270335457</v>
      </c>
      <c r="AD11" s="981">
        <f t="shared" si="5"/>
        <v>-7386.0671567673689</v>
      </c>
      <c r="AE11" s="950">
        <f>('8. Guelph_Approved CDM adj'!D65)*-1</f>
        <v>-685.40249777263227</v>
      </c>
      <c r="AF11" s="985">
        <f t="shared" si="2"/>
        <v>-685.40249777263227</v>
      </c>
      <c r="AG11" s="985">
        <f t="shared" si="2"/>
        <v>-685.40249777263227</v>
      </c>
      <c r="AH11" s="985">
        <f t="shared" si="2"/>
        <v>-685.40249777263227</v>
      </c>
      <c r="AI11" s="985">
        <f t="shared" si="2"/>
        <v>-685.40249777263227</v>
      </c>
      <c r="AJ11" s="985">
        <f t="shared" si="2"/>
        <v>-685.40249777263227</v>
      </c>
      <c r="AK11" s="985">
        <f t="shared" si="2"/>
        <v>-685.40249777263227</v>
      </c>
      <c r="AL11" s="985">
        <f t="shared" si="2"/>
        <v>-685.40249777263227</v>
      </c>
      <c r="AM11" s="985">
        <f t="shared" si="2"/>
        <v>-685.40249777263227</v>
      </c>
      <c r="AN11" s="985">
        <f t="shared" si="2"/>
        <v>-685.40249777263227</v>
      </c>
      <c r="AO11" s="985">
        <f t="shared" si="2"/>
        <v>-685.40249777263227</v>
      </c>
      <c r="AP11" s="985">
        <f t="shared" si="2"/>
        <v>-685.40249777263227</v>
      </c>
      <c r="AQ11" s="982">
        <f t="shared" si="6"/>
        <v>-15610.897130038964</v>
      </c>
      <c r="AR11" s="950">
        <f>('8. Guelph_Approved CDM adj'!D78)*-1</f>
        <v>-695.00415168868005</v>
      </c>
      <c r="AS11" s="951">
        <f>$AR$11</f>
        <v>-695.00415168868005</v>
      </c>
      <c r="AT11" s="951">
        <f t="shared" ref="AT11:BC11" si="11">$AR$11</f>
        <v>-695.00415168868005</v>
      </c>
      <c r="AU11" s="951">
        <f t="shared" si="11"/>
        <v>-695.00415168868005</v>
      </c>
      <c r="AV11" s="951">
        <f t="shared" si="11"/>
        <v>-695.00415168868005</v>
      </c>
      <c r="AW11" s="951">
        <f t="shared" si="11"/>
        <v>-695.00415168868005</v>
      </c>
      <c r="AX11" s="951">
        <f t="shared" si="11"/>
        <v>-695.00415168868005</v>
      </c>
      <c r="AY11" s="951">
        <f t="shared" si="11"/>
        <v>-695.00415168868005</v>
      </c>
      <c r="AZ11" s="951">
        <f t="shared" si="11"/>
        <v>-695.00415168868005</v>
      </c>
      <c r="BA11" s="951">
        <f t="shared" si="11"/>
        <v>-695.00415168868005</v>
      </c>
      <c r="BB11" s="951">
        <f t="shared" si="11"/>
        <v>-695.00415168868005</v>
      </c>
      <c r="BC11" s="951">
        <f t="shared" si="11"/>
        <v>-695.00415168868005</v>
      </c>
      <c r="BD11" s="982">
        <f t="shared" si="8"/>
        <v>-23950.946950303136</v>
      </c>
      <c r="BE11" s="951">
        <f>('8. Guelph_Approved CDM adj'!D91)*-1</f>
        <v>-704.0530451447421</v>
      </c>
      <c r="BF11" s="951">
        <f t="shared" si="4"/>
        <v>-704.0530451447421</v>
      </c>
      <c r="BG11" s="951">
        <f t="shared" si="4"/>
        <v>-704.0530451447421</v>
      </c>
      <c r="BH11" s="951">
        <f t="shared" si="4"/>
        <v>-704.0530451447421</v>
      </c>
      <c r="BI11" s="951">
        <f t="shared" si="4"/>
        <v>-704.0530451447421</v>
      </c>
      <c r="BJ11" s="951">
        <f t="shared" si="4"/>
        <v>-704.0530451447421</v>
      </c>
      <c r="BK11" s="951">
        <f t="shared" si="4"/>
        <v>-704.0530451447421</v>
      </c>
      <c r="BL11" s="951">
        <f t="shared" si="4"/>
        <v>-704.0530451447421</v>
      </c>
      <c r="BM11" s="951">
        <f t="shared" si="4"/>
        <v>-704.0530451447421</v>
      </c>
      <c r="BN11" s="951">
        <f t="shared" si="4"/>
        <v>-704.0530451447421</v>
      </c>
      <c r="BO11" s="951">
        <f t="shared" si="4"/>
        <v>-704.0530451447421</v>
      </c>
      <c r="BP11" s="951">
        <f t="shared" si="4"/>
        <v>-704.0530451447421</v>
      </c>
      <c r="BQ11" s="982">
        <f t="shared" si="9"/>
        <v>-32399.58349204003</v>
      </c>
      <c r="BR11" s="983">
        <f>('[11]6. Rate Rider Calculations'!H106)*-1</f>
        <v>-27080.993442001029</v>
      </c>
    </row>
    <row r="12" spans="1:70" x14ac:dyDescent="0.35">
      <c r="A12" s="860"/>
      <c r="B12" s="984"/>
      <c r="C12" s="860" t="s">
        <v>541</v>
      </c>
      <c r="D12" s="975">
        <v>0</v>
      </c>
      <c r="E12" s="860"/>
      <c r="F12" s="860"/>
      <c r="G12" s="860"/>
      <c r="H12" s="975"/>
      <c r="I12" s="975"/>
      <c r="J12" s="975"/>
      <c r="K12" s="975"/>
      <c r="L12" s="975"/>
      <c r="M12" s="975"/>
      <c r="N12" s="975"/>
      <c r="O12" s="975"/>
      <c r="P12" s="975"/>
      <c r="Q12" s="975">
        <v>0</v>
      </c>
      <c r="R12" s="950">
        <f>-'8. Guelph_Approved CDM adj'!H52</f>
        <v>-715.20811034102724</v>
      </c>
      <c r="S12" s="980">
        <f t="shared" si="0"/>
        <v>-715.20811034102724</v>
      </c>
      <c r="T12" s="980">
        <f t="shared" si="0"/>
        <v>-715.20811034102724</v>
      </c>
      <c r="U12" s="950">
        <f>-'8. Guelph_Approved CDM adj'!I52</f>
        <v>-750.40306143062014</v>
      </c>
      <c r="V12" s="950">
        <f>-'8. Guelph_Approved CDM adj'!J52</f>
        <v>-756.6080480682167</v>
      </c>
      <c r="W12" s="980">
        <f t="shared" si="1"/>
        <v>-756.6080480682167</v>
      </c>
      <c r="X12" s="980">
        <f t="shared" si="1"/>
        <v>-756.6080480682167</v>
      </c>
      <c r="Y12" s="980">
        <f t="shared" si="1"/>
        <v>-756.6080480682167</v>
      </c>
      <c r="Z12" s="980">
        <f t="shared" si="1"/>
        <v>-756.6080480682167</v>
      </c>
      <c r="AA12" s="980">
        <f t="shared" si="1"/>
        <v>-756.6080480682167</v>
      </c>
      <c r="AB12" s="980">
        <f t="shared" si="1"/>
        <v>-756.6080480682167</v>
      </c>
      <c r="AC12" s="980">
        <f t="shared" si="1"/>
        <v>-756.6080480682167</v>
      </c>
      <c r="AD12" s="981">
        <f t="shared" si="5"/>
        <v>-8948.8917769994368</v>
      </c>
      <c r="AE12" s="950">
        <f>('8. Guelph_Approved CDM adj'!D66)*-1</f>
        <v>-764.08072014790287</v>
      </c>
      <c r="AF12" s="985">
        <f t="shared" si="2"/>
        <v>-764.08072014790287</v>
      </c>
      <c r="AG12" s="985">
        <f t="shared" si="2"/>
        <v>-764.08072014790287</v>
      </c>
      <c r="AH12" s="985">
        <f t="shared" si="2"/>
        <v>-764.08072014790287</v>
      </c>
      <c r="AI12" s="985">
        <f t="shared" si="2"/>
        <v>-764.08072014790287</v>
      </c>
      <c r="AJ12" s="985">
        <f t="shared" si="2"/>
        <v>-764.08072014790287</v>
      </c>
      <c r="AK12" s="985">
        <f t="shared" si="2"/>
        <v>-764.08072014790287</v>
      </c>
      <c r="AL12" s="985">
        <f t="shared" si="2"/>
        <v>-764.08072014790287</v>
      </c>
      <c r="AM12" s="985">
        <f t="shared" si="2"/>
        <v>-764.08072014790287</v>
      </c>
      <c r="AN12" s="985">
        <f t="shared" si="2"/>
        <v>-764.08072014790287</v>
      </c>
      <c r="AO12" s="985">
        <f t="shared" si="2"/>
        <v>-764.08072014790287</v>
      </c>
      <c r="AP12" s="985">
        <f t="shared" si="2"/>
        <v>-764.08072014790287</v>
      </c>
      <c r="AQ12" s="982">
        <f t="shared" si="6"/>
        <v>-18117.860418774282</v>
      </c>
      <c r="AR12" s="950">
        <f>('8. Guelph_Approved CDM adj'!D79)*-1</f>
        <v>-774.78932611923881</v>
      </c>
      <c r="AS12" s="951">
        <f>$AR$12</f>
        <v>-774.78932611923881</v>
      </c>
      <c r="AT12" s="951">
        <f t="shared" ref="AT12:BC12" si="12">$AR$12</f>
        <v>-774.78932611923881</v>
      </c>
      <c r="AU12" s="951">
        <f t="shared" si="12"/>
        <v>-774.78932611923881</v>
      </c>
      <c r="AV12" s="951">
        <f t="shared" si="12"/>
        <v>-774.78932611923881</v>
      </c>
      <c r="AW12" s="951">
        <f t="shared" si="12"/>
        <v>-774.78932611923881</v>
      </c>
      <c r="AX12" s="951">
        <f t="shared" si="12"/>
        <v>-774.78932611923881</v>
      </c>
      <c r="AY12" s="951">
        <f t="shared" si="12"/>
        <v>-774.78932611923881</v>
      </c>
      <c r="AZ12" s="951">
        <f t="shared" si="12"/>
        <v>-774.78932611923881</v>
      </c>
      <c r="BA12" s="951">
        <f t="shared" si="12"/>
        <v>-774.78932611923881</v>
      </c>
      <c r="BB12" s="951">
        <f t="shared" si="12"/>
        <v>-774.78932611923881</v>
      </c>
      <c r="BC12" s="951">
        <f t="shared" si="12"/>
        <v>-774.78932611923881</v>
      </c>
      <c r="BD12" s="982">
        <f t="shared" si="8"/>
        <v>-27415.332332205166</v>
      </c>
      <c r="BE12" s="951">
        <f>('8. Guelph_Approved CDM adj'!D92)*-1</f>
        <v>-784.86408936952978</v>
      </c>
      <c r="BF12" s="951">
        <f t="shared" si="4"/>
        <v>-784.86408936952978</v>
      </c>
      <c r="BG12" s="951">
        <f t="shared" si="4"/>
        <v>-784.86408936952978</v>
      </c>
      <c r="BH12" s="951">
        <f t="shared" si="4"/>
        <v>-784.86408936952978</v>
      </c>
      <c r="BI12" s="951">
        <f t="shared" si="4"/>
        <v>-784.86408936952978</v>
      </c>
      <c r="BJ12" s="951">
        <f t="shared" si="4"/>
        <v>-784.86408936952978</v>
      </c>
      <c r="BK12" s="951">
        <f t="shared" si="4"/>
        <v>-784.86408936952978</v>
      </c>
      <c r="BL12" s="951">
        <f t="shared" si="4"/>
        <v>-784.86408936952978</v>
      </c>
      <c r="BM12" s="951">
        <f t="shared" si="4"/>
        <v>-784.86408936952978</v>
      </c>
      <c r="BN12" s="951">
        <f t="shared" si="4"/>
        <v>-784.86408936952978</v>
      </c>
      <c r="BO12" s="951">
        <f t="shared" si="4"/>
        <v>-784.86408936952978</v>
      </c>
      <c r="BP12" s="951">
        <f t="shared" si="4"/>
        <v>-784.86408936952978</v>
      </c>
      <c r="BQ12" s="982">
        <f t="shared" si="9"/>
        <v>-36833.701404639505</v>
      </c>
      <c r="BR12" s="983">
        <f>('[11]6. Rate Rider Calculations'!H107)*-1</f>
        <v>-195241.56901394573</v>
      </c>
    </row>
    <row r="13" spans="1:70" x14ac:dyDescent="0.35">
      <c r="A13" s="860"/>
      <c r="B13" s="984"/>
      <c r="C13" s="860" t="s">
        <v>542</v>
      </c>
      <c r="D13" s="975">
        <v>0</v>
      </c>
      <c r="E13" s="860"/>
      <c r="F13" s="860"/>
      <c r="G13" s="860"/>
      <c r="H13" s="975"/>
      <c r="I13" s="975"/>
      <c r="J13" s="975"/>
      <c r="K13" s="975"/>
      <c r="L13" s="975"/>
      <c r="M13" s="975"/>
      <c r="N13" s="975"/>
      <c r="O13" s="975"/>
      <c r="P13" s="975"/>
      <c r="Q13" s="975">
        <v>0</v>
      </c>
      <c r="R13" s="950">
        <f>-'8. Guelph_Approved CDM adj'!H53</f>
        <v>-43.018918759104999</v>
      </c>
      <c r="S13" s="980">
        <f t="shared" si="0"/>
        <v>-43.018918759104999</v>
      </c>
      <c r="T13" s="980">
        <f t="shared" si="0"/>
        <v>-43.018918759104999</v>
      </c>
      <c r="U13" s="950">
        <f>-'8. Guelph_Approved CDM adj'!I53</f>
        <v>-44.781989200051918</v>
      </c>
      <c r="V13" s="950">
        <f>-'8. Guelph_Approved CDM adj'!J53</f>
        <v>-45.839831464620069</v>
      </c>
      <c r="W13" s="980">
        <f t="shared" si="1"/>
        <v>-45.839831464620069</v>
      </c>
      <c r="X13" s="980">
        <f t="shared" si="1"/>
        <v>-45.839831464620069</v>
      </c>
      <c r="Y13" s="980">
        <f t="shared" si="1"/>
        <v>-45.839831464620069</v>
      </c>
      <c r="Z13" s="980">
        <f t="shared" si="1"/>
        <v>-45.839831464620069</v>
      </c>
      <c r="AA13" s="980">
        <f t="shared" si="1"/>
        <v>-45.839831464620069</v>
      </c>
      <c r="AB13" s="980">
        <f t="shared" si="1"/>
        <v>-45.839831464620069</v>
      </c>
      <c r="AC13" s="980">
        <f t="shared" si="1"/>
        <v>-45.839831464620069</v>
      </c>
      <c r="AD13" s="981">
        <f t="shared" si="5"/>
        <v>-540.55739719432756</v>
      </c>
      <c r="AE13" s="950">
        <f>('8. Guelph_Approved CDM adj'!D67)*-1</f>
        <v>-46.368752596904159</v>
      </c>
      <c r="AF13" s="985">
        <f t="shared" si="2"/>
        <v>-46.368752596904159</v>
      </c>
      <c r="AG13" s="985">
        <f t="shared" si="2"/>
        <v>-46.368752596904159</v>
      </c>
      <c r="AH13" s="985">
        <f t="shared" si="2"/>
        <v>-46.368752596904159</v>
      </c>
      <c r="AI13" s="985">
        <f t="shared" si="2"/>
        <v>-46.368752596904159</v>
      </c>
      <c r="AJ13" s="985">
        <f t="shared" si="2"/>
        <v>-46.368752596904159</v>
      </c>
      <c r="AK13" s="985">
        <f t="shared" si="2"/>
        <v>-46.368752596904159</v>
      </c>
      <c r="AL13" s="985">
        <f t="shared" si="2"/>
        <v>-46.368752596904159</v>
      </c>
      <c r="AM13" s="985">
        <f t="shared" si="2"/>
        <v>-46.368752596904159</v>
      </c>
      <c r="AN13" s="985">
        <f t="shared" si="2"/>
        <v>-46.368752596904159</v>
      </c>
      <c r="AO13" s="985">
        <f t="shared" si="2"/>
        <v>-46.368752596904159</v>
      </c>
      <c r="AP13" s="985">
        <f t="shared" si="2"/>
        <v>-46.368752596904159</v>
      </c>
      <c r="AQ13" s="982">
        <f t="shared" si="6"/>
        <v>-1096.9824283571777</v>
      </c>
      <c r="AR13" s="950">
        <f>('8. Guelph_Approved CDM adj'!D80)*-1</f>
        <v>-47.073980773282926</v>
      </c>
      <c r="AS13" s="951">
        <f>$AR$13</f>
        <v>-47.073980773282926</v>
      </c>
      <c r="AT13" s="951">
        <f t="shared" ref="AT13:BC13" si="13">$AR$13</f>
        <v>-47.073980773282926</v>
      </c>
      <c r="AU13" s="951">
        <f t="shared" si="13"/>
        <v>-47.073980773282926</v>
      </c>
      <c r="AV13" s="951">
        <f t="shared" si="13"/>
        <v>-47.073980773282926</v>
      </c>
      <c r="AW13" s="951">
        <f t="shared" si="13"/>
        <v>-47.073980773282926</v>
      </c>
      <c r="AX13" s="951">
        <f t="shared" si="13"/>
        <v>-47.073980773282926</v>
      </c>
      <c r="AY13" s="951">
        <f t="shared" si="13"/>
        <v>-47.073980773282926</v>
      </c>
      <c r="AZ13" s="951">
        <f t="shared" si="13"/>
        <v>-47.073980773282926</v>
      </c>
      <c r="BA13" s="951">
        <f t="shared" si="13"/>
        <v>-47.073980773282926</v>
      </c>
      <c r="BB13" s="951">
        <f t="shared" si="13"/>
        <v>-47.073980773282926</v>
      </c>
      <c r="BC13" s="951">
        <f t="shared" si="13"/>
        <v>-47.073980773282926</v>
      </c>
      <c r="BD13" s="982">
        <f t="shared" si="8"/>
        <v>-1661.8701976365735</v>
      </c>
      <c r="BE13" s="951">
        <f>('8. Guelph_Approved CDM adj'!D93)*-1</f>
        <v>-47.602901905567002</v>
      </c>
      <c r="BF13" s="951">
        <f t="shared" si="4"/>
        <v>-47.602901905567002</v>
      </c>
      <c r="BG13" s="951">
        <f t="shared" si="4"/>
        <v>-47.602901905567002</v>
      </c>
      <c r="BH13" s="951">
        <f t="shared" si="4"/>
        <v>-47.602901905567002</v>
      </c>
      <c r="BI13" s="951">
        <f t="shared" si="4"/>
        <v>-47.602901905567002</v>
      </c>
      <c r="BJ13" s="951">
        <f t="shared" si="4"/>
        <v>-47.602901905567002</v>
      </c>
      <c r="BK13" s="951">
        <f t="shared" si="4"/>
        <v>-47.602901905567002</v>
      </c>
      <c r="BL13" s="951">
        <f t="shared" si="4"/>
        <v>-47.602901905567002</v>
      </c>
      <c r="BM13" s="951">
        <f t="shared" si="4"/>
        <v>-47.602901905567002</v>
      </c>
      <c r="BN13" s="951">
        <f t="shared" si="4"/>
        <v>-47.602901905567002</v>
      </c>
      <c r="BO13" s="951">
        <f t="shared" si="4"/>
        <v>-47.602901905567002</v>
      </c>
      <c r="BP13" s="951">
        <f t="shared" si="4"/>
        <v>-47.602901905567002</v>
      </c>
      <c r="BQ13" s="982">
        <f t="shared" si="9"/>
        <v>-2233.1050205033771</v>
      </c>
      <c r="BR13" s="983">
        <f>('[11]6. Rate Rider Calculations'!H108)*-1</f>
        <v>1096.9824283571775</v>
      </c>
    </row>
    <row r="14" spans="1:70" x14ac:dyDescent="0.35">
      <c r="A14" s="986"/>
      <c r="B14" s="984"/>
      <c r="C14" s="860" t="s">
        <v>41</v>
      </c>
      <c r="D14" s="975">
        <v>0</v>
      </c>
      <c r="E14" s="987"/>
      <c r="F14" s="987"/>
      <c r="G14" s="987"/>
      <c r="H14" s="987"/>
      <c r="I14" s="987"/>
      <c r="J14" s="987"/>
      <c r="K14" s="987"/>
      <c r="L14" s="987"/>
      <c r="M14" s="987"/>
      <c r="N14" s="987"/>
      <c r="O14" s="987"/>
      <c r="P14" s="987"/>
      <c r="Q14" s="975">
        <f>SUM(D14:M14)</f>
        <v>0</v>
      </c>
      <c r="R14" s="950">
        <f>-'8. Guelph_Approved CDM adj'!H54</f>
        <v>0</v>
      </c>
      <c r="S14" s="980">
        <f t="shared" si="0"/>
        <v>0</v>
      </c>
      <c r="T14" s="980">
        <f t="shared" si="0"/>
        <v>0</v>
      </c>
      <c r="U14" s="950">
        <f>-'8. Guelph_Approved CDM adj'!I54</f>
        <v>0</v>
      </c>
      <c r="V14" s="950">
        <f>-'8. Guelph_Approved CDM adj'!J54</f>
        <v>0</v>
      </c>
      <c r="W14" s="980">
        <f t="shared" si="1"/>
        <v>0</v>
      </c>
      <c r="X14" s="980">
        <f t="shared" si="1"/>
        <v>0</v>
      </c>
      <c r="Y14" s="980">
        <f t="shared" si="1"/>
        <v>0</v>
      </c>
      <c r="Z14" s="980">
        <f t="shared" si="1"/>
        <v>0</v>
      </c>
      <c r="AA14" s="980">
        <f t="shared" si="1"/>
        <v>0</v>
      </c>
      <c r="AB14" s="980">
        <f t="shared" si="1"/>
        <v>0</v>
      </c>
      <c r="AC14" s="980">
        <f t="shared" si="1"/>
        <v>0</v>
      </c>
      <c r="AD14" s="981">
        <f t="shared" si="5"/>
        <v>0</v>
      </c>
      <c r="AE14" s="950">
        <f>('8. Guelph_Approved CDM adj'!D68)*-1</f>
        <v>0</v>
      </c>
      <c r="AF14" s="951">
        <f t="shared" si="2"/>
        <v>0</v>
      </c>
      <c r="AG14" s="951">
        <f t="shared" si="2"/>
        <v>0</v>
      </c>
      <c r="AH14" s="951">
        <f t="shared" si="2"/>
        <v>0</v>
      </c>
      <c r="AI14" s="951">
        <f t="shared" si="2"/>
        <v>0</v>
      </c>
      <c r="AJ14" s="951">
        <f t="shared" si="2"/>
        <v>0</v>
      </c>
      <c r="AK14" s="951">
        <f t="shared" si="2"/>
        <v>0</v>
      </c>
      <c r="AL14" s="951">
        <f t="shared" si="2"/>
        <v>0</v>
      </c>
      <c r="AM14" s="951">
        <f t="shared" si="2"/>
        <v>0</v>
      </c>
      <c r="AN14" s="951">
        <f t="shared" si="2"/>
        <v>0</v>
      </c>
      <c r="AO14" s="951">
        <f t="shared" si="2"/>
        <v>0</v>
      </c>
      <c r="AP14" s="951">
        <f t="shared" si="2"/>
        <v>0</v>
      </c>
      <c r="AQ14" s="982">
        <f t="shared" si="6"/>
        <v>0</v>
      </c>
      <c r="AR14" s="950">
        <f>('8. Guelph_Approved CDM adj'!D81)*-1</f>
        <v>0</v>
      </c>
      <c r="AS14" s="951">
        <f>$AR$14</f>
        <v>0</v>
      </c>
      <c r="AT14" s="951">
        <f t="shared" ref="AT14:BC14" si="14">$AR$14</f>
        <v>0</v>
      </c>
      <c r="AU14" s="951">
        <f t="shared" si="14"/>
        <v>0</v>
      </c>
      <c r="AV14" s="951">
        <f t="shared" si="14"/>
        <v>0</v>
      </c>
      <c r="AW14" s="951">
        <f t="shared" si="14"/>
        <v>0</v>
      </c>
      <c r="AX14" s="951">
        <f t="shared" si="14"/>
        <v>0</v>
      </c>
      <c r="AY14" s="951">
        <f t="shared" si="14"/>
        <v>0</v>
      </c>
      <c r="AZ14" s="951">
        <f t="shared" si="14"/>
        <v>0</v>
      </c>
      <c r="BA14" s="951">
        <f t="shared" si="14"/>
        <v>0</v>
      </c>
      <c r="BB14" s="951">
        <f t="shared" si="14"/>
        <v>0</v>
      </c>
      <c r="BC14" s="951">
        <f t="shared" si="14"/>
        <v>0</v>
      </c>
      <c r="BD14" s="982">
        <f t="shared" si="8"/>
        <v>0</v>
      </c>
      <c r="BE14" s="951">
        <f>('8. Guelph_Approved CDM adj'!D94)*-1</f>
        <v>0</v>
      </c>
      <c r="BF14" s="951">
        <f t="shared" si="4"/>
        <v>0</v>
      </c>
      <c r="BG14" s="951">
        <f t="shared" si="4"/>
        <v>0</v>
      </c>
      <c r="BH14" s="951">
        <f t="shared" si="4"/>
        <v>0</v>
      </c>
      <c r="BI14" s="951">
        <f t="shared" si="4"/>
        <v>0</v>
      </c>
      <c r="BJ14" s="951">
        <f t="shared" si="4"/>
        <v>0</v>
      </c>
      <c r="BK14" s="951">
        <f t="shared" si="4"/>
        <v>0</v>
      </c>
      <c r="BL14" s="951">
        <f t="shared" si="4"/>
        <v>0</v>
      </c>
      <c r="BM14" s="951">
        <f t="shared" si="4"/>
        <v>0</v>
      </c>
      <c r="BN14" s="951">
        <f t="shared" si="4"/>
        <v>0</v>
      </c>
      <c r="BO14" s="951">
        <f t="shared" si="4"/>
        <v>0</v>
      </c>
      <c r="BP14" s="951">
        <f t="shared" si="4"/>
        <v>0</v>
      </c>
      <c r="BQ14" s="982">
        <f t="shared" si="9"/>
        <v>0</v>
      </c>
      <c r="BR14" s="983">
        <f>('[11]6. Rate Rider Calculations'!H109)*-1</f>
        <v>0</v>
      </c>
    </row>
    <row r="15" spans="1:70" ht="15" thickBot="1" x14ac:dyDescent="0.4">
      <c r="A15" s="988"/>
      <c r="B15" s="989"/>
      <c r="C15" s="990" t="s">
        <v>42</v>
      </c>
      <c r="D15" s="991">
        <v>0</v>
      </c>
      <c r="E15" s="991"/>
      <c r="F15" s="991"/>
      <c r="G15" s="991"/>
      <c r="H15" s="991"/>
      <c r="I15" s="991"/>
      <c r="J15" s="991"/>
      <c r="K15" s="991"/>
      <c r="L15" s="991"/>
      <c r="M15" s="991"/>
      <c r="N15" s="991"/>
      <c r="O15" s="991"/>
      <c r="P15" s="991"/>
      <c r="Q15" s="975">
        <f>SUM(D15:M15)</f>
        <v>0</v>
      </c>
      <c r="R15" s="950">
        <f>-'8. Guelph_Approved CDM adj'!H55</f>
        <v>0</v>
      </c>
      <c r="S15" s="992">
        <f t="shared" si="0"/>
        <v>0</v>
      </c>
      <c r="T15" s="992">
        <f t="shared" si="0"/>
        <v>0</v>
      </c>
      <c r="U15" s="950">
        <f>-'8. Guelph_Approved CDM adj'!I55</f>
        <v>0</v>
      </c>
      <c r="V15" s="950">
        <f>-'8. Guelph_Approved CDM adj'!J55</f>
        <v>0</v>
      </c>
      <c r="W15" s="992">
        <f t="shared" si="1"/>
        <v>0</v>
      </c>
      <c r="X15" s="992">
        <f t="shared" si="1"/>
        <v>0</v>
      </c>
      <c r="Y15" s="992">
        <f t="shared" si="1"/>
        <v>0</v>
      </c>
      <c r="Z15" s="992">
        <f t="shared" si="1"/>
        <v>0</v>
      </c>
      <c r="AA15" s="992">
        <f t="shared" si="1"/>
        <v>0</v>
      </c>
      <c r="AB15" s="992">
        <f t="shared" si="1"/>
        <v>0</v>
      </c>
      <c r="AC15" s="992">
        <f t="shared" si="1"/>
        <v>0</v>
      </c>
      <c r="AD15" s="993">
        <f t="shared" si="5"/>
        <v>0</v>
      </c>
      <c r="AE15" s="950">
        <f>('8. Guelph_Approved CDM adj'!D69)*-1</f>
        <v>0</v>
      </c>
      <c r="AF15" s="758">
        <f t="shared" si="2"/>
        <v>0</v>
      </c>
      <c r="AG15" s="758">
        <f t="shared" si="2"/>
        <v>0</v>
      </c>
      <c r="AH15" s="758">
        <f t="shared" si="2"/>
        <v>0</v>
      </c>
      <c r="AI15" s="758">
        <f t="shared" si="2"/>
        <v>0</v>
      </c>
      <c r="AJ15" s="758">
        <f t="shared" si="2"/>
        <v>0</v>
      </c>
      <c r="AK15" s="758">
        <f t="shared" si="2"/>
        <v>0</v>
      </c>
      <c r="AL15" s="758">
        <f t="shared" si="2"/>
        <v>0</v>
      </c>
      <c r="AM15" s="758">
        <f t="shared" si="2"/>
        <v>0</v>
      </c>
      <c r="AN15" s="758">
        <f t="shared" si="2"/>
        <v>0</v>
      </c>
      <c r="AO15" s="758">
        <f t="shared" si="2"/>
        <v>0</v>
      </c>
      <c r="AP15" s="758">
        <f t="shared" si="2"/>
        <v>0</v>
      </c>
      <c r="AQ15" s="994">
        <f t="shared" si="6"/>
        <v>0</v>
      </c>
      <c r="AR15" s="995">
        <f>('8. Guelph_Approved CDM adj'!D82)*-1</f>
        <v>0</v>
      </c>
      <c r="AS15" s="758">
        <f>$AR$15</f>
        <v>0</v>
      </c>
      <c r="AT15" s="758">
        <f t="shared" ref="AT15:BC15" si="15">$AR$15</f>
        <v>0</v>
      </c>
      <c r="AU15" s="758">
        <f t="shared" si="15"/>
        <v>0</v>
      </c>
      <c r="AV15" s="758">
        <f t="shared" si="15"/>
        <v>0</v>
      </c>
      <c r="AW15" s="758">
        <f t="shared" si="15"/>
        <v>0</v>
      </c>
      <c r="AX15" s="758">
        <f t="shared" si="15"/>
        <v>0</v>
      </c>
      <c r="AY15" s="758">
        <f t="shared" si="15"/>
        <v>0</v>
      </c>
      <c r="AZ15" s="758">
        <f t="shared" si="15"/>
        <v>0</v>
      </c>
      <c r="BA15" s="758">
        <f t="shared" si="15"/>
        <v>0</v>
      </c>
      <c r="BB15" s="758">
        <f t="shared" si="15"/>
        <v>0</v>
      </c>
      <c r="BC15" s="758">
        <f t="shared" si="15"/>
        <v>0</v>
      </c>
      <c r="BD15" s="994">
        <f t="shared" si="8"/>
        <v>0</v>
      </c>
      <c r="BE15" s="996">
        <f>('8. Guelph_Approved CDM adj'!D95)*-1</f>
        <v>0</v>
      </c>
      <c r="BF15" s="758">
        <f t="shared" si="4"/>
        <v>0</v>
      </c>
      <c r="BG15" s="758">
        <f t="shared" si="4"/>
        <v>0</v>
      </c>
      <c r="BH15" s="758">
        <f t="shared" si="4"/>
        <v>0</v>
      </c>
      <c r="BI15" s="758">
        <f t="shared" si="4"/>
        <v>0</v>
      </c>
      <c r="BJ15" s="758">
        <f t="shared" si="4"/>
        <v>0</v>
      </c>
      <c r="BK15" s="758">
        <f t="shared" si="4"/>
        <v>0</v>
      </c>
      <c r="BL15" s="758">
        <f t="shared" si="4"/>
        <v>0</v>
      </c>
      <c r="BM15" s="758">
        <f t="shared" si="4"/>
        <v>0</v>
      </c>
      <c r="BN15" s="758">
        <f t="shared" si="4"/>
        <v>0</v>
      </c>
      <c r="BO15" s="758">
        <f t="shared" si="4"/>
        <v>0</v>
      </c>
      <c r="BP15" s="758">
        <f t="shared" si="4"/>
        <v>0</v>
      </c>
      <c r="BQ15" s="994">
        <f t="shared" si="9"/>
        <v>0</v>
      </c>
      <c r="BR15" s="997">
        <f>('[11]6. Rate Rider Calculations'!H110)*-1</f>
        <v>0</v>
      </c>
    </row>
    <row r="16" spans="1:70" x14ac:dyDescent="0.35">
      <c r="A16" s="860"/>
      <c r="B16" s="984"/>
      <c r="C16" s="860"/>
      <c r="D16" s="987"/>
      <c r="E16" s="998"/>
      <c r="F16" s="998"/>
      <c r="G16" s="998"/>
      <c r="H16" s="998"/>
      <c r="I16" s="998"/>
      <c r="J16" s="998"/>
      <c r="K16" s="998"/>
      <c r="L16" s="998"/>
      <c r="M16" s="998"/>
      <c r="N16" s="998"/>
      <c r="O16" s="998"/>
      <c r="P16" s="998"/>
      <c r="Q16" s="998"/>
      <c r="R16" s="998"/>
      <c r="S16" s="998"/>
      <c r="T16" s="998"/>
      <c r="U16" s="998"/>
      <c r="V16" s="998"/>
      <c r="W16" s="998"/>
      <c r="X16" s="998"/>
      <c r="Y16" s="998"/>
      <c r="Z16" s="998"/>
      <c r="AA16" s="998"/>
      <c r="AB16" s="998"/>
      <c r="AC16" s="998"/>
      <c r="AD16" s="999"/>
      <c r="AQ16" s="977"/>
      <c r="AR16" s="951"/>
      <c r="AS16" s="951"/>
      <c r="AT16" s="951"/>
      <c r="AU16" s="951"/>
      <c r="AV16" s="951"/>
      <c r="AW16" s="951"/>
      <c r="AX16" s="951"/>
      <c r="AY16" s="951"/>
      <c r="AZ16" s="951"/>
      <c r="BA16" s="951"/>
      <c r="BB16" s="951"/>
      <c r="BC16" s="951"/>
      <c r="BD16" s="977"/>
      <c r="BE16" s="951"/>
      <c r="BF16" s="951"/>
      <c r="BG16" s="951"/>
      <c r="BH16" s="951"/>
      <c r="BI16" s="951"/>
      <c r="BJ16" s="951"/>
      <c r="BK16" s="951"/>
      <c r="BL16" s="951"/>
      <c r="BM16" s="951"/>
      <c r="BN16" s="951"/>
      <c r="BO16" s="951"/>
      <c r="BP16" s="951"/>
      <c r="BQ16" s="977"/>
      <c r="BR16" s="1000"/>
    </row>
    <row r="17" spans="1:72" ht="15" thickBot="1" x14ac:dyDescent="0.4">
      <c r="A17" s="947"/>
      <c r="B17" s="946"/>
      <c r="C17" s="1001" t="s">
        <v>723</v>
      </c>
      <c r="D17" s="948">
        <f>SUM([12]Continuity!D23:D30)</f>
        <v>0</v>
      </c>
      <c r="E17" s="1002">
        <f>SUM(E8:E15)</f>
        <v>0</v>
      </c>
      <c r="F17" s="1003">
        <f t="shared" ref="F17:AP17" si="16">SUM(F8:F15)</f>
        <v>0</v>
      </c>
      <c r="G17" s="1003">
        <f t="shared" si="16"/>
        <v>0</v>
      </c>
      <c r="H17" s="1003">
        <f t="shared" si="16"/>
        <v>0</v>
      </c>
      <c r="I17" s="1003">
        <f t="shared" si="16"/>
        <v>0</v>
      </c>
      <c r="J17" s="1003">
        <f t="shared" si="16"/>
        <v>0</v>
      </c>
      <c r="K17" s="1003">
        <f t="shared" si="16"/>
        <v>0</v>
      </c>
      <c r="L17" s="1003">
        <f t="shared" si="16"/>
        <v>0</v>
      </c>
      <c r="M17" s="1003">
        <f t="shared" si="16"/>
        <v>0</v>
      </c>
      <c r="N17" s="1003">
        <f t="shared" si="16"/>
        <v>0</v>
      </c>
      <c r="O17" s="1003">
        <f t="shared" si="16"/>
        <v>0</v>
      </c>
      <c r="P17" s="1003">
        <f t="shared" si="16"/>
        <v>0</v>
      </c>
      <c r="Q17" s="1003">
        <f t="shared" si="16"/>
        <v>0</v>
      </c>
      <c r="R17" s="1003">
        <f t="shared" si="16"/>
        <v>-10219.510939626212</v>
      </c>
      <c r="S17" s="1003">
        <f t="shared" si="16"/>
        <v>-10219.510939626212</v>
      </c>
      <c r="T17" s="1003">
        <f t="shared" si="16"/>
        <v>-10219.510939626212</v>
      </c>
      <c r="U17" s="1003">
        <f t="shared" si="16"/>
        <v>-9885.392494618085</v>
      </c>
      <c r="V17" s="1003">
        <f t="shared" si="16"/>
        <v>-10346.091215712719</v>
      </c>
      <c r="W17" s="1003">
        <f t="shared" si="16"/>
        <v>-10346.091215712719</v>
      </c>
      <c r="X17" s="1003">
        <f t="shared" si="16"/>
        <v>-10346.091215712719</v>
      </c>
      <c r="Y17" s="1003">
        <f t="shared" si="16"/>
        <v>-10346.091215712719</v>
      </c>
      <c r="Z17" s="1003">
        <f t="shared" si="16"/>
        <v>-10346.091215712719</v>
      </c>
      <c r="AA17" s="1003">
        <f t="shared" si="16"/>
        <v>-10346.091215712719</v>
      </c>
      <c r="AB17" s="1003">
        <f t="shared" si="16"/>
        <v>-10346.091215712719</v>
      </c>
      <c r="AC17" s="1003">
        <f t="shared" si="16"/>
        <v>-10346.091215712719</v>
      </c>
      <c r="AD17" s="1004">
        <f t="shared" si="16"/>
        <v>-123312.65503919849</v>
      </c>
      <c r="AE17" s="1003">
        <f t="shared" si="16"/>
        <v>-10454.32970813979</v>
      </c>
      <c r="AF17" s="1003">
        <f t="shared" si="16"/>
        <v>-10454.32970813979</v>
      </c>
      <c r="AG17" s="1003">
        <f t="shared" si="16"/>
        <v>-10454.32970813979</v>
      </c>
      <c r="AH17" s="1003">
        <f t="shared" si="16"/>
        <v>-10454.32970813979</v>
      </c>
      <c r="AI17" s="1003">
        <f t="shared" si="16"/>
        <v>-10454.32970813979</v>
      </c>
      <c r="AJ17" s="1003">
        <f t="shared" si="16"/>
        <v>-10454.32970813979</v>
      </c>
      <c r="AK17" s="1003">
        <f t="shared" si="16"/>
        <v>-10454.32970813979</v>
      </c>
      <c r="AL17" s="1003">
        <f t="shared" si="16"/>
        <v>-10454.32970813979</v>
      </c>
      <c r="AM17" s="1003">
        <f t="shared" si="16"/>
        <v>-10454.32970813979</v>
      </c>
      <c r="AN17" s="1003">
        <f t="shared" si="16"/>
        <v>-10454.32970813979</v>
      </c>
      <c r="AO17" s="1003">
        <f t="shared" si="16"/>
        <v>-10454.32970813979</v>
      </c>
      <c r="AP17" s="1003">
        <f t="shared" si="16"/>
        <v>-10454.32970813979</v>
      </c>
      <c r="AQ17" s="724">
        <f>SUM(AD17:AP17)</f>
        <v>-248764.61153687598</v>
      </c>
      <c r="AR17" s="1005">
        <f>SUM(AR8:AR16)</f>
        <v>-10591.194254194792</v>
      </c>
      <c r="AS17" s="1005">
        <f>SUM(AS8:AS16)</f>
        <v>-10591.194254194792</v>
      </c>
      <c r="AT17" s="1005">
        <f t="shared" ref="AT17:BC17" si="17">SUM(AT8:AT16)</f>
        <v>-10591.194254194792</v>
      </c>
      <c r="AU17" s="1005">
        <f t="shared" si="17"/>
        <v>-10591.194254194792</v>
      </c>
      <c r="AV17" s="1005">
        <f t="shared" si="17"/>
        <v>-10591.194254194792</v>
      </c>
      <c r="AW17" s="1005">
        <f t="shared" si="17"/>
        <v>-10591.194254194792</v>
      </c>
      <c r="AX17" s="1005">
        <f t="shared" si="17"/>
        <v>-10591.194254194792</v>
      </c>
      <c r="AY17" s="1005">
        <f t="shared" si="17"/>
        <v>-10591.194254194792</v>
      </c>
      <c r="AZ17" s="1005">
        <f t="shared" si="17"/>
        <v>-10591.194254194792</v>
      </c>
      <c r="BA17" s="1005">
        <f t="shared" si="17"/>
        <v>-10591.194254194792</v>
      </c>
      <c r="BB17" s="1005">
        <f t="shared" si="17"/>
        <v>-10591.194254194792</v>
      </c>
      <c r="BC17" s="1005">
        <f t="shared" si="17"/>
        <v>-10591.194254194792</v>
      </c>
      <c r="BD17" s="724">
        <f>SUM(AQ17:BC17)</f>
        <v>-375858.94258721347</v>
      </c>
      <c r="BE17" s="1005">
        <f>SUM(BE8:BE16)</f>
        <v>-10724.758148345652</v>
      </c>
      <c r="BF17" s="1005">
        <f>SUM(BF8:BF16)</f>
        <v>-10724.758148345652</v>
      </c>
      <c r="BG17" s="1005">
        <f t="shared" ref="BG17:BP17" si="18">SUM(BG8:BG16)</f>
        <v>-10724.758148345652</v>
      </c>
      <c r="BH17" s="1005">
        <f t="shared" si="18"/>
        <v>-10724.758148345652</v>
      </c>
      <c r="BI17" s="1005">
        <f t="shared" si="18"/>
        <v>-10724.758148345652</v>
      </c>
      <c r="BJ17" s="1005">
        <f t="shared" si="18"/>
        <v>-10724.758148345652</v>
      </c>
      <c r="BK17" s="1005">
        <f t="shared" si="18"/>
        <v>-10724.758148345652</v>
      </c>
      <c r="BL17" s="1005">
        <f t="shared" si="18"/>
        <v>-10724.758148345652</v>
      </c>
      <c r="BM17" s="1005">
        <f t="shared" si="18"/>
        <v>-10724.758148345652</v>
      </c>
      <c r="BN17" s="1005">
        <f t="shared" si="18"/>
        <v>-10724.758148345652</v>
      </c>
      <c r="BO17" s="1005">
        <f t="shared" si="18"/>
        <v>-10724.758148345652</v>
      </c>
      <c r="BP17" s="1005">
        <f t="shared" si="18"/>
        <v>-10724.758148345652</v>
      </c>
      <c r="BQ17" s="724">
        <f>SUM(BD17:BP17)</f>
        <v>-504556.04036736104</v>
      </c>
      <c r="BR17" s="1006">
        <f>SUM(BR8:BR16)</f>
        <v>-288940.88767139858</v>
      </c>
    </row>
    <row r="18" spans="1:72" x14ac:dyDescent="0.35">
      <c r="B18" s="949"/>
      <c r="D18" s="975"/>
      <c r="E18" s="975"/>
      <c r="F18" s="975"/>
      <c r="G18" s="975"/>
      <c r="H18" s="975"/>
      <c r="I18" s="975"/>
      <c r="J18" s="975"/>
      <c r="K18" s="975"/>
      <c r="L18" s="975"/>
      <c r="M18" s="975"/>
      <c r="N18" s="975"/>
      <c r="O18" s="975"/>
      <c r="P18" s="975"/>
      <c r="Q18" s="975"/>
      <c r="R18" s="975"/>
      <c r="S18" s="975"/>
      <c r="T18" s="975"/>
      <c r="U18" s="975"/>
      <c r="V18" s="975"/>
      <c r="W18" s="975"/>
      <c r="X18" s="975"/>
      <c r="Y18" s="975"/>
      <c r="Z18" s="975"/>
      <c r="AA18" s="975"/>
      <c r="AB18" s="975"/>
      <c r="AC18" s="975"/>
      <c r="AD18" s="975"/>
      <c r="AR18" s="951"/>
      <c r="AS18" s="951"/>
      <c r="AT18" s="951"/>
      <c r="AU18" s="951"/>
      <c r="AV18" s="951"/>
      <c r="AW18" s="951"/>
      <c r="AX18" s="951"/>
      <c r="AY18" s="951"/>
      <c r="AZ18" s="951"/>
      <c r="BA18" s="951"/>
      <c r="BB18" s="951"/>
      <c r="BC18" s="951"/>
    </row>
    <row r="19" spans="1:72" ht="15" thickBot="1" x14ac:dyDescent="0.4">
      <c r="A19" s="947" t="s">
        <v>724</v>
      </c>
      <c r="B19" s="953"/>
      <c r="C19" s="947"/>
      <c r="D19" s="948"/>
      <c r="E19" s="948"/>
      <c r="F19" s="948"/>
      <c r="G19" s="948"/>
      <c r="H19" s="948"/>
      <c r="I19" s="948"/>
      <c r="J19" s="948"/>
      <c r="K19" s="948"/>
      <c r="L19" s="948"/>
      <c r="M19" s="948"/>
      <c r="N19" s="948"/>
      <c r="O19" s="948"/>
      <c r="P19" s="948"/>
      <c r="Q19" s="948"/>
      <c r="R19" s="948"/>
      <c r="S19" s="948"/>
      <c r="T19" s="948"/>
      <c r="U19" s="948"/>
      <c r="V19" s="948"/>
      <c r="W19" s="948"/>
      <c r="X19" s="948"/>
      <c r="Y19" s="948"/>
      <c r="Z19" s="948"/>
      <c r="AA19" s="948"/>
      <c r="AB19" s="948"/>
      <c r="AC19" s="948"/>
      <c r="AD19" s="948"/>
      <c r="AE19" s="947"/>
      <c r="AF19" s="947"/>
      <c r="AG19" s="947"/>
      <c r="AH19" s="947"/>
      <c r="AI19" s="947"/>
      <c r="AJ19" s="947"/>
      <c r="AK19" s="947"/>
      <c r="AL19" s="947"/>
      <c r="AM19" s="947"/>
      <c r="AN19" s="947"/>
      <c r="AO19" s="947"/>
      <c r="AP19" s="947"/>
      <c r="AQ19" s="947"/>
      <c r="AR19" s="947"/>
      <c r="AS19" s="947"/>
      <c r="AT19" s="947"/>
      <c r="AU19" s="947"/>
      <c r="AV19" s="947"/>
      <c r="AW19" s="947"/>
      <c r="AX19" s="947"/>
      <c r="AY19" s="947"/>
      <c r="AZ19" s="947"/>
      <c r="BA19" s="947"/>
      <c r="BB19" s="947"/>
      <c r="BC19" s="947"/>
      <c r="BD19" s="947"/>
      <c r="BE19" s="947"/>
      <c r="BF19" s="947"/>
      <c r="BR19" s="947"/>
    </row>
    <row r="20" spans="1:72" x14ac:dyDescent="0.35">
      <c r="A20" s="955"/>
      <c r="B20" s="956"/>
      <c r="C20" s="957"/>
      <c r="D20" s="1007" t="s">
        <v>703</v>
      </c>
      <c r="E20" s="959"/>
      <c r="F20" s="959"/>
      <c r="G20" s="959"/>
      <c r="H20" s="959"/>
      <c r="I20" s="959"/>
      <c r="J20" s="959"/>
      <c r="K20" s="959"/>
      <c r="L20" s="959"/>
      <c r="M20" s="959"/>
      <c r="N20" s="959"/>
      <c r="O20" s="959"/>
      <c r="P20" s="959"/>
      <c r="Q20" s="958">
        <v>2011</v>
      </c>
      <c r="R20" s="959">
        <v>2012</v>
      </c>
      <c r="S20" s="959"/>
      <c r="T20" s="959"/>
      <c r="U20" s="959"/>
      <c r="V20" s="959"/>
      <c r="W20" s="959"/>
      <c r="X20" s="959"/>
      <c r="Y20" s="959"/>
      <c r="Z20" s="959"/>
      <c r="AA20" s="959"/>
      <c r="AB20" s="959"/>
      <c r="AC20" s="960"/>
      <c r="AD20" s="961">
        <v>2012</v>
      </c>
      <c r="AE20" s="959">
        <v>2013</v>
      </c>
      <c r="AF20" s="959"/>
      <c r="AG20" s="959"/>
      <c r="AH20" s="959"/>
      <c r="AI20" s="959"/>
      <c r="AJ20" s="959"/>
      <c r="AK20" s="959"/>
      <c r="AL20" s="959"/>
      <c r="AM20" s="959"/>
      <c r="AN20" s="959"/>
      <c r="AO20" s="959"/>
      <c r="AP20" s="960"/>
      <c r="AQ20" s="961">
        <v>2013</v>
      </c>
      <c r="AR20" s="962">
        <v>2014</v>
      </c>
      <c r="AS20" s="959"/>
      <c r="AT20" s="959"/>
      <c r="AU20" s="959"/>
      <c r="AV20" s="959"/>
      <c r="AW20" s="959"/>
      <c r="AX20" s="959"/>
      <c r="AY20" s="959"/>
      <c r="AZ20" s="959"/>
      <c r="BA20" s="959"/>
      <c r="BB20" s="959"/>
      <c r="BC20" s="960"/>
      <c r="BD20" s="961">
        <v>2014</v>
      </c>
      <c r="BE20" s="962">
        <v>2015</v>
      </c>
      <c r="BF20" s="959"/>
      <c r="BG20" s="959"/>
      <c r="BH20" s="959"/>
      <c r="BI20" s="959"/>
      <c r="BJ20" s="959"/>
      <c r="BK20" s="959"/>
      <c r="BL20" s="959"/>
      <c r="BM20" s="959"/>
      <c r="BN20" s="959"/>
      <c r="BO20" s="959"/>
      <c r="BP20" s="960"/>
      <c r="BQ20" s="961">
        <v>2015</v>
      </c>
      <c r="BR20" s="1008"/>
    </row>
    <row r="21" spans="1:72" ht="15" thickBot="1" x14ac:dyDescent="0.4">
      <c r="A21" s="965" t="s">
        <v>705</v>
      </c>
      <c r="B21" s="966" t="s">
        <v>706</v>
      </c>
      <c r="C21" s="967" t="s">
        <v>707</v>
      </c>
      <c r="D21" s="1009" t="s">
        <v>708</v>
      </c>
      <c r="E21" s="969" t="s">
        <v>709</v>
      </c>
      <c r="F21" s="970" t="s">
        <v>710</v>
      </c>
      <c r="G21" s="970" t="s">
        <v>711</v>
      </c>
      <c r="H21" s="970" t="s">
        <v>712</v>
      </c>
      <c r="I21" s="970" t="s">
        <v>713</v>
      </c>
      <c r="J21" s="970" t="s">
        <v>714</v>
      </c>
      <c r="K21" s="970" t="s">
        <v>715</v>
      </c>
      <c r="L21" s="970" t="s">
        <v>716</v>
      </c>
      <c r="M21" s="970" t="s">
        <v>717</v>
      </c>
      <c r="N21" s="971" t="s">
        <v>718</v>
      </c>
      <c r="O21" s="971" t="s">
        <v>719</v>
      </c>
      <c r="P21" s="971" t="s">
        <v>720</v>
      </c>
      <c r="Q21" s="968" t="s">
        <v>528</v>
      </c>
      <c r="R21" s="969" t="s">
        <v>709</v>
      </c>
      <c r="S21" s="970" t="s">
        <v>710</v>
      </c>
      <c r="T21" s="970" t="s">
        <v>711</v>
      </c>
      <c r="U21" s="970" t="s">
        <v>712</v>
      </c>
      <c r="V21" s="970" t="s">
        <v>713</v>
      </c>
      <c r="W21" s="970" t="s">
        <v>714</v>
      </c>
      <c r="X21" s="970" t="s">
        <v>715</v>
      </c>
      <c r="Y21" s="970" t="s">
        <v>716</v>
      </c>
      <c r="Z21" s="970" t="s">
        <v>717</v>
      </c>
      <c r="AA21" s="971" t="s">
        <v>718</v>
      </c>
      <c r="AB21" s="971" t="s">
        <v>719</v>
      </c>
      <c r="AC21" s="971" t="s">
        <v>720</v>
      </c>
      <c r="AD21" s="972" t="s">
        <v>528</v>
      </c>
      <c r="AE21" s="973" t="s">
        <v>709</v>
      </c>
      <c r="AF21" s="970" t="s">
        <v>710</v>
      </c>
      <c r="AG21" s="970" t="s">
        <v>711</v>
      </c>
      <c r="AH21" s="970" t="s">
        <v>712</v>
      </c>
      <c r="AI21" s="970" t="s">
        <v>713</v>
      </c>
      <c r="AJ21" s="970" t="s">
        <v>714</v>
      </c>
      <c r="AK21" s="970" t="s">
        <v>715</v>
      </c>
      <c r="AL21" s="970" t="s">
        <v>716</v>
      </c>
      <c r="AM21" s="970" t="s">
        <v>717</v>
      </c>
      <c r="AN21" s="971" t="s">
        <v>718</v>
      </c>
      <c r="AO21" s="971" t="s">
        <v>719</v>
      </c>
      <c r="AP21" s="971" t="s">
        <v>720</v>
      </c>
      <c r="AQ21" s="972" t="s">
        <v>528</v>
      </c>
      <c r="AR21" s="973" t="s">
        <v>709</v>
      </c>
      <c r="AS21" s="970" t="s">
        <v>710</v>
      </c>
      <c r="AT21" s="970" t="s">
        <v>711</v>
      </c>
      <c r="AU21" s="970" t="s">
        <v>712</v>
      </c>
      <c r="AV21" s="970" t="s">
        <v>713</v>
      </c>
      <c r="AW21" s="970" t="s">
        <v>714</v>
      </c>
      <c r="AX21" s="970" t="s">
        <v>715</v>
      </c>
      <c r="AY21" s="970" t="s">
        <v>716</v>
      </c>
      <c r="AZ21" s="970" t="s">
        <v>717</v>
      </c>
      <c r="BA21" s="971" t="s">
        <v>718</v>
      </c>
      <c r="BB21" s="971" t="s">
        <v>719</v>
      </c>
      <c r="BC21" s="971" t="s">
        <v>720</v>
      </c>
      <c r="BD21" s="972" t="s">
        <v>528</v>
      </c>
      <c r="BE21" s="973" t="s">
        <v>709</v>
      </c>
      <c r="BF21" s="970" t="s">
        <v>710</v>
      </c>
      <c r="BG21" s="970" t="s">
        <v>711</v>
      </c>
      <c r="BH21" s="970" t="s">
        <v>712</v>
      </c>
      <c r="BI21" s="970" t="s">
        <v>713</v>
      </c>
      <c r="BJ21" s="970" t="s">
        <v>714</v>
      </c>
      <c r="BK21" s="970" t="s">
        <v>715</v>
      </c>
      <c r="BL21" s="970" t="s">
        <v>716</v>
      </c>
      <c r="BM21" s="970" t="s">
        <v>717</v>
      </c>
      <c r="BN21" s="971" t="s">
        <v>718</v>
      </c>
      <c r="BO21" s="971" t="s">
        <v>719</v>
      </c>
      <c r="BP21" s="971" t="s">
        <v>720</v>
      </c>
      <c r="BQ21" s="972" t="s">
        <v>528</v>
      </c>
      <c r="BR21" s="1010"/>
    </row>
    <row r="22" spans="1:72" x14ac:dyDescent="0.35">
      <c r="A22" s="544" t="s">
        <v>725</v>
      </c>
      <c r="B22" s="949"/>
      <c r="D22" s="975"/>
      <c r="E22" s="975"/>
      <c r="F22" s="975"/>
      <c r="G22" s="975"/>
      <c r="H22" s="975"/>
      <c r="I22" s="975"/>
      <c r="J22" s="975"/>
      <c r="K22" s="975"/>
      <c r="L22" s="975"/>
      <c r="M22" s="975"/>
      <c r="N22" s="975"/>
      <c r="O22" s="975"/>
      <c r="P22" s="975"/>
      <c r="Q22" s="975" t="s">
        <v>527</v>
      </c>
      <c r="R22" s="975"/>
      <c r="S22" s="975"/>
      <c r="T22" s="975"/>
      <c r="U22" s="975"/>
      <c r="V22" s="975"/>
      <c r="W22" s="975"/>
      <c r="X22" s="975"/>
      <c r="Y22" s="975"/>
      <c r="Z22" s="975"/>
      <c r="AA22" s="975"/>
      <c r="AB22" s="975"/>
      <c r="AC22" s="975"/>
      <c r="AD22" s="976"/>
      <c r="AE22" s="557"/>
      <c r="AF22" s="557"/>
      <c r="AQ22" s="977"/>
      <c r="BD22" s="977"/>
      <c r="BQ22" s="977"/>
      <c r="BR22" s="1011"/>
    </row>
    <row r="23" spans="1:72" x14ac:dyDescent="0.35">
      <c r="B23" s="949"/>
      <c r="C23" s="860" t="s">
        <v>38</v>
      </c>
      <c r="D23" s="975">
        <v>0</v>
      </c>
      <c r="E23" s="950">
        <f>+'9. Guelph_Lost Revenue'!D44</f>
        <v>2164.6315833333333</v>
      </c>
      <c r="F23" s="950">
        <f t="shared" ref="F23:H30" si="19">E23</f>
        <v>2164.6315833333333</v>
      </c>
      <c r="G23" s="950">
        <f t="shared" si="19"/>
        <v>2164.6315833333333</v>
      </c>
      <c r="H23" s="950">
        <f t="shared" si="19"/>
        <v>2164.6315833333333</v>
      </c>
      <c r="I23" s="950">
        <f>'9. Guelph_Lost Revenue'!E44</f>
        <v>2137.7417500000001</v>
      </c>
      <c r="J23" s="950">
        <f t="shared" ref="J23:P30" si="20">I23</f>
        <v>2137.7417500000001</v>
      </c>
      <c r="K23" s="950">
        <f t="shared" si="20"/>
        <v>2137.7417500000001</v>
      </c>
      <c r="L23" s="950">
        <f t="shared" si="20"/>
        <v>2137.7417500000001</v>
      </c>
      <c r="M23" s="950">
        <f t="shared" si="20"/>
        <v>2137.7417500000001</v>
      </c>
      <c r="N23" s="950">
        <f t="shared" si="20"/>
        <v>2137.7417500000001</v>
      </c>
      <c r="O23" s="950">
        <f t="shared" si="20"/>
        <v>2137.7417500000001</v>
      </c>
      <c r="P23" s="950">
        <f t="shared" si="20"/>
        <v>2137.7417500000001</v>
      </c>
      <c r="Q23" s="950">
        <f t="shared" ref="Q23:Q30" si="21">SUM(D23:P23)</f>
        <v>25760.46033333334</v>
      </c>
      <c r="R23" s="950">
        <f>'9. Guelph_Lost Revenue'!H44</f>
        <v>3296.9419405039571</v>
      </c>
      <c r="S23" s="950">
        <f t="shared" ref="S23:T30" si="22">R23</f>
        <v>3296.9419405039571</v>
      </c>
      <c r="T23" s="950">
        <f t="shared" si="22"/>
        <v>3296.9419405039571</v>
      </c>
      <c r="U23" s="950">
        <f>'9. Guelph_Lost Revenue'!I44</f>
        <v>3400.6193600166603</v>
      </c>
      <c r="V23" s="950">
        <f>'9. Guelph_Lost Revenue'!J44</f>
        <v>3525.0322634319036</v>
      </c>
      <c r="W23" s="950">
        <f>'9. Guelph_Lost Revenue'!J44</f>
        <v>3525.0322634319036</v>
      </c>
      <c r="X23" s="950">
        <f t="shared" ref="X23:AC30" si="23">W23</f>
        <v>3525.0322634319036</v>
      </c>
      <c r="Y23" s="950">
        <f t="shared" si="23"/>
        <v>3525.0322634319036</v>
      </c>
      <c r="Z23" s="950">
        <f t="shared" si="23"/>
        <v>3525.0322634319036</v>
      </c>
      <c r="AA23" s="950">
        <f t="shared" si="23"/>
        <v>3525.0322634319036</v>
      </c>
      <c r="AB23" s="950">
        <f t="shared" si="23"/>
        <v>3525.0322634319036</v>
      </c>
      <c r="AC23" s="950">
        <f t="shared" si="23"/>
        <v>3525.0322634319036</v>
      </c>
      <c r="AD23" s="999">
        <f t="shared" ref="AD23:AD30" si="24">SUM(Q23:AC23)</f>
        <v>67252.163622317094</v>
      </c>
      <c r="AE23" s="951">
        <f>'9. Guelph_Lost Revenue'!M44</f>
        <v>4756.8117310849575</v>
      </c>
      <c r="AF23" s="951">
        <f t="shared" ref="AF23:AP30" si="25">AE23</f>
        <v>4756.8117310849575</v>
      </c>
      <c r="AG23" s="951">
        <f t="shared" si="25"/>
        <v>4756.8117310849575</v>
      </c>
      <c r="AH23" s="951">
        <f t="shared" si="25"/>
        <v>4756.8117310849575</v>
      </c>
      <c r="AI23" s="951">
        <f t="shared" si="25"/>
        <v>4756.8117310849575</v>
      </c>
      <c r="AJ23" s="951">
        <f t="shared" si="25"/>
        <v>4756.8117310849575</v>
      </c>
      <c r="AK23" s="951">
        <f t="shared" si="25"/>
        <v>4756.8117310849575</v>
      </c>
      <c r="AL23" s="951">
        <f t="shared" si="25"/>
        <v>4756.8117310849575</v>
      </c>
      <c r="AM23" s="951">
        <f t="shared" si="25"/>
        <v>4756.8117310849575</v>
      </c>
      <c r="AN23" s="951">
        <f t="shared" si="25"/>
        <v>4756.8117310849575</v>
      </c>
      <c r="AO23" s="951">
        <f t="shared" si="25"/>
        <v>4756.8117310849575</v>
      </c>
      <c r="AP23" s="951">
        <f t="shared" si="25"/>
        <v>4756.8117310849575</v>
      </c>
      <c r="AQ23" s="982">
        <f>SUM(AD23:AP23)</f>
        <v>124333.90439533665</v>
      </c>
      <c r="AR23" s="951">
        <f>'9. Guelph_Lost Revenue'!N44</f>
        <v>7796.003561934288</v>
      </c>
      <c r="AS23" s="951">
        <f>$AR$23</f>
        <v>7796.003561934288</v>
      </c>
      <c r="AT23" s="951">
        <f t="shared" ref="AT23:BC23" si="26">$AR$23</f>
        <v>7796.003561934288</v>
      </c>
      <c r="AU23" s="951">
        <f t="shared" si="26"/>
        <v>7796.003561934288</v>
      </c>
      <c r="AV23" s="951">
        <f t="shared" si="26"/>
        <v>7796.003561934288</v>
      </c>
      <c r="AW23" s="951">
        <f t="shared" si="26"/>
        <v>7796.003561934288</v>
      </c>
      <c r="AX23" s="951">
        <f t="shared" si="26"/>
        <v>7796.003561934288</v>
      </c>
      <c r="AY23" s="951">
        <f t="shared" si="26"/>
        <v>7796.003561934288</v>
      </c>
      <c r="AZ23" s="951">
        <f t="shared" si="26"/>
        <v>7796.003561934288</v>
      </c>
      <c r="BA23" s="951">
        <f t="shared" si="26"/>
        <v>7796.003561934288</v>
      </c>
      <c r="BB23" s="951">
        <f t="shared" si="26"/>
        <v>7796.003561934288</v>
      </c>
      <c r="BC23" s="951">
        <f t="shared" si="26"/>
        <v>7796.003561934288</v>
      </c>
      <c r="BD23" s="982">
        <f>SUM(AQ23:BC23)</f>
        <v>217885.94713854804</v>
      </c>
      <c r="BE23" s="951">
        <f>'9. Guelph_Lost Revenue'!H70</f>
        <v>11575.70948643008</v>
      </c>
      <c r="BF23" s="951">
        <f t="shared" ref="BF23:BP30" si="27">BE23</f>
        <v>11575.70948643008</v>
      </c>
      <c r="BG23" s="951">
        <f t="shared" si="27"/>
        <v>11575.70948643008</v>
      </c>
      <c r="BH23" s="951">
        <f t="shared" si="27"/>
        <v>11575.70948643008</v>
      </c>
      <c r="BI23" s="951">
        <f t="shared" si="27"/>
        <v>11575.70948643008</v>
      </c>
      <c r="BJ23" s="951">
        <f t="shared" si="27"/>
        <v>11575.70948643008</v>
      </c>
      <c r="BK23" s="951">
        <f t="shared" si="27"/>
        <v>11575.70948643008</v>
      </c>
      <c r="BL23" s="951">
        <f t="shared" si="27"/>
        <v>11575.70948643008</v>
      </c>
      <c r="BM23" s="951">
        <f t="shared" si="27"/>
        <v>11575.70948643008</v>
      </c>
      <c r="BN23" s="951">
        <f t="shared" si="27"/>
        <v>11575.70948643008</v>
      </c>
      <c r="BO23" s="951">
        <f t="shared" si="27"/>
        <v>11575.70948643008</v>
      </c>
      <c r="BP23" s="951">
        <f t="shared" si="27"/>
        <v>11575.70948643008</v>
      </c>
      <c r="BQ23" s="982">
        <f>SUM(BD23:BP23)</f>
        <v>356794.4609757092</v>
      </c>
      <c r="BR23" s="1012"/>
      <c r="BT23" s="1047">
        <f>BQ8+BQ23</f>
        <v>109146.26106033122</v>
      </c>
    </row>
    <row r="24" spans="1:72" x14ac:dyDescent="0.35">
      <c r="B24" s="949"/>
      <c r="C24" s="860" t="s">
        <v>557</v>
      </c>
      <c r="D24" s="975">
        <v>0</v>
      </c>
      <c r="E24" s="950">
        <f>+'9. Guelph_Lost Revenue'!D45</f>
        <v>999.71024999999997</v>
      </c>
      <c r="F24" s="950">
        <f t="shared" si="19"/>
        <v>999.71024999999997</v>
      </c>
      <c r="G24" s="950">
        <f t="shared" si="19"/>
        <v>999.71024999999997</v>
      </c>
      <c r="H24" s="950">
        <f t="shared" si="19"/>
        <v>999.71024999999997</v>
      </c>
      <c r="I24" s="950">
        <f>'9. Guelph_Lost Revenue'!E45</f>
        <v>993.21862499999997</v>
      </c>
      <c r="J24" s="950">
        <f t="shared" si="20"/>
        <v>993.21862499999997</v>
      </c>
      <c r="K24" s="950">
        <f t="shared" si="20"/>
        <v>993.21862499999997</v>
      </c>
      <c r="L24" s="950">
        <f t="shared" si="20"/>
        <v>993.21862499999997</v>
      </c>
      <c r="M24" s="950">
        <f t="shared" si="20"/>
        <v>993.21862499999997</v>
      </c>
      <c r="N24" s="950">
        <f t="shared" si="20"/>
        <v>993.21862499999997</v>
      </c>
      <c r="O24" s="950">
        <f t="shared" si="20"/>
        <v>993.21862499999997</v>
      </c>
      <c r="P24" s="950">
        <f t="shared" si="20"/>
        <v>993.21862499999997</v>
      </c>
      <c r="Q24" s="950">
        <f t="shared" si="21"/>
        <v>11944.589999999997</v>
      </c>
      <c r="R24" s="950">
        <f>'9. Guelph_Lost Revenue'!H45</f>
        <v>2141.1566913126931</v>
      </c>
      <c r="S24" s="950">
        <f t="shared" si="22"/>
        <v>2141.1566913126931</v>
      </c>
      <c r="T24" s="950">
        <f t="shared" si="22"/>
        <v>2141.1566913126931</v>
      </c>
      <c r="U24" s="950">
        <f>'9. Guelph_Lost Revenue'!I45</f>
        <v>1553.3881878150914</v>
      </c>
      <c r="V24" s="950">
        <f>'9. Guelph_Lost Revenue'!J45</f>
        <v>1763.3055104928064</v>
      </c>
      <c r="W24" s="950">
        <f>'9. Guelph_Lost Revenue'!J45</f>
        <v>1763.3055104928064</v>
      </c>
      <c r="X24" s="950">
        <f t="shared" si="23"/>
        <v>1763.3055104928064</v>
      </c>
      <c r="Y24" s="950">
        <f t="shared" si="23"/>
        <v>1763.3055104928064</v>
      </c>
      <c r="Z24" s="950">
        <f t="shared" si="23"/>
        <v>1763.3055104928064</v>
      </c>
      <c r="AA24" s="950">
        <f t="shared" si="23"/>
        <v>1763.3055104928064</v>
      </c>
      <c r="AB24" s="950">
        <f t="shared" si="23"/>
        <v>1763.3055104928064</v>
      </c>
      <c r="AC24" s="950">
        <f t="shared" si="23"/>
        <v>1763.3055104928064</v>
      </c>
      <c r="AD24" s="999">
        <f t="shared" si="24"/>
        <v>34027.892345695618</v>
      </c>
      <c r="AE24" s="951">
        <f>'9. Guelph_Lost Revenue'!M45</f>
        <v>2134.1668298044474</v>
      </c>
      <c r="AF24" s="951">
        <f t="shared" si="25"/>
        <v>2134.1668298044474</v>
      </c>
      <c r="AG24" s="951">
        <f t="shared" si="25"/>
        <v>2134.1668298044474</v>
      </c>
      <c r="AH24" s="951">
        <f t="shared" si="25"/>
        <v>2134.1668298044474</v>
      </c>
      <c r="AI24" s="951">
        <f t="shared" si="25"/>
        <v>2134.1668298044474</v>
      </c>
      <c r="AJ24" s="951">
        <f t="shared" si="25"/>
        <v>2134.1668298044474</v>
      </c>
      <c r="AK24" s="951">
        <f t="shared" si="25"/>
        <v>2134.1668298044474</v>
      </c>
      <c r="AL24" s="951">
        <f t="shared" si="25"/>
        <v>2134.1668298044474</v>
      </c>
      <c r="AM24" s="951">
        <f t="shared" si="25"/>
        <v>2134.1668298044474</v>
      </c>
      <c r="AN24" s="951">
        <f t="shared" si="25"/>
        <v>2134.1668298044474</v>
      </c>
      <c r="AO24" s="951">
        <f t="shared" si="25"/>
        <v>2134.1668298044474</v>
      </c>
      <c r="AP24" s="951">
        <f t="shared" si="25"/>
        <v>2134.1668298044474</v>
      </c>
      <c r="AQ24" s="982">
        <f t="shared" ref="AQ24:AQ30" si="28">SUM(AD24:AP24)</f>
        <v>59637.89430334897</v>
      </c>
      <c r="AR24" s="951">
        <f>'9. Guelph_Lost Revenue'!N45</f>
        <v>4439.157931139116</v>
      </c>
      <c r="AS24" s="951">
        <f>$AR$24</f>
        <v>4439.157931139116</v>
      </c>
      <c r="AT24" s="951">
        <f t="shared" ref="AT24:BC24" si="29">$AR$24</f>
        <v>4439.157931139116</v>
      </c>
      <c r="AU24" s="951">
        <f t="shared" si="29"/>
        <v>4439.157931139116</v>
      </c>
      <c r="AV24" s="951">
        <f t="shared" si="29"/>
        <v>4439.157931139116</v>
      </c>
      <c r="AW24" s="951">
        <f t="shared" si="29"/>
        <v>4439.157931139116</v>
      </c>
      <c r="AX24" s="951">
        <f t="shared" si="29"/>
        <v>4439.157931139116</v>
      </c>
      <c r="AY24" s="951">
        <f t="shared" si="29"/>
        <v>4439.157931139116</v>
      </c>
      <c r="AZ24" s="951">
        <f t="shared" si="29"/>
        <v>4439.157931139116</v>
      </c>
      <c r="BA24" s="951">
        <f t="shared" si="29"/>
        <v>4439.157931139116</v>
      </c>
      <c r="BB24" s="951">
        <f t="shared" si="29"/>
        <v>4439.157931139116</v>
      </c>
      <c r="BC24" s="951">
        <f t="shared" si="29"/>
        <v>4439.157931139116</v>
      </c>
      <c r="BD24" s="982">
        <f t="shared" ref="BD24:BD30" si="30">SUM(AQ24:BC24)</f>
        <v>112907.7894770183</v>
      </c>
      <c r="BE24" s="951">
        <f>'9. Guelph_Lost Revenue'!H71</f>
        <v>4516.3909120901344</v>
      </c>
      <c r="BF24" s="951">
        <f t="shared" si="27"/>
        <v>4516.3909120901344</v>
      </c>
      <c r="BG24" s="951">
        <f t="shared" si="27"/>
        <v>4516.3909120901344</v>
      </c>
      <c r="BH24" s="951">
        <f t="shared" si="27"/>
        <v>4516.3909120901344</v>
      </c>
      <c r="BI24" s="951">
        <f t="shared" si="27"/>
        <v>4516.3909120901344</v>
      </c>
      <c r="BJ24" s="951">
        <f t="shared" si="27"/>
        <v>4516.3909120901344</v>
      </c>
      <c r="BK24" s="951">
        <f t="shared" si="27"/>
        <v>4516.3909120901344</v>
      </c>
      <c r="BL24" s="951">
        <f t="shared" si="27"/>
        <v>4516.3909120901344</v>
      </c>
      <c r="BM24" s="951">
        <f t="shared" si="27"/>
        <v>4516.3909120901344</v>
      </c>
      <c r="BN24" s="951">
        <f t="shared" si="27"/>
        <v>4516.3909120901344</v>
      </c>
      <c r="BO24" s="951">
        <f t="shared" si="27"/>
        <v>4516.3909120901344</v>
      </c>
      <c r="BP24" s="951">
        <f t="shared" si="27"/>
        <v>4516.3909120901344</v>
      </c>
      <c r="BQ24" s="982">
        <f t="shared" ref="BQ24:BQ30" si="31">SUM(BD24:BP24)</f>
        <v>167104.48042209994</v>
      </c>
      <c r="BR24" s="1012"/>
    </row>
    <row r="25" spans="1:72" x14ac:dyDescent="0.35">
      <c r="B25" s="949"/>
      <c r="C25" s="860" t="s">
        <v>558</v>
      </c>
      <c r="D25" s="975">
        <v>0</v>
      </c>
      <c r="E25" s="950">
        <f>+'9. Guelph_Lost Revenue'!D46</f>
        <v>1943.8485799999999</v>
      </c>
      <c r="F25" s="950">
        <f t="shared" si="19"/>
        <v>1943.8485799999999</v>
      </c>
      <c r="G25" s="950">
        <f t="shared" si="19"/>
        <v>1943.8485799999999</v>
      </c>
      <c r="H25" s="950">
        <f t="shared" si="19"/>
        <v>1943.8485799999999</v>
      </c>
      <c r="I25" s="950">
        <f>'9. Guelph_Lost Revenue'!E46</f>
        <v>1928.6021499999999</v>
      </c>
      <c r="J25" s="950">
        <f t="shared" si="20"/>
        <v>1928.6021499999999</v>
      </c>
      <c r="K25" s="950">
        <f t="shared" si="20"/>
        <v>1928.6021499999999</v>
      </c>
      <c r="L25" s="950">
        <f t="shared" si="20"/>
        <v>1928.6021499999999</v>
      </c>
      <c r="M25" s="950">
        <f t="shared" si="20"/>
        <v>1928.6021499999999</v>
      </c>
      <c r="N25" s="950">
        <f t="shared" si="20"/>
        <v>1928.6021499999999</v>
      </c>
      <c r="O25" s="950">
        <f t="shared" si="20"/>
        <v>1928.6021499999999</v>
      </c>
      <c r="P25" s="950">
        <f t="shared" si="20"/>
        <v>1928.6021499999999</v>
      </c>
      <c r="Q25" s="950">
        <f t="shared" si="21"/>
        <v>23204.211519999997</v>
      </c>
      <c r="R25" s="950">
        <f>'9. Guelph_Lost Revenue'!H46</f>
        <v>5804.902750070898</v>
      </c>
      <c r="S25" s="950">
        <f t="shared" si="22"/>
        <v>5804.902750070898</v>
      </c>
      <c r="T25" s="950">
        <f t="shared" si="22"/>
        <v>5804.902750070898</v>
      </c>
      <c r="U25" s="950">
        <f>'9. Guelph_Lost Revenue'!I46</f>
        <v>4904.6817768607898</v>
      </c>
      <c r="V25" s="950">
        <f>'9. Guelph_Lost Revenue'!J46</f>
        <v>5318.3373884192215</v>
      </c>
      <c r="W25" s="950">
        <f>'9. Guelph_Lost Revenue'!J46</f>
        <v>5318.3373884192215</v>
      </c>
      <c r="X25" s="950">
        <f t="shared" si="23"/>
        <v>5318.3373884192215</v>
      </c>
      <c r="Y25" s="950">
        <f t="shared" si="23"/>
        <v>5318.3373884192215</v>
      </c>
      <c r="Z25" s="950">
        <f t="shared" si="23"/>
        <v>5318.3373884192215</v>
      </c>
      <c r="AA25" s="950">
        <f t="shared" si="23"/>
        <v>5318.3373884192215</v>
      </c>
      <c r="AB25" s="950">
        <f t="shared" si="23"/>
        <v>5318.3373884192215</v>
      </c>
      <c r="AC25" s="950">
        <f t="shared" si="23"/>
        <v>5318.3373884192215</v>
      </c>
      <c r="AD25" s="999">
        <f t="shared" si="24"/>
        <v>88070.300654427265</v>
      </c>
      <c r="AE25" s="951">
        <f>'9. Guelph_Lost Revenue'!M46</f>
        <v>6862.5155035781127</v>
      </c>
      <c r="AF25" s="951">
        <f t="shared" si="25"/>
        <v>6862.5155035781127</v>
      </c>
      <c r="AG25" s="951">
        <f t="shared" si="25"/>
        <v>6862.5155035781127</v>
      </c>
      <c r="AH25" s="951">
        <f t="shared" si="25"/>
        <v>6862.5155035781127</v>
      </c>
      <c r="AI25" s="951">
        <f t="shared" si="25"/>
        <v>6862.5155035781127</v>
      </c>
      <c r="AJ25" s="951">
        <f t="shared" si="25"/>
        <v>6862.5155035781127</v>
      </c>
      <c r="AK25" s="951">
        <f t="shared" si="25"/>
        <v>6862.5155035781127</v>
      </c>
      <c r="AL25" s="951">
        <f t="shared" si="25"/>
        <v>6862.5155035781127</v>
      </c>
      <c r="AM25" s="951">
        <f t="shared" si="25"/>
        <v>6862.5155035781127</v>
      </c>
      <c r="AN25" s="951">
        <f t="shared" si="25"/>
        <v>6862.5155035781127</v>
      </c>
      <c r="AO25" s="951">
        <f t="shared" si="25"/>
        <v>6862.5155035781127</v>
      </c>
      <c r="AP25" s="951">
        <f t="shared" si="25"/>
        <v>6862.5155035781127</v>
      </c>
      <c r="AQ25" s="982">
        <f t="shared" si="28"/>
        <v>170420.48669736463</v>
      </c>
      <c r="AR25" s="951">
        <f>'9. Guelph_Lost Revenue'!N46</f>
        <v>6633.8019000490285</v>
      </c>
      <c r="AS25" s="951">
        <f>$AR$25</f>
        <v>6633.8019000490285</v>
      </c>
      <c r="AT25" s="951">
        <f t="shared" ref="AT25:BC25" si="32">$AR$25</f>
        <v>6633.8019000490285</v>
      </c>
      <c r="AU25" s="951">
        <f t="shared" si="32"/>
        <v>6633.8019000490285</v>
      </c>
      <c r="AV25" s="951">
        <f t="shared" si="32"/>
        <v>6633.8019000490285</v>
      </c>
      <c r="AW25" s="951">
        <f t="shared" si="32"/>
        <v>6633.8019000490285</v>
      </c>
      <c r="AX25" s="951">
        <f t="shared" si="32"/>
        <v>6633.8019000490285</v>
      </c>
      <c r="AY25" s="951">
        <f t="shared" si="32"/>
        <v>6633.8019000490285</v>
      </c>
      <c r="AZ25" s="951">
        <f t="shared" si="32"/>
        <v>6633.8019000490285</v>
      </c>
      <c r="BA25" s="951">
        <f t="shared" si="32"/>
        <v>6633.8019000490285</v>
      </c>
      <c r="BB25" s="951">
        <f t="shared" si="32"/>
        <v>6633.8019000490285</v>
      </c>
      <c r="BC25" s="951">
        <f t="shared" si="32"/>
        <v>6633.8019000490285</v>
      </c>
      <c r="BD25" s="982">
        <f t="shared" si="30"/>
        <v>250026.109497953</v>
      </c>
      <c r="BE25" s="951">
        <f>'9. Guelph_Lost Revenue'!H72</f>
        <v>6974.7256193485628</v>
      </c>
      <c r="BF25" s="951">
        <f t="shared" si="27"/>
        <v>6974.7256193485628</v>
      </c>
      <c r="BG25" s="951">
        <f t="shared" si="27"/>
        <v>6974.7256193485628</v>
      </c>
      <c r="BH25" s="951">
        <f t="shared" si="27"/>
        <v>6974.7256193485628</v>
      </c>
      <c r="BI25" s="951">
        <f t="shared" si="27"/>
        <v>6974.7256193485628</v>
      </c>
      <c r="BJ25" s="951">
        <f t="shared" si="27"/>
        <v>6974.7256193485628</v>
      </c>
      <c r="BK25" s="951">
        <f t="shared" si="27"/>
        <v>6974.7256193485628</v>
      </c>
      <c r="BL25" s="951">
        <f t="shared" si="27"/>
        <v>6974.7256193485628</v>
      </c>
      <c r="BM25" s="951">
        <f t="shared" si="27"/>
        <v>6974.7256193485628</v>
      </c>
      <c r="BN25" s="951">
        <f t="shared" si="27"/>
        <v>6974.7256193485628</v>
      </c>
      <c r="BO25" s="951">
        <f t="shared" si="27"/>
        <v>6974.7256193485628</v>
      </c>
      <c r="BP25" s="951">
        <f t="shared" si="27"/>
        <v>6974.7256193485628</v>
      </c>
      <c r="BQ25" s="982">
        <f t="shared" si="31"/>
        <v>333722.81693013594</v>
      </c>
      <c r="BR25" s="1012"/>
    </row>
    <row r="26" spans="1:72" x14ac:dyDescent="0.35">
      <c r="B26" s="949"/>
      <c r="C26" s="860" t="s">
        <v>559</v>
      </c>
      <c r="D26" s="975">
        <v>0</v>
      </c>
      <c r="E26" s="950">
        <f>+'9. Guelph_Lost Revenue'!D47</f>
        <v>1901.3037900000002</v>
      </c>
      <c r="F26" s="950">
        <f t="shared" si="19"/>
        <v>1901.3037900000002</v>
      </c>
      <c r="G26" s="950">
        <f t="shared" si="19"/>
        <v>1901.3037900000002</v>
      </c>
      <c r="H26" s="950">
        <f t="shared" si="19"/>
        <v>1901.3037900000002</v>
      </c>
      <c r="I26" s="950">
        <f>'9. Guelph_Lost Revenue'!E47</f>
        <v>1890.62994</v>
      </c>
      <c r="J26" s="950">
        <f t="shared" si="20"/>
        <v>1890.62994</v>
      </c>
      <c r="K26" s="950">
        <f t="shared" si="20"/>
        <v>1890.62994</v>
      </c>
      <c r="L26" s="950">
        <f t="shared" si="20"/>
        <v>1890.62994</v>
      </c>
      <c r="M26" s="950">
        <f t="shared" si="20"/>
        <v>1890.62994</v>
      </c>
      <c r="N26" s="950">
        <f t="shared" si="20"/>
        <v>1890.62994</v>
      </c>
      <c r="O26" s="950">
        <f t="shared" si="20"/>
        <v>1890.62994</v>
      </c>
      <c r="P26" s="950">
        <f t="shared" si="20"/>
        <v>1890.62994</v>
      </c>
      <c r="Q26" s="950">
        <f t="shared" si="21"/>
        <v>22730.254679999998</v>
      </c>
      <c r="R26" s="950">
        <f>'9. Guelph_Lost Revenue'!H47</f>
        <v>1766.2889221604917</v>
      </c>
      <c r="S26" s="950">
        <f t="shared" si="22"/>
        <v>1766.2889221604917</v>
      </c>
      <c r="T26" s="950">
        <f t="shared" si="22"/>
        <v>1766.2889221604917</v>
      </c>
      <c r="U26" s="950">
        <f>'9. Guelph_Lost Revenue'!I47</f>
        <v>3363.4187841304943</v>
      </c>
      <c r="V26" s="950">
        <f>'9. Guelph_Lost Revenue'!J47</f>
        <v>3005.4288973715243</v>
      </c>
      <c r="W26" s="950">
        <f>'9. Guelph_Lost Revenue'!J47</f>
        <v>3005.4288973715243</v>
      </c>
      <c r="X26" s="950">
        <f t="shared" si="23"/>
        <v>3005.4288973715243</v>
      </c>
      <c r="Y26" s="950">
        <f t="shared" si="23"/>
        <v>3005.4288973715243</v>
      </c>
      <c r="Z26" s="950">
        <f t="shared" si="23"/>
        <v>3005.4288973715243</v>
      </c>
      <c r="AA26" s="950">
        <f t="shared" si="23"/>
        <v>3005.4288973715243</v>
      </c>
      <c r="AB26" s="950">
        <f t="shared" si="23"/>
        <v>3005.4288973715243</v>
      </c>
      <c r="AC26" s="950">
        <f t="shared" si="23"/>
        <v>3005.4288973715243</v>
      </c>
      <c r="AD26" s="999">
        <f t="shared" si="24"/>
        <v>55435.971409584155</v>
      </c>
      <c r="AE26" s="951">
        <f>'9. Guelph_Lost Revenue'!M47</f>
        <v>4472.6906171560595</v>
      </c>
      <c r="AF26" s="951">
        <f t="shared" si="25"/>
        <v>4472.6906171560595</v>
      </c>
      <c r="AG26" s="951">
        <f t="shared" si="25"/>
        <v>4472.6906171560595</v>
      </c>
      <c r="AH26" s="951">
        <f t="shared" si="25"/>
        <v>4472.6906171560595</v>
      </c>
      <c r="AI26" s="951">
        <f t="shared" si="25"/>
        <v>4472.6906171560595</v>
      </c>
      <c r="AJ26" s="951">
        <f t="shared" si="25"/>
        <v>4472.6906171560595</v>
      </c>
      <c r="AK26" s="951">
        <f t="shared" si="25"/>
        <v>4472.6906171560595</v>
      </c>
      <c r="AL26" s="951">
        <f t="shared" si="25"/>
        <v>4472.6906171560595</v>
      </c>
      <c r="AM26" s="951">
        <f t="shared" si="25"/>
        <v>4472.6906171560595</v>
      </c>
      <c r="AN26" s="951">
        <f t="shared" si="25"/>
        <v>4472.6906171560595</v>
      </c>
      <c r="AO26" s="951">
        <f t="shared" si="25"/>
        <v>4472.6906171560595</v>
      </c>
      <c r="AP26" s="951">
        <f t="shared" si="25"/>
        <v>4472.6906171560595</v>
      </c>
      <c r="AQ26" s="982">
        <f t="shared" si="28"/>
        <v>109108.25881545684</v>
      </c>
      <c r="AR26" s="951">
        <f>'9. Guelph_Lost Revenue'!N47</f>
        <v>5718.7846769680573</v>
      </c>
      <c r="AS26" s="951">
        <f>$AR$26</f>
        <v>5718.7846769680573</v>
      </c>
      <c r="AT26" s="951">
        <f t="shared" ref="AT26:BC26" si="33">$AR$26</f>
        <v>5718.7846769680573</v>
      </c>
      <c r="AU26" s="951">
        <f t="shared" si="33"/>
        <v>5718.7846769680573</v>
      </c>
      <c r="AV26" s="951">
        <f t="shared" si="33"/>
        <v>5718.7846769680573</v>
      </c>
      <c r="AW26" s="951">
        <f t="shared" si="33"/>
        <v>5718.7846769680573</v>
      </c>
      <c r="AX26" s="951">
        <f t="shared" si="33"/>
        <v>5718.7846769680573</v>
      </c>
      <c r="AY26" s="951">
        <f t="shared" si="33"/>
        <v>5718.7846769680573</v>
      </c>
      <c r="AZ26" s="951">
        <f t="shared" si="33"/>
        <v>5718.7846769680573</v>
      </c>
      <c r="BA26" s="951">
        <f t="shared" si="33"/>
        <v>5718.7846769680573</v>
      </c>
      <c r="BB26" s="951">
        <f t="shared" si="33"/>
        <v>5718.7846769680573</v>
      </c>
      <c r="BC26" s="951">
        <f t="shared" si="33"/>
        <v>5718.7846769680573</v>
      </c>
      <c r="BD26" s="982">
        <f t="shared" si="30"/>
        <v>177733.67493907356</v>
      </c>
      <c r="BE26" s="951">
        <f>'9. Guelph_Lost Revenue'!H73</f>
        <v>11732.752325383079</v>
      </c>
      <c r="BF26" s="951">
        <f t="shared" si="27"/>
        <v>11732.752325383079</v>
      </c>
      <c r="BG26" s="951">
        <f t="shared" si="27"/>
        <v>11732.752325383079</v>
      </c>
      <c r="BH26" s="951">
        <f t="shared" si="27"/>
        <v>11732.752325383079</v>
      </c>
      <c r="BI26" s="951">
        <f t="shared" si="27"/>
        <v>11732.752325383079</v>
      </c>
      <c r="BJ26" s="951">
        <f t="shared" si="27"/>
        <v>11732.752325383079</v>
      </c>
      <c r="BK26" s="951">
        <f t="shared" si="27"/>
        <v>11732.752325383079</v>
      </c>
      <c r="BL26" s="951">
        <f t="shared" si="27"/>
        <v>11732.752325383079</v>
      </c>
      <c r="BM26" s="951">
        <f t="shared" si="27"/>
        <v>11732.752325383079</v>
      </c>
      <c r="BN26" s="951">
        <f t="shared" si="27"/>
        <v>11732.752325383079</v>
      </c>
      <c r="BO26" s="951">
        <f t="shared" si="27"/>
        <v>11732.752325383079</v>
      </c>
      <c r="BP26" s="951">
        <f t="shared" si="27"/>
        <v>11732.752325383079</v>
      </c>
      <c r="BQ26" s="982">
        <f t="shared" si="31"/>
        <v>318526.70284367044</v>
      </c>
      <c r="BR26" s="1012"/>
    </row>
    <row r="27" spans="1:72" x14ac:dyDescent="0.35">
      <c r="B27" s="949"/>
      <c r="C27" s="860" t="s">
        <v>541</v>
      </c>
      <c r="D27" s="975">
        <v>0</v>
      </c>
      <c r="E27" s="950">
        <f>+'9. Guelph_Lost Revenue'!D48</f>
        <v>1676.5540800000001</v>
      </c>
      <c r="F27" s="950">
        <f t="shared" si="19"/>
        <v>1676.5540800000001</v>
      </c>
      <c r="G27" s="950">
        <f t="shared" si="19"/>
        <v>1676.5540800000001</v>
      </c>
      <c r="H27" s="950">
        <f t="shared" si="19"/>
        <v>1676.5540800000001</v>
      </c>
      <c r="I27" s="950">
        <f>'9. Guelph_Lost Revenue'!E48</f>
        <v>1668.3829800000003</v>
      </c>
      <c r="J27" s="950">
        <f t="shared" si="20"/>
        <v>1668.3829800000003</v>
      </c>
      <c r="K27" s="950">
        <f t="shared" si="20"/>
        <v>1668.3829800000003</v>
      </c>
      <c r="L27" s="950">
        <f t="shared" si="20"/>
        <v>1668.3829800000003</v>
      </c>
      <c r="M27" s="950">
        <f t="shared" si="20"/>
        <v>1668.3829800000003</v>
      </c>
      <c r="N27" s="950">
        <f t="shared" si="20"/>
        <v>1668.3829800000003</v>
      </c>
      <c r="O27" s="950">
        <f t="shared" si="20"/>
        <v>1668.3829800000003</v>
      </c>
      <c r="P27" s="950">
        <f t="shared" si="20"/>
        <v>1668.3829800000003</v>
      </c>
      <c r="Q27" s="950">
        <f t="shared" si="21"/>
        <v>20053.280160000009</v>
      </c>
      <c r="R27" s="950">
        <f>'9. Guelph_Lost Revenue'!H48</f>
        <v>7663.1061887572969</v>
      </c>
      <c r="S27" s="950">
        <f t="shared" si="22"/>
        <v>7663.1061887572969</v>
      </c>
      <c r="T27" s="950">
        <f t="shared" si="22"/>
        <v>7663.1061887572969</v>
      </c>
      <c r="U27" s="950">
        <f>'9. Guelph_Lost Revenue'!I48</f>
        <v>8040.2029297031868</v>
      </c>
      <c r="V27" s="950">
        <f>'9. Guelph_Lost Revenue'!J48</f>
        <v>8106.6863361637888</v>
      </c>
      <c r="W27" s="950">
        <f>'9. Guelph_Lost Revenue'!J48</f>
        <v>8106.6863361637888</v>
      </c>
      <c r="X27" s="950">
        <f t="shared" si="23"/>
        <v>8106.6863361637888</v>
      </c>
      <c r="Y27" s="950">
        <f t="shared" si="23"/>
        <v>8106.6863361637888</v>
      </c>
      <c r="Z27" s="950">
        <f t="shared" si="23"/>
        <v>8106.6863361637888</v>
      </c>
      <c r="AA27" s="950">
        <f t="shared" si="23"/>
        <v>8106.6863361637888</v>
      </c>
      <c r="AB27" s="950">
        <f t="shared" si="23"/>
        <v>8106.6863361637888</v>
      </c>
      <c r="AC27" s="950">
        <f t="shared" si="23"/>
        <v>8106.6863361637888</v>
      </c>
      <c r="AD27" s="999">
        <f t="shared" si="24"/>
        <v>115936.29234528543</v>
      </c>
      <c r="AE27" s="951">
        <f>'9. Guelph_Lost Revenue'!M48</f>
        <v>16366.824644635162</v>
      </c>
      <c r="AF27" s="951">
        <f t="shared" si="25"/>
        <v>16366.824644635162</v>
      </c>
      <c r="AG27" s="951">
        <f t="shared" si="25"/>
        <v>16366.824644635162</v>
      </c>
      <c r="AH27" s="951">
        <f t="shared" si="25"/>
        <v>16366.824644635162</v>
      </c>
      <c r="AI27" s="951">
        <f t="shared" si="25"/>
        <v>16366.824644635162</v>
      </c>
      <c r="AJ27" s="951">
        <f t="shared" si="25"/>
        <v>16366.824644635162</v>
      </c>
      <c r="AK27" s="951">
        <f t="shared" si="25"/>
        <v>16366.824644635162</v>
      </c>
      <c r="AL27" s="951">
        <f t="shared" si="25"/>
        <v>16366.824644635162</v>
      </c>
      <c r="AM27" s="951">
        <f t="shared" si="25"/>
        <v>16366.824644635162</v>
      </c>
      <c r="AN27" s="951">
        <f t="shared" si="25"/>
        <v>16366.824644635162</v>
      </c>
      <c r="AO27" s="951">
        <f t="shared" si="25"/>
        <v>16366.824644635162</v>
      </c>
      <c r="AP27" s="951">
        <f t="shared" si="25"/>
        <v>16366.824644635162</v>
      </c>
      <c r="AQ27" s="982">
        <f t="shared" si="28"/>
        <v>312338.18808090733</v>
      </c>
      <c r="AR27" s="951">
        <f>'9. Guelph_Lost Revenue'!N48</f>
        <v>18015.953131535385</v>
      </c>
      <c r="AS27" s="951">
        <f>$AR$27</f>
        <v>18015.953131535385</v>
      </c>
      <c r="AT27" s="951">
        <f t="shared" ref="AT27:BC27" si="34">$AR$27</f>
        <v>18015.953131535385</v>
      </c>
      <c r="AU27" s="951">
        <f t="shared" si="34"/>
        <v>18015.953131535385</v>
      </c>
      <c r="AV27" s="951">
        <f t="shared" si="34"/>
        <v>18015.953131535385</v>
      </c>
      <c r="AW27" s="951">
        <f t="shared" si="34"/>
        <v>18015.953131535385</v>
      </c>
      <c r="AX27" s="951">
        <f t="shared" si="34"/>
        <v>18015.953131535385</v>
      </c>
      <c r="AY27" s="951">
        <f t="shared" si="34"/>
        <v>18015.953131535385</v>
      </c>
      <c r="AZ27" s="951">
        <f t="shared" si="34"/>
        <v>18015.953131535385</v>
      </c>
      <c r="BA27" s="951">
        <f t="shared" si="34"/>
        <v>18015.953131535385</v>
      </c>
      <c r="BB27" s="951">
        <f t="shared" si="34"/>
        <v>18015.953131535385</v>
      </c>
      <c r="BC27" s="951">
        <f t="shared" si="34"/>
        <v>18015.953131535385</v>
      </c>
      <c r="BD27" s="982">
        <f t="shared" si="30"/>
        <v>528529.62565933191</v>
      </c>
      <c r="BE27" s="951">
        <f>'9. Guelph_Lost Revenue'!H74</f>
        <v>29704.402837324898</v>
      </c>
      <c r="BF27" s="951">
        <f t="shared" si="27"/>
        <v>29704.402837324898</v>
      </c>
      <c r="BG27" s="951">
        <f t="shared" si="27"/>
        <v>29704.402837324898</v>
      </c>
      <c r="BH27" s="951">
        <f t="shared" si="27"/>
        <v>29704.402837324898</v>
      </c>
      <c r="BI27" s="951">
        <f t="shared" si="27"/>
        <v>29704.402837324898</v>
      </c>
      <c r="BJ27" s="951">
        <f t="shared" si="27"/>
        <v>29704.402837324898</v>
      </c>
      <c r="BK27" s="951">
        <f t="shared" si="27"/>
        <v>29704.402837324898</v>
      </c>
      <c r="BL27" s="951">
        <f t="shared" si="27"/>
        <v>29704.402837324898</v>
      </c>
      <c r="BM27" s="951">
        <f t="shared" si="27"/>
        <v>29704.402837324898</v>
      </c>
      <c r="BN27" s="951">
        <f t="shared" si="27"/>
        <v>29704.402837324898</v>
      </c>
      <c r="BO27" s="951">
        <f t="shared" si="27"/>
        <v>29704.402837324898</v>
      </c>
      <c r="BP27" s="951">
        <f t="shared" si="27"/>
        <v>29704.402837324898</v>
      </c>
      <c r="BQ27" s="982">
        <f t="shared" si="31"/>
        <v>884982.45970723056</v>
      </c>
      <c r="BR27" s="1012"/>
    </row>
    <row r="28" spans="1:72" x14ac:dyDescent="0.35">
      <c r="B28" s="949"/>
      <c r="C28" s="860" t="s">
        <v>542</v>
      </c>
      <c r="D28" s="975">
        <v>0</v>
      </c>
      <c r="E28" s="950">
        <f>+'9. Guelph_Lost Revenue'!D49</f>
        <v>0</v>
      </c>
      <c r="F28" s="950">
        <f t="shared" si="19"/>
        <v>0</v>
      </c>
      <c r="G28" s="950">
        <f t="shared" si="19"/>
        <v>0</v>
      </c>
      <c r="H28" s="950">
        <f t="shared" si="19"/>
        <v>0</v>
      </c>
      <c r="I28" s="950">
        <f>'9. Guelph_Lost Revenue'!E49</f>
        <v>0</v>
      </c>
      <c r="J28" s="950">
        <f t="shared" si="20"/>
        <v>0</v>
      </c>
      <c r="K28" s="950">
        <f t="shared" si="20"/>
        <v>0</v>
      </c>
      <c r="L28" s="950">
        <f t="shared" si="20"/>
        <v>0</v>
      </c>
      <c r="M28" s="950">
        <f t="shared" si="20"/>
        <v>0</v>
      </c>
      <c r="N28" s="950">
        <f t="shared" si="20"/>
        <v>0</v>
      </c>
      <c r="O28" s="950">
        <f t="shared" si="20"/>
        <v>0</v>
      </c>
      <c r="P28" s="950">
        <f t="shared" si="20"/>
        <v>0</v>
      </c>
      <c r="Q28" s="950">
        <f t="shared" si="21"/>
        <v>0</v>
      </c>
      <c r="R28" s="950">
        <f>'9. Guelph_Lost Revenue'!H49</f>
        <v>0</v>
      </c>
      <c r="S28" s="950">
        <f t="shared" si="22"/>
        <v>0</v>
      </c>
      <c r="T28" s="950">
        <f t="shared" si="22"/>
        <v>0</v>
      </c>
      <c r="U28" s="950">
        <f>'9. Guelph_Lost Revenue'!I49</f>
        <v>0</v>
      </c>
      <c r="V28" s="950">
        <f>'9. Guelph_Lost Revenue'!J49</f>
        <v>0</v>
      </c>
      <c r="W28" s="950">
        <f>'9. Guelph_Lost Revenue'!J49</f>
        <v>0</v>
      </c>
      <c r="X28" s="950">
        <f t="shared" si="23"/>
        <v>0</v>
      </c>
      <c r="Y28" s="950">
        <f t="shared" si="23"/>
        <v>0</v>
      </c>
      <c r="Z28" s="950">
        <f t="shared" si="23"/>
        <v>0</v>
      </c>
      <c r="AA28" s="950">
        <f t="shared" si="23"/>
        <v>0</v>
      </c>
      <c r="AB28" s="950">
        <f t="shared" si="23"/>
        <v>0</v>
      </c>
      <c r="AC28" s="950">
        <f t="shared" si="23"/>
        <v>0</v>
      </c>
      <c r="AD28" s="999">
        <f t="shared" si="24"/>
        <v>0</v>
      </c>
      <c r="AE28" s="951">
        <f>'9. Guelph_Lost Revenue'!M49</f>
        <v>0</v>
      </c>
      <c r="AF28" s="951">
        <f t="shared" si="25"/>
        <v>0</v>
      </c>
      <c r="AG28" s="951">
        <f t="shared" si="25"/>
        <v>0</v>
      </c>
      <c r="AH28" s="951">
        <f t="shared" si="25"/>
        <v>0</v>
      </c>
      <c r="AI28" s="951">
        <f t="shared" si="25"/>
        <v>0</v>
      </c>
      <c r="AJ28" s="951">
        <f t="shared" si="25"/>
        <v>0</v>
      </c>
      <c r="AK28" s="951">
        <f t="shared" si="25"/>
        <v>0</v>
      </c>
      <c r="AL28" s="951">
        <f t="shared" si="25"/>
        <v>0</v>
      </c>
      <c r="AM28" s="951">
        <f t="shared" si="25"/>
        <v>0</v>
      </c>
      <c r="AN28" s="951">
        <f t="shared" si="25"/>
        <v>0</v>
      </c>
      <c r="AO28" s="951">
        <f t="shared" si="25"/>
        <v>0</v>
      </c>
      <c r="AP28" s="951">
        <f t="shared" si="25"/>
        <v>0</v>
      </c>
      <c r="AQ28" s="982">
        <f t="shared" si="28"/>
        <v>0</v>
      </c>
      <c r="AR28" s="951">
        <f>'9. Guelph_Lost Revenue'!N49</f>
        <v>0</v>
      </c>
      <c r="AS28" s="951">
        <f>$AR$28</f>
        <v>0</v>
      </c>
      <c r="AT28" s="951">
        <f t="shared" ref="AT28:BC28" si="35">$AR$28</f>
        <v>0</v>
      </c>
      <c r="AU28" s="951">
        <f t="shared" si="35"/>
        <v>0</v>
      </c>
      <c r="AV28" s="951">
        <f t="shared" si="35"/>
        <v>0</v>
      </c>
      <c r="AW28" s="951">
        <f t="shared" si="35"/>
        <v>0</v>
      </c>
      <c r="AX28" s="951">
        <f t="shared" si="35"/>
        <v>0</v>
      </c>
      <c r="AY28" s="951">
        <f t="shared" si="35"/>
        <v>0</v>
      </c>
      <c r="AZ28" s="951">
        <f t="shared" si="35"/>
        <v>0</v>
      </c>
      <c r="BA28" s="951">
        <f t="shared" si="35"/>
        <v>0</v>
      </c>
      <c r="BB28" s="951">
        <f t="shared" si="35"/>
        <v>0</v>
      </c>
      <c r="BC28" s="951">
        <f t="shared" si="35"/>
        <v>0</v>
      </c>
      <c r="BD28" s="982">
        <f t="shared" si="30"/>
        <v>0</v>
      </c>
      <c r="BE28" s="951">
        <f>'9. Guelph_Lost Revenue'!H75</f>
        <v>0</v>
      </c>
      <c r="BF28" s="951">
        <f t="shared" si="27"/>
        <v>0</v>
      </c>
      <c r="BG28" s="951">
        <f t="shared" si="27"/>
        <v>0</v>
      </c>
      <c r="BH28" s="951">
        <f t="shared" si="27"/>
        <v>0</v>
      </c>
      <c r="BI28" s="951">
        <f t="shared" si="27"/>
        <v>0</v>
      </c>
      <c r="BJ28" s="951">
        <f t="shared" si="27"/>
        <v>0</v>
      </c>
      <c r="BK28" s="951">
        <f t="shared" si="27"/>
        <v>0</v>
      </c>
      <c r="BL28" s="951">
        <f t="shared" si="27"/>
        <v>0</v>
      </c>
      <c r="BM28" s="951">
        <f t="shared" si="27"/>
        <v>0</v>
      </c>
      <c r="BN28" s="951">
        <f t="shared" si="27"/>
        <v>0</v>
      </c>
      <c r="BO28" s="951">
        <f t="shared" si="27"/>
        <v>0</v>
      </c>
      <c r="BP28" s="951">
        <f t="shared" si="27"/>
        <v>0</v>
      </c>
      <c r="BQ28" s="982">
        <f t="shared" si="31"/>
        <v>0</v>
      </c>
      <c r="BR28" s="1012"/>
    </row>
    <row r="29" spans="1:72" x14ac:dyDescent="0.35">
      <c r="B29" s="949"/>
      <c r="C29" s="860" t="s">
        <v>41</v>
      </c>
      <c r="D29" s="975">
        <v>0</v>
      </c>
      <c r="E29" s="950">
        <f>+'9. Guelph_Lost Revenue'!D50</f>
        <v>0</v>
      </c>
      <c r="F29" s="950">
        <f t="shared" si="19"/>
        <v>0</v>
      </c>
      <c r="G29" s="950">
        <f t="shared" si="19"/>
        <v>0</v>
      </c>
      <c r="H29" s="950">
        <f t="shared" si="19"/>
        <v>0</v>
      </c>
      <c r="I29" s="950">
        <f>'9. Guelph_Lost Revenue'!E50</f>
        <v>0</v>
      </c>
      <c r="J29" s="950">
        <f t="shared" si="20"/>
        <v>0</v>
      </c>
      <c r="K29" s="950">
        <f t="shared" si="20"/>
        <v>0</v>
      </c>
      <c r="L29" s="950">
        <f t="shared" si="20"/>
        <v>0</v>
      </c>
      <c r="M29" s="950">
        <f t="shared" si="20"/>
        <v>0</v>
      </c>
      <c r="N29" s="950">
        <f t="shared" si="20"/>
        <v>0</v>
      </c>
      <c r="O29" s="950">
        <f t="shared" si="20"/>
        <v>0</v>
      </c>
      <c r="P29" s="950">
        <f t="shared" si="20"/>
        <v>0</v>
      </c>
      <c r="Q29" s="950">
        <f t="shared" si="21"/>
        <v>0</v>
      </c>
      <c r="R29" s="950">
        <f>'9. Guelph_Lost Revenue'!H50</f>
        <v>0</v>
      </c>
      <c r="S29" s="950">
        <f t="shared" si="22"/>
        <v>0</v>
      </c>
      <c r="T29" s="950">
        <f t="shared" si="22"/>
        <v>0</v>
      </c>
      <c r="U29" s="950">
        <f>'9. Guelph_Lost Revenue'!I50</f>
        <v>0</v>
      </c>
      <c r="V29" s="950">
        <f>'9. Guelph_Lost Revenue'!J50</f>
        <v>0</v>
      </c>
      <c r="W29" s="950">
        <f>'9. Guelph_Lost Revenue'!J50</f>
        <v>0</v>
      </c>
      <c r="X29" s="950">
        <f t="shared" si="23"/>
        <v>0</v>
      </c>
      <c r="Y29" s="950">
        <f t="shared" si="23"/>
        <v>0</v>
      </c>
      <c r="Z29" s="950">
        <f t="shared" si="23"/>
        <v>0</v>
      </c>
      <c r="AA29" s="950">
        <f t="shared" si="23"/>
        <v>0</v>
      </c>
      <c r="AB29" s="950">
        <f t="shared" si="23"/>
        <v>0</v>
      </c>
      <c r="AC29" s="950">
        <f t="shared" si="23"/>
        <v>0</v>
      </c>
      <c r="AD29" s="999">
        <f t="shared" si="24"/>
        <v>0</v>
      </c>
      <c r="AE29" s="951">
        <f>'9. Guelph_Lost Revenue'!M50</f>
        <v>0</v>
      </c>
      <c r="AF29" s="951">
        <f t="shared" si="25"/>
        <v>0</v>
      </c>
      <c r="AG29" s="951">
        <f t="shared" si="25"/>
        <v>0</v>
      </c>
      <c r="AH29" s="951">
        <f t="shared" si="25"/>
        <v>0</v>
      </c>
      <c r="AI29" s="951">
        <f t="shared" si="25"/>
        <v>0</v>
      </c>
      <c r="AJ29" s="951">
        <f t="shared" si="25"/>
        <v>0</v>
      </c>
      <c r="AK29" s="951">
        <f t="shared" si="25"/>
        <v>0</v>
      </c>
      <c r="AL29" s="951">
        <f t="shared" si="25"/>
        <v>0</v>
      </c>
      <c r="AM29" s="951">
        <f t="shared" si="25"/>
        <v>0</v>
      </c>
      <c r="AN29" s="951">
        <f t="shared" si="25"/>
        <v>0</v>
      </c>
      <c r="AO29" s="951">
        <f t="shared" si="25"/>
        <v>0</v>
      </c>
      <c r="AP29" s="951">
        <f t="shared" si="25"/>
        <v>0</v>
      </c>
      <c r="AQ29" s="982">
        <f t="shared" si="28"/>
        <v>0</v>
      </c>
      <c r="AR29" s="951">
        <f>'9. Guelph_Lost Revenue'!N50</f>
        <v>0</v>
      </c>
      <c r="AS29" s="951">
        <f>$AR$29</f>
        <v>0</v>
      </c>
      <c r="AT29" s="951">
        <f t="shared" ref="AT29:BC29" si="36">$AR$29</f>
        <v>0</v>
      </c>
      <c r="AU29" s="951">
        <f t="shared" si="36"/>
        <v>0</v>
      </c>
      <c r="AV29" s="951">
        <f t="shared" si="36"/>
        <v>0</v>
      </c>
      <c r="AW29" s="951">
        <f t="shared" si="36"/>
        <v>0</v>
      </c>
      <c r="AX29" s="951">
        <f t="shared" si="36"/>
        <v>0</v>
      </c>
      <c r="AY29" s="951">
        <f t="shared" si="36"/>
        <v>0</v>
      </c>
      <c r="AZ29" s="951">
        <f t="shared" si="36"/>
        <v>0</v>
      </c>
      <c r="BA29" s="951">
        <f t="shared" si="36"/>
        <v>0</v>
      </c>
      <c r="BB29" s="951">
        <f t="shared" si="36"/>
        <v>0</v>
      </c>
      <c r="BC29" s="951">
        <f t="shared" si="36"/>
        <v>0</v>
      </c>
      <c r="BD29" s="982">
        <f t="shared" si="30"/>
        <v>0</v>
      </c>
      <c r="BE29" s="951">
        <f>'9. Guelph_Lost Revenue'!H76</f>
        <v>0</v>
      </c>
      <c r="BF29" s="951">
        <f t="shared" si="27"/>
        <v>0</v>
      </c>
      <c r="BG29" s="951">
        <f t="shared" si="27"/>
        <v>0</v>
      </c>
      <c r="BH29" s="951">
        <f t="shared" si="27"/>
        <v>0</v>
      </c>
      <c r="BI29" s="951">
        <f t="shared" si="27"/>
        <v>0</v>
      </c>
      <c r="BJ29" s="951">
        <f t="shared" si="27"/>
        <v>0</v>
      </c>
      <c r="BK29" s="951">
        <f t="shared" si="27"/>
        <v>0</v>
      </c>
      <c r="BL29" s="951">
        <f t="shared" si="27"/>
        <v>0</v>
      </c>
      <c r="BM29" s="951">
        <f t="shared" si="27"/>
        <v>0</v>
      </c>
      <c r="BN29" s="951">
        <f t="shared" si="27"/>
        <v>0</v>
      </c>
      <c r="BO29" s="951">
        <f t="shared" si="27"/>
        <v>0</v>
      </c>
      <c r="BP29" s="951">
        <f t="shared" si="27"/>
        <v>0</v>
      </c>
      <c r="BQ29" s="982">
        <f t="shared" si="31"/>
        <v>0</v>
      </c>
      <c r="BR29" s="1012"/>
    </row>
    <row r="30" spans="1:72" ht="15" thickBot="1" x14ac:dyDescent="0.4">
      <c r="A30" s="990"/>
      <c r="B30" s="1013"/>
      <c r="C30" s="990" t="s">
        <v>42</v>
      </c>
      <c r="D30" s="1014">
        <v>0</v>
      </c>
      <c r="E30" s="1015">
        <f>+'9. Guelph_Lost Revenue'!D51</f>
        <v>0</v>
      </c>
      <c r="F30" s="1015">
        <f t="shared" si="19"/>
        <v>0</v>
      </c>
      <c r="G30" s="1015">
        <f t="shared" si="19"/>
        <v>0</v>
      </c>
      <c r="H30" s="1015">
        <f t="shared" si="19"/>
        <v>0</v>
      </c>
      <c r="I30" s="1015">
        <f>'9. Guelph_Lost Revenue'!E51</f>
        <v>0</v>
      </c>
      <c r="J30" s="1015">
        <f t="shared" si="20"/>
        <v>0</v>
      </c>
      <c r="K30" s="1015">
        <f t="shared" si="20"/>
        <v>0</v>
      </c>
      <c r="L30" s="1015">
        <f t="shared" si="20"/>
        <v>0</v>
      </c>
      <c r="M30" s="1015">
        <f t="shared" si="20"/>
        <v>0</v>
      </c>
      <c r="N30" s="1015">
        <f t="shared" si="20"/>
        <v>0</v>
      </c>
      <c r="O30" s="1015">
        <f t="shared" si="20"/>
        <v>0</v>
      </c>
      <c r="P30" s="1015">
        <f t="shared" si="20"/>
        <v>0</v>
      </c>
      <c r="Q30" s="1015">
        <f t="shared" si="21"/>
        <v>0</v>
      </c>
      <c r="R30" s="1015">
        <f>'9. Guelph_Lost Revenue'!H51</f>
        <v>0</v>
      </c>
      <c r="S30" s="1015">
        <f t="shared" si="22"/>
        <v>0</v>
      </c>
      <c r="T30" s="1015">
        <f t="shared" si="22"/>
        <v>0</v>
      </c>
      <c r="U30" s="1015">
        <f>'9. Guelph_Lost Revenue'!I51</f>
        <v>0</v>
      </c>
      <c r="V30" s="1015">
        <f>'9. Guelph_Lost Revenue'!J51</f>
        <v>0</v>
      </c>
      <c r="W30" s="1015">
        <f>'9. Guelph_Lost Revenue'!J51</f>
        <v>0</v>
      </c>
      <c r="X30" s="1015">
        <f t="shared" si="23"/>
        <v>0</v>
      </c>
      <c r="Y30" s="1015">
        <f t="shared" si="23"/>
        <v>0</v>
      </c>
      <c r="Z30" s="1015">
        <f t="shared" si="23"/>
        <v>0</v>
      </c>
      <c r="AA30" s="1015">
        <f t="shared" si="23"/>
        <v>0</v>
      </c>
      <c r="AB30" s="1015">
        <f t="shared" si="23"/>
        <v>0</v>
      </c>
      <c r="AC30" s="1015">
        <f t="shared" si="23"/>
        <v>0</v>
      </c>
      <c r="AD30" s="1016">
        <f t="shared" si="24"/>
        <v>0</v>
      </c>
      <c r="AE30" s="1017">
        <f>'9. Guelph_Lost Revenue'!M51</f>
        <v>0</v>
      </c>
      <c r="AF30" s="1017">
        <f t="shared" si="25"/>
        <v>0</v>
      </c>
      <c r="AG30" s="1017">
        <f t="shared" si="25"/>
        <v>0</v>
      </c>
      <c r="AH30" s="1017">
        <f t="shared" si="25"/>
        <v>0</v>
      </c>
      <c r="AI30" s="1017">
        <f t="shared" si="25"/>
        <v>0</v>
      </c>
      <c r="AJ30" s="1017">
        <f t="shared" si="25"/>
        <v>0</v>
      </c>
      <c r="AK30" s="1017">
        <f t="shared" si="25"/>
        <v>0</v>
      </c>
      <c r="AL30" s="1017">
        <f t="shared" si="25"/>
        <v>0</v>
      </c>
      <c r="AM30" s="1017">
        <f t="shared" si="25"/>
        <v>0</v>
      </c>
      <c r="AN30" s="1017">
        <f t="shared" si="25"/>
        <v>0</v>
      </c>
      <c r="AO30" s="1017">
        <f t="shared" si="25"/>
        <v>0</v>
      </c>
      <c r="AP30" s="1017">
        <f t="shared" si="25"/>
        <v>0</v>
      </c>
      <c r="AQ30" s="724">
        <f t="shared" si="28"/>
        <v>0</v>
      </c>
      <c r="AR30" s="1018">
        <f>'9. Guelph_Lost Revenue'!N51</f>
        <v>0</v>
      </c>
      <c r="AS30" s="1017">
        <f>$AR$30</f>
        <v>0</v>
      </c>
      <c r="AT30" s="1017">
        <f t="shared" ref="AT30:BC30" si="37">$AR$30</f>
        <v>0</v>
      </c>
      <c r="AU30" s="1017">
        <f t="shared" si="37"/>
        <v>0</v>
      </c>
      <c r="AV30" s="1017">
        <f t="shared" si="37"/>
        <v>0</v>
      </c>
      <c r="AW30" s="1017">
        <f t="shared" si="37"/>
        <v>0</v>
      </c>
      <c r="AX30" s="1017">
        <f t="shared" si="37"/>
        <v>0</v>
      </c>
      <c r="AY30" s="1017">
        <f t="shared" si="37"/>
        <v>0</v>
      </c>
      <c r="AZ30" s="1017">
        <f t="shared" si="37"/>
        <v>0</v>
      </c>
      <c r="BA30" s="1017">
        <f t="shared" si="37"/>
        <v>0</v>
      </c>
      <c r="BB30" s="1017">
        <f t="shared" si="37"/>
        <v>0</v>
      </c>
      <c r="BC30" s="1017">
        <f t="shared" si="37"/>
        <v>0</v>
      </c>
      <c r="BD30" s="724">
        <f t="shared" si="30"/>
        <v>0</v>
      </c>
      <c r="BE30" s="1018">
        <f>'9. Guelph_Lost Revenue'!H77</f>
        <v>0</v>
      </c>
      <c r="BF30" s="1017">
        <f t="shared" si="27"/>
        <v>0</v>
      </c>
      <c r="BG30" s="1017">
        <f t="shared" si="27"/>
        <v>0</v>
      </c>
      <c r="BH30" s="1017">
        <f t="shared" si="27"/>
        <v>0</v>
      </c>
      <c r="BI30" s="1017">
        <f t="shared" si="27"/>
        <v>0</v>
      </c>
      <c r="BJ30" s="1017">
        <f t="shared" si="27"/>
        <v>0</v>
      </c>
      <c r="BK30" s="1017">
        <f t="shared" si="27"/>
        <v>0</v>
      </c>
      <c r="BL30" s="1017">
        <f t="shared" si="27"/>
        <v>0</v>
      </c>
      <c r="BM30" s="1017">
        <f t="shared" si="27"/>
        <v>0</v>
      </c>
      <c r="BN30" s="1017">
        <f t="shared" si="27"/>
        <v>0</v>
      </c>
      <c r="BO30" s="1017">
        <f t="shared" si="27"/>
        <v>0</v>
      </c>
      <c r="BP30" s="1017">
        <f t="shared" si="27"/>
        <v>0</v>
      </c>
      <c r="BQ30" s="724">
        <f t="shared" si="31"/>
        <v>0</v>
      </c>
      <c r="BR30" s="1019"/>
    </row>
    <row r="31" spans="1:72" x14ac:dyDescent="0.35">
      <c r="A31" s="860"/>
      <c r="B31" s="984"/>
      <c r="C31" s="1020"/>
      <c r="D31" s="987"/>
      <c r="E31" s="987"/>
      <c r="F31" s="987"/>
      <c r="G31" s="987"/>
      <c r="H31" s="987"/>
      <c r="I31" s="987"/>
      <c r="J31" s="987"/>
      <c r="K31" s="987"/>
      <c r="L31" s="987"/>
      <c r="M31" s="987"/>
      <c r="N31" s="987"/>
      <c r="O31" s="987"/>
      <c r="P31" s="987"/>
      <c r="Q31" s="987"/>
      <c r="R31" s="987"/>
      <c r="S31" s="987"/>
      <c r="T31" s="987"/>
      <c r="U31" s="987"/>
      <c r="V31" s="987"/>
      <c r="W31" s="987"/>
      <c r="X31" s="987"/>
      <c r="Y31" s="987"/>
      <c r="Z31" s="987"/>
      <c r="AA31" s="987"/>
      <c r="AB31" s="987"/>
      <c r="AC31" s="987"/>
      <c r="AD31" s="987" t="s">
        <v>527</v>
      </c>
      <c r="AE31" s="951"/>
      <c r="AF31" s="951"/>
      <c r="AQ31" s="977"/>
      <c r="AR31" s="951"/>
      <c r="AS31" s="951"/>
      <c r="AT31" s="951"/>
      <c r="AU31" s="951"/>
      <c r="AV31" s="951"/>
      <c r="AW31" s="951"/>
      <c r="AX31" s="951"/>
      <c r="AY31" s="951"/>
      <c r="AZ31" s="951"/>
      <c r="BA31" s="951"/>
      <c r="BB31" s="951"/>
      <c r="BC31" s="951"/>
      <c r="BD31" s="977"/>
      <c r="BE31" s="951"/>
      <c r="BF31" s="951"/>
      <c r="BG31" s="951"/>
      <c r="BH31" s="951"/>
      <c r="BI31" s="951"/>
      <c r="BJ31" s="951"/>
      <c r="BK31" s="951"/>
      <c r="BL31" s="951"/>
      <c r="BM31" s="951"/>
      <c r="BN31" s="951"/>
      <c r="BO31" s="951"/>
      <c r="BP31" s="951"/>
      <c r="BQ31" s="977"/>
      <c r="BR31" s="986"/>
    </row>
    <row r="32" spans="1:72" ht="15" thickBot="1" x14ac:dyDescent="0.4">
      <c r="A32" s="1005"/>
      <c r="B32" s="1021"/>
      <c r="C32" s="1005" t="s">
        <v>726</v>
      </c>
      <c r="D32" s="1003">
        <f>SUM(D7:D31)</f>
        <v>0</v>
      </c>
      <c r="E32" s="1003">
        <f>SUM(E23:E30)</f>
        <v>8686.0482833333335</v>
      </c>
      <c r="F32" s="1003">
        <f t="shared" ref="F32:AP32" si="38">SUM(F23:F30)</f>
        <v>8686.0482833333335</v>
      </c>
      <c r="G32" s="1003">
        <f t="shared" si="38"/>
        <v>8686.0482833333335</v>
      </c>
      <c r="H32" s="1003">
        <f t="shared" si="38"/>
        <v>8686.0482833333335</v>
      </c>
      <c r="I32" s="1003">
        <f t="shared" si="38"/>
        <v>8618.5754450000004</v>
      </c>
      <c r="J32" s="1003">
        <f t="shared" si="38"/>
        <v>8618.5754450000004</v>
      </c>
      <c r="K32" s="1003">
        <f t="shared" si="38"/>
        <v>8618.5754450000004</v>
      </c>
      <c r="L32" s="1003">
        <f t="shared" si="38"/>
        <v>8618.5754450000004</v>
      </c>
      <c r="M32" s="1003">
        <f t="shared" si="38"/>
        <v>8618.5754450000004</v>
      </c>
      <c r="N32" s="1003">
        <f t="shared" si="38"/>
        <v>8618.5754450000004</v>
      </c>
      <c r="O32" s="1003">
        <f t="shared" si="38"/>
        <v>8618.5754450000004</v>
      </c>
      <c r="P32" s="1003">
        <f t="shared" si="38"/>
        <v>8618.5754450000004</v>
      </c>
      <c r="Q32" s="1003">
        <f t="shared" si="38"/>
        <v>103692.79669333334</v>
      </c>
      <c r="R32" s="1003">
        <f t="shared" si="38"/>
        <v>20672.396492805336</v>
      </c>
      <c r="S32" s="1003">
        <f t="shared" si="38"/>
        <v>20672.396492805336</v>
      </c>
      <c r="T32" s="1003">
        <f t="shared" si="38"/>
        <v>20672.396492805336</v>
      </c>
      <c r="U32" s="1003">
        <f t="shared" si="38"/>
        <v>21262.311038526223</v>
      </c>
      <c r="V32" s="1003">
        <f t="shared" si="38"/>
        <v>21718.790395879245</v>
      </c>
      <c r="W32" s="1003">
        <f t="shared" si="38"/>
        <v>21718.790395879245</v>
      </c>
      <c r="X32" s="1003">
        <f t="shared" si="38"/>
        <v>21718.790395879245</v>
      </c>
      <c r="Y32" s="1003">
        <f t="shared" si="38"/>
        <v>21718.790395879245</v>
      </c>
      <c r="Z32" s="1003">
        <f t="shared" si="38"/>
        <v>21718.790395879245</v>
      </c>
      <c r="AA32" s="1003">
        <f t="shared" si="38"/>
        <v>21718.790395879245</v>
      </c>
      <c r="AB32" s="1003">
        <f t="shared" si="38"/>
        <v>21718.790395879245</v>
      </c>
      <c r="AC32" s="1003">
        <f t="shared" si="38"/>
        <v>21718.790395879245</v>
      </c>
      <c r="AD32" s="1003">
        <f t="shared" si="38"/>
        <v>360722.62037730956</v>
      </c>
      <c r="AE32" s="1022">
        <f t="shared" si="38"/>
        <v>34593.00932625874</v>
      </c>
      <c r="AF32" s="1022">
        <f t="shared" si="38"/>
        <v>34593.00932625874</v>
      </c>
      <c r="AG32" s="1022">
        <f t="shared" si="38"/>
        <v>34593.00932625874</v>
      </c>
      <c r="AH32" s="1022">
        <f t="shared" si="38"/>
        <v>34593.00932625874</v>
      </c>
      <c r="AI32" s="1022">
        <f t="shared" si="38"/>
        <v>34593.00932625874</v>
      </c>
      <c r="AJ32" s="1022">
        <f t="shared" si="38"/>
        <v>34593.00932625874</v>
      </c>
      <c r="AK32" s="1022">
        <f t="shared" si="38"/>
        <v>34593.00932625874</v>
      </c>
      <c r="AL32" s="1022">
        <f t="shared" si="38"/>
        <v>34593.00932625874</v>
      </c>
      <c r="AM32" s="1022">
        <f t="shared" si="38"/>
        <v>34593.00932625874</v>
      </c>
      <c r="AN32" s="1022">
        <f t="shared" si="38"/>
        <v>34593.00932625874</v>
      </c>
      <c r="AO32" s="1022">
        <f t="shared" si="38"/>
        <v>34593.00932625874</v>
      </c>
      <c r="AP32" s="1022">
        <f t="shared" si="38"/>
        <v>34593.00932625874</v>
      </c>
      <c r="AQ32" s="724">
        <f>SUM(AD32:AP32)</f>
        <v>775838.73229241476</v>
      </c>
      <c r="AR32" s="1023">
        <f>SUM(AR23:AR31)</f>
        <v>42603.701201625874</v>
      </c>
      <c r="AS32" s="1024">
        <f>SUM(AS23:AS31)</f>
        <v>42603.701201625874</v>
      </c>
      <c r="AT32" s="1024">
        <f t="shared" ref="AT32:BC32" si="39">SUM(AT23:AT31)</f>
        <v>42603.701201625874</v>
      </c>
      <c r="AU32" s="1024">
        <f t="shared" si="39"/>
        <v>42603.701201625874</v>
      </c>
      <c r="AV32" s="1024">
        <f t="shared" si="39"/>
        <v>42603.701201625874</v>
      </c>
      <c r="AW32" s="1024">
        <f t="shared" si="39"/>
        <v>42603.701201625874</v>
      </c>
      <c r="AX32" s="1024">
        <f t="shared" si="39"/>
        <v>42603.701201625874</v>
      </c>
      <c r="AY32" s="1024">
        <f t="shared" si="39"/>
        <v>42603.701201625874</v>
      </c>
      <c r="AZ32" s="1024">
        <f t="shared" si="39"/>
        <v>42603.701201625874</v>
      </c>
      <c r="BA32" s="1024">
        <f t="shared" si="39"/>
        <v>42603.701201625874</v>
      </c>
      <c r="BB32" s="1024">
        <f t="shared" si="39"/>
        <v>42603.701201625874</v>
      </c>
      <c r="BC32" s="1024">
        <f t="shared" si="39"/>
        <v>42603.701201625874</v>
      </c>
      <c r="BD32" s="724">
        <f>SUM(AQ32:BC32)</f>
        <v>1287083.1467119253</v>
      </c>
      <c r="BE32" s="1023">
        <f>SUM(BE23:BE31)</f>
        <v>64503.981180576753</v>
      </c>
      <c r="BF32" s="1024">
        <f>SUM(BF23:BF31)</f>
        <v>64503.981180576753</v>
      </c>
      <c r="BG32" s="1024">
        <f t="shared" ref="BG32:BP32" si="40">SUM(BG23:BG31)</f>
        <v>64503.981180576753</v>
      </c>
      <c r="BH32" s="1024">
        <f t="shared" si="40"/>
        <v>64503.981180576753</v>
      </c>
      <c r="BI32" s="1024">
        <f t="shared" si="40"/>
        <v>64503.981180576753</v>
      </c>
      <c r="BJ32" s="1024">
        <f t="shared" si="40"/>
        <v>64503.981180576753</v>
      </c>
      <c r="BK32" s="1024">
        <f t="shared" si="40"/>
        <v>64503.981180576753</v>
      </c>
      <c r="BL32" s="1024">
        <f t="shared" si="40"/>
        <v>64503.981180576753</v>
      </c>
      <c r="BM32" s="1024">
        <f t="shared" si="40"/>
        <v>64503.981180576753</v>
      </c>
      <c r="BN32" s="1024">
        <f t="shared" si="40"/>
        <v>64503.981180576753</v>
      </c>
      <c r="BO32" s="1024">
        <f t="shared" si="40"/>
        <v>64503.981180576753</v>
      </c>
      <c r="BP32" s="1024">
        <f t="shared" si="40"/>
        <v>64503.981180576753</v>
      </c>
      <c r="BQ32" s="724">
        <f>SUM(BD32:BP32)</f>
        <v>2061130.9208788474</v>
      </c>
      <c r="BR32" s="772"/>
    </row>
    <row r="33" spans="1:71" x14ac:dyDescent="0.35">
      <c r="A33" s="951"/>
      <c r="B33" s="980"/>
      <c r="C33" s="951"/>
      <c r="D33" s="1025"/>
      <c r="E33" s="1025"/>
      <c r="F33" s="1025"/>
      <c r="G33" s="1025"/>
      <c r="H33" s="1025"/>
      <c r="I33" s="1025"/>
      <c r="J33" s="1025"/>
      <c r="K33" s="1025"/>
      <c r="L33" s="1025"/>
      <c r="M33" s="1025"/>
      <c r="N33" s="1025"/>
      <c r="O33" s="1025"/>
      <c r="P33" s="1025"/>
      <c r="Q33" s="1025">
        <f>Q32+Q17</f>
        <v>103692.79669333334</v>
      </c>
      <c r="R33" s="1025"/>
      <c r="S33" s="1025"/>
      <c r="T33" s="1025"/>
      <c r="U33" s="1025"/>
      <c r="V33" s="1025"/>
      <c r="W33" s="1025"/>
      <c r="X33" s="1025"/>
      <c r="Y33" s="1025"/>
      <c r="Z33" s="1025"/>
      <c r="AA33" s="1025"/>
      <c r="AB33" s="1025"/>
      <c r="AC33" s="1025"/>
      <c r="AD33" s="1025">
        <f>AD32+AD17</f>
        <v>237409.96533811107</v>
      </c>
      <c r="AE33" s="951"/>
      <c r="AF33" s="951"/>
      <c r="AG33" s="951"/>
      <c r="AH33" s="951"/>
      <c r="AI33" s="951"/>
      <c r="AJ33" s="951"/>
      <c r="AK33" s="951"/>
      <c r="AL33" s="951"/>
      <c r="AM33" s="951"/>
      <c r="AN33" s="951"/>
      <c r="AO33" s="951"/>
      <c r="AP33" s="951"/>
      <c r="AQ33" s="1025">
        <f>AQ32+AQ17</f>
        <v>527074.12075553881</v>
      </c>
      <c r="AR33" s="951"/>
      <c r="AS33" s="951"/>
      <c r="AT33" s="951"/>
      <c r="AU33" s="951"/>
      <c r="AV33" s="951"/>
      <c r="AW33" s="951"/>
      <c r="AX33" s="951"/>
      <c r="AY33" s="951"/>
      <c r="AZ33" s="951"/>
      <c r="BA33" s="951"/>
      <c r="BB33" s="951"/>
      <c r="BC33" s="951"/>
      <c r="BD33" s="1025">
        <f>BD32+BD17</f>
        <v>911224.2041247118</v>
      </c>
      <c r="BE33" s="951"/>
      <c r="BF33" s="951"/>
      <c r="BG33" s="951"/>
      <c r="BH33" s="951"/>
      <c r="BI33" s="951"/>
      <c r="BJ33" s="951"/>
      <c r="BK33" s="951"/>
      <c r="BL33" s="951"/>
      <c r="BM33" s="951"/>
      <c r="BN33" s="951"/>
      <c r="BO33" s="951"/>
      <c r="BP33" s="951"/>
      <c r="BQ33" s="1025">
        <f>BQ32+BQ17</f>
        <v>1556574.8805114864</v>
      </c>
      <c r="BR33" s="1026"/>
    </row>
    <row r="34" spans="1:71" ht="15" thickBot="1" x14ac:dyDescent="0.4">
      <c r="A34" s="951"/>
      <c r="B34" s="980"/>
      <c r="C34" s="951"/>
      <c r="D34" s="1027"/>
      <c r="E34" s="1027"/>
      <c r="F34" s="1027"/>
      <c r="G34" s="1027"/>
      <c r="H34" s="1027"/>
      <c r="I34" s="1027"/>
      <c r="J34" s="1027"/>
      <c r="K34" s="1027"/>
      <c r="L34" s="1027"/>
      <c r="M34" s="1027"/>
      <c r="N34" s="1027"/>
      <c r="O34" s="1027"/>
      <c r="P34" s="1027"/>
      <c r="Q34" s="1027"/>
      <c r="R34" s="1027"/>
      <c r="S34" s="1027"/>
      <c r="T34" s="1027"/>
      <c r="U34" s="1027"/>
      <c r="V34" s="1027"/>
      <c r="W34" s="1027"/>
      <c r="X34" s="1027"/>
      <c r="Y34" s="1027"/>
      <c r="Z34" s="1027"/>
      <c r="AA34" s="1027"/>
      <c r="AB34" s="1027"/>
      <c r="AC34" s="1027"/>
      <c r="AD34" s="1027"/>
      <c r="AE34" s="951"/>
      <c r="AF34" s="951"/>
      <c r="AG34" s="951"/>
      <c r="AH34" s="951"/>
      <c r="AI34" s="951"/>
      <c r="AJ34" s="951"/>
      <c r="AK34" s="951"/>
      <c r="AL34" s="951"/>
      <c r="AM34" s="951"/>
      <c r="AN34" s="951"/>
      <c r="AO34" s="951"/>
      <c r="AP34" s="951"/>
      <c r="AQ34" s="951"/>
      <c r="AR34" s="951"/>
      <c r="AS34" s="951"/>
      <c r="AT34" s="951"/>
      <c r="AU34" s="951"/>
      <c r="AV34" s="951"/>
      <c r="AW34" s="951"/>
      <c r="AX34" s="951"/>
      <c r="AY34" s="951"/>
      <c r="AZ34" s="951"/>
      <c r="BA34" s="951"/>
      <c r="BB34" s="951"/>
      <c r="BC34" s="951"/>
      <c r="BD34" s="951"/>
      <c r="BE34" s="951"/>
      <c r="BF34" s="951"/>
      <c r="BG34" s="951"/>
      <c r="BH34" s="951"/>
      <c r="BI34" s="951"/>
      <c r="BJ34" s="951"/>
      <c r="BK34" s="951"/>
      <c r="BL34" s="951"/>
      <c r="BM34" s="951"/>
      <c r="BN34" s="951"/>
      <c r="BO34" s="951"/>
      <c r="BP34" s="951"/>
      <c r="BQ34" s="951"/>
      <c r="BR34" s="1028"/>
    </row>
    <row r="35" spans="1:71" ht="15" thickBot="1" x14ac:dyDescent="0.4">
      <c r="A35" s="1029" t="s">
        <v>727</v>
      </c>
      <c r="B35" s="1030"/>
      <c r="C35" s="1029"/>
      <c r="D35" s="1031"/>
      <c r="E35" s="1032">
        <f t="shared" ref="E35:P35" si="41">E17+E32</f>
        <v>8686.0482833333335</v>
      </c>
      <c r="F35" s="1032">
        <f t="shared" si="41"/>
        <v>8686.0482833333335</v>
      </c>
      <c r="G35" s="1032">
        <f t="shared" si="41"/>
        <v>8686.0482833333335</v>
      </c>
      <c r="H35" s="1032">
        <f t="shared" si="41"/>
        <v>8686.0482833333335</v>
      </c>
      <c r="I35" s="1032">
        <f t="shared" si="41"/>
        <v>8618.5754450000004</v>
      </c>
      <c r="J35" s="1032">
        <f t="shared" si="41"/>
        <v>8618.5754450000004</v>
      </c>
      <c r="K35" s="1032">
        <f t="shared" si="41"/>
        <v>8618.5754450000004</v>
      </c>
      <c r="L35" s="1032">
        <f t="shared" si="41"/>
        <v>8618.5754450000004</v>
      </c>
      <c r="M35" s="1032">
        <f t="shared" si="41"/>
        <v>8618.5754450000004</v>
      </c>
      <c r="N35" s="1032">
        <f t="shared" si="41"/>
        <v>8618.5754450000004</v>
      </c>
      <c r="O35" s="1032">
        <f t="shared" si="41"/>
        <v>8618.5754450000004</v>
      </c>
      <c r="P35" s="1032">
        <f t="shared" si="41"/>
        <v>8618.5754450000004</v>
      </c>
      <c r="Q35" s="1033"/>
      <c r="R35" s="1032">
        <f t="shared" ref="R35:AP35" si="42">R17+R32</f>
        <v>10452.885553179123</v>
      </c>
      <c r="S35" s="1032">
        <f t="shared" si="42"/>
        <v>10452.885553179123</v>
      </c>
      <c r="T35" s="1032">
        <f t="shared" si="42"/>
        <v>10452.885553179123</v>
      </c>
      <c r="U35" s="1032">
        <f t="shared" si="42"/>
        <v>11376.918543908138</v>
      </c>
      <c r="V35" s="1032">
        <f t="shared" si="42"/>
        <v>11372.699180166526</v>
      </c>
      <c r="W35" s="1032">
        <f t="shared" si="42"/>
        <v>11372.699180166526</v>
      </c>
      <c r="X35" s="1032">
        <f t="shared" si="42"/>
        <v>11372.699180166526</v>
      </c>
      <c r="Y35" s="1032">
        <f t="shared" si="42"/>
        <v>11372.699180166526</v>
      </c>
      <c r="Z35" s="1032">
        <f t="shared" si="42"/>
        <v>11372.699180166526</v>
      </c>
      <c r="AA35" s="1032">
        <f t="shared" si="42"/>
        <v>11372.699180166526</v>
      </c>
      <c r="AB35" s="1032">
        <f t="shared" si="42"/>
        <v>11372.699180166526</v>
      </c>
      <c r="AC35" s="1032">
        <f t="shared" si="42"/>
        <v>11372.699180166526</v>
      </c>
      <c r="AD35" s="1034"/>
      <c r="AE35" s="1032">
        <f t="shared" si="42"/>
        <v>24138.679618118949</v>
      </c>
      <c r="AF35" s="1032">
        <f t="shared" si="42"/>
        <v>24138.679618118949</v>
      </c>
      <c r="AG35" s="1032">
        <f t="shared" si="42"/>
        <v>24138.679618118949</v>
      </c>
      <c r="AH35" s="1032">
        <f t="shared" si="42"/>
        <v>24138.679618118949</v>
      </c>
      <c r="AI35" s="1032">
        <f t="shared" si="42"/>
        <v>24138.679618118949</v>
      </c>
      <c r="AJ35" s="1032">
        <f t="shared" si="42"/>
        <v>24138.679618118949</v>
      </c>
      <c r="AK35" s="1032">
        <f t="shared" si="42"/>
        <v>24138.679618118949</v>
      </c>
      <c r="AL35" s="1032">
        <f t="shared" si="42"/>
        <v>24138.679618118949</v>
      </c>
      <c r="AM35" s="1032">
        <f t="shared" si="42"/>
        <v>24138.679618118949</v>
      </c>
      <c r="AN35" s="1032">
        <f t="shared" si="42"/>
        <v>24138.679618118949</v>
      </c>
      <c r="AO35" s="1032">
        <f t="shared" si="42"/>
        <v>24138.679618118949</v>
      </c>
      <c r="AP35" s="1032">
        <f t="shared" si="42"/>
        <v>24138.679618118949</v>
      </c>
      <c r="AQ35" s="1035"/>
      <c r="AR35" s="1032">
        <f t="shared" ref="AR35:BC35" si="43">AR17+AR32</f>
        <v>32012.50694743108</v>
      </c>
      <c r="AS35" s="1032">
        <f t="shared" si="43"/>
        <v>32012.50694743108</v>
      </c>
      <c r="AT35" s="1032">
        <f t="shared" si="43"/>
        <v>32012.50694743108</v>
      </c>
      <c r="AU35" s="1032">
        <f t="shared" si="43"/>
        <v>32012.50694743108</v>
      </c>
      <c r="AV35" s="1032">
        <f t="shared" si="43"/>
        <v>32012.50694743108</v>
      </c>
      <c r="AW35" s="1032">
        <f t="shared" si="43"/>
        <v>32012.50694743108</v>
      </c>
      <c r="AX35" s="1032">
        <f t="shared" si="43"/>
        <v>32012.50694743108</v>
      </c>
      <c r="AY35" s="1032">
        <f t="shared" si="43"/>
        <v>32012.50694743108</v>
      </c>
      <c r="AZ35" s="1032">
        <f t="shared" si="43"/>
        <v>32012.50694743108</v>
      </c>
      <c r="BA35" s="1032">
        <f t="shared" si="43"/>
        <v>32012.50694743108</v>
      </c>
      <c r="BB35" s="1032">
        <f t="shared" si="43"/>
        <v>32012.50694743108</v>
      </c>
      <c r="BC35" s="1032">
        <f t="shared" si="43"/>
        <v>32012.50694743108</v>
      </c>
      <c r="BD35" s="1035"/>
      <c r="BE35" s="1032">
        <f t="shared" ref="BE35:BP35" si="44">BE17+BE32</f>
        <v>53779.223032231101</v>
      </c>
      <c r="BF35" s="1032">
        <f t="shared" si="44"/>
        <v>53779.223032231101</v>
      </c>
      <c r="BG35" s="1032">
        <f t="shared" si="44"/>
        <v>53779.223032231101</v>
      </c>
      <c r="BH35" s="1032">
        <f t="shared" si="44"/>
        <v>53779.223032231101</v>
      </c>
      <c r="BI35" s="1032">
        <f t="shared" si="44"/>
        <v>53779.223032231101</v>
      </c>
      <c r="BJ35" s="1032">
        <f t="shared" si="44"/>
        <v>53779.223032231101</v>
      </c>
      <c r="BK35" s="1032">
        <f t="shared" si="44"/>
        <v>53779.223032231101</v>
      </c>
      <c r="BL35" s="1032">
        <f t="shared" si="44"/>
        <v>53779.223032231101</v>
      </c>
      <c r="BM35" s="1032">
        <f t="shared" si="44"/>
        <v>53779.223032231101</v>
      </c>
      <c r="BN35" s="1032">
        <f t="shared" si="44"/>
        <v>53779.223032231101</v>
      </c>
      <c r="BO35" s="1032">
        <f t="shared" si="44"/>
        <v>53779.223032231101</v>
      </c>
      <c r="BP35" s="1032">
        <f t="shared" si="44"/>
        <v>53779.223032231101</v>
      </c>
      <c r="BQ35" s="1035"/>
      <c r="BR35" s="762"/>
    </row>
    <row r="36" spans="1:71" x14ac:dyDescent="0.35">
      <c r="A36" s="1029"/>
      <c r="B36" s="1030"/>
      <c r="C36" s="1029"/>
      <c r="D36" s="1036"/>
      <c r="E36" s="1036"/>
      <c r="F36" s="1036"/>
      <c r="G36" s="1036"/>
      <c r="H36" s="1036"/>
      <c r="I36" s="1036"/>
      <c r="J36" s="1036"/>
      <c r="K36" s="1036"/>
      <c r="L36" s="1036"/>
      <c r="M36" s="1036"/>
      <c r="N36" s="1036"/>
      <c r="O36" s="1036"/>
      <c r="P36" s="1036"/>
      <c r="Q36" s="1027"/>
      <c r="R36" s="1036"/>
      <c r="S36" s="1036"/>
      <c r="T36" s="1036"/>
      <c r="U36" s="1036"/>
      <c r="V36" s="1036"/>
      <c r="W36" s="1036"/>
      <c r="X36" s="1036"/>
      <c r="Y36" s="1036"/>
      <c r="Z36" s="1036"/>
      <c r="AA36" s="1036"/>
      <c r="AB36" s="1036"/>
      <c r="AC36" s="1036"/>
      <c r="AD36" s="1027"/>
      <c r="AE36" s="1029"/>
      <c r="AF36" s="1029"/>
      <c r="AG36" s="1029"/>
      <c r="AH36" s="1029"/>
      <c r="AI36" s="1029"/>
      <c r="AJ36" s="1029"/>
      <c r="AK36" s="1029"/>
      <c r="AL36" s="1029"/>
      <c r="AM36" s="1029"/>
      <c r="AN36" s="1029"/>
      <c r="AO36" s="1029"/>
      <c r="AP36" s="1029"/>
      <c r="AQ36" s="1029"/>
      <c r="AR36" s="1029"/>
      <c r="AS36" s="1029"/>
      <c r="AT36" s="1029"/>
      <c r="AU36" s="1029"/>
      <c r="AV36" s="1029"/>
      <c r="AW36" s="1029"/>
      <c r="AX36" s="1029"/>
      <c r="AY36" s="1029"/>
      <c r="AZ36" s="1029"/>
      <c r="BA36" s="1029"/>
      <c r="BB36" s="1029"/>
      <c r="BC36" s="1029"/>
      <c r="BD36" s="1029"/>
      <c r="BE36" s="1029"/>
      <c r="BF36" s="1029"/>
      <c r="BG36" s="1029"/>
      <c r="BH36" s="1029"/>
      <c r="BI36" s="1029"/>
      <c r="BJ36" s="1029"/>
      <c r="BK36" s="1029"/>
      <c r="BL36" s="1029"/>
      <c r="BM36" s="1029"/>
      <c r="BN36" s="1029"/>
      <c r="BO36" s="1029"/>
      <c r="BP36" s="1029"/>
      <c r="BQ36" s="1029"/>
      <c r="BR36" s="1029"/>
    </row>
    <row r="37" spans="1:71" x14ac:dyDescent="0.35">
      <c r="A37" s="762" t="s">
        <v>728</v>
      </c>
      <c r="B37" s="1037" t="s">
        <v>729</v>
      </c>
      <c r="C37" s="762"/>
      <c r="D37" s="1038">
        <v>0</v>
      </c>
      <c r="E37" s="1027">
        <f>D32+E35</f>
        <v>8686.0482833333335</v>
      </c>
      <c r="F37" s="1027">
        <f>E37+F35</f>
        <v>17372.096566666667</v>
      </c>
      <c r="G37" s="1027">
        <f t="shared" ref="G37:P37" si="45">F37+G35</f>
        <v>26058.144850000001</v>
      </c>
      <c r="H37" s="1027">
        <f t="shared" si="45"/>
        <v>34744.193133333334</v>
      </c>
      <c r="I37" s="1027">
        <f t="shared" si="45"/>
        <v>43362.768578333336</v>
      </c>
      <c r="J37" s="1027">
        <f t="shared" si="45"/>
        <v>51981.344023333339</v>
      </c>
      <c r="K37" s="1027">
        <f t="shared" si="45"/>
        <v>60599.919468333341</v>
      </c>
      <c r="L37" s="1027">
        <f t="shared" si="45"/>
        <v>69218.494913333343</v>
      </c>
      <c r="M37" s="1027">
        <f t="shared" si="45"/>
        <v>77837.070358333338</v>
      </c>
      <c r="N37" s="1027">
        <f t="shared" si="45"/>
        <v>86455.645803333333</v>
      </c>
      <c r="O37" s="1027">
        <f t="shared" si="45"/>
        <v>95074.221248333328</v>
      </c>
      <c r="P37" s="1027">
        <f t="shared" si="45"/>
        <v>103692.79669333332</v>
      </c>
      <c r="Q37" s="1039">
        <f>+P37</f>
        <v>103692.79669333332</v>
      </c>
      <c r="R37" s="1027">
        <f>Q32+R35</f>
        <v>114145.68224651246</v>
      </c>
      <c r="S37" s="1027">
        <f>R37+S35</f>
        <v>124598.56779969158</v>
      </c>
      <c r="T37" s="1027">
        <f t="shared" ref="T37" si="46">S37+T35</f>
        <v>135051.45335287071</v>
      </c>
      <c r="U37" s="1027">
        <f>T37+U35</f>
        <v>146428.37189677884</v>
      </c>
      <c r="V37" s="1027">
        <f t="shared" ref="V37:AP37" si="47">U37+V35</f>
        <v>157801.07107694537</v>
      </c>
      <c r="W37" s="1027">
        <f t="shared" si="47"/>
        <v>169173.7702571119</v>
      </c>
      <c r="X37" s="1027">
        <f t="shared" si="47"/>
        <v>180546.46943727843</v>
      </c>
      <c r="Y37" s="1027">
        <f t="shared" si="47"/>
        <v>191919.16861744496</v>
      </c>
      <c r="Z37" s="1027">
        <f t="shared" si="47"/>
        <v>203291.86779761149</v>
      </c>
      <c r="AA37" s="1027">
        <f t="shared" si="47"/>
        <v>214664.56697777801</v>
      </c>
      <c r="AB37" s="1027">
        <f t="shared" si="47"/>
        <v>226037.26615794454</v>
      </c>
      <c r="AC37" s="1027">
        <f t="shared" si="47"/>
        <v>237409.96533811107</v>
      </c>
      <c r="AD37" s="1039">
        <f>+AC37</f>
        <v>237409.96533811107</v>
      </c>
      <c r="AE37" s="1027">
        <f t="shared" si="47"/>
        <v>261548.64495623001</v>
      </c>
      <c r="AF37" s="1027">
        <f t="shared" si="47"/>
        <v>285687.32457434898</v>
      </c>
      <c r="AG37" s="1027">
        <f t="shared" si="47"/>
        <v>309826.00419246795</v>
      </c>
      <c r="AH37" s="1027">
        <f t="shared" si="47"/>
        <v>333964.68381058692</v>
      </c>
      <c r="AI37" s="1027">
        <f t="shared" si="47"/>
        <v>358103.3634287059</v>
      </c>
      <c r="AJ37" s="1027">
        <f t="shared" si="47"/>
        <v>382242.04304682487</v>
      </c>
      <c r="AK37" s="1027">
        <f t="shared" si="47"/>
        <v>406380.72266494384</v>
      </c>
      <c r="AL37" s="1027">
        <f t="shared" si="47"/>
        <v>430519.40228306281</v>
      </c>
      <c r="AM37" s="1027">
        <f t="shared" si="47"/>
        <v>454658.08190118178</v>
      </c>
      <c r="AN37" s="1027">
        <f t="shared" si="47"/>
        <v>478796.76151930075</v>
      </c>
      <c r="AO37" s="1027">
        <f t="shared" si="47"/>
        <v>502935.44113741972</v>
      </c>
      <c r="AP37" s="1027">
        <f t="shared" si="47"/>
        <v>527074.12075553869</v>
      </c>
      <c r="AQ37" s="1039">
        <f>+AP37</f>
        <v>527074.12075553869</v>
      </c>
      <c r="AR37" s="1027">
        <f t="shared" ref="AR37:BC37" si="48">AQ37+AR35</f>
        <v>559086.62770296982</v>
      </c>
      <c r="AS37" s="1027">
        <f t="shared" si="48"/>
        <v>591099.13465040096</v>
      </c>
      <c r="AT37" s="1027">
        <f t="shared" si="48"/>
        <v>623111.64159783209</v>
      </c>
      <c r="AU37" s="1027">
        <f t="shared" si="48"/>
        <v>655124.14854526322</v>
      </c>
      <c r="AV37" s="1027">
        <f t="shared" si="48"/>
        <v>687136.65549269435</v>
      </c>
      <c r="AW37" s="1027">
        <f t="shared" si="48"/>
        <v>719149.16244012548</v>
      </c>
      <c r="AX37" s="1027">
        <f t="shared" si="48"/>
        <v>751161.66938755661</v>
      </c>
      <c r="AY37" s="1027">
        <f t="shared" si="48"/>
        <v>783174.17633498774</v>
      </c>
      <c r="AZ37" s="1027">
        <f t="shared" si="48"/>
        <v>815186.68328241888</v>
      </c>
      <c r="BA37" s="1027">
        <f t="shared" si="48"/>
        <v>847199.19022985001</v>
      </c>
      <c r="BB37" s="1027">
        <f t="shared" si="48"/>
        <v>879211.69717728114</v>
      </c>
      <c r="BC37" s="1027">
        <f t="shared" si="48"/>
        <v>911224.20412471227</v>
      </c>
      <c r="BD37" s="1039">
        <f>+BC37</f>
        <v>911224.20412471227</v>
      </c>
      <c r="BE37" s="1027">
        <f t="shared" ref="BE37:BP37" si="49">BD37+BE35</f>
        <v>965003.42715694336</v>
      </c>
      <c r="BF37" s="1027">
        <f t="shared" si="49"/>
        <v>1018782.6501891745</v>
      </c>
      <c r="BG37" s="1027">
        <f t="shared" si="49"/>
        <v>1072561.8732214055</v>
      </c>
      <c r="BH37" s="1027">
        <f t="shared" si="49"/>
        <v>1126341.0962536368</v>
      </c>
      <c r="BI37" s="1027">
        <f t="shared" si="49"/>
        <v>1180120.319285868</v>
      </c>
      <c r="BJ37" s="1027">
        <f t="shared" si="49"/>
        <v>1233899.5423180992</v>
      </c>
      <c r="BK37" s="1027">
        <f t="shared" si="49"/>
        <v>1287678.7653503304</v>
      </c>
      <c r="BL37" s="1027">
        <f t="shared" si="49"/>
        <v>1341457.9883825616</v>
      </c>
      <c r="BM37" s="1027">
        <f t="shared" si="49"/>
        <v>1395237.2114147928</v>
      </c>
      <c r="BN37" s="1027">
        <f t="shared" si="49"/>
        <v>1449016.434447024</v>
      </c>
      <c r="BO37" s="1027">
        <f t="shared" si="49"/>
        <v>1502795.6574792552</v>
      </c>
      <c r="BP37" s="1027">
        <f t="shared" si="49"/>
        <v>1556574.8805114864</v>
      </c>
      <c r="BQ37" s="1039">
        <f>+BP37</f>
        <v>1556574.8805114864</v>
      </c>
      <c r="BR37" s="1039"/>
    </row>
    <row r="38" spans="1:71" ht="58" x14ac:dyDescent="0.35">
      <c r="A38" s="762"/>
      <c r="B38" s="1037"/>
      <c r="C38" s="762"/>
      <c r="D38" s="1036"/>
      <c r="E38" s="1036"/>
      <c r="F38" s="1036"/>
      <c r="G38" s="1036"/>
      <c r="H38" s="1036"/>
      <c r="I38" s="1036"/>
      <c r="J38" s="1036"/>
      <c r="K38" s="1036"/>
      <c r="L38" s="1036"/>
      <c r="M38" s="1036"/>
      <c r="N38" s="1036"/>
      <c r="O38" s="1036"/>
      <c r="P38" s="1036"/>
      <c r="Q38" s="1027"/>
      <c r="R38" s="1036"/>
      <c r="S38" s="1036"/>
      <c r="T38" s="1036"/>
      <c r="U38" s="1036"/>
      <c r="V38" s="1036"/>
      <c r="W38" s="1036"/>
      <c r="X38" s="1036"/>
      <c r="Y38" s="1036"/>
      <c r="Z38" s="1036"/>
      <c r="AA38" s="1036"/>
      <c r="AB38" s="1036"/>
      <c r="AC38" s="1036"/>
      <c r="AD38" s="1027"/>
      <c r="AE38" s="1029"/>
      <c r="AF38" s="1029"/>
      <c r="AG38" s="1029"/>
      <c r="AH38" s="1029"/>
      <c r="AI38" s="1029"/>
      <c r="AJ38" s="1029"/>
      <c r="AK38" s="1029"/>
      <c r="AL38" s="1029"/>
      <c r="AM38" s="1029"/>
      <c r="AN38" s="1029"/>
      <c r="AO38" s="1029"/>
      <c r="AP38" s="1029"/>
      <c r="AQ38" s="1029"/>
      <c r="AR38" s="1029"/>
      <c r="AS38" s="1029"/>
      <c r="AT38" s="1029"/>
      <c r="AU38" s="1029"/>
      <c r="AV38" s="1029"/>
      <c r="AW38" s="1029"/>
      <c r="AX38" s="1029"/>
      <c r="AY38" s="1029"/>
      <c r="AZ38" s="1029"/>
      <c r="BA38" s="1029"/>
      <c r="BB38" s="1029"/>
      <c r="BC38" s="1029"/>
      <c r="BD38" s="1029"/>
      <c r="BE38" s="1029"/>
      <c r="BF38" s="1029"/>
      <c r="BG38" s="1029"/>
      <c r="BH38" s="1029"/>
      <c r="BI38" s="1029"/>
      <c r="BJ38" s="1029"/>
      <c r="BK38" s="1029"/>
      <c r="BL38" s="1029"/>
      <c r="BM38" s="1029"/>
      <c r="BN38" s="1029"/>
      <c r="BO38" s="1029"/>
      <c r="BP38" s="1029"/>
      <c r="BQ38" s="1029"/>
      <c r="BR38" s="1040" t="s">
        <v>730</v>
      </c>
    </row>
    <row r="39" spans="1:71" ht="53" thickBot="1" x14ac:dyDescent="0.4">
      <c r="A39" s="762" t="s">
        <v>731</v>
      </c>
      <c r="B39" s="1037" t="s">
        <v>732</v>
      </c>
      <c r="C39" s="762"/>
      <c r="D39" s="1036"/>
      <c r="E39" s="1041">
        <f>D37*0.0147/12</f>
        <v>0</v>
      </c>
      <c r="F39" s="1041">
        <f>E37*0.0147/12</f>
        <v>10.640409147083334</v>
      </c>
      <c r="G39" s="1041">
        <f>F37*0.0147/12</f>
        <v>21.280818294166668</v>
      </c>
      <c r="H39" s="1041">
        <f t="shared" ref="H39:I39" si="50">G37*0.0147/12</f>
        <v>31.92122744125</v>
      </c>
      <c r="I39" s="1041">
        <f t="shared" si="50"/>
        <v>42.561636588333336</v>
      </c>
      <c r="J39" s="1041">
        <f>I37*0.0147/12</f>
        <v>53.119391508458335</v>
      </c>
      <c r="K39" s="1041">
        <f t="shared" ref="K39:L39" si="51">J37*0.0147/12</f>
        <v>63.677146428583342</v>
      </c>
      <c r="L39" s="1041">
        <f t="shared" si="51"/>
        <v>74.234901348708334</v>
      </c>
      <c r="M39" s="1041">
        <f>L37*0.0147/12</f>
        <v>84.792656268833341</v>
      </c>
      <c r="N39" s="1041">
        <f t="shared" ref="N39:P39" si="52">M37*0.0147/12</f>
        <v>95.350411188958333</v>
      </c>
      <c r="O39" s="1041">
        <f t="shared" si="52"/>
        <v>105.90816610908333</v>
      </c>
      <c r="P39" s="1041">
        <f t="shared" si="52"/>
        <v>116.46592102920833</v>
      </c>
      <c r="Q39" s="1027"/>
      <c r="R39" s="1041">
        <f>Q37*0.0147/12</f>
        <v>127.02367594933332</v>
      </c>
      <c r="S39" s="1041">
        <f>R37*0.0147/12</f>
        <v>139.82846075197776</v>
      </c>
      <c r="T39" s="1041">
        <f t="shared" ref="T39:AC39" si="53">S37*0.0147/12</f>
        <v>152.63324555462216</v>
      </c>
      <c r="U39" s="1041">
        <f t="shared" si="53"/>
        <v>165.43803035726663</v>
      </c>
      <c r="V39" s="1041">
        <f t="shared" si="53"/>
        <v>179.3747555735541</v>
      </c>
      <c r="W39" s="1041">
        <f t="shared" si="53"/>
        <v>193.30631206925807</v>
      </c>
      <c r="X39" s="1041">
        <f t="shared" si="53"/>
        <v>207.2378685649621</v>
      </c>
      <c r="Y39" s="1041">
        <f t="shared" si="53"/>
        <v>221.16942506066607</v>
      </c>
      <c r="Z39" s="1041">
        <f t="shared" si="53"/>
        <v>235.10098155637004</v>
      </c>
      <c r="AA39" s="1041">
        <f t="shared" si="53"/>
        <v>249.03253805207407</v>
      </c>
      <c r="AB39" s="1041">
        <f t="shared" si="53"/>
        <v>262.96409454777807</v>
      </c>
      <c r="AC39" s="1041">
        <f t="shared" si="53"/>
        <v>276.89565104348202</v>
      </c>
      <c r="AD39" s="1027"/>
      <c r="AE39" s="1041">
        <f>AD37*0.0147/12</f>
        <v>290.82720753918608</v>
      </c>
      <c r="AF39" s="1041">
        <f t="shared" ref="AF39:AP39" si="54">AE37*0.0147/12</f>
        <v>320.39709007138174</v>
      </c>
      <c r="AG39" s="1041">
        <f t="shared" si="54"/>
        <v>349.96697260357746</v>
      </c>
      <c r="AH39" s="1041">
        <f t="shared" si="54"/>
        <v>379.53685513577324</v>
      </c>
      <c r="AI39" s="1041">
        <f t="shared" si="54"/>
        <v>409.10673766796896</v>
      </c>
      <c r="AJ39" s="1041">
        <f t="shared" si="54"/>
        <v>438.67662020016473</v>
      </c>
      <c r="AK39" s="1041">
        <f t="shared" si="54"/>
        <v>468.2465027323604</v>
      </c>
      <c r="AL39" s="1041">
        <f t="shared" si="54"/>
        <v>497.81638526455617</v>
      </c>
      <c r="AM39" s="1041">
        <f t="shared" si="54"/>
        <v>527.38626779675189</v>
      </c>
      <c r="AN39" s="1041">
        <f t="shared" si="54"/>
        <v>556.95615032894773</v>
      </c>
      <c r="AO39" s="1041">
        <f t="shared" si="54"/>
        <v>586.52603286114334</v>
      </c>
      <c r="AP39" s="1041">
        <f t="shared" si="54"/>
        <v>616.09591539333917</v>
      </c>
      <c r="AQ39" s="1027"/>
      <c r="AR39" s="1041">
        <f>AQ37*0.0147/12</f>
        <v>645.66579792553489</v>
      </c>
      <c r="AS39" s="1041">
        <f t="shared" ref="AS39:BC39" si="55">AR37*0.0147/12</f>
        <v>684.88111893613802</v>
      </c>
      <c r="AT39" s="1041">
        <f t="shared" si="55"/>
        <v>724.09643994674116</v>
      </c>
      <c r="AU39" s="1041">
        <f t="shared" si="55"/>
        <v>763.31176095734429</v>
      </c>
      <c r="AV39" s="1041">
        <f t="shared" si="55"/>
        <v>802.52708196794731</v>
      </c>
      <c r="AW39" s="1041">
        <f t="shared" si="55"/>
        <v>841.74240297855056</v>
      </c>
      <c r="AX39" s="1041">
        <f t="shared" si="55"/>
        <v>880.95772398915369</v>
      </c>
      <c r="AY39" s="1041">
        <f t="shared" si="55"/>
        <v>920.17304499975683</v>
      </c>
      <c r="AZ39" s="1041">
        <f t="shared" si="55"/>
        <v>959.38836601035985</v>
      </c>
      <c r="BA39" s="1041">
        <f t="shared" si="55"/>
        <v>998.60368702096309</v>
      </c>
      <c r="BB39" s="1041">
        <f t="shared" si="55"/>
        <v>1037.8190080315662</v>
      </c>
      <c r="BC39" s="1041">
        <f t="shared" si="55"/>
        <v>1077.0343290421695</v>
      </c>
      <c r="BD39" s="1029"/>
      <c r="BE39" s="1041">
        <f>BD37*0.0147/12</f>
        <v>1116.2496500527725</v>
      </c>
      <c r="BF39" s="1041">
        <f t="shared" ref="BF39:BG39" si="56">BE37*0.0147/12</f>
        <v>1182.1291982672556</v>
      </c>
      <c r="BG39" s="1041">
        <f t="shared" si="56"/>
        <v>1248.0087464817386</v>
      </c>
      <c r="BH39" s="1041">
        <f>BG37*0.011/12</f>
        <v>983.18171711962168</v>
      </c>
      <c r="BI39" s="1041">
        <f>BH37*0.011/12</f>
        <v>1032.4793382325004</v>
      </c>
      <c r="BJ39" s="1041">
        <f t="shared" ref="BJ39:BP39" si="57">BI37*0.011/12</f>
        <v>1081.7769593453788</v>
      </c>
      <c r="BK39" s="1041">
        <f t="shared" si="57"/>
        <v>1131.0745804582575</v>
      </c>
      <c r="BL39" s="1041">
        <f t="shared" si="57"/>
        <v>1180.3722015711362</v>
      </c>
      <c r="BM39" s="1041">
        <f t="shared" si="57"/>
        <v>1229.6698226840147</v>
      </c>
      <c r="BN39" s="1041">
        <f t="shared" si="57"/>
        <v>1278.9674437968933</v>
      </c>
      <c r="BO39" s="1041">
        <f t="shared" si="57"/>
        <v>1328.265064909772</v>
      </c>
      <c r="BP39" s="1041">
        <f t="shared" si="57"/>
        <v>1377.5626860226505</v>
      </c>
      <c r="BQ39" s="1029"/>
      <c r="BR39" s="974" t="s">
        <v>733</v>
      </c>
    </row>
    <row r="40" spans="1:71" x14ac:dyDescent="0.35">
      <c r="A40" s="762" t="s">
        <v>731</v>
      </c>
      <c r="B40" s="1037" t="s">
        <v>734</v>
      </c>
      <c r="C40" s="762"/>
      <c r="D40" s="1036">
        <v>0</v>
      </c>
      <c r="E40" s="1036">
        <f>+D40+E39</f>
        <v>0</v>
      </c>
      <c r="F40" s="1036">
        <f>+E40+F39</f>
        <v>10.640409147083334</v>
      </c>
      <c r="G40" s="1036">
        <f>+F40+G39</f>
        <v>31.921227441250004</v>
      </c>
      <c r="H40" s="1036">
        <f t="shared" ref="H40:I40" si="58">+G40+H39</f>
        <v>63.842454882500007</v>
      </c>
      <c r="I40" s="1036">
        <f t="shared" si="58"/>
        <v>106.40409147083335</v>
      </c>
      <c r="J40" s="1036">
        <f>+I40+J39</f>
        <v>159.52348297929169</v>
      </c>
      <c r="K40" s="1036">
        <f t="shared" ref="K40:L40" si="59">+J40+K39</f>
        <v>223.20062940787503</v>
      </c>
      <c r="L40" s="1036">
        <f t="shared" si="59"/>
        <v>297.43553075658338</v>
      </c>
      <c r="M40" s="1036">
        <f>+L40+M39</f>
        <v>382.22818702541673</v>
      </c>
      <c r="N40" s="1036">
        <f t="shared" ref="N40:P40" si="60">+M40+N39</f>
        <v>477.57859821437506</v>
      </c>
      <c r="O40" s="1036">
        <f t="shared" si="60"/>
        <v>583.48676432345837</v>
      </c>
      <c r="P40" s="1036">
        <f t="shared" si="60"/>
        <v>699.95268535266666</v>
      </c>
      <c r="Q40" s="1027">
        <f>+P40</f>
        <v>699.95268535266666</v>
      </c>
      <c r="R40" s="1036">
        <f>+Q40+R39</f>
        <v>826.97636130199999</v>
      </c>
      <c r="S40" s="1036">
        <f>+R40+S39</f>
        <v>966.80482205397777</v>
      </c>
      <c r="T40" s="1036">
        <f>+S40+T39</f>
        <v>1119.4380676086</v>
      </c>
      <c r="U40" s="1036">
        <f t="shared" ref="U40:V40" si="61">+T40+U39</f>
        <v>1284.8760979658666</v>
      </c>
      <c r="V40" s="1036">
        <f t="shared" si="61"/>
        <v>1464.2508535394206</v>
      </c>
      <c r="W40" s="1036">
        <f>+V40+W39</f>
        <v>1657.5571656086786</v>
      </c>
      <c r="X40" s="1036">
        <f t="shared" ref="X40:Y40" si="62">+W40+X39</f>
        <v>1864.7950341736407</v>
      </c>
      <c r="Y40" s="1036">
        <f t="shared" si="62"/>
        <v>2085.9644592343066</v>
      </c>
      <c r="Z40" s="1036">
        <f>+Y40+Z39</f>
        <v>2321.0654407906768</v>
      </c>
      <c r="AA40" s="1036">
        <f t="shared" ref="AA40:AC40" si="63">+Z40+AA39</f>
        <v>2570.0979788427508</v>
      </c>
      <c r="AB40" s="1036">
        <f t="shared" si="63"/>
        <v>2833.0620733905289</v>
      </c>
      <c r="AC40" s="1036">
        <f t="shared" si="63"/>
        <v>3109.9577244340107</v>
      </c>
      <c r="AD40" s="1027">
        <f>+AC40</f>
        <v>3109.9577244340107</v>
      </c>
      <c r="AE40" s="1036">
        <f>+AD40+AE39</f>
        <v>3400.7849319731968</v>
      </c>
      <c r="AF40" s="1036">
        <f t="shared" ref="AF40:AP40" si="64">+AE40+AF39</f>
        <v>3721.1820220445784</v>
      </c>
      <c r="AG40" s="1036">
        <f t="shared" si="64"/>
        <v>4071.1489946481561</v>
      </c>
      <c r="AH40" s="1036">
        <f t="shared" si="64"/>
        <v>4450.6858497839294</v>
      </c>
      <c r="AI40" s="1036">
        <f t="shared" si="64"/>
        <v>4859.7925874518987</v>
      </c>
      <c r="AJ40" s="1036">
        <f t="shared" si="64"/>
        <v>5298.4692076520632</v>
      </c>
      <c r="AK40" s="1036">
        <f t="shared" si="64"/>
        <v>5766.7157103844238</v>
      </c>
      <c r="AL40" s="1036">
        <f t="shared" si="64"/>
        <v>6264.5320956489795</v>
      </c>
      <c r="AM40" s="1036">
        <f t="shared" si="64"/>
        <v>6791.9183634457313</v>
      </c>
      <c r="AN40" s="1036">
        <f t="shared" si="64"/>
        <v>7348.8745137746791</v>
      </c>
      <c r="AO40" s="1036">
        <f t="shared" si="64"/>
        <v>7935.4005466358221</v>
      </c>
      <c r="AP40" s="1036">
        <f t="shared" si="64"/>
        <v>8551.4964620291612</v>
      </c>
      <c r="AQ40" s="1027">
        <f>+AP40</f>
        <v>8551.4964620291612</v>
      </c>
      <c r="AR40" s="1036">
        <f>+AQ40+AR39</f>
        <v>9197.1622599546954</v>
      </c>
      <c r="AS40" s="1036">
        <f t="shared" ref="AS40:BC40" si="65">+AR40+AS39</f>
        <v>9882.043378890834</v>
      </c>
      <c r="AT40" s="1036">
        <f t="shared" si="65"/>
        <v>10606.139818837575</v>
      </c>
      <c r="AU40" s="1036">
        <f t="shared" si="65"/>
        <v>11369.451579794919</v>
      </c>
      <c r="AV40" s="1036">
        <f t="shared" si="65"/>
        <v>12171.978661762867</v>
      </c>
      <c r="AW40" s="1036">
        <f t="shared" si="65"/>
        <v>13013.721064741418</v>
      </c>
      <c r="AX40" s="1036">
        <f t="shared" si="65"/>
        <v>13894.678788730571</v>
      </c>
      <c r="AY40" s="1036">
        <f t="shared" si="65"/>
        <v>14814.851833730329</v>
      </c>
      <c r="AZ40" s="1036">
        <f t="shared" si="65"/>
        <v>15774.240199740689</v>
      </c>
      <c r="BA40" s="1036">
        <f t="shared" si="65"/>
        <v>16772.843886761653</v>
      </c>
      <c r="BB40" s="1036">
        <f t="shared" si="65"/>
        <v>17810.662894793219</v>
      </c>
      <c r="BC40" s="1036">
        <f t="shared" si="65"/>
        <v>18887.697223835388</v>
      </c>
      <c r="BD40" s="1029">
        <f>BC40</f>
        <v>18887.697223835388</v>
      </c>
      <c r="BE40" s="1036">
        <f>+BD40+BE39</f>
        <v>20003.946873888162</v>
      </c>
      <c r="BF40" s="1036">
        <f t="shared" ref="BF40:BP40" si="66">+BE40+BF39</f>
        <v>21186.076072155418</v>
      </c>
      <c r="BG40" s="1036">
        <f t="shared" si="66"/>
        <v>22434.084818637155</v>
      </c>
      <c r="BH40" s="1036">
        <f t="shared" si="66"/>
        <v>23417.266535756775</v>
      </c>
      <c r="BI40" s="1036">
        <f t="shared" si="66"/>
        <v>24449.745873989275</v>
      </c>
      <c r="BJ40" s="1036">
        <f t="shared" si="66"/>
        <v>25531.522833334653</v>
      </c>
      <c r="BK40" s="1036">
        <f t="shared" si="66"/>
        <v>26662.597413792912</v>
      </c>
      <c r="BL40" s="1036">
        <f t="shared" si="66"/>
        <v>27842.969615364047</v>
      </c>
      <c r="BM40" s="1036">
        <f t="shared" si="66"/>
        <v>29072.639438048063</v>
      </c>
      <c r="BN40" s="1036">
        <f t="shared" si="66"/>
        <v>30351.606881844957</v>
      </c>
      <c r="BO40" s="1036">
        <f t="shared" si="66"/>
        <v>31679.871946754727</v>
      </c>
      <c r="BP40" s="1036">
        <f t="shared" si="66"/>
        <v>33057.434632777375</v>
      </c>
      <c r="BQ40" s="1029">
        <f>BP40</f>
        <v>33057.434632777375</v>
      </c>
      <c r="BR40" s="952">
        <f>-'9. Guelph_Lost Revenue'!O66-'9. Guelph_Lost Revenue'!Q66</f>
        <v>-13680.188491594825</v>
      </c>
    </row>
    <row r="41" spans="1:71" ht="15" thickBot="1" x14ac:dyDescent="0.4">
      <c r="A41" s="762"/>
      <c r="B41" s="1037"/>
      <c r="C41" s="762"/>
      <c r="D41" s="1027"/>
      <c r="E41" s="1027"/>
      <c r="F41" s="1027"/>
      <c r="G41" s="1027"/>
      <c r="H41" s="1027"/>
      <c r="I41" s="1027"/>
      <c r="J41" s="1027"/>
      <c r="K41" s="1027"/>
      <c r="L41" s="1027"/>
      <c r="M41" s="1027"/>
      <c r="N41" s="1027"/>
      <c r="O41" s="1027"/>
      <c r="P41" s="1027"/>
      <c r="Q41" s="1027"/>
      <c r="R41" s="1027"/>
      <c r="S41" s="1027"/>
      <c r="T41" s="1027"/>
      <c r="U41" s="1027"/>
      <c r="V41" s="1027"/>
      <c r="W41" s="1027"/>
      <c r="X41" s="1027"/>
      <c r="Y41" s="1027"/>
      <c r="Z41" s="1027"/>
      <c r="AA41" s="1027"/>
      <c r="AB41" s="1027"/>
      <c r="AC41" s="1027"/>
      <c r="AD41" s="1027"/>
      <c r="AE41" s="1029"/>
      <c r="AF41" s="1029"/>
      <c r="AG41" s="1029"/>
      <c r="AH41" s="1029"/>
      <c r="AI41" s="1029"/>
      <c r="AJ41" s="1029"/>
      <c r="AK41" s="1029"/>
      <c r="AL41" s="1029"/>
      <c r="AM41" s="1029"/>
      <c r="AN41" s="1029"/>
      <c r="AO41" s="1029"/>
      <c r="AP41" s="1029"/>
      <c r="AQ41" s="1042" t="s">
        <v>735</v>
      </c>
      <c r="AR41" s="1029"/>
      <c r="AS41" s="1029"/>
      <c r="AT41" s="1029"/>
      <c r="AU41" s="1029"/>
      <c r="AV41" s="1029"/>
      <c r="AW41" s="1029"/>
      <c r="AX41" s="1029"/>
      <c r="AY41" s="1029"/>
      <c r="AZ41" s="1029"/>
      <c r="BA41" s="1029"/>
      <c r="BB41" s="1029"/>
      <c r="BC41" s="1029"/>
      <c r="BD41" s="1042" t="s">
        <v>735</v>
      </c>
      <c r="BE41" s="1029"/>
      <c r="BF41" s="1029"/>
      <c r="BG41" s="1029"/>
      <c r="BH41" s="1029"/>
      <c r="BI41" s="1029"/>
      <c r="BJ41" s="1029"/>
      <c r="BK41" s="1029"/>
      <c r="BL41" s="1029"/>
      <c r="BM41" s="1029"/>
      <c r="BN41" s="1029"/>
      <c r="BO41" s="1029"/>
      <c r="BP41" s="1029"/>
      <c r="BQ41" s="1042" t="s">
        <v>735</v>
      </c>
      <c r="BR41" s="1042" t="s">
        <v>736</v>
      </c>
    </row>
    <row r="42" spans="1:71" ht="15" thickBot="1" x14ac:dyDescent="0.4">
      <c r="A42" s="762" t="s">
        <v>737</v>
      </c>
      <c r="B42" s="1037"/>
      <c r="C42" s="762"/>
      <c r="D42" s="1043"/>
      <c r="E42" s="1043"/>
      <c r="F42" s="1043"/>
      <c r="G42" s="1043">
        <f>SUM(E35:G35)</f>
        <v>26058.144850000001</v>
      </c>
      <c r="H42" s="1043"/>
      <c r="I42" s="1043"/>
      <c r="J42" s="1043">
        <f>SUM(H35:J35)</f>
        <v>25923.199173333334</v>
      </c>
      <c r="K42" s="1043"/>
      <c r="L42" s="1043"/>
      <c r="M42" s="1043">
        <f>SUM(K35:M35)</f>
        <v>25855.726334999999</v>
      </c>
      <c r="N42" s="1043"/>
      <c r="O42" s="1043"/>
      <c r="P42" s="1043">
        <f>SUM(N32:P32)</f>
        <v>25855.726334999999</v>
      </c>
      <c r="Q42" s="1044">
        <f>SUM(Q36:Q41)</f>
        <v>104392.74937868598</v>
      </c>
      <c r="R42" s="1043"/>
      <c r="S42" s="1043"/>
      <c r="T42" s="1043">
        <f>SUM(R35:T35)</f>
        <v>31358.65665953737</v>
      </c>
      <c r="U42" s="1043"/>
      <c r="V42" s="1043"/>
      <c r="W42" s="1043">
        <f>SUM(U35:W35)</f>
        <v>34122.31690424119</v>
      </c>
      <c r="X42" s="1043"/>
      <c r="Y42" s="1043"/>
      <c r="Z42" s="1043">
        <f>SUM(X35:Z35)</f>
        <v>34118.097540499577</v>
      </c>
      <c r="AA42" s="1043"/>
      <c r="AB42" s="1043"/>
      <c r="AC42" s="1043">
        <f>SUM(AA35:AC35)</f>
        <v>34118.097540499577</v>
      </c>
      <c r="AD42" s="1044">
        <f>SUM(AD36:AD41)</f>
        <v>240519.92306254507</v>
      </c>
      <c r="AE42" s="1043"/>
      <c r="AF42" s="1043"/>
      <c r="AG42" s="1043">
        <f>SUM(AE35:AG35)</f>
        <v>72416.038854356855</v>
      </c>
      <c r="AH42" s="1043"/>
      <c r="AI42" s="1043"/>
      <c r="AJ42" s="1043">
        <f>SUM(AH35:AJ35)</f>
        <v>72416.038854356855</v>
      </c>
      <c r="AK42" s="1043"/>
      <c r="AL42" s="1043"/>
      <c r="AM42" s="1043">
        <f>SUM(AK35:AM35)</f>
        <v>72416.038854356855</v>
      </c>
      <c r="AN42" s="1043"/>
      <c r="AO42" s="1043"/>
      <c r="AP42" s="1043">
        <f>SUM(AN35:AP35)</f>
        <v>72416.038854356855</v>
      </c>
      <c r="AQ42" s="1045">
        <f>SUM(AQ36:AQ41)</f>
        <v>535625.61721756787</v>
      </c>
      <c r="AR42" s="1043"/>
      <c r="AS42" s="1043"/>
      <c r="AT42" s="1043">
        <f>SUM(AR35:AT35)</f>
        <v>96037.520842293248</v>
      </c>
      <c r="AU42" s="1043"/>
      <c r="AV42" s="1043"/>
      <c r="AW42" s="1043">
        <f>SUM(AU35:AW35)</f>
        <v>96037.520842293248</v>
      </c>
      <c r="AX42" s="1043"/>
      <c r="AY42" s="1043"/>
      <c r="AZ42" s="1043">
        <f>SUM(AX35:AZ35)</f>
        <v>96037.520842293248</v>
      </c>
      <c r="BA42" s="1043"/>
      <c r="BB42" s="1043"/>
      <c r="BC42" s="1043">
        <f>SUM(BA35:BC35)</f>
        <v>96037.520842293248</v>
      </c>
      <c r="BD42" s="1045">
        <f>SUM(BD36:BD41)</f>
        <v>930111.90134854766</v>
      </c>
      <c r="BE42" s="1043"/>
      <c r="BF42" s="1043"/>
      <c r="BG42" s="1043">
        <f>SUM(BE35:BG35)</f>
        <v>161337.66909669331</v>
      </c>
      <c r="BH42" s="1043"/>
      <c r="BI42" s="1043"/>
      <c r="BJ42" s="1043">
        <f>SUM(BH35:BJ35)</f>
        <v>161337.66909669331</v>
      </c>
      <c r="BK42" s="1043"/>
      <c r="BL42" s="1043"/>
      <c r="BM42" s="1043">
        <f>SUM(BK35:BM35)</f>
        <v>161337.66909669331</v>
      </c>
      <c r="BN42" s="1043"/>
      <c r="BO42" s="1043"/>
      <c r="BP42" s="1043">
        <f>SUM(BN35:BP35)</f>
        <v>161337.66909669331</v>
      </c>
      <c r="BQ42" s="1045">
        <f>SUM(BQ36:BQ41)</f>
        <v>1589632.3151442639</v>
      </c>
      <c r="BR42" s="1046">
        <f>BQ42+BR17+BR40</f>
        <v>1287011.2389812705</v>
      </c>
      <c r="BS42" t="s">
        <v>758</v>
      </c>
    </row>
    <row r="43" spans="1:71" ht="15.5" thickTop="1" thickBot="1" x14ac:dyDescent="0.4">
      <c r="A43" s="762" t="s">
        <v>738</v>
      </c>
      <c r="B43" s="1037"/>
      <c r="C43" s="762"/>
      <c r="D43" s="1043"/>
      <c r="E43" s="1043"/>
      <c r="F43" s="1043"/>
      <c r="G43" s="1043">
        <f>SUM(E39:G39)</f>
        <v>31.921227441250004</v>
      </c>
      <c r="H43" s="1043"/>
      <c r="I43" s="1043"/>
      <c r="J43" s="1043">
        <f>SUM(H39:J39)</f>
        <v>127.60225553804167</v>
      </c>
      <c r="K43" s="1043"/>
      <c r="L43" s="1043"/>
      <c r="M43" s="1043">
        <f>SUM(K39:M39)</f>
        <v>222.70470404612502</v>
      </c>
      <c r="N43" s="1043"/>
      <c r="O43" s="1043"/>
      <c r="P43" s="1043">
        <f>SUM(N39:P39)</f>
        <v>317.72449832724999</v>
      </c>
      <c r="Q43" s="1043"/>
      <c r="R43" s="1043"/>
      <c r="S43" s="1043"/>
      <c r="T43" s="1043">
        <f>SUM(R39:T39)</f>
        <v>419.48538225593325</v>
      </c>
      <c r="U43" s="1043"/>
      <c r="V43" s="1043"/>
      <c r="W43" s="1043">
        <f>SUM(U39:W39)</f>
        <v>538.11909800007879</v>
      </c>
      <c r="X43" s="1043"/>
      <c r="Y43" s="1043"/>
      <c r="Z43" s="1043">
        <f>SUM(X39:Z39)</f>
        <v>663.50827518199821</v>
      </c>
      <c r="AA43" s="1043"/>
      <c r="AB43" s="1043"/>
      <c r="AC43" s="1043">
        <f>SUM(AA39:AC39)</f>
        <v>788.89228364333417</v>
      </c>
      <c r="AD43" s="1043"/>
      <c r="AE43" s="1043"/>
      <c r="AF43" s="1043"/>
      <c r="AG43" s="1043">
        <f>SUM(AE39:AG39)</f>
        <v>961.19127021414533</v>
      </c>
      <c r="AH43" s="1043"/>
      <c r="AI43" s="1043"/>
      <c r="AJ43" s="1043">
        <f>SUM(AH39:AJ39)</f>
        <v>1227.3202130039069</v>
      </c>
      <c r="AK43" s="1043"/>
      <c r="AL43" s="1043"/>
      <c r="AM43" s="1043">
        <f>SUM(AK39:AM39)</f>
        <v>1493.4491557936685</v>
      </c>
      <c r="AN43" s="1043"/>
      <c r="AO43" s="1043"/>
      <c r="AP43" s="1043">
        <f>SUM(AN39:AP39)</f>
        <v>1759.5780985834303</v>
      </c>
      <c r="AQ43" s="1029"/>
      <c r="AR43" s="1043"/>
      <c r="AS43" s="1043"/>
      <c r="AT43" s="1043">
        <f>SUM(AR39:AT39)</f>
        <v>2054.643356808414</v>
      </c>
      <c r="AU43" s="1043"/>
      <c r="AV43" s="1043"/>
      <c r="AW43" s="1043">
        <f>SUM(AU39:AW39)</f>
        <v>2407.581245903842</v>
      </c>
      <c r="AX43" s="1043"/>
      <c r="AY43" s="1043"/>
      <c r="AZ43" s="1043">
        <f>SUM(AX39:AZ39)</f>
        <v>2760.5191349992701</v>
      </c>
      <c r="BA43" s="1043"/>
      <c r="BB43" s="1043"/>
      <c r="BC43" s="1043">
        <f>SUM(BA39:BC39)</f>
        <v>3113.4570240946987</v>
      </c>
      <c r="BD43" s="1029"/>
      <c r="BE43" s="1043"/>
      <c r="BF43" s="1043"/>
      <c r="BG43" s="1043">
        <f>SUM(BE39:BG39)</f>
        <v>3546.3875948017667</v>
      </c>
      <c r="BH43" s="1043"/>
      <c r="BI43" s="1043"/>
      <c r="BJ43" s="1043">
        <f>SUM(BH39:BJ39)</f>
        <v>3097.4380146975009</v>
      </c>
      <c r="BK43" s="1043"/>
      <c r="BL43" s="1043"/>
      <c r="BM43" s="1043">
        <f>SUM(BK39:BM39)</f>
        <v>3541.1166047134084</v>
      </c>
      <c r="BN43" s="1043"/>
      <c r="BO43" s="1043"/>
      <c r="BP43" s="1043">
        <f>SUM(BN39:BP39)</f>
        <v>3984.7951947293159</v>
      </c>
      <c r="BQ43" s="1029"/>
      <c r="BR43" s="1047">
        <f>+'9. Guelph_Lost Revenue'!Y66</f>
        <v>13943.973921240946</v>
      </c>
      <c r="BS43" t="s">
        <v>759</v>
      </c>
    </row>
    <row r="44" spans="1:71" ht="15" thickBot="1" x14ac:dyDescent="0.4">
      <c r="A44" s="860"/>
      <c r="B44" s="860"/>
      <c r="C44" s="860"/>
      <c r="D44" s="860"/>
      <c r="E44" s="860"/>
      <c r="F44" s="860"/>
      <c r="G44" s="860"/>
      <c r="H44" s="860"/>
      <c r="I44" s="860"/>
      <c r="J44" s="860"/>
      <c r="K44" s="860"/>
      <c r="L44" s="860"/>
      <c r="M44" s="860"/>
      <c r="N44" s="860"/>
      <c r="O44" s="860"/>
      <c r="P44" s="860"/>
      <c r="Q44" s="860"/>
      <c r="R44" s="860"/>
      <c r="S44" s="860"/>
      <c r="T44" s="860"/>
      <c r="U44" s="860"/>
      <c r="V44" s="860"/>
      <c r="W44" s="860"/>
      <c r="X44" s="860"/>
      <c r="Y44" s="860"/>
      <c r="Z44" s="860"/>
      <c r="AA44" s="860"/>
      <c r="AB44" s="860"/>
      <c r="AC44" s="860"/>
      <c r="AD44" s="860"/>
      <c r="AE44" s="860"/>
      <c r="AF44" s="860"/>
      <c r="AG44" s="860"/>
      <c r="AH44" s="860"/>
      <c r="AI44" s="860"/>
      <c r="AJ44" s="860"/>
      <c r="AK44" s="860"/>
      <c r="AL44" s="860"/>
      <c r="AM44" s="860"/>
      <c r="AN44" s="860"/>
      <c r="AO44" s="860"/>
      <c r="AP44" s="860"/>
      <c r="AQ44" s="860"/>
      <c r="AR44" s="860"/>
      <c r="AS44" s="860"/>
      <c r="AT44" s="860"/>
      <c r="AU44" s="860"/>
      <c r="AV44" s="860"/>
      <c r="AW44" s="860"/>
      <c r="AX44" s="860"/>
      <c r="AY44" s="860"/>
      <c r="AZ44" s="860"/>
      <c r="BA44" s="860"/>
      <c r="BB44" s="860"/>
      <c r="BC44" s="860"/>
      <c r="BD44" s="860"/>
      <c r="BE44" s="860"/>
      <c r="BF44" s="860"/>
      <c r="BG44" s="860"/>
      <c r="BH44" s="860"/>
      <c r="BI44" s="860"/>
      <c r="BJ44" s="860"/>
      <c r="BK44" s="860"/>
      <c r="BL44" s="860"/>
      <c r="BM44" s="860"/>
      <c r="BN44" s="860"/>
      <c r="BO44" s="860"/>
      <c r="BP44" s="860"/>
      <c r="BQ44" s="860"/>
      <c r="BR44" s="1075">
        <f>+BR42+BR43</f>
        <v>1300955.2129025115</v>
      </c>
      <c r="BS44" t="s">
        <v>760</v>
      </c>
    </row>
    <row r="45" spans="1:71" x14ac:dyDescent="0.35">
      <c r="BD45" t="s">
        <v>739</v>
      </c>
    </row>
    <row r="46" spans="1:71" x14ac:dyDescent="0.35">
      <c r="BD46" s="1048">
        <f>BD37+BD40+BR40+BR17</f>
        <v>627490.82518555422</v>
      </c>
    </row>
  </sheetData>
  <mergeCells count="1">
    <mergeCell ref="A7:C7"/>
  </mergeCells>
  <pageMargins left="0.70866141732283472" right="0.70866141732283472" top="0.74803149606299213" bottom="0.74803149606299213" header="0.31496062992125984" footer="0.31496062992125984"/>
  <pageSetup paperSize="3" scale="8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abSelected="1" workbookViewId="0">
      <selection activeCell="C16" sqref="C16"/>
    </sheetView>
  </sheetViews>
  <sheetFormatPr defaultRowHeight="14.5" x14ac:dyDescent="0.35"/>
  <cols>
    <col min="1" max="1" width="52.7265625" bestFit="1" customWidth="1"/>
    <col min="2" max="2" width="13" customWidth="1"/>
    <col min="3" max="3" width="17.54296875" customWidth="1"/>
    <col min="4" max="4" width="11.453125" customWidth="1"/>
    <col min="5" max="5" width="10.81640625" style="1051" customWidth="1"/>
    <col min="6" max="6" width="10.453125" style="1051" customWidth="1"/>
  </cols>
  <sheetData>
    <row r="1" spans="1:7" s="544" customFormat="1" ht="15" thickBot="1" x14ac:dyDescent="0.4">
      <c r="A1" s="1498" t="s">
        <v>740</v>
      </c>
      <c r="B1" s="1499"/>
      <c r="C1" s="1499"/>
      <c r="D1" s="1499"/>
      <c r="E1" s="979"/>
      <c r="F1" s="1049"/>
    </row>
    <row r="2" spans="1:7" s="1052" customFormat="1" ht="29.5" thickBot="1" x14ac:dyDescent="0.4">
      <c r="A2" s="1058" t="s">
        <v>533</v>
      </c>
      <c r="B2" s="1059" t="s">
        <v>741</v>
      </c>
      <c r="C2" s="1500" t="s">
        <v>742</v>
      </c>
      <c r="D2" s="1501"/>
      <c r="E2" s="1502"/>
      <c r="F2" s="1503"/>
    </row>
    <row r="3" spans="1:7" s="1052" customFormat="1" x14ac:dyDescent="0.35">
      <c r="A3" s="1060"/>
      <c r="B3" s="1061" t="s">
        <v>39</v>
      </c>
      <c r="C3" s="1058" t="s">
        <v>744</v>
      </c>
      <c r="D3" s="1059" t="s">
        <v>37</v>
      </c>
      <c r="E3" s="1056" t="s">
        <v>756</v>
      </c>
      <c r="F3" s="1057" t="s">
        <v>743</v>
      </c>
    </row>
    <row r="4" spans="1:7" x14ac:dyDescent="0.35">
      <c r="A4" s="810" t="s">
        <v>746</v>
      </c>
      <c r="B4" s="1179">
        <f>+'1.  LRAMVA Summary'!C40</f>
        <v>103262.09448448539</v>
      </c>
      <c r="C4" s="1062">
        <v>388506232.88999999</v>
      </c>
      <c r="D4" s="1063">
        <v>0</v>
      </c>
      <c r="E4" s="1054" t="s">
        <v>745</v>
      </c>
      <c r="F4" s="1070">
        <f>B4/C4</f>
        <v>2.6579263276252916E-4</v>
      </c>
      <c r="G4" s="1053"/>
    </row>
    <row r="5" spans="1:7" x14ac:dyDescent="0.35">
      <c r="A5" s="810" t="s">
        <v>747</v>
      </c>
      <c r="B5" s="1179">
        <f>+'1.  LRAMVA Summary'!D40</f>
        <v>80383.442763000639</v>
      </c>
      <c r="C5" s="1062">
        <v>144569860.56999999</v>
      </c>
      <c r="D5" s="1063">
        <v>0</v>
      </c>
      <c r="E5" s="1054" t="s">
        <v>745</v>
      </c>
      <c r="F5" s="1070">
        <f>B5/C5</f>
        <v>5.5601798636361959E-4</v>
      </c>
      <c r="G5" s="1053"/>
    </row>
    <row r="6" spans="1:7" x14ac:dyDescent="0.35">
      <c r="A6" s="810" t="s">
        <v>748</v>
      </c>
      <c r="B6" s="1179">
        <f>+'1.  LRAMVA Summary'!E40</f>
        <v>183520.8634906566</v>
      </c>
      <c r="C6" s="1062">
        <v>390148189.38999999</v>
      </c>
      <c r="D6" s="1063">
        <v>1035647.48</v>
      </c>
      <c r="E6" s="1054" t="s">
        <v>755</v>
      </c>
      <c r="F6" s="1070">
        <f>B6/D6</f>
        <v>0.17720398787689476</v>
      </c>
    </row>
    <row r="7" spans="1:7" x14ac:dyDescent="0.35">
      <c r="A7" s="810" t="s">
        <v>749</v>
      </c>
      <c r="B7" s="1179">
        <f>+'1.  LRAMVA Summary'!F40</f>
        <v>266608.56647768943</v>
      </c>
      <c r="C7" s="1062">
        <v>544730297.17999995</v>
      </c>
      <c r="D7" s="1063">
        <v>1047529.38</v>
      </c>
      <c r="E7" s="1054" t="s">
        <v>755</v>
      </c>
      <c r="F7" s="1070">
        <f>B7/D7</f>
        <v>0.25451177940010561</v>
      </c>
    </row>
    <row r="8" spans="1:7" x14ac:dyDescent="0.35">
      <c r="A8" s="810" t="s">
        <v>750</v>
      </c>
      <c r="B8" s="1179">
        <f>+'1.  LRAMVA Summary'!J40</f>
        <v>559139.61808323814</v>
      </c>
      <c r="C8" s="1062">
        <v>292417465.12</v>
      </c>
      <c r="D8" s="1063">
        <v>524779.81999999995</v>
      </c>
      <c r="E8" s="1054" t="s">
        <v>755</v>
      </c>
      <c r="F8" s="1070">
        <f>B8/D8</f>
        <v>1.0654746939073194</v>
      </c>
    </row>
    <row r="9" spans="1:7" x14ac:dyDescent="0.35">
      <c r="A9" s="810" t="s">
        <v>751</v>
      </c>
      <c r="B9" s="1179">
        <f>+'1.  LRAMVA Summary'!I40</f>
        <v>-1169.4770860145895</v>
      </c>
      <c r="C9" s="1062">
        <v>1896821</v>
      </c>
      <c r="D9" s="1063">
        <v>0</v>
      </c>
      <c r="E9" s="1054" t="s">
        <v>745</v>
      </c>
      <c r="F9" s="1070">
        <f>B9/C9</f>
        <v>-6.1654583432732427E-4</v>
      </c>
    </row>
    <row r="10" spans="1:7" x14ac:dyDescent="0.35">
      <c r="A10" s="810" t="s">
        <v>752</v>
      </c>
      <c r="B10" s="1179">
        <v>0</v>
      </c>
      <c r="C10" s="1062">
        <v>0</v>
      </c>
      <c r="D10" s="1063">
        <v>0</v>
      </c>
      <c r="E10" s="1054"/>
      <c r="F10" s="1070"/>
    </row>
    <row r="11" spans="1:7" x14ac:dyDescent="0.35">
      <c r="A11" s="810" t="s">
        <v>753</v>
      </c>
      <c r="B11" s="1179">
        <f>+'1.  LRAMVA Summary'!G40</f>
        <v>0</v>
      </c>
      <c r="C11" s="1062">
        <v>20199.57</v>
      </c>
      <c r="D11" s="1063">
        <v>55.95</v>
      </c>
      <c r="E11" s="1054" t="s">
        <v>755</v>
      </c>
      <c r="F11" s="1070">
        <f>B11/D11</f>
        <v>0</v>
      </c>
    </row>
    <row r="12" spans="1:7" ht="15" thickBot="1" x14ac:dyDescent="0.4">
      <c r="A12" s="823" t="s">
        <v>754</v>
      </c>
      <c r="B12" s="1180">
        <f>+'1.  LRAMVA Summary'!H40</f>
        <v>0</v>
      </c>
      <c r="C12" s="1064">
        <v>10039578.890000001</v>
      </c>
      <c r="D12" s="1065">
        <v>28028.57</v>
      </c>
      <c r="E12" s="1055" t="s">
        <v>755</v>
      </c>
      <c r="F12" s="1071">
        <f>B12/D12</f>
        <v>0</v>
      </c>
    </row>
    <row r="13" spans="1:7" s="544" customFormat="1" ht="15" thickBot="1" x14ac:dyDescent="0.4">
      <c r="A13" s="1066" t="s">
        <v>757</v>
      </c>
      <c r="B13" s="1067">
        <f>SUM(B4:B12)</f>
        <v>1191745.1082130556</v>
      </c>
      <c r="C13" s="1068">
        <f>SUM(C4:C12)</f>
        <v>1772328644.6099997</v>
      </c>
      <c r="D13" s="1069">
        <f>SUM(D4:D12)</f>
        <v>2636041.1999999997</v>
      </c>
      <c r="E13" s="1049"/>
      <c r="F13" s="1049"/>
    </row>
    <row r="14" spans="1:7" x14ac:dyDescent="0.35">
      <c r="B14" s="1050"/>
    </row>
  </sheetData>
  <mergeCells count="3">
    <mergeCell ref="A1:D1"/>
    <mergeCell ref="C2:D2"/>
    <mergeCell ref="E2:F2"/>
  </mergeCells>
  <pageMargins left="0.70866141732283472" right="0.70866141732283472" top="0.74803149606299213" bottom="0.74803149606299213" header="0.31496062992125984" footer="0.31496062992125984"/>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zoomScale="90" zoomScaleNormal="90" workbookViewId="0">
      <selection activeCell="A3" sqref="A3"/>
    </sheetView>
  </sheetViews>
  <sheetFormatPr defaultColWidth="9.1796875" defaultRowHeight="14.5" x14ac:dyDescent="0.35"/>
  <cols>
    <col min="1" max="1" width="9.1796875" style="26"/>
    <col min="2" max="2" width="20.453125" style="24" customWidth="1"/>
    <col min="3" max="3" width="17" style="26" customWidth="1"/>
    <col min="4" max="4" width="13.453125" style="26" customWidth="1"/>
    <col min="5" max="5" width="16.81640625" style="26" customWidth="1"/>
    <col min="6" max="7" width="9.1796875" style="26"/>
    <col min="8" max="8" width="16.81640625" style="25" customWidth="1"/>
    <col min="9" max="16384" width="9.1796875" style="26"/>
  </cols>
  <sheetData>
    <row r="1" spans="2:11" ht="146.25" customHeight="1" x14ac:dyDescent="0.35"/>
    <row r="3" spans="2:11" x14ac:dyDescent="0.35">
      <c r="B3" s="1220" t="s">
        <v>492</v>
      </c>
      <c r="C3" s="1221"/>
      <c r="D3" s="1221"/>
      <c r="E3" s="1221"/>
      <c r="F3" s="1221"/>
      <c r="G3" s="1221"/>
      <c r="H3" s="1221"/>
      <c r="I3" s="1221"/>
      <c r="J3" s="1221"/>
      <c r="K3" s="1222"/>
    </row>
    <row r="4" spans="2:11" ht="15" customHeight="1" x14ac:dyDescent="0.35">
      <c r="B4" s="1223"/>
      <c r="C4" s="1224"/>
      <c r="D4" s="1224"/>
      <c r="E4" s="1224"/>
      <c r="F4" s="1224"/>
      <c r="G4" s="1224"/>
      <c r="H4" s="1224"/>
      <c r="I4" s="1224"/>
      <c r="J4" s="1224"/>
      <c r="K4" s="1225"/>
    </row>
    <row r="5" spans="2:11" ht="15" customHeight="1" x14ac:dyDescent="0.35">
      <c r="B5" s="1223"/>
      <c r="C5" s="1224"/>
      <c r="D5" s="1224"/>
      <c r="E5" s="1224"/>
      <c r="F5" s="1224"/>
      <c r="G5" s="1224"/>
      <c r="H5" s="1224"/>
      <c r="I5" s="1224"/>
      <c r="J5" s="1224"/>
      <c r="K5" s="1225"/>
    </row>
    <row r="6" spans="2:11" x14ac:dyDescent="0.35">
      <c r="B6" s="1223"/>
      <c r="C6" s="1224"/>
      <c r="D6" s="1224"/>
      <c r="E6" s="1224"/>
      <c r="F6" s="1224"/>
      <c r="G6" s="1224"/>
      <c r="H6" s="1224"/>
      <c r="I6" s="1224"/>
      <c r="J6" s="1224"/>
      <c r="K6" s="1225"/>
    </row>
    <row r="7" spans="2:11" x14ac:dyDescent="0.35">
      <c r="B7" s="1226"/>
      <c r="C7" s="1227"/>
      <c r="D7" s="1227"/>
      <c r="E7" s="1227"/>
      <c r="F7" s="1227"/>
      <c r="G7" s="1227"/>
      <c r="H7" s="1227"/>
      <c r="I7" s="1227"/>
      <c r="J7" s="1227"/>
      <c r="K7" s="1228"/>
    </row>
    <row r="9" spans="2:11" s="438" customFormat="1" ht="18.5" x14ac:dyDescent="0.45">
      <c r="B9" s="440"/>
      <c r="C9" s="439" t="s">
        <v>443</v>
      </c>
      <c r="H9" s="441"/>
      <c r="I9" s="439" t="s">
        <v>444</v>
      </c>
    </row>
    <row r="11" spans="2:11" x14ac:dyDescent="0.35">
      <c r="B11" s="82" t="s">
        <v>453</v>
      </c>
      <c r="C11" s="452" t="s">
        <v>460</v>
      </c>
      <c r="D11" s="453"/>
      <c r="E11" s="454"/>
      <c r="F11" s="455" t="s">
        <v>452</v>
      </c>
      <c r="G11" s="65"/>
      <c r="H11" s="1229" t="s">
        <v>446</v>
      </c>
      <c r="I11" s="452" t="s">
        <v>445</v>
      </c>
      <c r="J11" s="453"/>
      <c r="K11" s="454"/>
    </row>
    <row r="12" spans="2:11" x14ac:dyDescent="0.35">
      <c r="B12" s="82" t="s">
        <v>493</v>
      </c>
      <c r="C12" s="408" t="s">
        <v>461</v>
      </c>
      <c r="D12" s="154"/>
      <c r="E12" s="343"/>
      <c r="F12" s="455" t="s">
        <v>452</v>
      </c>
      <c r="G12" s="65"/>
      <c r="H12" s="1229"/>
      <c r="I12" s="408" t="s">
        <v>447</v>
      </c>
      <c r="J12" s="154"/>
      <c r="K12" s="343"/>
    </row>
    <row r="13" spans="2:11" x14ac:dyDescent="0.35">
      <c r="B13" s="82" t="s">
        <v>454</v>
      </c>
      <c r="C13" s="409" t="s">
        <v>448</v>
      </c>
      <c r="D13" s="323"/>
      <c r="E13" s="390"/>
      <c r="F13" s="455" t="s">
        <v>452</v>
      </c>
      <c r="G13" s="65"/>
      <c r="H13" s="1229"/>
      <c r="I13" s="409" t="s">
        <v>449</v>
      </c>
      <c r="J13" s="323"/>
      <c r="K13" s="390"/>
    </row>
    <row r="14" spans="2:11" x14ac:dyDescent="0.35">
      <c r="B14" s="82"/>
      <c r="C14" s="65"/>
      <c r="D14" s="65"/>
      <c r="E14" s="65"/>
      <c r="F14" s="65"/>
      <c r="G14" s="65"/>
      <c r="H14" s="450"/>
      <c r="I14" s="65"/>
      <c r="J14" s="65"/>
      <c r="K14" s="65"/>
    </row>
    <row r="15" spans="2:11" ht="15" customHeight="1" x14ac:dyDescent="0.35">
      <c r="B15" s="1230" t="s">
        <v>493</v>
      </c>
      <c r="C15" s="452"/>
      <c r="D15" s="453"/>
      <c r="E15" s="454"/>
      <c r="F15" s="65"/>
      <c r="G15" s="65"/>
      <c r="H15" s="1229" t="s">
        <v>494</v>
      </c>
      <c r="I15" s="1231" t="s">
        <v>455</v>
      </c>
      <c r="J15" s="1232"/>
      <c r="K15" s="1233"/>
    </row>
    <row r="16" spans="2:11" x14ac:dyDescent="0.35">
      <c r="B16" s="1230"/>
      <c r="C16" s="408" t="s">
        <v>462</v>
      </c>
      <c r="D16" s="154"/>
      <c r="E16" s="343"/>
      <c r="F16" s="65"/>
      <c r="G16" s="65"/>
      <c r="H16" s="1229"/>
      <c r="I16" s="1234"/>
      <c r="J16" s="1235"/>
      <c r="K16" s="1236"/>
    </row>
    <row r="17" spans="2:11" x14ac:dyDescent="0.35">
      <c r="B17" s="1230"/>
      <c r="C17" s="408" t="s">
        <v>450</v>
      </c>
      <c r="D17" s="154"/>
      <c r="E17" s="343"/>
      <c r="F17" s="65"/>
      <c r="G17" s="65"/>
      <c r="H17" s="1229"/>
      <c r="I17" s="1234"/>
      <c r="J17" s="1235"/>
      <c r="K17" s="1236"/>
    </row>
    <row r="18" spans="2:11" x14ac:dyDescent="0.35">
      <c r="B18" s="1230"/>
      <c r="C18" s="408" t="s">
        <v>463</v>
      </c>
      <c r="D18" s="154"/>
      <c r="E18" s="343"/>
      <c r="F18" s="65"/>
      <c r="G18" s="65"/>
      <c r="H18" s="1229"/>
      <c r="I18" s="1234"/>
      <c r="J18" s="1235"/>
      <c r="K18" s="1236"/>
    </row>
    <row r="19" spans="2:11" x14ac:dyDescent="0.35">
      <c r="B19" s="1230"/>
      <c r="C19" s="408" t="s">
        <v>450</v>
      </c>
      <c r="D19" s="154"/>
      <c r="E19" s="343"/>
      <c r="F19" s="65"/>
      <c r="G19" s="65"/>
      <c r="H19" s="1229"/>
      <c r="I19" s="1234"/>
      <c r="J19" s="1235"/>
      <c r="K19" s="1236"/>
    </row>
    <row r="20" spans="2:11" x14ac:dyDescent="0.35">
      <c r="B20" s="1230"/>
      <c r="C20" s="408" t="s">
        <v>451</v>
      </c>
      <c r="D20" s="154"/>
      <c r="E20" s="343"/>
      <c r="F20" s="65"/>
      <c r="G20" s="65"/>
      <c r="H20" s="1229"/>
      <c r="I20" s="1234"/>
      <c r="J20" s="1235"/>
      <c r="K20" s="1236"/>
    </row>
    <row r="21" spans="2:11" x14ac:dyDescent="0.35">
      <c r="B21" s="82"/>
      <c r="C21" s="409"/>
      <c r="D21" s="323"/>
      <c r="E21" s="390"/>
      <c r="F21" s="65"/>
      <c r="G21" s="65"/>
      <c r="H21" s="1229"/>
      <c r="I21" s="1234"/>
      <c r="J21" s="1235"/>
      <c r="K21" s="1236"/>
    </row>
    <row r="22" spans="2:11" x14ac:dyDescent="0.35">
      <c r="B22" s="82"/>
      <c r="C22" s="65"/>
      <c r="D22" s="65"/>
      <c r="E22" s="65"/>
      <c r="F22" s="65"/>
      <c r="G22" s="65"/>
      <c r="H22" s="1229"/>
      <c r="I22" s="1234"/>
      <c r="J22" s="1235"/>
      <c r="K22" s="1236"/>
    </row>
    <row r="23" spans="2:11" x14ac:dyDescent="0.35">
      <c r="B23" s="82" t="s">
        <v>472</v>
      </c>
      <c r="C23" s="452" t="s">
        <v>456</v>
      </c>
      <c r="D23" s="453"/>
      <c r="E23" s="454"/>
      <c r="F23" s="65"/>
      <c r="G23" s="65"/>
      <c r="H23" s="1229"/>
      <c r="I23" s="1234"/>
      <c r="J23" s="1235"/>
      <c r="K23" s="1236"/>
    </row>
    <row r="24" spans="2:11" x14ac:dyDescent="0.35">
      <c r="B24" s="82"/>
      <c r="C24" s="408" t="s">
        <v>450</v>
      </c>
      <c r="D24" s="154"/>
      <c r="E24" s="343"/>
      <c r="F24" s="65"/>
      <c r="G24" s="65"/>
      <c r="H24" s="1229"/>
      <c r="I24" s="1234"/>
      <c r="J24" s="1235"/>
      <c r="K24" s="1236"/>
    </row>
    <row r="25" spans="2:11" x14ac:dyDescent="0.35">
      <c r="B25" s="82" t="s">
        <v>493</v>
      </c>
      <c r="C25" s="408" t="s">
        <v>457</v>
      </c>
      <c r="D25" s="154"/>
      <c r="E25" s="343"/>
      <c r="F25" s="65"/>
      <c r="G25" s="65"/>
      <c r="H25" s="1229"/>
      <c r="I25" s="1234"/>
      <c r="J25" s="1235"/>
      <c r="K25" s="1236"/>
    </row>
    <row r="26" spans="2:11" x14ac:dyDescent="0.35">
      <c r="B26" s="82"/>
      <c r="C26" s="409"/>
      <c r="D26" s="323"/>
      <c r="E26" s="390"/>
      <c r="F26" s="65"/>
      <c r="G26" s="65"/>
      <c r="H26" s="1229"/>
      <c r="I26" s="1234"/>
      <c r="J26" s="1235"/>
      <c r="K26" s="1236"/>
    </row>
    <row r="27" spans="2:11" x14ac:dyDescent="0.35">
      <c r="B27" s="82"/>
      <c r="C27" s="65"/>
      <c r="D27" s="65"/>
      <c r="E27" s="65"/>
      <c r="F27" s="65"/>
      <c r="G27" s="65"/>
      <c r="H27" s="1229"/>
      <c r="I27" s="1237"/>
      <c r="J27" s="1238"/>
      <c r="K27" s="1239"/>
    </row>
  </sheetData>
  <mergeCells count="5">
    <mergeCell ref="B3:K7"/>
    <mergeCell ref="H11:H13"/>
    <mergeCell ref="B15:B20"/>
    <mergeCell ref="I15:K27"/>
    <mergeCell ref="H15:H27"/>
  </mergeCells>
  <pageMargins left="0.7" right="0.7" top="0.75" bottom="0.75" header="0.3" footer="0.3"/>
  <pageSetup scale="77"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5"/>
  <sheetViews>
    <sheetView topLeftCell="A28" zoomScale="90" zoomScaleNormal="90" zoomScaleSheetLayoutView="100" workbookViewId="0">
      <pane xSplit="2" topLeftCell="F1" activePane="topRight" state="frozen"/>
      <selection activeCell="A34" sqref="A34"/>
      <selection pane="topRight" activeCell="K37" sqref="K37"/>
    </sheetView>
  </sheetViews>
  <sheetFormatPr defaultColWidth="9.1796875" defaultRowHeight="15.5" outlineLevelRow="1" x14ac:dyDescent="0.35"/>
  <cols>
    <col min="1" max="1" width="7" style="23" customWidth="1"/>
    <col min="2" max="2" width="27.26953125" style="23" customWidth="1"/>
    <col min="3" max="3" width="29" style="23" customWidth="1"/>
    <col min="4" max="4" width="19.81640625" style="44" customWidth="1"/>
    <col min="5" max="5" width="23" style="23" customWidth="1"/>
    <col min="6" max="6" width="31.1796875" style="23" customWidth="1"/>
    <col min="7" max="7" width="22.81640625" style="23" customWidth="1"/>
    <col min="8" max="8" width="20.81640625" style="23" customWidth="1"/>
    <col min="9" max="9" width="16.453125" style="23" customWidth="1"/>
    <col min="10" max="10" width="14.453125" style="23" customWidth="1"/>
    <col min="11" max="11" width="15.54296875" style="23" customWidth="1"/>
    <col min="12" max="12" width="14.36328125" style="35" customWidth="1"/>
    <col min="13" max="13" width="13.7265625" style="17" customWidth="1"/>
    <col min="14" max="14" width="6.26953125" style="17" customWidth="1"/>
    <col min="15" max="15" width="3.1796875" style="23" customWidth="1"/>
    <col min="16" max="16" width="15.26953125" style="23" customWidth="1"/>
    <col min="17" max="16384" width="9.1796875" style="23"/>
  </cols>
  <sheetData>
    <row r="1" spans="2:15" ht="144" customHeight="1" x14ac:dyDescent="0.35"/>
    <row r="3" spans="2:15" ht="30.75" customHeight="1" x14ac:dyDescent="0.4">
      <c r="B3" s="1240" t="s">
        <v>336</v>
      </c>
      <c r="C3" s="1240"/>
      <c r="D3" s="1240"/>
      <c r="E3" s="1240"/>
      <c r="F3" s="1240"/>
      <c r="G3" s="1240"/>
      <c r="H3" s="1240"/>
      <c r="I3" s="1240"/>
      <c r="J3" s="1240"/>
      <c r="K3" s="1240"/>
    </row>
    <row r="4" spans="2:15" ht="13.5" customHeight="1" x14ac:dyDescent="0.4">
      <c r="B4" s="226"/>
      <c r="C4" s="226"/>
      <c r="D4" s="226"/>
      <c r="E4" s="226"/>
      <c r="F4" s="226"/>
      <c r="G4" s="226"/>
      <c r="H4" s="226"/>
      <c r="I4" s="226"/>
      <c r="J4" s="226"/>
      <c r="K4" s="226"/>
    </row>
    <row r="5" spans="2:15" ht="18" customHeight="1" outlineLevel="1" x14ac:dyDescent="0.35">
      <c r="B5" s="1242" t="s">
        <v>504</v>
      </c>
      <c r="C5" s="1242"/>
      <c r="D5" s="1242"/>
      <c r="E5" s="1242"/>
      <c r="F5" s="1242"/>
      <c r="G5" s="1242"/>
      <c r="H5" s="1242"/>
      <c r="I5" s="1242"/>
      <c r="J5" s="1242"/>
      <c r="K5" s="1242"/>
    </row>
    <row r="6" spans="2:15" ht="12.75" customHeight="1" outlineLevel="1" x14ac:dyDescent="0.4">
      <c r="B6" s="226"/>
      <c r="C6" s="226"/>
      <c r="D6" s="226"/>
      <c r="E6" s="226"/>
      <c r="F6" s="226"/>
      <c r="G6" s="226"/>
      <c r="H6" s="226"/>
      <c r="I6" s="226"/>
      <c r="J6" s="226"/>
      <c r="K6" s="226"/>
    </row>
    <row r="7" spans="2:15" ht="12" customHeight="1" outlineLevel="1" thickBot="1" x14ac:dyDescent="0.45">
      <c r="B7" s="226"/>
      <c r="C7" s="226"/>
      <c r="D7" s="226"/>
      <c r="E7" s="226"/>
      <c r="F7" s="226"/>
      <c r="G7" s="226"/>
      <c r="H7" s="226"/>
      <c r="I7" s="226"/>
      <c r="J7" s="226"/>
      <c r="K7" s="226"/>
    </row>
    <row r="8" spans="2:15" ht="15" outlineLevel="1" thickBot="1" x14ac:dyDescent="0.4">
      <c r="C8" s="354" t="s">
        <v>211</v>
      </c>
      <c r="D8" s="493" t="s">
        <v>505</v>
      </c>
      <c r="J8" s="4"/>
      <c r="K8" s="4"/>
    </row>
    <row r="9" spans="2:15" ht="15.75" customHeight="1" outlineLevel="1" thickBot="1" x14ac:dyDescent="0.4">
      <c r="C9" s="443" t="s">
        <v>208</v>
      </c>
      <c r="D9" s="397"/>
      <c r="F9" s="1243" t="s">
        <v>401</v>
      </c>
      <c r="G9" s="1244"/>
      <c r="H9" s="493">
        <f>+'9. Guelph_Lost Revenue'!R66</f>
        <v>302621.07616299344</v>
      </c>
      <c r="M9" s="23"/>
      <c r="O9" s="17"/>
    </row>
    <row r="10" spans="2:15" ht="15" outlineLevel="1" thickBot="1" x14ac:dyDescent="0.4">
      <c r="C10" s="354" t="s">
        <v>209</v>
      </c>
      <c r="D10" s="397"/>
      <c r="F10" s="353" t="s">
        <v>442</v>
      </c>
      <c r="G10" s="353"/>
      <c r="H10" s="397" t="s">
        <v>506</v>
      </c>
      <c r="M10" s="23"/>
      <c r="O10" s="17"/>
    </row>
    <row r="11" spans="2:15" ht="15" customHeight="1" outlineLevel="1" thickBot="1" x14ac:dyDescent="0.4">
      <c r="C11" s="443" t="s">
        <v>210</v>
      </c>
      <c r="D11" s="397"/>
      <c r="F11" s="1243" t="s">
        <v>400</v>
      </c>
      <c r="G11" s="1244"/>
      <c r="H11" s="493" t="s">
        <v>507</v>
      </c>
      <c r="M11" s="23"/>
      <c r="O11" s="17"/>
    </row>
    <row r="12" spans="2:15" ht="15" outlineLevel="1" thickBot="1" x14ac:dyDescent="0.4">
      <c r="C12" s="354" t="s">
        <v>212</v>
      </c>
      <c r="D12" s="397"/>
      <c r="F12" s="85"/>
      <c r="G12" s="85"/>
      <c r="K12" s="4"/>
      <c r="L12" s="1168"/>
      <c r="M12" s="23"/>
      <c r="O12" s="17"/>
    </row>
    <row r="13" spans="2:15" ht="15" outlineLevel="1" thickBot="1" x14ac:dyDescent="0.4">
      <c r="C13" s="17"/>
      <c r="D13" s="23"/>
      <c r="F13" s="355"/>
      <c r="G13" s="355"/>
      <c r="H13" s="80"/>
      <c r="K13" s="4"/>
      <c r="L13" s="1168"/>
      <c r="M13" s="23"/>
      <c r="O13" s="17"/>
    </row>
    <row r="14" spans="2:15" ht="15" outlineLevel="1" thickBot="1" x14ac:dyDescent="0.4">
      <c r="C14" s="1241" t="s">
        <v>337</v>
      </c>
      <c r="D14" s="196" t="s">
        <v>363</v>
      </c>
      <c r="F14" s="359" t="s">
        <v>412</v>
      </c>
      <c r="G14" s="359"/>
      <c r="H14" s="492">
        <f>K39</f>
        <v>1178974.5517994689</v>
      </c>
      <c r="M14" s="23"/>
      <c r="O14" s="17"/>
    </row>
    <row r="15" spans="2:15" ht="15" outlineLevel="1" thickBot="1" x14ac:dyDescent="0.4">
      <c r="C15" s="1241"/>
      <c r="D15" s="84" t="s">
        <v>338</v>
      </c>
      <c r="F15" s="1245" t="s">
        <v>465</v>
      </c>
      <c r="G15" s="1246"/>
      <c r="H15" s="485">
        <v>1</v>
      </c>
      <c r="M15" s="23"/>
      <c r="O15" s="17"/>
    </row>
    <row r="16" spans="2:15" ht="14.5" outlineLevel="1" x14ac:dyDescent="0.35">
      <c r="D16" s="23"/>
      <c r="F16" s="17"/>
      <c r="H16" s="445"/>
    </row>
    <row r="17" spans="1:15" ht="14.5" outlineLevel="1" x14ac:dyDescent="0.35">
      <c r="A17" s="70"/>
      <c r="B17" s="71"/>
      <c r="C17" s="76"/>
      <c r="D17" s="23"/>
    </row>
    <row r="18" spans="1:15" ht="14.5" outlineLevel="1" x14ac:dyDescent="0.35">
      <c r="A18" s="67"/>
      <c r="B18" s="66"/>
      <c r="D18" s="23"/>
    </row>
    <row r="19" spans="1:15" s="67" customFormat="1" ht="21" x14ac:dyDescent="0.35">
      <c r="B19" s="109" t="s">
        <v>345</v>
      </c>
      <c r="C19" s="114"/>
      <c r="D19" s="114"/>
      <c r="E19" s="114"/>
      <c r="F19" s="114"/>
      <c r="G19" s="114"/>
      <c r="H19" s="114"/>
      <c r="I19" s="114"/>
      <c r="J19" s="114"/>
      <c r="K19" s="114"/>
      <c r="L19" s="422"/>
      <c r="M19" s="115"/>
      <c r="N19" s="51"/>
      <c r="O19" s="116"/>
    </row>
    <row r="20" spans="1:15" ht="12" customHeight="1" x14ac:dyDescent="0.35">
      <c r="B20" s="75"/>
      <c r="C20" s="75"/>
      <c r="D20" s="75"/>
      <c r="E20" s="75"/>
      <c r="F20" s="75"/>
      <c r="G20" s="75"/>
      <c r="H20" s="75"/>
      <c r="I20" s="75"/>
      <c r="J20" s="75"/>
      <c r="K20" s="75"/>
      <c r="N20" s="51"/>
      <c r="O20" s="29"/>
    </row>
    <row r="21" spans="1:15" ht="36" customHeight="1" x14ac:dyDescent="0.35">
      <c r="B21" s="91" t="s">
        <v>49</v>
      </c>
      <c r="C21" s="92" t="s">
        <v>38</v>
      </c>
      <c r="D21" s="92" t="s">
        <v>40</v>
      </c>
      <c r="E21" s="92" t="s">
        <v>109</v>
      </c>
      <c r="F21" s="92" t="s">
        <v>110</v>
      </c>
      <c r="G21" s="92" t="s">
        <v>41</v>
      </c>
      <c r="H21" s="92" t="s">
        <v>42</v>
      </c>
      <c r="I21" s="92" t="s">
        <v>43</v>
      </c>
      <c r="J21" s="92" t="s">
        <v>508</v>
      </c>
      <c r="K21" s="93" t="s">
        <v>35</v>
      </c>
      <c r="N21" s="51"/>
    </row>
    <row r="22" spans="1:15" ht="14.5" x14ac:dyDescent="0.35">
      <c r="B22" s="94" t="s">
        <v>50</v>
      </c>
      <c r="C22" s="1215"/>
      <c r="D22" s="1215"/>
      <c r="E22" s="1215"/>
      <c r="F22" s="1215"/>
      <c r="G22" s="1215"/>
      <c r="H22" s="1215"/>
      <c r="I22" s="1215"/>
      <c r="J22" s="1215"/>
      <c r="K22" s="106"/>
      <c r="N22" s="52"/>
    </row>
    <row r="23" spans="1:15" s="17" customFormat="1" ht="43.5" x14ac:dyDescent="0.35">
      <c r="B23" s="95" t="s">
        <v>200</v>
      </c>
      <c r="C23" s="1157">
        <f>'4.  2011-14 LRAM'!H73</f>
        <v>23972.377858133339</v>
      </c>
      <c r="D23" s="1157">
        <f>'4.  2011-14 LRAM'!I73</f>
        <v>13288.853162812167</v>
      </c>
      <c r="E23" s="1157">
        <f>'4.  2011-14 LRAM'!J73</f>
        <v>25465.894131327386</v>
      </c>
      <c r="F23" s="1157">
        <f>'4.  2011-14 LRAM'!K73</f>
        <v>27051.88666208</v>
      </c>
      <c r="G23" s="1157">
        <f>'4.  2011-14 LRAM'!L73</f>
        <v>0</v>
      </c>
      <c r="H23" s="1157">
        <f>'4.  2011-14 LRAM'!M73</f>
        <v>0</v>
      </c>
      <c r="I23" s="1157">
        <f>'4.  2011-14 LRAM'!N73</f>
        <v>0</v>
      </c>
      <c r="J23" s="1157">
        <f>'4.  2011-14 LRAM'!O73</f>
        <v>20045.534409471795</v>
      </c>
      <c r="K23" s="1213">
        <f t="shared" ref="K23:K30" si="0">SUM(C23:J23)</f>
        <v>109824.54622382467</v>
      </c>
      <c r="L23" s="1169" t="s">
        <v>809</v>
      </c>
      <c r="N23" s="52"/>
      <c r="O23" s="28"/>
    </row>
    <row r="24" spans="1:15" s="17" customFormat="1" ht="14.5" x14ac:dyDescent="0.35">
      <c r="B24" s="1216" t="s">
        <v>91</v>
      </c>
      <c r="C24" s="234">
        <f>-'[2]Continuity Schedule'!$Q$46</f>
        <v>-25760.46033333334</v>
      </c>
      <c r="D24" s="234">
        <f>-'[2]Continuity Schedule'!$Q$47</f>
        <v>-11944.589999999997</v>
      </c>
      <c r="E24" s="234">
        <f>-'[2]Continuity Schedule'!$Q$48</f>
        <v>-23204.211519999997</v>
      </c>
      <c r="F24" s="234">
        <f>-'[2]Continuity Schedule'!$Q$49</f>
        <v>-22730.254679999998</v>
      </c>
      <c r="G24" s="234"/>
      <c r="H24" s="234"/>
      <c r="I24" s="234"/>
      <c r="J24" s="234">
        <f>-'[2]Continuity Schedule'!$Q$50</f>
        <v>-20053.280160000009</v>
      </c>
      <c r="K24" s="1213">
        <f t="shared" si="0"/>
        <v>-103692.79669333334</v>
      </c>
      <c r="L24" s="1217">
        <f>+K24+K27+K30</f>
        <v>-288940.88767139864</v>
      </c>
      <c r="N24" s="52"/>
      <c r="O24" s="28"/>
    </row>
    <row r="25" spans="1:15" ht="14.5" x14ac:dyDescent="0.35">
      <c r="B25" s="94" t="s">
        <v>51</v>
      </c>
      <c r="C25" s="86">
        <f>-'2.  CDM Allocation'!C134</f>
        <v>-59956.932611091492</v>
      </c>
      <c r="D25" s="86">
        <f>-'2.  CDM Allocation'!D134</f>
        <v>-18568.421312069397</v>
      </c>
      <c r="E25" s="86">
        <f>-'2.  CDM Allocation'!E134</f>
        <v>-27911.784785076448</v>
      </c>
      <c r="F25" s="86">
        <f>-'2.  CDM Allocation'!F134</f>
        <v>-7386.0671567673689</v>
      </c>
      <c r="G25" s="86">
        <f>-'2.  CDM Allocation'!G134</f>
        <v>0</v>
      </c>
      <c r="H25" s="86">
        <f>-'2.  CDM Allocation'!H134</f>
        <v>0</v>
      </c>
      <c r="I25" s="86">
        <f>-'2.  CDM Allocation'!I134</f>
        <v>-540.55739719432745</v>
      </c>
      <c r="J25" s="86">
        <f>-'2.  CDM Allocation'!J134</f>
        <v>-8948.891776999435</v>
      </c>
      <c r="K25" s="106">
        <f t="shared" si="0"/>
        <v>-123312.65503919846</v>
      </c>
      <c r="L25" s="1214"/>
      <c r="N25" s="52"/>
    </row>
    <row r="26" spans="1:15" s="17" customFormat="1" ht="14.5" x14ac:dyDescent="0.35">
      <c r="B26" s="95" t="s">
        <v>201</v>
      </c>
      <c r="C26" s="1157">
        <f>'4.  2011-14 LRAM'!H153</f>
        <v>39872.686365929389</v>
      </c>
      <c r="D26" s="1157">
        <f>'4.  2011-14 LRAM'!I153</f>
        <v>23222.261130582534</v>
      </c>
      <c r="E26" s="1157">
        <f>'4.  2011-14 LRAM'!J153</f>
        <v>83372.437785239992</v>
      </c>
      <c r="F26" s="1157">
        <f>'4.  2011-14 LRAM'!K153</f>
        <v>51114.783154072007</v>
      </c>
      <c r="G26" s="1157">
        <f>'4.  2011-14 LRAM'!L153</f>
        <v>0</v>
      </c>
      <c r="H26" s="1157">
        <f>'4.  2011-14 LRAM'!M153</f>
        <v>0</v>
      </c>
      <c r="I26" s="1157">
        <f>'4.  2011-14 LRAM'!N153</f>
        <v>0</v>
      </c>
      <c r="J26" s="1157">
        <f>'4.  2011-14 LRAM'!O153</f>
        <v>77651.475373199995</v>
      </c>
      <c r="K26" s="1213">
        <f t="shared" si="0"/>
        <v>275233.6438090239</v>
      </c>
      <c r="L26" s="1169"/>
      <c r="N26" s="52"/>
    </row>
    <row r="27" spans="1:15" s="17" customFormat="1" ht="14.5" x14ac:dyDescent="0.35">
      <c r="B27" s="1216" t="s">
        <v>91</v>
      </c>
      <c r="C27" s="234">
        <f>-'[2]Continuity Schedule'!$AD$46</f>
        <v>18133.461579667073</v>
      </c>
      <c r="D27" s="234">
        <f>-'[2]Continuity Schedule'!$AD$47</f>
        <v>-3626.8369390543521</v>
      </c>
      <c r="E27" s="234">
        <f>-'[2]Continuity Schedule'!$AD$48</f>
        <v>-18459.078724443563</v>
      </c>
      <c r="F27" s="234">
        <f>-'[2]Continuity Schedule'!$AD$49</f>
        <v>5237.9174973273766</v>
      </c>
      <c r="G27" s="234"/>
      <c r="H27" s="234"/>
      <c r="I27" s="234">
        <f>-'[2]Continuity Schedule'!$AD$51</f>
        <v>540.55739719432756</v>
      </c>
      <c r="J27" s="234">
        <f>-'[2]Continuity Schedule'!$AD$50</f>
        <v>-69269.951068200593</v>
      </c>
      <c r="K27" s="1213">
        <f t="shared" si="0"/>
        <v>-67443.930257509724</v>
      </c>
      <c r="L27" s="1169"/>
      <c r="N27" s="52"/>
    </row>
    <row r="28" spans="1:15" ht="14.5" x14ac:dyDescent="0.35">
      <c r="B28" s="94" t="s">
        <v>52</v>
      </c>
      <c r="C28" s="86">
        <f>-'2.  CDM Allocation'!C135</f>
        <v>-61844.63213857713</v>
      </c>
      <c r="D28" s="86">
        <f>-'2.  CDM Allocation'!D135</f>
        <v>-17933.000050439645</v>
      </c>
      <c r="E28" s="86">
        <f>-'2.  CDM Allocation'!E135</f>
        <v>-27724.100662451419</v>
      </c>
      <c r="F28" s="86">
        <f>-'2.  CDM Allocation'!F135</f>
        <v>-8224.8299732715877</v>
      </c>
      <c r="G28" s="86">
        <f>-'2.  CDM Allocation'!G135</f>
        <v>0</v>
      </c>
      <c r="H28" s="86">
        <f>-'2.  CDM Allocation'!H135</f>
        <v>0</v>
      </c>
      <c r="I28" s="86">
        <f>-'2.  CDM Allocation'!I135</f>
        <v>-556.4250311628499</v>
      </c>
      <c r="J28" s="86">
        <f>-'2.  CDM Allocation'!J135</f>
        <v>-9168.9686417748344</v>
      </c>
      <c r="K28" s="106">
        <f t="shared" si="0"/>
        <v>-125451.95649767747</v>
      </c>
      <c r="L28" s="1214"/>
      <c r="N28" s="52"/>
    </row>
    <row r="29" spans="1:15" s="17" customFormat="1" ht="14.5" x14ac:dyDescent="0.35">
      <c r="B29" s="95" t="s">
        <v>53</v>
      </c>
      <c r="C29" s="1157">
        <f>'4.  2011-14 LRAM'!H234</f>
        <v>55885.484937467554</v>
      </c>
      <c r="D29" s="1157">
        <f>'4.  2011-14 LRAM'!I234</f>
        <v>26658.004773285847</v>
      </c>
      <c r="E29" s="1157">
        <f>'4.  2011-14 LRAM'!J234</f>
        <v>34907.348499889456</v>
      </c>
      <c r="F29" s="1157">
        <f>'4.  2011-14 LRAM'!K234</f>
        <v>18167.821639234633</v>
      </c>
      <c r="G29" s="1157">
        <f>'4.  2011-14 LRAM'!L234</f>
        <v>0</v>
      </c>
      <c r="H29" s="1157">
        <f>'4.  2011-14 LRAM'!M234</f>
        <v>0</v>
      </c>
      <c r="I29" s="1157">
        <f>'4.  2011-14 LRAM'!N234</f>
        <v>0</v>
      </c>
      <c r="J29" s="1157">
        <f>'4.  2011-14 LRAM'!O234</f>
        <v>146086.3934572752</v>
      </c>
      <c r="K29" s="1213">
        <f t="shared" si="0"/>
        <v>281705.0533071527</v>
      </c>
      <c r="L29" s="1169"/>
      <c r="N29" s="52"/>
    </row>
    <row r="30" spans="1:15" s="17" customFormat="1" ht="14.5" x14ac:dyDescent="0.35">
      <c r="B30" s="1216" t="s">
        <v>91</v>
      </c>
      <c r="C30" s="234">
        <f>-'[2]Continuity Schedule'!$AQ$46</f>
        <v>4762.8913655575161</v>
      </c>
      <c r="D30" s="234">
        <f>-'[2]Continuity Schedule'!$AQ$47</f>
        <v>-7677.0019072137075</v>
      </c>
      <c r="E30" s="234">
        <f>-'[2]Continuity Schedule'!$AQ$48</f>
        <v>60.5188350113458</v>
      </c>
      <c r="F30" s="234">
        <f>-'[2]Continuity Schedule'!$AQ$49</f>
        <v>-9588.656259328407</v>
      </c>
      <c r="G30" s="234"/>
      <c r="H30" s="234"/>
      <c r="I30" s="234">
        <f>-'[2]Continuity Schedule'!$AQ$51</f>
        <v>556.42503116285013</v>
      </c>
      <c r="J30" s="234">
        <f>-'[2]Continuity Schedule'!$AQ$50</f>
        <v>-105918.33778574516</v>
      </c>
      <c r="K30" s="106">
        <f t="shared" si="0"/>
        <v>-117804.16072055556</v>
      </c>
      <c r="L30" s="1169"/>
      <c r="N30" s="52"/>
    </row>
    <row r="31" spans="1:15" ht="14.5" x14ac:dyDescent="0.35">
      <c r="B31" s="94" t="s">
        <v>54</v>
      </c>
      <c r="C31" s="86">
        <f>-'2.  CDM Allocation'!C136</f>
        <v>-62563.755768095471</v>
      </c>
      <c r="D31" s="86">
        <f>-'2.  CDM Allocation'!D136</f>
        <v>-18215.409500052869</v>
      </c>
      <c r="E31" s="86">
        <f>-'2.  CDM Allocation'!E136</f>
        <v>-28112.756279214755</v>
      </c>
      <c r="F31" s="86">
        <f>-'2.  CDM Allocation'!F136</f>
        <v>-8340.0498202641611</v>
      </c>
      <c r="G31" s="86">
        <f>-'2.  CDM Allocation'!G136</f>
        <v>0</v>
      </c>
      <c r="H31" s="86">
        <f>-'2.  CDM Allocation'!H136</f>
        <v>0</v>
      </c>
      <c r="I31" s="86">
        <f>-'2.  CDM Allocation'!I136</f>
        <v>-564.88776927939512</v>
      </c>
      <c r="J31" s="86">
        <f>-'2.  CDM Allocation'!J136</f>
        <v>-9297.4719134308652</v>
      </c>
      <c r="K31" s="106">
        <f t="shared" ref="K31:K32" si="1">SUM(C31:J31)</f>
        <v>-127094.33105033751</v>
      </c>
      <c r="L31" s="1214"/>
      <c r="N31" s="52"/>
    </row>
    <row r="32" spans="1:15" s="17" customFormat="1" ht="14.5" x14ac:dyDescent="0.35">
      <c r="B32" s="95" t="s">
        <v>55</v>
      </c>
      <c r="C32" s="1157">
        <f>'4.  2011-14 LRAM'!H316</f>
        <v>93425.287834659335</v>
      </c>
      <c r="D32" s="1157">
        <f>'4.  2011-14 LRAM'!I316</f>
        <v>47129.011577424884</v>
      </c>
      <c r="E32" s="1157">
        <f>'4.  2011-14 LRAM'!J316</f>
        <v>99788.135406822883</v>
      </c>
      <c r="F32" s="1157">
        <f>'4.  2011-14 LRAM'!K316</f>
        <v>111711.92940513942</v>
      </c>
      <c r="G32" s="1157">
        <f>'4.  2011-14 LRAM'!L316</f>
        <v>0</v>
      </c>
      <c r="H32" s="1157">
        <f>'4.  2011-14 LRAM'!M316</f>
        <v>0</v>
      </c>
      <c r="I32" s="1157">
        <f>'4.  2011-14 LRAM'!N316</f>
        <v>0</v>
      </c>
      <c r="J32" s="1157">
        <f>'4.  2011-14 LRAM'!O316</f>
        <v>148519.64698264128</v>
      </c>
      <c r="K32" s="1159">
        <f t="shared" si="1"/>
        <v>500574.01120668778</v>
      </c>
      <c r="L32" s="1169"/>
      <c r="N32" s="52"/>
    </row>
    <row r="33" spans="2:15" s="17" customFormat="1" ht="14.5" x14ac:dyDescent="0.35">
      <c r="B33" s="225" t="s">
        <v>91</v>
      </c>
      <c r="C33" s="234">
        <v>0</v>
      </c>
      <c r="D33" s="234">
        <v>0</v>
      </c>
      <c r="E33" s="234">
        <v>0</v>
      </c>
      <c r="F33" s="234">
        <v>0</v>
      </c>
      <c r="G33" s="234">
        <v>0</v>
      </c>
      <c r="H33" s="234">
        <v>0</v>
      </c>
      <c r="I33" s="234">
        <v>0</v>
      </c>
      <c r="J33" s="234">
        <v>0</v>
      </c>
      <c r="K33" s="235"/>
      <c r="L33" s="1169"/>
      <c r="N33" s="52"/>
    </row>
    <row r="34" spans="2:15" ht="14.5" x14ac:dyDescent="0.35">
      <c r="B34" s="94" t="s">
        <v>139</v>
      </c>
      <c r="C34" s="87">
        <f>-'2.  CDM Allocation'!C137</f>
        <v>-63282.879397613811</v>
      </c>
      <c r="D34" s="87">
        <f>-'2.  CDM Allocation'!D137</f>
        <v>-18497.818949666093</v>
      </c>
      <c r="E34" s="87">
        <f>-'2.  CDM Allocation'!E137</f>
        <v>-28478.158995829865</v>
      </c>
      <c r="F34" s="87">
        <f>-'2.  CDM Allocation'!F137</f>
        <v>-8448.6365417369052</v>
      </c>
      <c r="G34" s="87">
        <f>-'2.  CDM Allocation'!G137</f>
        <v>0</v>
      </c>
      <c r="H34" s="87">
        <f>-'2.  CDM Allocation'!H137</f>
        <v>0</v>
      </c>
      <c r="I34" s="87">
        <f>-'2.  CDM Allocation'!I137</f>
        <v>-571.23482286680405</v>
      </c>
      <c r="J34" s="87">
        <f>-'2.  CDM Allocation'!J137</f>
        <v>-9418.3690724343578</v>
      </c>
      <c r="K34" s="107">
        <f>SUM(C34:J34)</f>
        <v>-128697.09778014783</v>
      </c>
      <c r="N34" s="52"/>
    </row>
    <row r="35" spans="2:15" s="17" customFormat="1" ht="14.5" x14ac:dyDescent="0.35">
      <c r="B35" s="95" t="s">
        <v>140</v>
      </c>
      <c r="C35" s="1158">
        <f>'5.  2015 LRAM'!H124</f>
        <v>138767.30366210476</v>
      </c>
      <c r="D35" s="1158">
        <f>'5.  2015 LRAM'!I124</f>
        <v>64584.932510684368</v>
      </c>
      <c r="E35" s="1158">
        <f>'5.  2015 LRAM'!J124</f>
        <v>87780.781602216855</v>
      </c>
      <c r="F35" s="1158">
        <f>'5.  2015 LRAM'!K124</f>
        <v>109931.63157911215</v>
      </c>
      <c r="G35" s="1158">
        <f>'5.  2015 LRAM'!L124</f>
        <v>0</v>
      </c>
      <c r="H35" s="1158">
        <f>'5.  2015 LRAM'!M124</f>
        <v>0</v>
      </c>
      <c r="I35" s="1158">
        <f>'5.  2015 LRAM'!N124</f>
        <v>0</v>
      </c>
      <c r="J35" s="1158">
        <f>'5.  2015 LRAM'!O124</f>
        <v>386054.69810037495</v>
      </c>
      <c r="K35" s="1159">
        <f>SUM(C35:J35)</f>
        <v>787119.34745449317</v>
      </c>
      <c r="L35" s="1169"/>
      <c r="N35" s="52"/>
    </row>
    <row r="36" spans="2:15" s="17" customFormat="1" ht="29" x14ac:dyDescent="0.35">
      <c r="B36" s="1216" t="s">
        <v>91</v>
      </c>
      <c r="C36" s="1201"/>
      <c r="D36" s="1201"/>
      <c r="E36" s="1201"/>
      <c r="F36" s="1201"/>
      <c r="G36" s="1201"/>
      <c r="H36" s="1201"/>
      <c r="I36" s="1201"/>
      <c r="J36" s="1201"/>
      <c r="K36" s="235">
        <f>SUM(C36:J36)</f>
        <v>0</v>
      </c>
      <c r="L36" s="1169" t="s">
        <v>67</v>
      </c>
      <c r="M36" s="17" t="s">
        <v>796</v>
      </c>
      <c r="N36" s="52"/>
    </row>
    <row r="37" spans="2:15" s="17" customFormat="1" ht="29" x14ac:dyDescent="0.35">
      <c r="B37" s="464" t="s">
        <v>67</v>
      </c>
      <c r="C37" s="465">
        <f>'7.  Carrying Charges'!I88</f>
        <v>735.74196277479336</v>
      </c>
      <c r="D37" s="465">
        <f>'7.  Carrying Charges'!J88</f>
        <v>1100.8384372476744</v>
      </c>
      <c r="E37" s="465">
        <f>'7.  Carrying Charges'!K88</f>
        <v>4083.502918936299</v>
      </c>
      <c r="F37" s="465">
        <f>'7.  Carrying Charges'!L88</f>
        <v>5267.6187415306758</v>
      </c>
      <c r="G37" s="465">
        <f>'7.  Carrying Charges'!M88</f>
        <v>0</v>
      </c>
      <c r="H37" s="465">
        <f>'7.  Carrying Charges'!N88</f>
        <v>0</v>
      </c>
      <c r="I37" s="465">
        <f>'7.  Carrying Charges'!O88</f>
        <v>-20.857145354782649</v>
      </c>
      <c r="J37" s="465">
        <f>'7.  Carrying Charges'!P88</f>
        <v>6848.0329219120495</v>
      </c>
      <c r="K37" s="466">
        <f>SUM(C37:J37)</f>
        <v>18014.877837046708</v>
      </c>
      <c r="L37" s="35" t="s">
        <v>795</v>
      </c>
      <c r="M37" s="23"/>
    </row>
    <row r="38" spans="2:15" s="17" customFormat="1" ht="28.5" x14ac:dyDescent="0.35">
      <c r="B38" s="1173" t="s">
        <v>797</v>
      </c>
      <c r="C38" s="1174">
        <f t="shared" ref="C38:J38" si="2">(C39-C37)*1.1%</f>
        <v>1115.519166902885</v>
      </c>
      <c r="D38" s="1174">
        <f t="shared" si="2"/>
        <v>862.61982945923114</v>
      </c>
      <c r="E38" s="1174">
        <f t="shared" si="2"/>
        <v>1952.3352782284107</v>
      </c>
      <c r="F38" s="1174">
        <f t="shared" si="2"/>
        <v>2843.4722305615696</v>
      </c>
      <c r="G38" s="1174">
        <f t="shared" si="2"/>
        <v>0</v>
      </c>
      <c r="H38" s="1174">
        <f t="shared" si="2"/>
        <v>0</v>
      </c>
      <c r="I38" s="1174">
        <f t="shared" si="2"/>
        <v>-12.497348513608188</v>
      </c>
      <c r="J38" s="1174">
        <f t="shared" si="2"/>
        <v>6009.1072569481585</v>
      </c>
      <c r="K38" s="1175">
        <f>SUM(C38:J38)</f>
        <v>12770.556413586648</v>
      </c>
      <c r="L38" s="35"/>
      <c r="M38" s="23"/>
    </row>
    <row r="39" spans="2:15" ht="24" customHeight="1" x14ac:dyDescent="0.35">
      <c r="B39" s="1176" t="s">
        <v>292</v>
      </c>
      <c r="C39" s="1177">
        <f t="shared" ref="C39:K39" si="3">SUM(C22:C37)</f>
        <v>102146.57531758251</v>
      </c>
      <c r="D39" s="1177">
        <f t="shared" si="3"/>
        <v>79520.822933541407</v>
      </c>
      <c r="E39" s="1177">
        <f t="shared" si="3"/>
        <v>181568.52821242818</v>
      </c>
      <c r="F39" s="1177">
        <f t="shared" si="3"/>
        <v>263765.09424712788</v>
      </c>
      <c r="G39" s="1177">
        <f t="shared" si="3"/>
        <v>0</v>
      </c>
      <c r="H39" s="1177">
        <f t="shared" si="3"/>
        <v>0</v>
      </c>
      <c r="I39" s="1177">
        <f t="shared" si="3"/>
        <v>-1156.9797375009814</v>
      </c>
      <c r="J39" s="1177">
        <f t="shared" si="3"/>
        <v>553130.51082629</v>
      </c>
      <c r="K39" s="1178">
        <f t="shared" si="3"/>
        <v>1178974.5517994689</v>
      </c>
      <c r="L39" s="1170">
        <f>('1.  LRAMVA Summary'!K39-'1.  LRAMVA Summary'!K37)*1.1%</f>
        <v>12770.556413586646</v>
      </c>
      <c r="M39" s="1167">
        <f>K39+L39</f>
        <v>1191745.1082130556</v>
      </c>
      <c r="N39" s="1167"/>
      <c r="O39" s="1166"/>
    </row>
    <row r="40" spans="2:15" ht="42.5" x14ac:dyDescent="0.35">
      <c r="B40" s="1173" t="s">
        <v>798</v>
      </c>
      <c r="C40" s="1175">
        <f>+C39+C38</f>
        <v>103262.09448448539</v>
      </c>
      <c r="D40" s="1175">
        <f t="shared" ref="D40:J40" si="4">+D39+D38</f>
        <v>80383.442763000639</v>
      </c>
      <c r="E40" s="1175">
        <f t="shared" si="4"/>
        <v>183520.8634906566</v>
      </c>
      <c r="F40" s="1175">
        <f t="shared" si="4"/>
        <v>266608.56647768943</v>
      </c>
      <c r="G40" s="1175">
        <f t="shared" si="4"/>
        <v>0</v>
      </c>
      <c r="H40" s="1175">
        <f t="shared" si="4"/>
        <v>0</v>
      </c>
      <c r="I40" s="1175">
        <f t="shared" si="4"/>
        <v>-1169.4770860145895</v>
      </c>
      <c r="J40" s="1175">
        <f t="shared" si="4"/>
        <v>559139.61808323814</v>
      </c>
      <c r="K40" s="1175">
        <f>SUM(K22:K38)</f>
        <v>1191745.1082130556</v>
      </c>
      <c r="L40" s="1170">
        <f>K40-K43</f>
        <v>-109210.10468945373</v>
      </c>
      <c r="M40" s="1167"/>
      <c r="N40" s="1167"/>
      <c r="O40" s="1166"/>
    </row>
    <row r="41" spans="2:15" s="65" customFormat="1" ht="31.5" thickBot="1" x14ac:dyDescent="0.35">
      <c r="B41" s="1080" t="s">
        <v>761</v>
      </c>
      <c r="C41" s="1079">
        <f>+'9. Guelph_Lost Revenue'!W58+'9. Guelph_Lost Revenue'!X58</f>
        <v>108459.95224778273</v>
      </c>
      <c r="D41" s="1079">
        <f>+'9. Guelph_Lost Revenue'!W59+'9. Guelph_Lost Revenue'!X59</f>
        <v>71533.79192282632</v>
      </c>
      <c r="E41" s="1171">
        <f>+'9. Guelph_Lost Revenue'!W60+'9. Guelph_Lost Revenue'!X60</f>
        <v>182630.14402430665</v>
      </c>
      <c r="F41" s="1079">
        <f>+'9. Guelph_Lost Revenue'!W61+'9. Guelph_Lost Revenue'!X61</f>
        <v>263841.01974182436</v>
      </c>
      <c r="G41" s="1079">
        <f>+'9. Guelph_Lost Revenue'!W64+'9. Guelph_Lost Revenue'!X64</f>
        <v>0</v>
      </c>
      <c r="H41" s="1079">
        <f>+'9. Guelph_Lost Revenue'!W65+'9. Guelph_Lost Revenue'!X65</f>
        <v>0</v>
      </c>
      <c r="I41" s="1171">
        <f>+'9. Guelph_Lost Revenue'!W63+'9. Guelph_Lost Revenue'!X63</f>
        <v>-1131.670443226114</v>
      </c>
      <c r="J41" s="1079">
        <f>+'9. Guelph_Lost Revenue'!W62+'9. Guelph_Lost Revenue'!X62</f>
        <v>661678.00148775452</v>
      </c>
      <c r="K41" s="1172">
        <f>SUM(C41:J41)</f>
        <v>1287011.2389812684</v>
      </c>
      <c r="L41" s="138"/>
      <c r="M41" s="327"/>
      <c r="N41" s="327"/>
    </row>
    <row r="42" spans="2:15" ht="47" thickBot="1" x14ac:dyDescent="0.4">
      <c r="B42" s="1080" t="s">
        <v>792</v>
      </c>
      <c r="C42" s="1079">
        <f>C41-C39</f>
        <v>6313.3769302002183</v>
      </c>
      <c r="D42" s="1079">
        <f t="shared" ref="D42:J42" si="5">D41-D39</f>
        <v>-7987.0310107150872</v>
      </c>
      <c r="E42" s="1082">
        <f t="shared" si="5"/>
        <v>1061.615811878466</v>
      </c>
      <c r="F42" s="1082">
        <f t="shared" si="5"/>
        <v>75.925494696479291</v>
      </c>
      <c r="G42" s="1079">
        <f t="shared" si="5"/>
        <v>0</v>
      </c>
      <c r="H42" s="1079">
        <f t="shared" si="5"/>
        <v>0</v>
      </c>
      <c r="I42" s="1082">
        <f t="shared" si="5"/>
        <v>25.309294274867398</v>
      </c>
      <c r="J42" s="1082">
        <f t="shared" si="5"/>
        <v>108547.49066146452</v>
      </c>
      <c r="K42" s="1082">
        <f>K41-K39</f>
        <v>108036.68718179944</v>
      </c>
    </row>
    <row r="43" spans="2:15" s="65" customFormat="1" ht="47" thickBot="1" x14ac:dyDescent="0.35">
      <c r="B43" s="1076" t="s">
        <v>793</v>
      </c>
      <c r="C43" s="1077">
        <f>+C41+'9. Guelph_Lost Revenue'!Y58</f>
        <v>109629.05593817717</v>
      </c>
      <c r="D43" s="1077">
        <f>+D41+'9. Guelph_Lost Revenue'!Y59</f>
        <v>72310.847342225956</v>
      </c>
      <c r="E43" s="1081">
        <f>+E41+'9. Guelph_Lost Revenue'!Y60</f>
        <v>184608.96971708609</v>
      </c>
      <c r="F43" s="1077">
        <f>+F41+'9. Guelph_Lost Revenue'!Y61</f>
        <v>266690.5271268303</v>
      </c>
      <c r="G43" s="1077">
        <f>+G41+'9. Guelph_Lost Revenue'!Y64</f>
        <v>0</v>
      </c>
      <c r="H43" s="1077">
        <f>+H41+'9. Guelph_Lost Revenue'!Y65</f>
        <v>0</v>
      </c>
      <c r="I43" s="1081">
        <f>+I41+'9. Guelph_Lost Revenue'!Y63</f>
        <v>-1144.1677917397221</v>
      </c>
      <c r="J43" s="1077">
        <f>+J41+'9. Guelph_Lost Revenue'!Y62</f>
        <v>668859.98056992958</v>
      </c>
      <c r="K43" s="1078">
        <f>SUM(C43:J43)</f>
        <v>1300955.2129025094</v>
      </c>
      <c r="L43" s="138"/>
      <c r="M43" s="327"/>
      <c r="N43" s="327"/>
    </row>
    <row r="44" spans="2:15" x14ac:dyDescent="0.35">
      <c r="B44" s="44"/>
      <c r="D44" s="23"/>
      <c r="K44" s="17"/>
    </row>
    <row r="45" spans="2:15" x14ac:dyDescent="0.35">
      <c r="B45" s="44"/>
      <c r="D45" s="23"/>
      <c r="K45" s="17"/>
    </row>
  </sheetData>
  <mergeCells count="6">
    <mergeCell ref="B3:K3"/>
    <mergeCell ref="C14:C15"/>
    <mergeCell ref="B5:K5"/>
    <mergeCell ref="F9:G9"/>
    <mergeCell ref="F11:G11"/>
    <mergeCell ref="F15:G15"/>
  </mergeCells>
  <pageMargins left="0.70866141732283472" right="0.70866141732283472" top="0.74803149606299213" bottom="0.74803149606299213" header="0.31496062992125984" footer="0.31496062992125984"/>
  <pageSetup paperSize="3" scale="75"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8"/>
  <sheetViews>
    <sheetView topLeftCell="C31" zoomScale="90" zoomScaleNormal="90" workbookViewId="0">
      <selection activeCell="J59" sqref="J59"/>
    </sheetView>
  </sheetViews>
  <sheetFormatPr defaultColWidth="9.1796875" defaultRowHeight="14.5" outlineLevelRow="1" x14ac:dyDescent="0.35"/>
  <cols>
    <col min="1" max="1" width="9.81640625" style="26" customWidth="1"/>
    <col min="2" max="2" width="40.7265625" style="24" customWidth="1"/>
    <col min="3" max="3" width="24.7265625" style="26" customWidth="1"/>
    <col min="4" max="4" width="20.7265625" style="26" customWidth="1"/>
    <col min="5" max="5" width="24" style="26" customWidth="1"/>
    <col min="6" max="6" width="21.453125" style="26" customWidth="1"/>
    <col min="7" max="7" width="19.54296875" style="26" customWidth="1"/>
    <col min="8" max="8" width="19.1796875" style="26" customWidth="1"/>
    <col min="9" max="9" width="17.26953125" style="26" customWidth="1"/>
    <col min="10" max="10" width="16.26953125" style="26" customWidth="1"/>
    <col min="11" max="11" width="13.81640625" style="26" bestFit="1" customWidth="1"/>
    <col min="12" max="12" width="13.54296875" style="26" customWidth="1"/>
    <col min="13" max="13" width="13.81640625" style="26" customWidth="1"/>
    <col min="14" max="14" width="20" style="26" customWidth="1"/>
    <col min="15" max="15" width="10.1796875" style="26" customWidth="1"/>
    <col min="16" max="24" width="14" style="26" customWidth="1"/>
    <col min="25" max="16384" width="9.1796875" style="26"/>
  </cols>
  <sheetData>
    <row r="1" spans="2:10" ht="151.5" customHeight="1" x14ac:dyDescent="0.35"/>
    <row r="2" spans="2:10" ht="42" customHeight="1" x14ac:dyDescent="0.4">
      <c r="B2" s="1240" t="s">
        <v>342</v>
      </c>
      <c r="C2" s="1240"/>
      <c r="D2" s="1240"/>
      <c r="E2" s="1240"/>
      <c r="F2" s="1240"/>
      <c r="G2" s="1240"/>
      <c r="H2" s="1240"/>
      <c r="I2" s="1240"/>
      <c r="J2" s="1240"/>
    </row>
    <row r="3" spans="2:10" ht="24.75" customHeight="1" x14ac:dyDescent="0.35">
      <c r="B3" s="236"/>
      <c r="C3" s="69"/>
      <c r="D3" s="46"/>
      <c r="E3" s="46"/>
      <c r="F3" s="46"/>
      <c r="G3" s="46"/>
      <c r="H3" s="46"/>
      <c r="I3" s="46"/>
      <c r="J3" s="46"/>
    </row>
    <row r="4" spans="2:10" x14ac:dyDescent="0.35">
      <c r="B4" s="361" t="s">
        <v>399</v>
      </c>
      <c r="C4" s="69" t="s">
        <v>344</v>
      </c>
      <c r="D4" s="46"/>
      <c r="E4" s="46"/>
      <c r="F4" s="46"/>
      <c r="G4" s="46"/>
      <c r="H4" s="46"/>
      <c r="I4" s="46"/>
      <c r="J4" s="46"/>
    </row>
    <row r="5" spans="2:10" ht="30" customHeight="1" x14ac:dyDescent="0.35">
      <c r="B5" s="362"/>
      <c r="C5" s="1248" t="s">
        <v>501</v>
      </c>
      <c r="D5" s="1248"/>
      <c r="E5" s="1248"/>
      <c r="F5" s="1248"/>
      <c r="G5" s="1248"/>
      <c r="H5" s="1248"/>
      <c r="I5" s="1248"/>
      <c r="J5" s="1248"/>
    </row>
    <row r="6" spans="2:10" ht="18.75" customHeight="1" x14ac:dyDescent="0.35">
      <c r="B6" s="236"/>
      <c r="C6" s="69" t="s">
        <v>415</v>
      </c>
      <c r="D6" s="46"/>
      <c r="E6" s="46"/>
      <c r="F6" s="46"/>
      <c r="G6" s="46"/>
      <c r="H6" s="46"/>
      <c r="I6" s="46"/>
      <c r="J6" s="46"/>
    </row>
    <row r="7" spans="2:10" ht="18.75" customHeight="1" x14ac:dyDescent="0.35">
      <c r="B7" s="236"/>
      <c r="C7" s="69"/>
      <c r="D7" s="46"/>
      <c r="E7" s="46"/>
      <c r="F7" s="46"/>
      <c r="G7" s="46"/>
      <c r="H7" s="46"/>
      <c r="I7" s="46"/>
      <c r="J7" s="46"/>
    </row>
    <row r="8" spans="2:10" s="3" customFormat="1" ht="15" customHeight="1" x14ac:dyDescent="0.3">
      <c r="B8" s="1247" t="s">
        <v>337</v>
      </c>
      <c r="C8" s="197" t="s">
        <v>363</v>
      </c>
    </row>
    <row r="9" spans="2:10" s="3" customFormat="1" ht="17.25" customHeight="1" x14ac:dyDescent="0.3">
      <c r="B9" s="1247"/>
      <c r="C9" s="133" t="s">
        <v>338</v>
      </c>
    </row>
    <row r="10" spans="2:10" s="3" customFormat="1" ht="15.75" customHeight="1" x14ac:dyDescent="0.3">
      <c r="B10" s="444"/>
      <c r="C10" s="54"/>
    </row>
    <row r="11" spans="2:10" s="54" customFormat="1" ht="15.5" x14ac:dyDescent="0.35">
      <c r="B11" s="109" t="s">
        <v>502</v>
      </c>
      <c r="C11" s="96"/>
      <c r="D11" s="117"/>
      <c r="E11" s="118"/>
    </row>
    <row r="12" spans="2:10" s="3" customFormat="1" ht="16.5" customHeight="1" x14ac:dyDescent="0.35">
      <c r="B12" s="24"/>
      <c r="C12" s="59"/>
      <c r="D12" s="24"/>
      <c r="F12" s="54"/>
    </row>
    <row r="13" spans="2:10" s="3" customFormat="1" ht="20.25" customHeight="1" x14ac:dyDescent="0.3">
      <c r="B13" s="98" t="s">
        <v>56</v>
      </c>
      <c r="C13" s="99" t="s">
        <v>36</v>
      </c>
      <c r="D13" s="100" t="s">
        <v>37</v>
      </c>
      <c r="E13" s="99" t="s">
        <v>343</v>
      </c>
      <c r="F13" s="54"/>
    </row>
    <row r="14" spans="2:10" s="3" customFormat="1" ht="14" x14ac:dyDescent="0.3">
      <c r="B14" s="101">
        <v>2011</v>
      </c>
      <c r="C14" s="482">
        <v>0</v>
      </c>
      <c r="D14" s="102">
        <f>K44</f>
        <v>0</v>
      </c>
      <c r="E14" s="102">
        <f>K40</f>
        <v>0</v>
      </c>
      <c r="F14" s="54"/>
    </row>
    <row r="15" spans="2:10" s="3" customFormat="1" ht="14" x14ac:dyDescent="0.3">
      <c r="B15" s="101">
        <v>2012</v>
      </c>
      <c r="C15" s="482">
        <f>+'8. Guelph_Approved CDM adj'!$C$4</f>
        <v>15906000.000000002</v>
      </c>
      <c r="D15" s="102">
        <f>K57</f>
        <v>-17532.73993543518</v>
      </c>
      <c r="E15" s="102">
        <f>K53</f>
        <v>-15906000.000000007</v>
      </c>
      <c r="F15" s="54"/>
    </row>
    <row r="16" spans="2:10" s="3" customFormat="1" ht="14" x14ac:dyDescent="0.3">
      <c r="B16" s="101">
        <v>2013</v>
      </c>
      <c r="C16" s="482">
        <f t="shared" ref="C16:C17" si="0">$C$15</f>
        <v>15906000.000000002</v>
      </c>
      <c r="D16" s="102">
        <f>K70</f>
        <v>-17532.73993543518</v>
      </c>
      <c r="E16" s="102">
        <f>K66</f>
        <v>-15906000.000000007</v>
      </c>
      <c r="F16" s="54"/>
    </row>
    <row r="17" spans="2:26" s="3" customFormat="1" ht="14" x14ac:dyDescent="0.3">
      <c r="B17" s="101">
        <v>2014</v>
      </c>
      <c r="C17" s="482">
        <f t="shared" si="0"/>
        <v>15906000.000000002</v>
      </c>
      <c r="D17" s="102">
        <f>K83</f>
        <v>-17532.73993543518</v>
      </c>
      <c r="E17" s="102">
        <f>K79</f>
        <v>-15906000.000000007</v>
      </c>
      <c r="F17" s="54"/>
    </row>
    <row r="18" spans="2:26" s="3" customFormat="1" ht="14" x14ac:dyDescent="0.3">
      <c r="B18" s="101">
        <v>2015</v>
      </c>
      <c r="C18" s="482">
        <f>$C$15</f>
        <v>15906000.000000002</v>
      </c>
      <c r="D18" s="102">
        <f>K96</f>
        <v>-17532.73993543518</v>
      </c>
      <c r="E18" s="102">
        <f>K92</f>
        <v>-15906000.000000007</v>
      </c>
      <c r="F18" s="54"/>
    </row>
    <row r="19" spans="2:26" s="3" customFormat="1" x14ac:dyDescent="0.35">
      <c r="B19" s="101">
        <v>2016</v>
      </c>
      <c r="C19" s="482"/>
      <c r="D19" s="102" t="e">
        <f>K109</f>
        <v>#DIV/0!</v>
      </c>
      <c r="E19" s="102" t="e">
        <f>K105</f>
        <v>#DIV/0!</v>
      </c>
      <c r="F19" s="54"/>
      <c r="Z19" s="43"/>
    </row>
    <row r="20" spans="2:26" s="3" customFormat="1" x14ac:dyDescent="0.35">
      <c r="B20" s="101">
        <v>2017</v>
      </c>
      <c r="C20" s="482"/>
      <c r="D20" s="102" t="e">
        <f>K122</f>
        <v>#DIV/0!</v>
      </c>
      <c r="E20" s="102" t="e">
        <f>K118</f>
        <v>#DIV/0!</v>
      </c>
      <c r="F20" s="54"/>
      <c r="Z20" s="43"/>
    </row>
    <row r="21" spans="2:26" s="3" customFormat="1" ht="25.5" customHeight="1" x14ac:dyDescent="0.35">
      <c r="B21" s="58"/>
      <c r="D21" s="53"/>
      <c r="E21" s="57"/>
      <c r="F21" s="54"/>
    </row>
    <row r="22" spans="2:26" s="54" customFormat="1" ht="22.5" customHeight="1" x14ac:dyDescent="0.35">
      <c r="B22" s="109" t="s">
        <v>406</v>
      </c>
      <c r="C22" s="43"/>
      <c r="D22" s="43"/>
      <c r="E22" s="43"/>
      <c r="F22" s="43"/>
      <c r="G22" s="43"/>
      <c r="H22" s="43"/>
      <c r="I22" s="43"/>
      <c r="J22" s="43"/>
      <c r="K22" s="43"/>
    </row>
    <row r="23" spans="2:26" s="3" customFormat="1" ht="12.75" customHeight="1" x14ac:dyDescent="0.35">
      <c r="C23" s="26"/>
      <c r="D23" s="26"/>
      <c r="E23" s="26"/>
      <c r="F23" s="26"/>
      <c r="G23" s="26"/>
      <c r="H23" s="26"/>
      <c r="I23" s="26"/>
      <c r="J23" s="26"/>
    </row>
    <row r="24" spans="2:26" s="3" customFormat="1" ht="40.5" customHeight="1" x14ac:dyDescent="0.3">
      <c r="B24" s="98" t="s">
        <v>56</v>
      </c>
      <c r="C24" s="98" t="str">
        <f>'1.  LRAMVA Summary'!C21</f>
        <v>Residential</v>
      </c>
      <c r="D24" s="98" t="str">
        <f>'1.  LRAMVA Summary'!D21</f>
        <v>General Service &lt;50 kW</v>
      </c>
      <c r="E24" s="98" t="str">
        <f>'1.  LRAMVA Summary'!E21</f>
        <v>General Service 50 - 999 kW</v>
      </c>
      <c r="F24" s="98" t="str">
        <f>'1.  LRAMVA Summary'!F21</f>
        <v>General Service 1,000 - 4,999 kW</v>
      </c>
      <c r="G24" s="98" t="str">
        <f>'1.  LRAMVA Summary'!G21</f>
        <v>Sentinel Lighting</v>
      </c>
      <c r="H24" s="98" t="str">
        <f>'1.  LRAMVA Summary'!H21</f>
        <v>Street Lighting</v>
      </c>
      <c r="I24" s="98" t="str">
        <f>'1.  LRAMVA Summary'!I21</f>
        <v>Unmetered Scattered Load</v>
      </c>
      <c r="J24" s="98" t="s">
        <v>508</v>
      </c>
    </row>
    <row r="25" spans="2:26" s="3" customFormat="1" ht="16.5" customHeight="1" x14ac:dyDescent="0.3">
      <c r="B25" s="98"/>
      <c r="C25" s="98" t="s">
        <v>36</v>
      </c>
      <c r="D25" s="98" t="s">
        <v>36</v>
      </c>
      <c r="E25" s="98" t="s">
        <v>37</v>
      </c>
      <c r="F25" s="98" t="s">
        <v>37</v>
      </c>
      <c r="G25" s="98" t="s">
        <v>37</v>
      </c>
      <c r="H25" s="98" t="s">
        <v>37</v>
      </c>
      <c r="I25" s="98" t="s">
        <v>36</v>
      </c>
      <c r="J25" s="98" t="s">
        <v>37</v>
      </c>
    </row>
    <row r="26" spans="2:26" s="3" customFormat="1" ht="16.5" customHeight="1" x14ac:dyDescent="0.3">
      <c r="B26" s="110">
        <v>2011</v>
      </c>
      <c r="C26" s="483">
        <f>-C40</f>
        <v>0</v>
      </c>
      <c r="D26" s="483">
        <f t="shared" ref="D26:I26" si="1">-D40</f>
        <v>0</v>
      </c>
      <c r="E26" s="483">
        <f t="shared" si="1"/>
        <v>0</v>
      </c>
      <c r="F26" s="483">
        <f t="shared" si="1"/>
        <v>0</v>
      </c>
      <c r="G26" s="483">
        <f t="shared" si="1"/>
        <v>0</v>
      </c>
      <c r="H26" s="483">
        <f t="shared" si="1"/>
        <v>0</v>
      </c>
      <c r="I26" s="483">
        <f t="shared" si="1"/>
        <v>0</v>
      </c>
      <c r="J26" s="514">
        <f t="shared" ref="J26" si="2">-J40</f>
        <v>0</v>
      </c>
    </row>
    <row r="27" spans="2:26" s="3" customFormat="1" ht="16.5" customHeight="1" x14ac:dyDescent="0.3">
      <c r="B27" s="110">
        <v>2012</v>
      </c>
      <c r="C27" s="112">
        <f>-C53</f>
        <v>3595618.1475916938</v>
      </c>
      <c r="D27" s="112">
        <f>-D53</f>
        <v>1412047.2480661138</v>
      </c>
      <c r="E27" s="112">
        <f>-E57</f>
        <v>11072.809594397084</v>
      </c>
      <c r="F27" s="112">
        <f>-F57</f>
        <v>2456.7131554919761</v>
      </c>
      <c r="G27" s="112">
        <f>-H57</f>
        <v>0</v>
      </c>
      <c r="H27" s="112">
        <f>-G57</f>
        <v>0</v>
      </c>
      <c r="I27" s="112">
        <f>-I53</f>
        <v>21156.845291363112</v>
      </c>
      <c r="J27" s="515">
        <f>-J57</f>
        <v>4003.2171855461202</v>
      </c>
      <c r="K27" s="56"/>
    </row>
    <row r="28" spans="2:26" s="3" customFormat="1" ht="16.5" customHeight="1" x14ac:dyDescent="0.3">
      <c r="B28" s="110">
        <v>2013</v>
      </c>
      <c r="C28" s="112">
        <f>-C66</f>
        <v>3595618.1475916938</v>
      </c>
      <c r="D28" s="112">
        <f>-D66</f>
        <v>1412047.2480661138</v>
      </c>
      <c r="E28" s="112">
        <f>-E70</f>
        <v>11072.809594397084</v>
      </c>
      <c r="F28" s="112">
        <f>-F70</f>
        <v>2456.7131554919761</v>
      </c>
      <c r="G28" s="112">
        <f>-H70</f>
        <v>0</v>
      </c>
      <c r="H28" s="112">
        <f>-G70</f>
        <v>0</v>
      </c>
      <c r="I28" s="112">
        <f>-I66</f>
        <v>21156.845291363112</v>
      </c>
      <c r="J28" s="515">
        <f>-J70</f>
        <v>4003.2171855461202</v>
      </c>
    </row>
    <row r="29" spans="2:26" s="3" customFormat="1" ht="16.5" customHeight="1" x14ac:dyDescent="0.3">
      <c r="B29" s="110">
        <v>2014</v>
      </c>
      <c r="C29" s="113">
        <f>-C79</f>
        <v>3595618.1475916938</v>
      </c>
      <c r="D29" s="113">
        <f>-D79</f>
        <v>1412047.2480661138</v>
      </c>
      <c r="E29" s="113">
        <f>-E83</f>
        <v>11072.809594397084</v>
      </c>
      <c r="F29" s="113">
        <f>-F83</f>
        <v>2456.7131554919761</v>
      </c>
      <c r="G29" s="113">
        <f>-H83</f>
        <v>0</v>
      </c>
      <c r="H29" s="113">
        <f>-G83</f>
        <v>0</v>
      </c>
      <c r="I29" s="113">
        <f>-I79</f>
        <v>21156.845291363112</v>
      </c>
      <c r="J29" s="516">
        <f>-J83</f>
        <v>4003.2171855461202</v>
      </c>
    </row>
    <row r="30" spans="2:26" s="3" customFormat="1" ht="16.5" customHeight="1" x14ac:dyDescent="0.3">
      <c r="B30" s="110">
        <v>2015</v>
      </c>
      <c r="C30" s="356">
        <f>-C92</f>
        <v>3595618.1475916938</v>
      </c>
      <c r="D30" s="356">
        <f t="shared" ref="D30:I30" si="3">-D92</f>
        <v>1412047.2480661138</v>
      </c>
      <c r="E30" s="356">
        <f>-E96</f>
        <v>11072.809594397084</v>
      </c>
      <c r="F30" s="356">
        <f t="shared" ref="F30:H30" si="4">-F96</f>
        <v>2456.7131554919761</v>
      </c>
      <c r="G30" s="356">
        <f t="shared" si="4"/>
        <v>0</v>
      </c>
      <c r="H30" s="356">
        <f t="shared" si="4"/>
        <v>0</v>
      </c>
      <c r="I30" s="356">
        <f t="shared" si="3"/>
        <v>21156.845291363112</v>
      </c>
      <c r="J30" s="517">
        <f t="shared" ref="J30" si="5">-J96</f>
        <v>4003.2171855461202</v>
      </c>
    </row>
    <row r="31" spans="2:26" s="3" customFormat="1" ht="16.5" customHeight="1" x14ac:dyDescent="0.3">
      <c r="B31" s="110">
        <v>2016</v>
      </c>
      <c r="C31" s="356" t="e">
        <f>-C105</f>
        <v>#DIV/0!</v>
      </c>
      <c r="D31" s="356" t="e">
        <f t="shared" ref="D31:I31" si="6">-D105</f>
        <v>#DIV/0!</v>
      </c>
      <c r="E31" s="356" t="e">
        <f>-E109</f>
        <v>#DIV/0!</v>
      </c>
      <c r="F31" s="356" t="e">
        <f t="shared" ref="F31:H31" si="7">-F109</f>
        <v>#DIV/0!</v>
      </c>
      <c r="G31" s="356" t="e">
        <f t="shared" si="7"/>
        <v>#DIV/0!</v>
      </c>
      <c r="H31" s="356" t="e">
        <f t="shared" si="7"/>
        <v>#DIV/0!</v>
      </c>
      <c r="I31" s="356" t="e">
        <f t="shared" si="6"/>
        <v>#DIV/0!</v>
      </c>
      <c r="J31" s="518"/>
    </row>
    <row r="32" spans="2:26" s="3" customFormat="1" ht="16.5" customHeight="1" x14ac:dyDescent="0.3">
      <c r="B32" s="110">
        <v>2017</v>
      </c>
      <c r="C32" s="356" t="e">
        <f>-C118</f>
        <v>#DIV/0!</v>
      </c>
      <c r="D32" s="356" t="e">
        <f t="shared" ref="D32:I32" si="8">-D118</f>
        <v>#DIV/0!</v>
      </c>
      <c r="E32" s="356" t="e">
        <f>-E122</f>
        <v>#DIV/0!</v>
      </c>
      <c r="F32" s="356" t="e">
        <f t="shared" ref="F32:H32" si="9">-F122</f>
        <v>#DIV/0!</v>
      </c>
      <c r="G32" s="356" t="e">
        <f t="shared" si="9"/>
        <v>#DIV/0!</v>
      </c>
      <c r="H32" s="356" t="e">
        <f t="shared" si="9"/>
        <v>#DIV/0!</v>
      </c>
      <c r="I32" s="356" t="e">
        <f t="shared" si="8"/>
        <v>#DIV/0!</v>
      </c>
      <c r="J32" s="518"/>
    </row>
    <row r="33" spans="1:14" s="3" customFormat="1" ht="15.75" customHeight="1" x14ac:dyDescent="0.3"/>
    <row r="34" spans="1:14" s="65" customFormat="1" ht="15.5" outlineLevel="1" x14ac:dyDescent="0.3">
      <c r="A34" s="297"/>
      <c r="B34" s="1249" t="s">
        <v>408</v>
      </c>
      <c r="C34" s="1249"/>
      <c r="D34" s="1249"/>
      <c r="E34" s="1249"/>
      <c r="F34" s="1249"/>
      <c r="G34" s="1249"/>
      <c r="H34" s="1249"/>
      <c r="I34" s="1249"/>
      <c r="J34" s="1249"/>
      <c r="K34" s="1249"/>
      <c r="L34" s="154"/>
      <c r="M34" s="154"/>
    </row>
    <row r="35" spans="1:14" s="65" customFormat="1" ht="14" outlineLevel="1" x14ac:dyDescent="0.3">
      <c r="A35" s="297"/>
      <c r="B35" s="68"/>
      <c r="C35" s="82"/>
      <c r="L35" s="154"/>
      <c r="M35" s="154"/>
      <c r="N35" s="319"/>
    </row>
    <row r="36" spans="1:14" s="327" customFormat="1" ht="28" outlineLevel="1" x14ac:dyDescent="0.3">
      <c r="B36" s="330">
        <v>2011</v>
      </c>
      <c r="C36" s="307" t="s">
        <v>38</v>
      </c>
      <c r="D36" s="307" t="s">
        <v>410</v>
      </c>
      <c r="E36" s="307" t="s">
        <v>411</v>
      </c>
      <c r="F36" s="307" t="s">
        <v>110</v>
      </c>
      <c r="G36" s="307" t="s">
        <v>115</v>
      </c>
      <c r="H36" s="307" t="s">
        <v>116</v>
      </c>
      <c r="I36" s="307" t="s">
        <v>117</v>
      </c>
      <c r="J36" s="511" t="s">
        <v>508</v>
      </c>
      <c r="K36" s="512" t="s">
        <v>35</v>
      </c>
      <c r="L36" s="328"/>
      <c r="M36" s="328"/>
      <c r="N36" s="332"/>
    </row>
    <row r="37" spans="1:14" s="65" customFormat="1" ht="14" outlineLevel="1" x14ac:dyDescent="0.3">
      <c r="B37" s="308" t="s">
        <v>36</v>
      </c>
      <c r="C37" s="309"/>
      <c r="D37" s="309"/>
      <c r="E37" s="309"/>
      <c r="F37" s="309"/>
      <c r="G37" s="309"/>
      <c r="H37" s="309"/>
      <c r="I37" s="309"/>
      <c r="J37" s="154"/>
      <c r="K37" s="333"/>
      <c r="L37" s="154"/>
      <c r="M37" s="154"/>
      <c r="N37" s="334"/>
    </row>
    <row r="38" spans="1:14" s="65" customFormat="1" ht="14" outlineLevel="1" x14ac:dyDescent="0.3">
      <c r="B38" s="468" t="s">
        <v>509</v>
      </c>
      <c r="C38" s="311">
        <f>+'[3]Forecast Data for 2008 G'!$H$8</f>
        <v>345465732</v>
      </c>
      <c r="D38" s="335">
        <f>+'[3]Forecast Data for 2008 G'!$H$10</f>
        <v>144373590</v>
      </c>
      <c r="E38" s="335">
        <f>+'[3]Forecast Data for 2008 G'!$H$13</f>
        <v>443267420</v>
      </c>
      <c r="F38" s="335">
        <f>+'[3]Forecast Data for 2008 G'!$H$16</f>
        <v>402368663</v>
      </c>
      <c r="G38" s="335">
        <f>+'[3]Forecast Data for 2008 G'!$H$22</f>
        <v>8958126</v>
      </c>
      <c r="H38" s="335">
        <f>+'[3]Forecast Data for 2008 G'!$H$25</f>
        <v>127599</v>
      </c>
      <c r="I38" s="335">
        <f>+'[3]Forecast Data for 2008 G'!$H$27</f>
        <v>2279671</v>
      </c>
      <c r="J38" s="494">
        <f>+'[3]Forecast Data for 2008 G'!$H$19</f>
        <v>260157189</v>
      </c>
      <c r="K38" s="499">
        <f>SUM(C38:J38)</f>
        <v>1606997990</v>
      </c>
      <c r="L38" s="154"/>
      <c r="M38" s="154"/>
      <c r="N38" s="319"/>
    </row>
    <row r="39" spans="1:14" s="65" customFormat="1" ht="14" outlineLevel="1" x14ac:dyDescent="0.3">
      <c r="B39" s="336" t="s">
        <v>113</v>
      </c>
      <c r="C39" s="469">
        <f>C38/$K$38</f>
        <v>0.21497583329273487</v>
      </c>
      <c r="D39" s="469">
        <f t="shared" ref="D39:J39" si="10">D38/$K$38</f>
        <v>8.9840554187625335E-2</v>
      </c>
      <c r="E39" s="469">
        <f t="shared" si="10"/>
        <v>0.27583570281876957</v>
      </c>
      <c r="F39" s="469">
        <f t="shared" si="10"/>
        <v>0.25038529326349684</v>
      </c>
      <c r="G39" s="469">
        <f t="shared" si="10"/>
        <v>5.574447544890831E-3</v>
      </c>
      <c r="H39" s="469">
        <f t="shared" si="10"/>
        <v>7.9402090602490418E-5</v>
      </c>
      <c r="I39" s="469">
        <f t="shared" si="10"/>
        <v>1.4185898266120421E-3</v>
      </c>
      <c r="J39" s="469">
        <f t="shared" si="10"/>
        <v>0.16189017697526803</v>
      </c>
      <c r="K39" s="467">
        <f>SUM(C39:J39)</f>
        <v>1</v>
      </c>
      <c r="L39" s="154"/>
      <c r="M39" s="154"/>
      <c r="N39" s="337"/>
    </row>
    <row r="40" spans="1:14" s="65" customFormat="1" ht="14" outlineLevel="1" x14ac:dyDescent="0.3">
      <c r="B40" s="336" t="s">
        <v>334</v>
      </c>
      <c r="C40" s="481">
        <f>-$C$14*C39</f>
        <v>0</v>
      </c>
      <c r="D40" s="481">
        <f t="shared" ref="D40:I40" si="11">-$C$14*D39</f>
        <v>0</v>
      </c>
      <c r="E40" s="481">
        <f t="shared" si="11"/>
        <v>0</v>
      </c>
      <c r="F40" s="481">
        <f t="shared" si="11"/>
        <v>0</v>
      </c>
      <c r="G40" s="481">
        <f t="shared" si="11"/>
        <v>0</v>
      </c>
      <c r="H40" s="481">
        <f t="shared" si="11"/>
        <v>0</v>
      </c>
      <c r="I40" s="481">
        <f t="shared" si="11"/>
        <v>0</v>
      </c>
      <c r="J40" s="154"/>
      <c r="K40" s="338">
        <f>SUM(C40:J40)</f>
        <v>0</v>
      </c>
      <c r="L40" s="154"/>
      <c r="M40" s="154"/>
    </row>
    <row r="41" spans="1:14" s="65" customFormat="1" ht="14" outlineLevel="1" x14ac:dyDescent="0.3">
      <c r="B41" s="336" t="s">
        <v>114</v>
      </c>
      <c r="C41" s="339">
        <f>C38+C40</f>
        <v>345465732</v>
      </c>
      <c r="D41" s="334">
        <f t="shared" ref="D41:J41" si="12">D38+D40</f>
        <v>144373590</v>
      </c>
      <c r="E41" s="334">
        <f t="shared" si="12"/>
        <v>443267420</v>
      </c>
      <c r="F41" s="334">
        <f t="shared" si="12"/>
        <v>402368663</v>
      </c>
      <c r="G41" s="334">
        <f t="shared" si="12"/>
        <v>8958126</v>
      </c>
      <c r="H41" s="334">
        <f t="shared" si="12"/>
        <v>127599</v>
      </c>
      <c r="I41" s="334">
        <f t="shared" si="12"/>
        <v>2279671</v>
      </c>
      <c r="J41" s="334">
        <f t="shared" si="12"/>
        <v>260157189</v>
      </c>
      <c r="K41" s="338">
        <f>SUM(C41:J41)</f>
        <v>1606997990</v>
      </c>
      <c r="L41" s="154"/>
      <c r="M41" s="154"/>
    </row>
    <row r="42" spans="1:14" s="65" customFormat="1" ht="14" outlineLevel="1" x14ac:dyDescent="0.3">
      <c r="B42" s="308" t="s">
        <v>37</v>
      </c>
      <c r="C42" s="339"/>
      <c r="D42" s="334"/>
      <c r="E42" s="334"/>
      <c r="F42" s="334"/>
      <c r="G42" s="334"/>
      <c r="H42" s="334"/>
      <c r="I42" s="334"/>
      <c r="J42" s="154"/>
      <c r="K42" s="338"/>
      <c r="L42" s="154"/>
      <c r="M42" s="154"/>
    </row>
    <row r="43" spans="1:14" s="65" customFormat="1" ht="14" outlineLevel="1" x14ac:dyDescent="0.3">
      <c r="B43" s="495" t="s">
        <v>510</v>
      </c>
      <c r="C43" s="339"/>
      <c r="D43" s="334"/>
      <c r="E43" s="334">
        <f>E38*E46</f>
        <v>1152216</v>
      </c>
      <c r="F43" s="334">
        <f t="shared" ref="F43:H43" si="13">F38*F46</f>
        <v>864476</v>
      </c>
      <c r="G43" s="334">
        <f t="shared" si="13"/>
        <v>24822</v>
      </c>
      <c r="H43" s="334">
        <f t="shared" si="13"/>
        <v>351</v>
      </c>
      <c r="I43" s="334"/>
      <c r="J43" s="497">
        <f>+'[3]Forecast Data for 2008 G'!$H$18</f>
        <v>471750</v>
      </c>
      <c r="K43" s="338">
        <f>SUM(E43:J43)</f>
        <v>2513615</v>
      </c>
      <c r="L43" s="154"/>
      <c r="M43" s="154"/>
    </row>
    <row r="44" spans="1:14" s="65" customFormat="1" ht="14" outlineLevel="1" x14ac:dyDescent="0.3">
      <c r="B44" s="336" t="s">
        <v>118</v>
      </c>
      <c r="C44" s="339"/>
      <c r="D44" s="334"/>
      <c r="E44" s="334">
        <f>E40*E46</f>
        <v>0</v>
      </c>
      <c r="F44" s="334">
        <f t="shared" ref="F44:H44" si="14">F40*F46</f>
        <v>0</v>
      </c>
      <c r="G44" s="334">
        <f t="shared" si="14"/>
        <v>0</v>
      </c>
      <c r="H44" s="334">
        <f t="shared" si="14"/>
        <v>0</v>
      </c>
      <c r="I44" s="334"/>
      <c r="J44" s="337">
        <v>0</v>
      </c>
      <c r="K44" s="338">
        <f>SUM(C44:J44)</f>
        <v>0</v>
      </c>
      <c r="L44" s="154"/>
      <c r="M44" s="154"/>
    </row>
    <row r="45" spans="1:14" s="65" customFormat="1" ht="14" outlineLevel="1" x14ac:dyDescent="0.3">
      <c r="B45" s="336" t="s">
        <v>114</v>
      </c>
      <c r="C45" s="154"/>
      <c r="D45" s="154"/>
      <c r="E45" s="334">
        <f>E43+E44</f>
        <v>1152216</v>
      </c>
      <c r="F45" s="334">
        <f t="shared" ref="F45:J45" si="15">F43+F44</f>
        <v>864476</v>
      </c>
      <c r="G45" s="334">
        <f t="shared" si="15"/>
        <v>24822</v>
      </c>
      <c r="H45" s="334">
        <f t="shared" si="15"/>
        <v>351</v>
      </c>
      <c r="I45" s="154"/>
      <c r="J45" s="334">
        <f t="shared" si="15"/>
        <v>471750</v>
      </c>
      <c r="K45" s="338">
        <f>SUM(C45:J45)</f>
        <v>2513615</v>
      </c>
      <c r="L45" s="154"/>
      <c r="M45" s="154"/>
      <c r="N45" s="340"/>
    </row>
    <row r="46" spans="1:14" s="65" customFormat="1" ht="15" customHeight="1" outlineLevel="1" x14ac:dyDescent="0.3">
      <c r="B46" s="470" t="s">
        <v>402</v>
      </c>
      <c r="C46" s="312"/>
      <c r="D46" s="320"/>
      <c r="E46" s="498">
        <v>2.5993699243675524E-3</v>
      </c>
      <c r="F46" s="498">
        <v>2.1484675112485091E-3</v>
      </c>
      <c r="G46" s="498">
        <v>2.7708920370175636E-3</v>
      </c>
      <c r="H46" s="498">
        <v>2.7508052570944914E-3</v>
      </c>
      <c r="I46" s="498"/>
      <c r="J46" s="498">
        <v>1.8133267883671668E-3</v>
      </c>
      <c r="K46" s="496"/>
      <c r="L46" s="154"/>
      <c r="M46" s="154"/>
      <c r="N46" s="319"/>
    </row>
    <row r="47" spans="1:14" s="65" customFormat="1" ht="15" customHeight="1" outlineLevel="1" x14ac:dyDescent="0.3">
      <c r="B47" s="341"/>
      <c r="C47" s="313"/>
      <c r="D47" s="314"/>
      <c r="E47" s="154"/>
      <c r="F47" s="315"/>
      <c r="G47" s="315"/>
      <c r="H47" s="315"/>
      <c r="I47" s="315"/>
      <c r="J47" s="154"/>
      <c r="K47" s="154"/>
      <c r="L47" s="154"/>
      <c r="M47" s="154"/>
      <c r="N47" s="319"/>
    </row>
    <row r="48" spans="1:14" s="154" customFormat="1" ht="15" customHeight="1" outlineLevel="1" x14ac:dyDescent="0.3">
      <c r="B48" s="341"/>
      <c r="C48" s="313"/>
      <c r="D48" s="314"/>
      <c r="F48" s="315"/>
      <c r="G48" s="315"/>
      <c r="H48" s="315"/>
      <c r="I48" s="315"/>
      <c r="N48" s="319"/>
    </row>
    <row r="49" spans="2:14" s="326" customFormat="1" ht="36.75" customHeight="1" outlineLevel="1" x14ac:dyDescent="0.3">
      <c r="B49" s="330">
        <v>2012</v>
      </c>
      <c r="C49" s="307" t="s">
        <v>38</v>
      </c>
      <c r="D49" s="307" t="s">
        <v>410</v>
      </c>
      <c r="E49" s="307" t="s">
        <v>411</v>
      </c>
      <c r="F49" s="307" t="s">
        <v>110</v>
      </c>
      <c r="G49" s="307" t="s">
        <v>115</v>
      </c>
      <c r="H49" s="307" t="s">
        <v>116</v>
      </c>
      <c r="I49" s="307" t="s">
        <v>117</v>
      </c>
      <c r="J49" s="511" t="s">
        <v>508</v>
      </c>
      <c r="K49" s="512" t="s">
        <v>35</v>
      </c>
      <c r="L49" s="325"/>
      <c r="M49" s="325"/>
      <c r="N49" s="325"/>
    </row>
    <row r="50" spans="2:14" s="65" customFormat="1" ht="14" outlineLevel="1" x14ac:dyDescent="0.3">
      <c r="B50" s="308" t="s">
        <v>36</v>
      </c>
      <c r="C50" s="309"/>
      <c r="D50" s="309"/>
      <c r="E50" s="309"/>
      <c r="F50" s="309"/>
      <c r="G50" s="309"/>
      <c r="H50" s="309"/>
      <c r="I50" s="309"/>
      <c r="J50" s="154"/>
      <c r="K50" s="333"/>
      <c r="L50" s="154"/>
      <c r="M50" s="154"/>
      <c r="N50" s="319"/>
    </row>
    <row r="51" spans="2:14" s="65" customFormat="1" ht="14" outlineLevel="1" x14ac:dyDescent="0.3">
      <c r="B51" s="468" t="s">
        <v>511</v>
      </c>
      <c r="C51" s="311">
        <f>+'8. Guelph_Approved CDM adj'!C9</f>
        <v>378871008.47059846</v>
      </c>
      <c r="D51" s="335">
        <f>+'8. Guelph_Approved CDM adj'!C10</f>
        <v>148787702.95485026</v>
      </c>
      <c r="E51" s="335">
        <f>+'[4]Approved CDM adj.'!$C$11</f>
        <v>399661949.82963043</v>
      </c>
      <c r="F51" s="335">
        <f>+'8. Guelph_Approved CDM adj'!C12</f>
        <v>465120498.28736901</v>
      </c>
      <c r="G51" s="335">
        <f>+'8. Guelph_Approved CDM adj'!C16</f>
        <v>9777748.2982900348</v>
      </c>
      <c r="H51" s="335">
        <f>+'8. Guelph_Approved CDM adj'!C15</f>
        <v>88740.018817051008</v>
      </c>
      <c r="I51" s="335">
        <f>+'8. Guelph_Approved CDM adj'!C14</f>
        <v>2229301.0499360212</v>
      </c>
      <c r="J51" s="507">
        <f>+'8. Guelph_Approved CDM adj'!C13</f>
        <v>271481475.0073272</v>
      </c>
      <c r="K51" s="499">
        <f t="shared" ref="K51:K58" si="16">SUM(C51:J51)</f>
        <v>1676018423.9168181</v>
      </c>
      <c r="L51" s="154"/>
      <c r="M51" s="154"/>
      <c r="N51" s="334"/>
    </row>
    <row r="52" spans="2:14" s="65" customFormat="1" ht="14" outlineLevel="1" x14ac:dyDescent="0.3">
      <c r="B52" s="336" t="s">
        <v>113</v>
      </c>
      <c r="C52" s="469">
        <f>C51/$K$51</f>
        <v>0.22605420266513854</v>
      </c>
      <c r="D52" s="469">
        <f t="shared" ref="D52:J52" si="17">D51/$K$51</f>
        <v>8.8774503210493752E-2</v>
      </c>
      <c r="E52" s="469">
        <f t="shared" si="17"/>
        <v>0.23845916257628558</v>
      </c>
      <c r="F52" s="469">
        <f t="shared" si="17"/>
        <v>0.27751514640298086</v>
      </c>
      <c r="G52" s="469">
        <f t="shared" si="17"/>
        <v>5.8339145672633196E-3</v>
      </c>
      <c r="H52" s="469">
        <f t="shared" si="17"/>
        <v>5.2946923226337533E-5</v>
      </c>
      <c r="I52" s="469">
        <f t="shared" si="17"/>
        <v>1.3301172696695027E-3</v>
      </c>
      <c r="J52" s="469">
        <f t="shared" si="17"/>
        <v>0.16198000638494234</v>
      </c>
      <c r="K52" s="502">
        <f t="shared" si="16"/>
        <v>1</v>
      </c>
      <c r="L52" s="154"/>
      <c r="M52" s="154"/>
      <c r="N52" s="319"/>
    </row>
    <row r="53" spans="2:14" s="65" customFormat="1" ht="14" outlineLevel="1" x14ac:dyDescent="0.3">
      <c r="B53" s="336" t="s">
        <v>334</v>
      </c>
      <c r="C53" s="481">
        <f>-$C$15*C52</f>
        <v>-3595618.1475916938</v>
      </c>
      <c r="D53" s="481">
        <f t="shared" ref="D53:J53" si="18">-$C$15*D52</f>
        <v>-1412047.2480661138</v>
      </c>
      <c r="E53" s="481">
        <f t="shared" si="18"/>
        <v>-3792931.439938399</v>
      </c>
      <c r="F53" s="481">
        <f t="shared" si="18"/>
        <v>-4414155.9186858144</v>
      </c>
      <c r="G53" s="481">
        <f t="shared" si="18"/>
        <v>-92794.245106890376</v>
      </c>
      <c r="H53" s="481">
        <f t="shared" si="18"/>
        <v>-842.17376083812485</v>
      </c>
      <c r="I53" s="481">
        <f t="shared" si="18"/>
        <v>-21156.845291363112</v>
      </c>
      <c r="J53" s="481">
        <f t="shared" si="18"/>
        <v>-2576453.9815588933</v>
      </c>
      <c r="K53" s="506">
        <f t="shared" si="16"/>
        <v>-15906000.000000007</v>
      </c>
      <c r="L53" s="154"/>
      <c r="M53" s="154"/>
      <c r="N53" s="337"/>
    </row>
    <row r="54" spans="2:14" s="65" customFormat="1" ht="14" outlineLevel="1" x14ac:dyDescent="0.3">
      <c r="B54" s="336" t="s">
        <v>114</v>
      </c>
      <c r="C54" s="339">
        <f>C51+C53</f>
        <v>375275390.32300675</v>
      </c>
      <c r="D54" s="334">
        <f t="shared" ref="D54" si="19">D51+D53</f>
        <v>147375655.70678413</v>
      </c>
      <c r="E54" s="334">
        <f t="shared" ref="E54" si="20">E51+E53</f>
        <v>395869018.38969201</v>
      </c>
      <c r="F54" s="334">
        <f t="shared" ref="F54" si="21">F51+F53</f>
        <v>460706342.36868322</v>
      </c>
      <c r="G54" s="334">
        <f t="shared" ref="G54" si="22">G51+G53</f>
        <v>9684954.053183144</v>
      </c>
      <c r="H54" s="334">
        <f t="shared" ref="H54" si="23">H51+H53</f>
        <v>87897.845056212886</v>
      </c>
      <c r="I54" s="334">
        <f t="shared" ref="I54:J54" si="24">I51+I53</f>
        <v>2208144.2046446581</v>
      </c>
      <c r="J54" s="334">
        <f t="shared" si="24"/>
        <v>268905021.02576828</v>
      </c>
      <c r="K54" s="499">
        <f t="shared" si="16"/>
        <v>1660112423.9168184</v>
      </c>
      <c r="L54" s="154"/>
      <c r="M54" s="154"/>
    </row>
    <row r="55" spans="2:14" s="65" customFormat="1" ht="14" outlineLevel="1" x14ac:dyDescent="0.3">
      <c r="B55" s="308" t="s">
        <v>37</v>
      </c>
      <c r="C55" s="154"/>
      <c r="D55" s="316"/>
      <c r="E55" s="342"/>
      <c r="F55" s="317"/>
      <c r="G55" s="318"/>
      <c r="H55" s="319"/>
      <c r="I55" s="154"/>
      <c r="J55" s="505"/>
      <c r="K55" s="499">
        <f t="shared" si="16"/>
        <v>0</v>
      </c>
      <c r="L55" s="154"/>
      <c r="M55" s="154"/>
    </row>
    <row r="56" spans="2:14" s="65" customFormat="1" ht="14" outlineLevel="1" x14ac:dyDescent="0.3">
      <c r="B56" s="468" t="s">
        <v>512</v>
      </c>
      <c r="C56" s="154"/>
      <c r="D56" s="154"/>
      <c r="E56" s="1072">
        <f>+'[5]Rate Class Load Model'!$B$13</f>
        <v>1041991.8756086476</v>
      </c>
      <c r="F56" s="1072">
        <f>+'[5]Rate Class Load Model'!$C$13</f>
        <v>1015195.8967808036</v>
      </c>
      <c r="G56" s="1072">
        <f>+'[5]Rate Class Load Model'!$E$13</f>
        <v>27446.708685857357</v>
      </c>
      <c r="H56" s="1072">
        <f>+'[5]Rate Class Load Model'!$F$13</f>
        <v>250.69142718560235</v>
      </c>
      <c r="I56" s="1073"/>
      <c r="J56" s="1072">
        <f>+'[5]Rate Class Load Model'!$D$13</f>
        <v>490511.97606784839</v>
      </c>
      <c r="K56" s="499">
        <f t="shared" si="16"/>
        <v>2575397.1485703425</v>
      </c>
      <c r="L56" s="154"/>
    </row>
    <row r="57" spans="2:14" s="65" customFormat="1" ht="14" outlineLevel="1" x14ac:dyDescent="0.3">
      <c r="B57" s="336" t="s">
        <v>118</v>
      </c>
      <c r="C57" s="154"/>
      <c r="D57" s="154"/>
      <c r="E57" s="334">
        <f>E53*E59</f>
        <v>-11072.809594397084</v>
      </c>
      <c r="F57" s="334">
        <f>F53*F59</f>
        <v>-2456.7131554919761</v>
      </c>
      <c r="G57" s="334">
        <f>G53*G59</f>
        <v>0</v>
      </c>
      <c r="H57" s="334">
        <f>H53*H59</f>
        <v>0</v>
      </c>
      <c r="I57" s="154"/>
      <c r="J57" s="334">
        <f>J53*J59</f>
        <v>-4003.2171855461202</v>
      </c>
      <c r="K57" s="499">
        <f t="shared" si="16"/>
        <v>-17532.73993543518</v>
      </c>
      <c r="L57" s="154"/>
      <c r="M57" s="154"/>
    </row>
    <row r="58" spans="2:14" s="65" customFormat="1" ht="14" outlineLevel="1" x14ac:dyDescent="0.3">
      <c r="B58" s="336" t="s">
        <v>114</v>
      </c>
      <c r="C58" s="163"/>
      <c r="D58" s="163"/>
      <c r="E58" s="334">
        <f>E56+E57</f>
        <v>1030919.0660142505</v>
      </c>
      <c r="F58" s="334">
        <f>F56+F57</f>
        <v>1012739.1836253116</v>
      </c>
      <c r="G58" s="334">
        <f t="shared" ref="G58:J58" si="25">G56+G57</f>
        <v>27446.708685857357</v>
      </c>
      <c r="H58" s="334">
        <f t="shared" si="25"/>
        <v>250.69142718560235</v>
      </c>
      <c r="I58" s="163"/>
      <c r="J58" s="334">
        <f t="shared" si="25"/>
        <v>486508.75888230227</v>
      </c>
      <c r="K58" s="499">
        <f t="shared" si="16"/>
        <v>2557864.4086349071</v>
      </c>
      <c r="L58" s="154"/>
      <c r="M58" s="154"/>
    </row>
    <row r="59" spans="2:14" s="65" customFormat="1" ht="14" outlineLevel="1" x14ac:dyDescent="0.3">
      <c r="B59" s="470" t="s">
        <v>402</v>
      </c>
      <c r="C59" s="321"/>
      <c r="D59" s="321"/>
      <c r="E59" s="500">
        <f>+'8. Guelph_Approved CDM adj'!D24</f>
        <v>2.9193276413604029E-3</v>
      </c>
      <c r="F59" s="500">
        <f>+'8. Guelph_Approved CDM adj'!D25</f>
        <v>5.5655332542566612E-4</v>
      </c>
      <c r="G59" s="500"/>
      <c r="H59" s="500"/>
      <c r="I59" s="501"/>
      <c r="J59" s="508">
        <f>+'8. Guelph_Approved CDM adj'!D26</f>
        <v>1.553770109693152E-3</v>
      </c>
      <c r="K59" s="471"/>
      <c r="L59" s="154"/>
      <c r="M59" s="154"/>
    </row>
    <row r="60" spans="2:14" s="65" customFormat="1" ht="14" outlineLevel="1" x14ac:dyDescent="0.3">
      <c r="B60" s="68"/>
      <c r="C60" s="82"/>
      <c r="D60" s="154"/>
      <c r="E60" s="154"/>
      <c r="F60" s="154"/>
      <c r="G60" s="154"/>
      <c r="H60" s="154"/>
      <c r="I60" s="154"/>
      <c r="J60" s="154"/>
      <c r="K60" s="154"/>
      <c r="L60" s="154"/>
      <c r="M60" s="154"/>
    </row>
    <row r="61" spans="2:14" s="65" customFormat="1" ht="14" outlineLevel="1" x14ac:dyDescent="0.3">
      <c r="B61" s="68"/>
      <c r="C61" s="82"/>
      <c r="D61" s="154"/>
      <c r="E61" s="154"/>
      <c r="F61" s="154"/>
      <c r="G61" s="154"/>
      <c r="H61" s="154"/>
      <c r="I61" s="154"/>
      <c r="J61" s="154"/>
      <c r="L61" s="154"/>
      <c r="M61" s="154"/>
    </row>
    <row r="62" spans="2:14" s="326" customFormat="1" ht="35.25" customHeight="1" outlineLevel="1" x14ac:dyDescent="0.3">
      <c r="B62" s="330">
        <v>2013</v>
      </c>
      <c r="C62" s="307" t="s">
        <v>38</v>
      </c>
      <c r="D62" s="307" t="s">
        <v>410</v>
      </c>
      <c r="E62" s="307" t="s">
        <v>411</v>
      </c>
      <c r="F62" s="307" t="s">
        <v>110</v>
      </c>
      <c r="G62" s="307" t="s">
        <v>115</v>
      </c>
      <c r="H62" s="307" t="s">
        <v>116</v>
      </c>
      <c r="I62" s="307" t="s">
        <v>117</v>
      </c>
      <c r="J62" s="511" t="s">
        <v>508</v>
      </c>
      <c r="K62" s="512" t="s">
        <v>35</v>
      </c>
      <c r="L62" s="325"/>
      <c r="M62" s="325"/>
    </row>
    <row r="63" spans="2:14" s="65" customFormat="1" ht="14" outlineLevel="1" x14ac:dyDescent="0.3">
      <c r="B63" s="322" t="s">
        <v>36</v>
      </c>
      <c r="C63" s="309"/>
      <c r="D63" s="309"/>
      <c r="E63" s="309"/>
      <c r="F63" s="309"/>
      <c r="G63" s="309"/>
      <c r="H63" s="309"/>
      <c r="I63" s="309"/>
      <c r="J63" s="154"/>
      <c r="K63" s="333"/>
      <c r="L63" s="154"/>
      <c r="M63" s="154"/>
    </row>
    <row r="64" spans="2:14" s="65" customFormat="1" ht="14" outlineLevel="1" x14ac:dyDescent="0.3">
      <c r="B64" s="495" t="s">
        <v>513</v>
      </c>
      <c r="C64" s="503">
        <f t="shared" ref="C64:J64" si="26">C51</f>
        <v>378871008.47059846</v>
      </c>
      <c r="D64" s="335">
        <f t="shared" si="26"/>
        <v>148787702.95485026</v>
      </c>
      <c r="E64" s="335">
        <f t="shared" si="26"/>
        <v>399661949.82963043</v>
      </c>
      <c r="F64" s="335">
        <f t="shared" si="26"/>
        <v>465120498.28736901</v>
      </c>
      <c r="G64" s="335">
        <f t="shared" si="26"/>
        <v>9777748.2982900348</v>
      </c>
      <c r="H64" s="335">
        <f t="shared" si="26"/>
        <v>88740.018817051008</v>
      </c>
      <c r="I64" s="335">
        <f t="shared" si="26"/>
        <v>2229301.0499360212</v>
      </c>
      <c r="J64" s="504">
        <f t="shared" si="26"/>
        <v>271481475.0073272</v>
      </c>
      <c r="K64" s="499">
        <f t="shared" ref="K64:K71" si="27">SUM(C64:J64)</f>
        <v>1676018423.9168181</v>
      </c>
      <c r="L64" s="154"/>
      <c r="M64" s="154"/>
    </row>
    <row r="65" spans="2:13" s="65" customFormat="1" ht="14" outlineLevel="1" x14ac:dyDescent="0.3">
      <c r="B65" s="336" t="s">
        <v>113</v>
      </c>
      <c r="C65" s="469">
        <f>C64/$K$64</f>
        <v>0.22605420266513854</v>
      </c>
      <c r="D65" s="469">
        <f t="shared" ref="D65:I65" si="28">D64/$K$64</f>
        <v>8.8774503210493752E-2</v>
      </c>
      <c r="E65" s="469">
        <f>E64/$K$64</f>
        <v>0.23845916257628558</v>
      </c>
      <c r="F65" s="469">
        <f t="shared" si="28"/>
        <v>0.27751514640298086</v>
      </c>
      <c r="G65" s="469">
        <f t="shared" si="28"/>
        <v>5.8339145672633196E-3</v>
      </c>
      <c r="H65" s="469">
        <f t="shared" si="28"/>
        <v>5.2946923226337533E-5</v>
      </c>
      <c r="I65" s="469">
        <f t="shared" si="28"/>
        <v>1.3301172696695027E-3</v>
      </c>
      <c r="J65" s="469">
        <f t="shared" ref="J65" si="29">J64/$K$64</f>
        <v>0.16198000638494234</v>
      </c>
      <c r="K65" s="502">
        <f t="shared" si="27"/>
        <v>1</v>
      </c>
      <c r="L65" s="154"/>
      <c r="M65" s="154"/>
    </row>
    <row r="66" spans="2:13" s="65" customFormat="1" ht="14" outlineLevel="1" x14ac:dyDescent="0.3">
      <c r="B66" s="336" t="s">
        <v>334</v>
      </c>
      <c r="C66" s="481">
        <f>-$C$16*C65</f>
        <v>-3595618.1475916938</v>
      </c>
      <c r="D66" s="481">
        <f>-$C$16*D65</f>
        <v>-1412047.2480661138</v>
      </c>
      <c r="E66" s="481">
        <f>-$C$16*E65</f>
        <v>-3792931.439938399</v>
      </c>
      <c r="F66" s="481">
        <f t="shared" ref="F66:I66" si="30">-$C$16*F65</f>
        <v>-4414155.9186858144</v>
      </c>
      <c r="G66" s="481">
        <f t="shared" si="30"/>
        <v>-92794.245106890376</v>
      </c>
      <c r="H66" s="481">
        <f t="shared" si="30"/>
        <v>-842.17376083812485</v>
      </c>
      <c r="I66" s="481">
        <f t="shared" si="30"/>
        <v>-21156.845291363112</v>
      </c>
      <c r="J66" s="481">
        <f t="shared" ref="J66" si="31">-$C$16*J65</f>
        <v>-2576453.9815588933</v>
      </c>
      <c r="K66" s="506">
        <f t="shared" si="27"/>
        <v>-15906000.000000007</v>
      </c>
      <c r="L66" s="154"/>
      <c r="M66" s="154"/>
    </row>
    <row r="67" spans="2:13" s="65" customFormat="1" ht="14" outlineLevel="1" x14ac:dyDescent="0.3">
      <c r="B67" s="336" t="s">
        <v>114</v>
      </c>
      <c r="C67" s="339">
        <f>C64+C66</f>
        <v>375275390.32300675</v>
      </c>
      <c r="D67" s="334">
        <f t="shared" ref="D67" si="32">D64+D66</f>
        <v>147375655.70678413</v>
      </c>
      <c r="E67" s="334">
        <f t="shared" ref="E67" si="33">E64+E66</f>
        <v>395869018.38969201</v>
      </c>
      <c r="F67" s="334">
        <f t="shared" ref="F67" si="34">F64+F66</f>
        <v>460706342.36868322</v>
      </c>
      <c r="G67" s="334">
        <f t="shared" ref="G67" si="35">G64+G66</f>
        <v>9684954.053183144</v>
      </c>
      <c r="H67" s="334">
        <f t="shared" ref="H67" si="36">H64+H66</f>
        <v>87897.845056212886</v>
      </c>
      <c r="I67" s="334">
        <f t="shared" ref="I67" si="37">I64+I66</f>
        <v>2208144.2046446581</v>
      </c>
      <c r="J67" s="334">
        <f t="shared" ref="J67" si="38">J64+J66</f>
        <v>268905021.02576828</v>
      </c>
      <c r="K67" s="499">
        <f t="shared" si="27"/>
        <v>1660112423.9168184</v>
      </c>
      <c r="L67" s="154"/>
      <c r="M67" s="154"/>
    </row>
    <row r="68" spans="2:13" s="65" customFormat="1" ht="14" outlineLevel="1" x14ac:dyDescent="0.3">
      <c r="B68" s="322" t="s">
        <v>37</v>
      </c>
      <c r="C68" s="154"/>
      <c r="D68" s="316"/>
      <c r="E68" s="342"/>
      <c r="F68" s="317"/>
      <c r="G68" s="318"/>
      <c r="H68" s="319"/>
      <c r="I68" s="505"/>
      <c r="J68" s="505"/>
      <c r="K68" s="499">
        <f t="shared" si="27"/>
        <v>0</v>
      </c>
      <c r="L68" s="154"/>
      <c r="M68" s="154"/>
    </row>
    <row r="69" spans="2:13" s="65" customFormat="1" ht="14" outlineLevel="1" x14ac:dyDescent="0.3">
      <c r="B69" s="468" t="s">
        <v>512</v>
      </c>
      <c r="C69" s="154"/>
      <c r="D69" s="154"/>
      <c r="E69" s="1072">
        <f>+'[5]Rate Class Load Model'!$B$13</f>
        <v>1041991.8756086476</v>
      </c>
      <c r="F69" s="1072">
        <f>+'[5]Rate Class Load Model'!$C$13</f>
        <v>1015195.8967808036</v>
      </c>
      <c r="G69" s="1072">
        <f>+'[5]Rate Class Load Model'!$E$13</f>
        <v>27446.708685857357</v>
      </c>
      <c r="H69" s="1072">
        <f>+'[5]Rate Class Load Model'!$F$13</f>
        <v>250.69142718560235</v>
      </c>
      <c r="I69" s="1074"/>
      <c r="J69" s="1074">
        <f>+'[5]Rate Class Load Model'!$D$13</f>
        <v>490511.97606784839</v>
      </c>
      <c r="K69" s="499">
        <f t="shared" si="27"/>
        <v>2575397.1485703425</v>
      </c>
      <c r="L69" s="154"/>
      <c r="M69" s="154"/>
    </row>
    <row r="70" spans="2:13" s="65" customFormat="1" ht="14" outlineLevel="1" x14ac:dyDescent="0.3">
      <c r="B70" s="336" t="s">
        <v>118</v>
      </c>
      <c r="C70" s="154"/>
      <c r="D70" s="154"/>
      <c r="E70" s="334">
        <f>E66*E72</f>
        <v>-11072.809594397084</v>
      </c>
      <c r="F70" s="334">
        <f t="shared" ref="F70:H70" si="39">F66*F72</f>
        <v>-2456.7131554919761</v>
      </c>
      <c r="G70" s="334">
        <f t="shared" si="39"/>
        <v>0</v>
      </c>
      <c r="H70" s="334">
        <f t="shared" si="39"/>
        <v>0</v>
      </c>
      <c r="I70" s="505"/>
      <c r="J70" s="334">
        <f>J66*J72</f>
        <v>-4003.2171855461202</v>
      </c>
      <c r="K70" s="499">
        <f t="shared" si="27"/>
        <v>-17532.73993543518</v>
      </c>
      <c r="L70" s="154"/>
      <c r="M70" s="154"/>
    </row>
    <row r="71" spans="2:13" s="65" customFormat="1" ht="14" outlineLevel="1" x14ac:dyDescent="0.3">
      <c r="B71" s="336" t="s">
        <v>114</v>
      </c>
      <c r="C71" s="154"/>
      <c r="D71" s="154"/>
      <c r="E71" s="334">
        <f>E69+E70</f>
        <v>1030919.0660142505</v>
      </c>
      <c r="F71" s="334">
        <f t="shared" ref="F71" si="40">F69+F70</f>
        <v>1012739.1836253116</v>
      </c>
      <c r="G71" s="334">
        <f t="shared" ref="G71" si="41">G69+G70</f>
        <v>27446.708685857357</v>
      </c>
      <c r="H71" s="334">
        <f t="shared" ref="H71:J71" si="42">H69+H70</f>
        <v>250.69142718560235</v>
      </c>
      <c r="I71" s="505"/>
      <c r="J71" s="334">
        <f t="shared" si="42"/>
        <v>486508.75888230227</v>
      </c>
      <c r="K71" s="499">
        <f t="shared" si="27"/>
        <v>2557864.4086349071</v>
      </c>
      <c r="L71" s="154"/>
      <c r="M71" s="154"/>
    </row>
    <row r="72" spans="2:13" s="65" customFormat="1" ht="14" outlineLevel="1" x14ac:dyDescent="0.3">
      <c r="B72" s="470" t="s">
        <v>403</v>
      </c>
      <c r="C72" s="321"/>
      <c r="D72" s="321"/>
      <c r="E72" s="500">
        <f t="shared" ref="E72:J72" si="43">E59</f>
        <v>2.9193276413604029E-3</v>
      </c>
      <c r="F72" s="500">
        <f t="shared" si="43"/>
        <v>5.5655332542566612E-4</v>
      </c>
      <c r="G72" s="500">
        <f t="shared" si="43"/>
        <v>0</v>
      </c>
      <c r="H72" s="500">
        <f t="shared" si="43"/>
        <v>0</v>
      </c>
      <c r="I72" s="510">
        <f t="shared" si="43"/>
        <v>0</v>
      </c>
      <c r="J72" s="508">
        <f t="shared" si="43"/>
        <v>1.553770109693152E-3</v>
      </c>
      <c r="K72" s="471"/>
      <c r="L72" s="154"/>
      <c r="M72" s="154"/>
    </row>
    <row r="73" spans="2:13" s="65" customFormat="1" ht="14" outlineLevel="1" x14ac:dyDescent="0.3">
      <c r="B73" s="68"/>
      <c r="C73" s="82"/>
      <c r="L73" s="154"/>
    </row>
    <row r="74" spans="2:13" s="65" customFormat="1" ht="14" outlineLevel="1" x14ac:dyDescent="0.3">
      <c r="B74" s="68"/>
      <c r="C74" s="82"/>
    </row>
    <row r="75" spans="2:13" s="326" customFormat="1" ht="34.5" customHeight="1" outlineLevel="1" x14ac:dyDescent="0.3">
      <c r="B75" s="330">
        <v>2014</v>
      </c>
      <c r="C75" s="307" t="s">
        <v>38</v>
      </c>
      <c r="D75" s="307" t="s">
        <v>410</v>
      </c>
      <c r="E75" s="307" t="s">
        <v>411</v>
      </c>
      <c r="F75" s="307" t="s">
        <v>110</v>
      </c>
      <c r="G75" s="307" t="s">
        <v>115</v>
      </c>
      <c r="H75" s="307" t="s">
        <v>116</v>
      </c>
      <c r="I75" s="307" t="s">
        <v>117</v>
      </c>
      <c r="J75" s="511" t="s">
        <v>508</v>
      </c>
      <c r="K75" s="512" t="s">
        <v>35</v>
      </c>
    </row>
    <row r="76" spans="2:13" s="65" customFormat="1" ht="14" outlineLevel="1" x14ac:dyDescent="0.3">
      <c r="B76" s="322" t="s">
        <v>36</v>
      </c>
      <c r="C76" s="309"/>
      <c r="D76" s="309"/>
      <c r="E76" s="309"/>
      <c r="F76" s="309"/>
      <c r="G76" s="309"/>
      <c r="H76" s="309"/>
      <c r="I76" s="309"/>
      <c r="J76" s="154"/>
      <c r="K76" s="333"/>
    </row>
    <row r="77" spans="2:13" s="65" customFormat="1" ht="14" outlineLevel="1" x14ac:dyDescent="0.3">
      <c r="B77" s="336" t="s">
        <v>513</v>
      </c>
      <c r="C77" s="311">
        <f t="shared" ref="C77:J77" si="44">C64</f>
        <v>378871008.47059846</v>
      </c>
      <c r="D77" s="335">
        <f t="shared" si="44"/>
        <v>148787702.95485026</v>
      </c>
      <c r="E77" s="335">
        <f t="shared" si="44"/>
        <v>399661949.82963043</v>
      </c>
      <c r="F77" s="335">
        <f t="shared" si="44"/>
        <v>465120498.28736901</v>
      </c>
      <c r="G77" s="335">
        <f t="shared" si="44"/>
        <v>9777748.2982900348</v>
      </c>
      <c r="H77" s="335">
        <f t="shared" si="44"/>
        <v>88740.018817051008</v>
      </c>
      <c r="I77" s="335">
        <f t="shared" si="44"/>
        <v>2229301.0499360212</v>
      </c>
      <c r="J77" s="504">
        <f t="shared" si="44"/>
        <v>271481475.0073272</v>
      </c>
      <c r="K77" s="499">
        <f t="shared" ref="K77:K84" si="45">SUM(C77:J77)</f>
        <v>1676018423.9168181</v>
      </c>
    </row>
    <row r="78" spans="2:13" s="65" customFormat="1" ht="14" outlineLevel="1" x14ac:dyDescent="0.3">
      <c r="B78" s="336" t="s">
        <v>113</v>
      </c>
      <c r="C78" s="469">
        <f>C77/$K$77</f>
        <v>0.22605420266513854</v>
      </c>
      <c r="D78" s="469">
        <f>D77/$K$77</f>
        <v>8.8774503210493752E-2</v>
      </c>
      <c r="E78" s="469">
        <f t="shared" ref="E78:I78" si="46">E77/$K$77</f>
        <v>0.23845916257628558</v>
      </c>
      <c r="F78" s="469">
        <f t="shared" si="46"/>
        <v>0.27751514640298086</v>
      </c>
      <c r="G78" s="469">
        <f t="shared" si="46"/>
        <v>5.8339145672633196E-3</v>
      </c>
      <c r="H78" s="469">
        <f t="shared" si="46"/>
        <v>5.2946923226337533E-5</v>
      </c>
      <c r="I78" s="469">
        <f t="shared" si="46"/>
        <v>1.3301172696695027E-3</v>
      </c>
      <c r="J78" s="469">
        <f t="shared" ref="J78" si="47">J77/$K$77</f>
        <v>0.16198000638494234</v>
      </c>
      <c r="K78" s="502">
        <f t="shared" si="45"/>
        <v>1</v>
      </c>
    </row>
    <row r="79" spans="2:13" s="65" customFormat="1" ht="14" outlineLevel="1" x14ac:dyDescent="0.3">
      <c r="B79" s="336" t="s">
        <v>334</v>
      </c>
      <c r="C79" s="481">
        <f>-$C$17*C78</f>
        <v>-3595618.1475916938</v>
      </c>
      <c r="D79" s="481">
        <f t="shared" ref="D79:I79" si="48">-$C$17*D78</f>
        <v>-1412047.2480661138</v>
      </c>
      <c r="E79" s="481">
        <f t="shared" si="48"/>
        <v>-3792931.439938399</v>
      </c>
      <c r="F79" s="481">
        <f t="shared" si="48"/>
        <v>-4414155.9186858144</v>
      </c>
      <c r="G79" s="481">
        <f t="shared" si="48"/>
        <v>-92794.245106890376</v>
      </c>
      <c r="H79" s="481">
        <f t="shared" si="48"/>
        <v>-842.17376083812485</v>
      </c>
      <c r="I79" s="481">
        <f t="shared" si="48"/>
        <v>-21156.845291363112</v>
      </c>
      <c r="J79" s="481">
        <f t="shared" ref="J79" si="49">-$C$17*J78</f>
        <v>-2576453.9815588933</v>
      </c>
      <c r="K79" s="481">
        <f t="shared" si="45"/>
        <v>-15906000.000000007</v>
      </c>
    </row>
    <row r="80" spans="2:13" s="65" customFormat="1" ht="14" outlineLevel="1" x14ac:dyDescent="0.3">
      <c r="B80" s="336" t="s">
        <v>114</v>
      </c>
      <c r="C80" s="339">
        <f>C77+C79</f>
        <v>375275390.32300675</v>
      </c>
      <c r="D80" s="334">
        <f t="shared" ref="D80" si="50">D77+D79</f>
        <v>147375655.70678413</v>
      </c>
      <c r="E80" s="334">
        <f t="shared" ref="E80" si="51">E77+E79</f>
        <v>395869018.38969201</v>
      </c>
      <c r="F80" s="334">
        <f t="shared" ref="F80" si="52">F77+F79</f>
        <v>460706342.36868322</v>
      </c>
      <c r="G80" s="334">
        <f t="shared" ref="G80" si="53">G77+G79</f>
        <v>9684954.053183144</v>
      </c>
      <c r="H80" s="334">
        <f t="shared" ref="H80" si="54">H77+H79</f>
        <v>87897.845056212886</v>
      </c>
      <c r="I80" s="334">
        <f t="shared" ref="I80" si="55">I77+I79</f>
        <v>2208144.2046446581</v>
      </c>
      <c r="J80" s="334">
        <f t="shared" ref="J80" si="56">J77+J79</f>
        <v>268905021.02576828</v>
      </c>
      <c r="K80" s="499">
        <f t="shared" si="45"/>
        <v>1660112423.9168184</v>
      </c>
    </row>
    <row r="81" spans="2:11" s="65" customFormat="1" ht="14" outlineLevel="1" x14ac:dyDescent="0.3">
      <c r="B81" s="322" t="s">
        <v>37</v>
      </c>
      <c r="C81" s="154"/>
      <c r="D81" s="316"/>
      <c r="E81" s="342"/>
      <c r="F81" s="317"/>
      <c r="G81" s="318"/>
      <c r="H81" s="319"/>
      <c r="I81" s="154"/>
      <c r="J81" s="505"/>
      <c r="K81" s="499">
        <f t="shared" si="45"/>
        <v>0</v>
      </c>
    </row>
    <row r="82" spans="2:11" s="65" customFormat="1" ht="14" outlineLevel="1" x14ac:dyDescent="0.3">
      <c r="B82" s="336" t="s">
        <v>512</v>
      </c>
      <c r="C82" s="154"/>
      <c r="D82" s="154"/>
      <c r="E82" s="1072">
        <f t="shared" ref="E82:J82" si="57">E69</f>
        <v>1041991.8756086476</v>
      </c>
      <c r="F82" s="1072">
        <f t="shared" si="57"/>
        <v>1015195.8967808036</v>
      </c>
      <c r="G82" s="1072">
        <f t="shared" si="57"/>
        <v>27446.708685857357</v>
      </c>
      <c r="H82" s="1072">
        <f t="shared" si="57"/>
        <v>250.69142718560235</v>
      </c>
      <c r="I82" s="1074">
        <f t="shared" si="57"/>
        <v>0</v>
      </c>
      <c r="J82" s="1074">
        <f t="shared" si="57"/>
        <v>490511.97606784839</v>
      </c>
      <c r="K82" s="499">
        <f t="shared" si="45"/>
        <v>2575397.1485703425</v>
      </c>
    </row>
    <row r="83" spans="2:11" s="65" customFormat="1" ht="14" outlineLevel="1" x14ac:dyDescent="0.3">
      <c r="B83" s="336" t="s">
        <v>118</v>
      </c>
      <c r="C83" s="154"/>
      <c r="D83" s="154"/>
      <c r="E83" s="334">
        <f>E79*E85</f>
        <v>-11072.809594397084</v>
      </c>
      <c r="F83" s="334">
        <f t="shared" ref="F83:H83" si="58">F79*F85</f>
        <v>-2456.7131554919761</v>
      </c>
      <c r="G83" s="334">
        <f t="shared" si="58"/>
        <v>0</v>
      </c>
      <c r="H83" s="334">
        <f t="shared" si="58"/>
        <v>0</v>
      </c>
      <c r="I83" s="154"/>
      <c r="J83" s="334">
        <f t="shared" ref="J83" si="59">J79*J85</f>
        <v>-4003.2171855461202</v>
      </c>
      <c r="K83" s="499">
        <f t="shared" si="45"/>
        <v>-17532.73993543518</v>
      </c>
    </row>
    <row r="84" spans="2:11" s="65" customFormat="1" ht="14" outlineLevel="1" x14ac:dyDescent="0.3">
      <c r="B84" s="336" t="s">
        <v>114</v>
      </c>
      <c r="C84" s="154"/>
      <c r="D84" s="154"/>
      <c r="E84" s="334">
        <f>E82+E83</f>
        <v>1030919.0660142505</v>
      </c>
      <c r="F84" s="334">
        <f t="shared" ref="F84" si="60">F82+F83</f>
        <v>1012739.1836253116</v>
      </c>
      <c r="G84" s="334">
        <f t="shared" ref="G84" si="61">G82+G83</f>
        <v>27446.708685857357</v>
      </c>
      <c r="H84" s="334">
        <f t="shared" ref="H84:J84" si="62">H82+H83</f>
        <v>250.69142718560235</v>
      </c>
      <c r="I84" s="154"/>
      <c r="J84" s="334">
        <f t="shared" si="62"/>
        <v>486508.75888230227</v>
      </c>
      <c r="K84" s="499">
        <f t="shared" si="45"/>
        <v>2557864.4086349071</v>
      </c>
    </row>
    <row r="85" spans="2:11" s="65" customFormat="1" ht="14" outlineLevel="1" x14ac:dyDescent="0.3">
      <c r="B85" s="470" t="s">
        <v>402</v>
      </c>
      <c r="C85" s="321"/>
      <c r="D85" s="321"/>
      <c r="E85" s="500">
        <f t="shared" ref="E85:J85" si="63">E72</f>
        <v>2.9193276413604029E-3</v>
      </c>
      <c r="F85" s="500">
        <f t="shared" si="63"/>
        <v>5.5655332542566612E-4</v>
      </c>
      <c r="G85" s="500">
        <f t="shared" si="63"/>
        <v>0</v>
      </c>
      <c r="H85" s="500">
        <f t="shared" si="63"/>
        <v>0</v>
      </c>
      <c r="I85" s="500">
        <f t="shared" si="63"/>
        <v>0</v>
      </c>
      <c r="J85" s="500">
        <f t="shared" si="63"/>
        <v>1.553770109693152E-3</v>
      </c>
      <c r="K85" s="471"/>
    </row>
    <row r="86" spans="2:11" s="65" customFormat="1" ht="14" outlineLevel="1" x14ac:dyDescent="0.3">
      <c r="C86" s="82"/>
    </row>
    <row r="87" spans="2:11" s="65" customFormat="1" ht="14" outlineLevel="1" x14ac:dyDescent="0.3">
      <c r="B87" s="82"/>
      <c r="C87" s="324"/>
    </row>
    <row r="88" spans="2:11" s="65" customFormat="1" ht="28" outlineLevel="1" x14ac:dyDescent="0.3">
      <c r="B88" s="330">
        <v>2015</v>
      </c>
      <c r="C88" s="307" t="s">
        <v>38</v>
      </c>
      <c r="D88" s="307" t="s">
        <v>410</v>
      </c>
      <c r="E88" s="307" t="s">
        <v>411</v>
      </c>
      <c r="F88" s="307" t="s">
        <v>110</v>
      </c>
      <c r="G88" s="307" t="s">
        <v>115</v>
      </c>
      <c r="H88" s="307" t="s">
        <v>116</v>
      </c>
      <c r="I88" s="307" t="s">
        <v>117</v>
      </c>
      <c r="J88" s="511" t="s">
        <v>508</v>
      </c>
      <c r="K88" s="512" t="s">
        <v>35</v>
      </c>
    </row>
    <row r="89" spans="2:11" s="65" customFormat="1" ht="14" outlineLevel="1" x14ac:dyDescent="0.3">
      <c r="B89" s="322" t="s">
        <v>36</v>
      </c>
      <c r="C89" s="309"/>
      <c r="D89" s="309"/>
      <c r="E89" s="309"/>
      <c r="F89" s="309"/>
      <c r="G89" s="309"/>
      <c r="H89" s="309"/>
      <c r="I89" s="309"/>
      <c r="J89" s="154"/>
      <c r="K89" s="333"/>
    </row>
    <row r="90" spans="2:11" s="65" customFormat="1" ht="14" outlineLevel="1" x14ac:dyDescent="0.3">
      <c r="B90" s="336" t="s">
        <v>513</v>
      </c>
      <c r="C90" s="311">
        <f t="shared" ref="C90:J90" si="64">C77</f>
        <v>378871008.47059846</v>
      </c>
      <c r="D90" s="335">
        <f t="shared" si="64"/>
        <v>148787702.95485026</v>
      </c>
      <c r="E90" s="335">
        <f t="shared" si="64"/>
        <v>399661949.82963043</v>
      </c>
      <c r="F90" s="335">
        <f t="shared" si="64"/>
        <v>465120498.28736901</v>
      </c>
      <c r="G90" s="335">
        <f t="shared" si="64"/>
        <v>9777748.2982900348</v>
      </c>
      <c r="H90" s="335">
        <f t="shared" si="64"/>
        <v>88740.018817051008</v>
      </c>
      <c r="I90" s="335">
        <f t="shared" si="64"/>
        <v>2229301.0499360212</v>
      </c>
      <c r="J90" s="504">
        <f t="shared" si="64"/>
        <v>271481475.0073272</v>
      </c>
      <c r="K90" s="499">
        <f t="shared" ref="K90:K97" si="65">SUM(C90:J90)</f>
        <v>1676018423.9168181</v>
      </c>
    </row>
    <row r="91" spans="2:11" s="65" customFormat="1" ht="14" outlineLevel="1" x14ac:dyDescent="0.3">
      <c r="B91" s="336" t="s">
        <v>113</v>
      </c>
      <c r="C91" s="469">
        <f>C90/$K$90</f>
        <v>0.22605420266513854</v>
      </c>
      <c r="D91" s="469">
        <f>D90/$K$90</f>
        <v>8.8774503210493752E-2</v>
      </c>
      <c r="E91" s="469">
        <f>E90/$K$90</f>
        <v>0.23845916257628558</v>
      </c>
      <c r="F91" s="469">
        <f t="shared" ref="F91:I91" si="66">F90/$K$90</f>
        <v>0.27751514640298086</v>
      </c>
      <c r="G91" s="469">
        <f t="shared" si="66"/>
        <v>5.8339145672633196E-3</v>
      </c>
      <c r="H91" s="469">
        <f t="shared" si="66"/>
        <v>5.2946923226337533E-5</v>
      </c>
      <c r="I91" s="469">
        <f t="shared" si="66"/>
        <v>1.3301172696695027E-3</v>
      </c>
      <c r="J91" s="469">
        <f t="shared" ref="J91" si="67">J90/$K$90</f>
        <v>0.16198000638494234</v>
      </c>
      <c r="K91" s="502">
        <f t="shared" si="65"/>
        <v>1</v>
      </c>
    </row>
    <row r="92" spans="2:11" s="65" customFormat="1" ht="14" outlineLevel="1" x14ac:dyDescent="0.3">
      <c r="B92" s="336" t="s">
        <v>334</v>
      </c>
      <c r="C92" s="481">
        <f>-$C$18*C91</f>
        <v>-3595618.1475916938</v>
      </c>
      <c r="D92" s="481">
        <f>-$C$18*D91</f>
        <v>-1412047.2480661138</v>
      </c>
      <c r="E92" s="481">
        <f>-$C$18*E91</f>
        <v>-3792931.439938399</v>
      </c>
      <c r="F92" s="481">
        <f t="shared" ref="F92:I92" si="68">-$C$18*F91</f>
        <v>-4414155.9186858144</v>
      </c>
      <c r="G92" s="481">
        <f t="shared" si="68"/>
        <v>-92794.245106890376</v>
      </c>
      <c r="H92" s="481">
        <f t="shared" si="68"/>
        <v>-842.17376083812485</v>
      </c>
      <c r="I92" s="481">
        <f t="shared" si="68"/>
        <v>-21156.845291363112</v>
      </c>
      <c r="J92" s="481">
        <f t="shared" ref="J92" si="69">-$C$18*J91</f>
        <v>-2576453.9815588933</v>
      </c>
      <c r="K92" s="481">
        <f t="shared" si="65"/>
        <v>-15906000.000000007</v>
      </c>
    </row>
    <row r="93" spans="2:11" s="65" customFormat="1" ht="14" outlineLevel="1" x14ac:dyDescent="0.3">
      <c r="B93" s="336" t="s">
        <v>114</v>
      </c>
      <c r="C93" s="339">
        <f>C90+C92</f>
        <v>375275390.32300675</v>
      </c>
      <c r="D93" s="334">
        <f t="shared" ref="D93:I93" si="70">D90+D92</f>
        <v>147375655.70678413</v>
      </c>
      <c r="E93" s="334">
        <f t="shared" si="70"/>
        <v>395869018.38969201</v>
      </c>
      <c r="F93" s="334">
        <f t="shared" si="70"/>
        <v>460706342.36868322</v>
      </c>
      <c r="G93" s="334">
        <f t="shared" si="70"/>
        <v>9684954.053183144</v>
      </c>
      <c r="H93" s="334">
        <f t="shared" si="70"/>
        <v>87897.845056212886</v>
      </c>
      <c r="I93" s="334">
        <f t="shared" si="70"/>
        <v>2208144.2046446581</v>
      </c>
      <c r="J93" s="334">
        <f t="shared" ref="J93" si="71">J90+J92</f>
        <v>268905021.02576828</v>
      </c>
      <c r="K93" s="499">
        <f t="shared" si="65"/>
        <v>1660112423.9168184</v>
      </c>
    </row>
    <row r="94" spans="2:11" s="65" customFormat="1" ht="14" outlineLevel="1" x14ac:dyDescent="0.3">
      <c r="B94" s="322" t="s">
        <v>37</v>
      </c>
      <c r="C94" s="154"/>
      <c r="D94" s="316"/>
      <c r="E94" s="342"/>
      <c r="F94" s="317"/>
      <c r="G94" s="318"/>
      <c r="H94" s="319"/>
      <c r="I94" s="505"/>
      <c r="J94" s="505"/>
      <c r="K94" s="499">
        <f t="shared" si="65"/>
        <v>0</v>
      </c>
    </row>
    <row r="95" spans="2:11" s="65" customFormat="1" ht="14" outlineLevel="1" x14ac:dyDescent="0.3">
      <c r="B95" s="336" t="s">
        <v>512</v>
      </c>
      <c r="C95" s="154"/>
      <c r="D95" s="154"/>
      <c r="E95" s="1072">
        <f t="shared" ref="E95:J95" si="72">E82</f>
        <v>1041991.8756086476</v>
      </c>
      <c r="F95" s="1072">
        <f t="shared" si="72"/>
        <v>1015195.8967808036</v>
      </c>
      <c r="G95" s="1072">
        <f t="shared" si="72"/>
        <v>27446.708685857357</v>
      </c>
      <c r="H95" s="1072">
        <f t="shared" si="72"/>
        <v>250.69142718560235</v>
      </c>
      <c r="I95" s="1074">
        <f t="shared" si="72"/>
        <v>0</v>
      </c>
      <c r="J95" s="1074">
        <f t="shared" si="72"/>
        <v>490511.97606784839</v>
      </c>
      <c r="K95" s="499">
        <f t="shared" si="65"/>
        <v>2575397.1485703425</v>
      </c>
    </row>
    <row r="96" spans="2:11" s="65" customFormat="1" ht="14" outlineLevel="1" x14ac:dyDescent="0.3">
      <c r="B96" s="336" t="s">
        <v>118</v>
      </c>
      <c r="C96" s="154"/>
      <c r="D96" s="154"/>
      <c r="E96" s="334">
        <f>E92*E98</f>
        <v>-11072.809594397084</v>
      </c>
      <c r="F96" s="334">
        <f t="shared" ref="F96:H96" si="73">F92*F98</f>
        <v>-2456.7131554919761</v>
      </c>
      <c r="G96" s="334">
        <f t="shared" si="73"/>
        <v>0</v>
      </c>
      <c r="H96" s="334">
        <f t="shared" si="73"/>
        <v>0</v>
      </c>
      <c r="I96" s="505"/>
      <c r="J96" s="334">
        <f t="shared" ref="J96" si="74">J92*J98</f>
        <v>-4003.2171855461202</v>
      </c>
      <c r="K96" s="499">
        <f t="shared" si="65"/>
        <v>-17532.73993543518</v>
      </c>
    </row>
    <row r="97" spans="2:12" s="65" customFormat="1" ht="14" outlineLevel="1" x14ac:dyDescent="0.3">
      <c r="B97" s="336" t="s">
        <v>114</v>
      </c>
      <c r="C97" s="154"/>
      <c r="D97" s="154"/>
      <c r="E97" s="334">
        <f>E95+E96</f>
        <v>1030919.0660142505</v>
      </c>
      <c r="F97" s="334">
        <f t="shared" ref="F97:H97" si="75">F95+F96</f>
        <v>1012739.1836253116</v>
      </c>
      <c r="G97" s="334">
        <f t="shared" si="75"/>
        <v>27446.708685857357</v>
      </c>
      <c r="H97" s="334">
        <f t="shared" si="75"/>
        <v>250.69142718560235</v>
      </c>
      <c r="I97" s="505"/>
      <c r="J97" s="334">
        <f t="shared" ref="J97" si="76">J95+J96</f>
        <v>486508.75888230227</v>
      </c>
      <c r="K97" s="499">
        <f t="shared" si="65"/>
        <v>2557864.4086349071</v>
      </c>
    </row>
    <row r="98" spans="2:12" s="65" customFormat="1" ht="14" outlineLevel="1" x14ac:dyDescent="0.3">
      <c r="B98" s="470" t="s">
        <v>402</v>
      </c>
      <c r="C98" s="321"/>
      <c r="D98" s="321"/>
      <c r="E98" s="484">
        <f t="shared" ref="E98:J98" si="77">E85</f>
        <v>2.9193276413604029E-3</v>
      </c>
      <c r="F98" s="484">
        <f t="shared" si="77"/>
        <v>5.5655332542566612E-4</v>
      </c>
      <c r="G98" s="484">
        <f t="shared" si="77"/>
        <v>0</v>
      </c>
      <c r="H98" s="484">
        <f t="shared" si="77"/>
        <v>0</v>
      </c>
      <c r="I98" s="513">
        <f t="shared" si="77"/>
        <v>0</v>
      </c>
      <c r="J98" s="509">
        <f t="shared" si="77"/>
        <v>1.553770109693152E-3</v>
      </c>
      <c r="K98" s="471"/>
    </row>
    <row r="99" spans="2:12" s="65" customFormat="1" ht="14" outlineLevel="1" x14ac:dyDescent="0.3">
      <c r="B99" s="82"/>
    </row>
    <row r="100" spans="2:12" s="65" customFormat="1" ht="14" outlineLevel="1" x14ac:dyDescent="0.3">
      <c r="B100" s="82"/>
    </row>
    <row r="101" spans="2:12" s="65" customFormat="1" ht="28" outlineLevel="1" x14ac:dyDescent="0.3">
      <c r="B101" s="330">
        <v>2016</v>
      </c>
      <c r="C101" s="307" t="s">
        <v>38</v>
      </c>
      <c r="D101" s="307" t="s">
        <v>410</v>
      </c>
      <c r="E101" s="307" t="s">
        <v>411</v>
      </c>
      <c r="F101" s="307" t="s">
        <v>110</v>
      </c>
      <c r="G101" s="307" t="s">
        <v>115</v>
      </c>
      <c r="H101" s="307" t="s">
        <v>116</v>
      </c>
      <c r="I101" s="307" t="s">
        <v>117</v>
      </c>
      <c r="J101" s="307" t="s">
        <v>508</v>
      </c>
      <c r="K101" s="331" t="s">
        <v>35</v>
      </c>
    </row>
    <row r="102" spans="2:12" s="65" customFormat="1" ht="14" outlineLevel="1" x14ac:dyDescent="0.3">
      <c r="B102" s="322" t="s">
        <v>36</v>
      </c>
      <c r="C102" s="309"/>
      <c r="D102" s="309"/>
      <c r="E102" s="309"/>
      <c r="F102" s="309"/>
      <c r="G102" s="309"/>
      <c r="H102" s="309"/>
      <c r="I102" s="309"/>
      <c r="J102" s="154"/>
      <c r="K102" s="333"/>
    </row>
    <row r="103" spans="2:12" s="65" customFormat="1" ht="14" outlineLevel="1" x14ac:dyDescent="0.3">
      <c r="B103" s="336" t="s">
        <v>404</v>
      </c>
      <c r="C103" s="311"/>
      <c r="D103" s="335"/>
      <c r="E103" s="335"/>
      <c r="F103" s="335"/>
      <c r="G103" s="335"/>
      <c r="H103" s="335"/>
      <c r="I103" s="335"/>
      <c r="J103" s="310"/>
      <c r="K103" s="338">
        <f>SUM(C103:I103)</f>
        <v>0</v>
      </c>
    </row>
    <row r="104" spans="2:12" s="23" customFormat="1" outlineLevel="1" x14ac:dyDescent="0.35">
      <c r="B104" s="336" t="s">
        <v>113</v>
      </c>
      <c r="C104" s="469" t="e">
        <f>C103/$K$103</f>
        <v>#DIV/0!</v>
      </c>
      <c r="D104" s="469" t="e">
        <f t="shared" ref="D104:I104" si="78">D103/$K$103</f>
        <v>#DIV/0!</v>
      </c>
      <c r="E104" s="469" t="e">
        <f t="shared" si="78"/>
        <v>#DIV/0!</v>
      </c>
      <c r="F104" s="469" t="e">
        <f t="shared" si="78"/>
        <v>#DIV/0!</v>
      </c>
      <c r="G104" s="469" t="e">
        <f t="shared" si="78"/>
        <v>#DIV/0!</v>
      </c>
      <c r="H104" s="469" t="e">
        <f t="shared" si="78"/>
        <v>#DIV/0!</v>
      </c>
      <c r="I104" s="469" t="e">
        <f t="shared" si="78"/>
        <v>#DIV/0!</v>
      </c>
      <c r="J104" s="154"/>
      <c r="K104" s="467" t="e">
        <f>SUM(C104:I104)</f>
        <v>#DIV/0!</v>
      </c>
      <c r="L104" s="65"/>
    </row>
    <row r="105" spans="2:12" s="23" customFormat="1" outlineLevel="1" x14ac:dyDescent="0.35">
      <c r="B105" s="336" t="s">
        <v>334</v>
      </c>
      <c r="C105" s="481" t="e">
        <f>-$C$19*C104</f>
        <v>#DIV/0!</v>
      </c>
      <c r="D105" s="481" t="e">
        <f t="shared" ref="D105:I105" si="79">-$C$19*D104</f>
        <v>#DIV/0!</v>
      </c>
      <c r="E105" s="481" t="e">
        <f t="shared" si="79"/>
        <v>#DIV/0!</v>
      </c>
      <c r="F105" s="481" t="e">
        <f t="shared" si="79"/>
        <v>#DIV/0!</v>
      </c>
      <c r="G105" s="481" t="e">
        <f t="shared" si="79"/>
        <v>#DIV/0!</v>
      </c>
      <c r="H105" s="481" t="e">
        <f t="shared" si="79"/>
        <v>#DIV/0!</v>
      </c>
      <c r="I105" s="481" t="e">
        <f t="shared" si="79"/>
        <v>#DIV/0!</v>
      </c>
      <c r="J105" s="154"/>
      <c r="K105" s="338" t="e">
        <f>SUM(C105:I105)</f>
        <v>#DIV/0!</v>
      </c>
    </row>
    <row r="106" spans="2:12" s="23" customFormat="1" outlineLevel="1" x14ac:dyDescent="0.35">
      <c r="B106" s="336" t="s">
        <v>114</v>
      </c>
      <c r="C106" s="339" t="e">
        <f>C103+C105</f>
        <v>#DIV/0!</v>
      </c>
      <c r="D106" s="334" t="e">
        <f t="shared" ref="D106:I106" si="80">D103+D105</f>
        <v>#DIV/0!</v>
      </c>
      <c r="E106" s="334" t="e">
        <f t="shared" si="80"/>
        <v>#DIV/0!</v>
      </c>
      <c r="F106" s="334" t="e">
        <f t="shared" si="80"/>
        <v>#DIV/0!</v>
      </c>
      <c r="G106" s="334" t="e">
        <f t="shared" si="80"/>
        <v>#DIV/0!</v>
      </c>
      <c r="H106" s="334" t="e">
        <f t="shared" si="80"/>
        <v>#DIV/0!</v>
      </c>
      <c r="I106" s="334" t="e">
        <f t="shared" si="80"/>
        <v>#DIV/0!</v>
      </c>
      <c r="J106" s="154"/>
      <c r="K106" s="338" t="e">
        <f>SUM(C106:I106)</f>
        <v>#DIV/0!</v>
      </c>
    </row>
    <row r="107" spans="2:12" s="23" customFormat="1" outlineLevel="1" x14ac:dyDescent="0.35">
      <c r="B107" s="322" t="s">
        <v>37</v>
      </c>
      <c r="C107" s="154"/>
      <c r="D107" s="316"/>
      <c r="E107" s="342"/>
      <c r="F107" s="317"/>
      <c r="G107" s="318"/>
      <c r="H107" s="319"/>
      <c r="I107" s="154"/>
      <c r="J107" s="154"/>
      <c r="K107" s="343"/>
    </row>
    <row r="108" spans="2:12" s="23" customFormat="1" outlineLevel="1" x14ac:dyDescent="0.35">
      <c r="B108" s="336" t="s">
        <v>405</v>
      </c>
      <c r="C108" s="154"/>
      <c r="D108" s="154"/>
      <c r="E108" s="334">
        <f>E103*E111</f>
        <v>0</v>
      </c>
      <c r="F108" s="334">
        <f t="shared" ref="F108:H108" si="81">F103*F111</f>
        <v>0</v>
      </c>
      <c r="G108" s="334">
        <f t="shared" si="81"/>
        <v>0</v>
      </c>
      <c r="H108" s="334">
        <f t="shared" si="81"/>
        <v>0</v>
      </c>
      <c r="I108" s="154"/>
      <c r="J108" s="154"/>
      <c r="K108" s="338">
        <f>SUM(C108:I108)</f>
        <v>0</v>
      </c>
    </row>
    <row r="109" spans="2:12" s="23" customFormat="1" outlineLevel="1" x14ac:dyDescent="0.35">
      <c r="B109" s="336" t="s">
        <v>118</v>
      </c>
      <c r="C109" s="154"/>
      <c r="D109" s="154"/>
      <c r="E109" s="334" t="e">
        <f>E105*E111</f>
        <v>#DIV/0!</v>
      </c>
      <c r="F109" s="334" t="e">
        <f t="shared" ref="F109:H109" si="82">F105*F111</f>
        <v>#DIV/0!</v>
      </c>
      <c r="G109" s="334" t="e">
        <f t="shared" si="82"/>
        <v>#DIV/0!</v>
      </c>
      <c r="H109" s="334" t="e">
        <f t="shared" si="82"/>
        <v>#DIV/0!</v>
      </c>
      <c r="I109" s="154"/>
      <c r="J109" s="154"/>
      <c r="K109" s="344" t="e">
        <f>SUM(C109:I109)</f>
        <v>#DIV/0!</v>
      </c>
    </row>
    <row r="110" spans="2:12" s="23" customFormat="1" outlineLevel="1" x14ac:dyDescent="0.35">
      <c r="B110" s="336" t="s">
        <v>114</v>
      </c>
      <c r="C110" s="154"/>
      <c r="D110" s="154"/>
      <c r="E110" s="334" t="e">
        <f>E108+E109</f>
        <v>#DIV/0!</v>
      </c>
      <c r="F110" s="334" t="e">
        <f t="shared" ref="F110:H110" si="83">F108+F109</f>
        <v>#DIV/0!</v>
      </c>
      <c r="G110" s="334" t="e">
        <f t="shared" si="83"/>
        <v>#DIV/0!</v>
      </c>
      <c r="H110" s="334" t="e">
        <f t="shared" si="83"/>
        <v>#DIV/0!</v>
      </c>
      <c r="I110" s="154"/>
      <c r="J110" s="154"/>
      <c r="K110" s="338" t="e">
        <f>SUM(C110:I110)</f>
        <v>#DIV/0!</v>
      </c>
    </row>
    <row r="111" spans="2:12" s="23" customFormat="1" outlineLevel="1" x14ac:dyDescent="0.35">
      <c r="B111" s="470" t="s">
        <v>402</v>
      </c>
      <c r="C111" s="321"/>
      <c r="D111" s="321"/>
      <c r="E111" s="484"/>
      <c r="F111" s="484"/>
      <c r="G111" s="484"/>
      <c r="H111" s="484"/>
      <c r="I111" s="321"/>
      <c r="J111" s="320"/>
      <c r="K111" s="471"/>
    </row>
    <row r="112" spans="2:12" s="23" customFormat="1" outlineLevel="1" x14ac:dyDescent="0.35">
      <c r="B112" s="64"/>
    </row>
    <row r="113" spans="2:12" s="23" customFormat="1" outlineLevel="1" x14ac:dyDescent="0.35">
      <c r="B113" s="64"/>
    </row>
    <row r="114" spans="2:12" s="23" customFormat="1" ht="28" outlineLevel="1" x14ac:dyDescent="0.35">
      <c r="B114" s="330">
        <v>2017</v>
      </c>
      <c r="C114" s="307" t="s">
        <v>38</v>
      </c>
      <c r="D114" s="307" t="s">
        <v>410</v>
      </c>
      <c r="E114" s="307" t="s">
        <v>411</v>
      </c>
      <c r="F114" s="307" t="s">
        <v>110</v>
      </c>
      <c r="G114" s="307" t="s">
        <v>115</v>
      </c>
      <c r="H114" s="307" t="s">
        <v>116</v>
      </c>
      <c r="I114" s="307" t="s">
        <v>117</v>
      </c>
      <c r="J114" s="307" t="s">
        <v>508</v>
      </c>
      <c r="K114" s="331" t="s">
        <v>35</v>
      </c>
    </row>
    <row r="115" spans="2:12" s="23" customFormat="1" outlineLevel="1" x14ac:dyDescent="0.35">
      <c r="B115" s="322" t="s">
        <v>36</v>
      </c>
      <c r="C115" s="309"/>
      <c r="D115" s="309"/>
      <c r="E115" s="309"/>
      <c r="F115" s="309"/>
      <c r="G115" s="309"/>
      <c r="H115" s="309"/>
      <c r="I115" s="309"/>
      <c r="J115" s="154"/>
      <c r="K115" s="333"/>
    </row>
    <row r="116" spans="2:12" s="23" customFormat="1" outlineLevel="1" x14ac:dyDescent="0.35">
      <c r="B116" s="336" t="s">
        <v>404</v>
      </c>
      <c r="C116" s="311"/>
      <c r="D116" s="335"/>
      <c r="E116" s="335"/>
      <c r="F116" s="335"/>
      <c r="G116" s="335"/>
      <c r="H116" s="335"/>
      <c r="I116" s="335"/>
      <c r="J116" s="310"/>
      <c r="K116" s="338">
        <f>SUM(C116:I116)</f>
        <v>0</v>
      </c>
    </row>
    <row r="117" spans="2:12" s="23" customFormat="1" outlineLevel="1" x14ac:dyDescent="0.35">
      <c r="B117" s="336" t="s">
        <v>113</v>
      </c>
      <c r="C117" s="469" t="e">
        <f>C116/$K$116</f>
        <v>#DIV/0!</v>
      </c>
      <c r="D117" s="469" t="e">
        <f>D116/$K$116</f>
        <v>#DIV/0!</v>
      </c>
      <c r="E117" s="469" t="e">
        <f t="shared" ref="E117:I117" si="84">E116/$K$116</f>
        <v>#DIV/0!</v>
      </c>
      <c r="F117" s="469" t="e">
        <f t="shared" si="84"/>
        <v>#DIV/0!</v>
      </c>
      <c r="G117" s="469" t="e">
        <f t="shared" si="84"/>
        <v>#DIV/0!</v>
      </c>
      <c r="H117" s="469" t="e">
        <f t="shared" si="84"/>
        <v>#DIV/0!</v>
      </c>
      <c r="I117" s="469" t="e">
        <f t="shared" si="84"/>
        <v>#DIV/0!</v>
      </c>
      <c r="J117" s="154"/>
      <c r="K117" s="467" t="e">
        <f>SUM(C117:I117)</f>
        <v>#DIV/0!</v>
      </c>
      <c r="L117" s="65"/>
    </row>
    <row r="118" spans="2:12" s="23" customFormat="1" outlineLevel="1" x14ac:dyDescent="0.35">
      <c r="B118" s="336" t="s">
        <v>334</v>
      </c>
      <c r="C118" s="481" t="e">
        <f>-$C$20*C117</f>
        <v>#DIV/0!</v>
      </c>
      <c r="D118" s="481" t="e">
        <f t="shared" ref="D118:I118" si="85">-$C$20*D117</f>
        <v>#DIV/0!</v>
      </c>
      <c r="E118" s="481" t="e">
        <f t="shared" si="85"/>
        <v>#DIV/0!</v>
      </c>
      <c r="F118" s="481" t="e">
        <f t="shared" si="85"/>
        <v>#DIV/0!</v>
      </c>
      <c r="G118" s="481" t="e">
        <f t="shared" si="85"/>
        <v>#DIV/0!</v>
      </c>
      <c r="H118" s="481" t="e">
        <f t="shared" si="85"/>
        <v>#DIV/0!</v>
      </c>
      <c r="I118" s="481" t="e">
        <f t="shared" si="85"/>
        <v>#DIV/0!</v>
      </c>
      <c r="J118" s="154"/>
      <c r="K118" s="338" t="e">
        <f>SUM(C118:I118)</f>
        <v>#DIV/0!</v>
      </c>
    </row>
    <row r="119" spans="2:12" s="23" customFormat="1" outlineLevel="1" x14ac:dyDescent="0.35">
      <c r="B119" s="336" t="s">
        <v>114</v>
      </c>
      <c r="C119" s="339" t="e">
        <f>C116+C118</f>
        <v>#DIV/0!</v>
      </c>
      <c r="D119" s="334" t="e">
        <f>D116+D118</f>
        <v>#DIV/0!</v>
      </c>
      <c r="E119" s="334" t="e">
        <f t="shared" ref="E119:I119" si="86">E116+E118</f>
        <v>#DIV/0!</v>
      </c>
      <c r="F119" s="334" t="e">
        <f t="shared" si="86"/>
        <v>#DIV/0!</v>
      </c>
      <c r="G119" s="334" t="e">
        <f t="shared" si="86"/>
        <v>#DIV/0!</v>
      </c>
      <c r="H119" s="334" t="e">
        <f t="shared" si="86"/>
        <v>#DIV/0!</v>
      </c>
      <c r="I119" s="334" t="e">
        <f t="shared" si="86"/>
        <v>#DIV/0!</v>
      </c>
      <c r="J119" s="154"/>
      <c r="K119" s="338" t="e">
        <f>SUM(C119:I119)</f>
        <v>#DIV/0!</v>
      </c>
    </row>
    <row r="120" spans="2:12" s="23" customFormat="1" outlineLevel="1" x14ac:dyDescent="0.35">
      <c r="B120" s="322" t="s">
        <v>37</v>
      </c>
      <c r="C120" s="154"/>
      <c r="D120" s="316"/>
      <c r="E120" s="342"/>
      <c r="F120" s="317"/>
      <c r="G120" s="318"/>
      <c r="H120" s="319"/>
      <c r="I120" s="154"/>
      <c r="J120" s="154"/>
      <c r="K120" s="343"/>
    </row>
    <row r="121" spans="2:12" s="23" customFormat="1" outlineLevel="1" x14ac:dyDescent="0.35">
      <c r="B121" s="336" t="s">
        <v>405</v>
      </c>
      <c r="C121" s="154"/>
      <c r="D121" s="154"/>
      <c r="E121" s="334">
        <f>E116*E124</f>
        <v>0</v>
      </c>
      <c r="F121" s="334">
        <f t="shared" ref="F121:H121" si="87">F116*F124</f>
        <v>0</v>
      </c>
      <c r="G121" s="334">
        <f t="shared" si="87"/>
        <v>0</v>
      </c>
      <c r="H121" s="334">
        <f t="shared" si="87"/>
        <v>0</v>
      </c>
      <c r="I121" s="154"/>
      <c r="J121" s="154"/>
      <c r="K121" s="338">
        <f>SUM(C121:I121)</f>
        <v>0</v>
      </c>
    </row>
    <row r="122" spans="2:12" s="23" customFormat="1" outlineLevel="1" x14ac:dyDescent="0.35">
      <c r="B122" s="336" t="s">
        <v>118</v>
      </c>
      <c r="C122" s="154"/>
      <c r="D122" s="154"/>
      <c r="E122" s="334" t="e">
        <f>E118*E124</f>
        <v>#DIV/0!</v>
      </c>
      <c r="F122" s="334" t="e">
        <f t="shared" ref="F122:H122" si="88">F118*F124</f>
        <v>#DIV/0!</v>
      </c>
      <c r="G122" s="334" t="e">
        <f t="shared" si="88"/>
        <v>#DIV/0!</v>
      </c>
      <c r="H122" s="334" t="e">
        <f t="shared" si="88"/>
        <v>#DIV/0!</v>
      </c>
      <c r="I122" s="154"/>
      <c r="J122" s="154"/>
      <c r="K122" s="344" t="e">
        <f>SUM(C122:I122)</f>
        <v>#DIV/0!</v>
      </c>
    </row>
    <row r="123" spans="2:12" s="23" customFormat="1" outlineLevel="1" x14ac:dyDescent="0.35">
      <c r="B123" s="336" t="s">
        <v>114</v>
      </c>
      <c r="C123" s="154"/>
      <c r="D123" s="154"/>
      <c r="E123" s="334" t="e">
        <f>E121+E122</f>
        <v>#DIV/0!</v>
      </c>
      <c r="F123" s="334" t="e">
        <f t="shared" ref="F123:H123" si="89">F121+F122</f>
        <v>#DIV/0!</v>
      </c>
      <c r="G123" s="334" t="e">
        <f t="shared" si="89"/>
        <v>#DIV/0!</v>
      </c>
      <c r="H123" s="334" t="e">
        <f t="shared" si="89"/>
        <v>#DIV/0!</v>
      </c>
      <c r="I123" s="154"/>
      <c r="J123" s="154"/>
      <c r="K123" s="338" t="e">
        <f>SUM(C123:I123)</f>
        <v>#DIV/0!</v>
      </c>
    </row>
    <row r="124" spans="2:12" s="23" customFormat="1" outlineLevel="1" x14ac:dyDescent="0.35">
      <c r="B124" s="470" t="s">
        <v>402</v>
      </c>
      <c r="C124" s="321"/>
      <c r="D124" s="321"/>
      <c r="E124" s="484"/>
      <c r="F124" s="484"/>
      <c r="G124" s="484"/>
      <c r="H124" s="484"/>
      <c r="I124" s="321"/>
      <c r="J124" s="320"/>
      <c r="K124" s="471"/>
    </row>
    <row r="125" spans="2:12" s="23" customFormat="1" outlineLevel="1" x14ac:dyDescent="0.35">
      <c r="B125" s="64"/>
    </row>
    <row r="126" spans="2:12" s="23" customFormat="1" outlineLevel="1" x14ac:dyDescent="0.35">
      <c r="B126" s="64"/>
    </row>
    <row r="127" spans="2:12" s="23" customFormat="1" outlineLevel="1" x14ac:dyDescent="0.35">
      <c r="B127" s="64"/>
    </row>
    <row r="128" spans="2:12" s="23" customFormat="1" x14ac:dyDescent="0.35">
      <c r="B128" s="64"/>
    </row>
    <row r="129" spans="2:11" s="54" customFormat="1" ht="16.5" customHeight="1" x14ac:dyDescent="0.3">
      <c r="B129" s="360" t="s">
        <v>414</v>
      </c>
      <c r="C129" s="109"/>
      <c r="D129" s="109"/>
      <c r="E129" s="109"/>
      <c r="F129" s="109"/>
      <c r="G129" s="109"/>
      <c r="H129" s="109"/>
      <c r="I129" s="109"/>
      <c r="J129" s="109"/>
      <c r="K129" s="109"/>
    </row>
    <row r="130" spans="2:11" s="3" customFormat="1" ht="9.75" customHeight="1" x14ac:dyDescent="0.3"/>
    <row r="131" spans="2:11" s="3" customFormat="1" ht="38.25" customHeight="1" x14ac:dyDescent="0.3">
      <c r="B131" s="98" t="s">
        <v>56</v>
      </c>
      <c r="C131" s="98" t="str">
        <f t="shared" ref="C131:J131" si="90">C24</f>
        <v>Residential</v>
      </c>
      <c r="D131" s="98" t="str">
        <f t="shared" si="90"/>
        <v>General Service &lt;50 kW</v>
      </c>
      <c r="E131" s="98" t="str">
        <f t="shared" si="90"/>
        <v>General Service 50 - 999 kW</v>
      </c>
      <c r="F131" s="98" t="str">
        <f t="shared" si="90"/>
        <v>General Service 1,000 - 4,999 kW</v>
      </c>
      <c r="G131" s="98" t="str">
        <f t="shared" si="90"/>
        <v>Sentinel Lighting</v>
      </c>
      <c r="H131" s="98" t="str">
        <f t="shared" si="90"/>
        <v>Street Lighting</v>
      </c>
      <c r="I131" s="98" t="str">
        <f t="shared" si="90"/>
        <v>Unmetered Scattered Load</v>
      </c>
      <c r="J131" s="98" t="str">
        <f t="shared" si="90"/>
        <v>Large Use</v>
      </c>
      <c r="K131" s="98" t="s">
        <v>35</v>
      </c>
    </row>
    <row r="132" spans="2:11" s="3" customFormat="1" ht="16.5" customHeight="1" x14ac:dyDescent="0.3">
      <c r="B132" s="98"/>
      <c r="C132" s="98" t="s">
        <v>39</v>
      </c>
      <c r="D132" s="98" t="s">
        <v>39</v>
      </c>
      <c r="E132" s="98" t="s">
        <v>39</v>
      </c>
      <c r="F132" s="98" t="s">
        <v>39</v>
      </c>
      <c r="G132" s="98" t="s">
        <v>39</v>
      </c>
      <c r="H132" s="98" t="s">
        <v>39</v>
      </c>
      <c r="I132" s="98" t="s">
        <v>39</v>
      </c>
      <c r="J132" s="98" t="s">
        <v>39</v>
      </c>
      <c r="K132" s="98" t="s">
        <v>39</v>
      </c>
    </row>
    <row r="133" spans="2:11" s="3" customFormat="1" ht="16.5" customHeight="1" x14ac:dyDescent="0.3">
      <c r="B133" s="110">
        <v>2011</v>
      </c>
      <c r="C133" s="73">
        <f>C26*'3.  Distribution Rates'!E33</f>
        <v>0</v>
      </c>
      <c r="D133" s="73">
        <f>D26*'3.  Distribution Rates'!E34</f>
        <v>0</v>
      </c>
      <c r="E133" s="73">
        <f>E26*'3.  Distribution Rates'!E35</f>
        <v>0</v>
      </c>
      <c r="F133" s="73">
        <f>F26*'3.  Distribution Rates'!E36</f>
        <v>0</v>
      </c>
      <c r="G133" s="73">
        <f>G26*'3.  Distribution Rates'!E37</f>
        <v>0</v>
      </c>
      <c r="H133" s="73">
        <f>H26*'3.  Distribution Rates'!E38</f>
        <v>0</v>
      </c>
      <c r="I133" s="73">
        <f>I26*'3.  Distribution Rates'!E39</f>
        <v>0</v>
      </c>
      <c r="J133" s="537">
        <f>J26*'3.  Distribution Rates'!E40</f>
        <v>0</v>
      </c>
      <c r="K133" s="73">
        <f t="shared" ref="K133:K137" si="91">SUM(C133:J133)</f>
        <v>0</v>
      </c>
    </row>
    <row r="134" spans="2:11" s="3" customFormat="1" ht="16.5" customHeight="1" x14ac:dyDescent="0.3">
      <c r="B134" s="110">
        <v>2012</v>
      </c>
      <c r="C134" s="73">
        <f>C27*'3.  Distribution Rates'!F33</f>
        <v>59956.932611091492</v>
      </c>
      <c r="D134" s="73">
        <f>D27*'3.  Distribution Rates'!F34</f>
        <v>18568.421312069397</v>
      </c>
      <c r="E134" s="73">
        <f>E27*'3.  Distribution Rates'!F35</f>
        <v>27911.784785076448</v>
      </c>
      <c r="F134" s="73">
        <f>F27*'3.  Distribution Rates'!F36</f>
        <v>7386.0671567673689</v>
      </c>
      <c r="G134" s="73">
        <f>G27*'3.  Distribution Rates'!F37</f>
        <v>0</v>
      </c>
      <c r="H134" s="73">
        <f>H27*'3.  Distribution Rates'!F38</f>
        <v>0</v>
      </c>
      <c r="I134" s="73">
        <f>I27*'3.  Distribution Rates'!F39</f>
        <v>540.55739719432745</v>
      </c>
      <c r="J134" s="537">
        <f>J27*'3.  Distribution Rates'!F40</f>
        <v>8948.891776999435</v>
      </c>
      <c r="K134" s="73">
        <f t="shared" si="91"/>
        <v>123312.65503919846</v>
      </c>
    </row>
    <row r="135" spans="2:11" s="3" customFormat="1" ht="16.5" customHeight="1" x14ac:dyDescent="0.3">
      <c r="B135" s="110">
        <v>2013</v>
      </c>
      <c r="C135" s="73">
        <f>C28*'3.  Distribution Rates'!G33</f>
        <v>61844.63213857713</v>
      </c>
      <c r="D135" s="73">
        <f>D28*'3.  Distribution Rates'!G34</f>
        <v>17933.000050439645</v>
      </c>
      <c r="E135" s="73">
        <f>E28*'3.  Distribution Rates'!G35</f>
        <v>27724.100662451419</v>
      </c>
      <c r="F135" s="73">
        <f>F28*'3.  Distribution Rates'!G36</f>
        <v>8224.8299732715877</v>
      </c>
      <c r="G135" s="73">
        <f>G28*'3.  Distribution Rates'!G37</f>
        <v>0</v>
      </c>
      <c r="H135" s="73">
        <f>H28*'3.  Distribution Rates'!G38</f>
        <v>0</v>
      </c>
      <c r="I135" s="73">
        <f>I28*'3.  Distribution Rates'!G39</f>
        <v>556.4250311628499</v>
      </c>
      <c r="J135" s="537">
        <f>J28*'3.  Distribution Rates'!G40</f>
        <v>9168.9686417748344</v>
      </c>
      <c r="K135" s="73">
        <f t="shared" si="91"/>
        <v>125451.95649767747</v>
      </c>
    </row>
    <row r="136" spans="2:11" s="3" customFormat="1" ht="16.5" customHeight="1" x14ac:dyDescent="0.3">
      <c r="B136" s="110">
        <v>2014</v>
      </c>
      <c r="C136" s="74">
        <f>C29*'3.  Distribution Rates'!H33</f>
        <v>62563.755768095471</v>
      </c>
      <c r="D136" s="74">
        <f>D29*'3.  Distribution Rates'!H34</f>
        <v>18215.409500052869</v>
      </c>
      <c r="E136" s="74">
        <f>E29*'3.  Distribution Rates'!H35</f>
        <v>28112.756279214755</v>
      </c>
      <c r="F136" s="74">
        <f>F29*'3.  Distribution Rates'!H36</f>
        <v>8340.0498202641611</v>
      </c>
      <c r="G136" s="74">
        <f>G29*'3.  Distribution Rates'!H37</f>
        <v>0</v>
      </c>
      <c r="H136" s="74">
        <f>H29*'3.  Distribution Rates'!H38</f>
        <v>0</v>
      </c>
      <c r="I136" s="74">
        <f>I29*'3.  Distribution Rates'!H39</f>
        <v>564.88776927939512</v>
      </c>
      <c r="J136" s="538">
        <f>J29*'3.  Distribution Rates'!H40</f>
        <v>9297.4719134308652</v>
      </c>
      <c r="K136" s="74">
        <f t="shared" si="91"/>
        <v>127094.33105033751</v>
      </c>
    </row>
    <row r="137" spans="2:11" s="3" customFormat="1" ht="16.5" customHeight="1" x14ac:dyDescent="0.3">
      <c r="B137" s="110">
        <v>2015</v>
      </c>
      <c r="C137" s="74">
        <f>C30*'3.  Distribution Rates'!I33</f>
        <v>63282.879397613811</v>
      </c>
      <c r="D137" s="73">
        <f>D30*'3.  Distribution Rates'!I34</f>
        <v>18497.818949666093</v>
      </c>
      <c r="E137" s="74">
        <f>E30*'3.  Distribution Rates'!I35</f>
        <v>28478.158995829865</v>
      </c>
      <c r="F137" s="74">
        <f>F30*'3.  Distribution Rates'!I36</f>
        <v>8448.6365417369052</v>
      </c>
      <c r="G137" s="74">
        <f>G30*'3.  Distribution Rates'!I37</f>
        <v>0</v>
      </c>
      <c r="H137" s="74">
        <f>H30*'3.  Distribution Rates'!I38</f>
        <v>0</v>
      </c>
      <c r="I137" s="73">
        <f>I30*'3.  Distribution Rates'!I39</f>
        <v>571.23482286680405</v>
      </c>
      <c r="J137" s="537">
        <f>J30*'3.  Distribution Rates'!I40</f>
        <v>9418.3690724343578</v>
      </c>
      <c r="K137" s="74">
        <f t="shared" si="91"/>
        <v>128697.09778014783</v>
      </c>
    </row>
    <row r="138" spans="2:11" s="3" customFormat="1" ht="16.5" customHeight="1" x14ac:dyDescent="0.3">
      <c r="B138" s="110">
        <v>2016</v>
      </c>
      <c r="C138" s="74" t="e">
        <f>C31*'3.  Distribution Rates'!J33</f>
        <v>#DIV/0!</v>
      </c>
      <c r="D138" s="73" t="e">
        <f>D31*'3.  Distribution Rates'!J34</f>
        <v>#DIV/0!</v>
      </c>
      <c r="E138" s="74" t="e">
        <f>E31*'3.  Distribution Rates'!J35</f>
        <v>#DIV/0!</v>
      </c>
      <c r="F138" s="74" t="e">
        <f>F31*'3.  Distribution Rates'!J36</f>
        <v>#DIV/0!</v>
      </c>
      <c r="G138" s="74" t="e">
        <f>G31*'3.  Distribution Rates'!J37</f>
        <v>#DIV/0!</v>
      </c>
      <c r="H138" s="74" t="e">
        <f>H31*'3.  Distribution Rates'!J38</f>
        <v>#DIV/0!</v>
      </c>
      <c r="I138" s="73" t="e">
        <f>I31*'3.  Distribution Rates'!J39</f>
        <v>#DIV/0!</v>
      </c>
      <c r="J138" s="537">
        <f>J31*'3.  Distribution Rates'!J40</f>
        <v>0</v>
      </c>
      <c r="K138" s="74"/>
    </row>
    <row r="139" spans="2:11" s="3" customFormat="1" ht="16.5" customHeight="1" x14ac:dyDescent="0.3">
      <c r="B139" s="110">
        <v>2017</v>
      </c>
      <c r="C139" s="74" t="e">
        <f>C32*'3.  Distribution Rates'!K33</f>
        <v>#DIV/0!</v>
      </c>
      <c r="D139" s="73" t="e">
        <f>D32*'3.  Distribution Rates'!K34</f>
        <v>#DIV/0!</v>
      </c>
      <c r="E139" s="74" t="e">
        <f>E32*'3.  Distribution Rates'!K35</f>
        <v>#DIV/0!</v>
      </c>
      <c r="F139" s="74" t="e">
        <f>F32*'3.  Distribution Rates'!K36</f>
        <v>#DIV/0!</v>
      </c>
      <c r="G139" s="74" t="e">
        <f>G32*'3.  Distribution Rates'!K37</f>
        <v>#DIV/0!</v>
      </c>
      <c r="H139" s="74" t="e">
        <f>H32*'3.  Distribution Rates'!K38</f>
        <v>#DIV/0!</v>
      </c>
      <c r="I139" s="73" t="e">
        <f>I32*'3.  Distribution Rates'!K39</f>
        <v>#DIV/0!</v>
      </c>
      <c r="J139" s="537">
        <f>J32*'3.  Distribution Rates'!K40</f>
        <v>0</v>
      </c>
      <c r="K139" s="74"/>
    </row>
    <row r="140" spans="2:11" s="23" customFormat="1" x14ac:dyDescent="0.35">
      <c r="B140" s="540" t="s">
        <v>528</v>
      </c>
      <c r="K140" s="541">
        <f>SUM(K133:K139)</f>
        <v>504556.04036736127</v>
      </c>
    </row>
    <row r="141" spans="2:11" s="23" customFormat="1" x14ac:dyDescent="0.35">
      <c r="B141" s="540" t="s">
        <v>529</v>
      </c>
      <c r="K141" s="541">
        <f>+'8. Guelph_Approved CDM adj'!D99</f>
        <v>504556.04036736127</v>
      </c>
    </row>
    <row r="142" spans="2:11" s="23" customFormat="1" x14ac:dyDescent="0.35">
      <c r="B142" s="64" t="s">
        <v>530</v>
      </c>
      <c r="K142" s="542">
        <f>K141-K140</f>
        <v>0</v>
      </c>
    </row>
    <row r="143" spans="2:11" s="23" customFormat="1" x14ac:dyDescent="0.35">
      <c r="B143" s="64"/>
    </row>
    <row r="144" spans="2:11" s="23" customFormat="1" x14ac:dyDescent="0.35">
      <c r="B144" s="64"/>
    </row>
    <row r="145" spans="2:2" s="23" customFormat="1" x14ac:dyDescent="0.35">
      <c r="B145" s="64"/>
    </row>
    <row r="146" spans="2:2" s="23" customFormat="1" x14ac:dyDescent="0.35">
      <c r="B146" s="64"/>
    </row>
    <row r="147" spans="2:2" s="23" customFormat="1" x14ac:dyDescent="0.35">
      <c r="B147" s="64"/>
    </row>
    <row r="148" spans="2:2" s="23" customFormat="1" x14ac:dyDescent="0.35">
      <c r="B148" s="64"/>
    </row>
    <row r="149" spans="2:2" s="23" customFormat="1" x14ac:dyDescent="0.35">
      <c r="B149" s="64"/>
    </row>
    <row r="150" spans="2:2" s="23" customFormat="1" x14ac:dyDescent="0.35">
      <c r="B150" s="64"/>
    </row>
    <row r="151" spans="2:2" s="23" customFormat="1" x14ac:dyDescent="0.35">
      <c r="B151" s="64"/>
    </row>
    <row r="152" spans="2:2" s="23" customFormat="1" x14ac:dyDescent="0.35">
      <c r="B152" s="64"/>
    </row>
    <row r="153" spans="2:2" s="23" customFormat="1" x14ac:dyDescent="0.35">
      <c r="B153" s="64"/>
    </row>
    <row r="154" spans="2:2" s="23" customFormat="1" x14ac:dyDescent="0.35">
      <c r="B154" s="64"/>
    </row>
    <row r="155" spans="2:2" s="23" customFormat="1" x14ac:dyDescent="0.35">
      <c r="B155" s="64"/>
    </row>
    <row r="156" spans="2:2" s="23" customFormat="1" x14ac:dyDescent="0.35">
      <c r="B156" s="64"/>
    </row>
    <row r="157" spans="2:2" s="23" customFormat="1" x14ac:dyDescent="0.35">
      <c r="B157" s="64"/>
    </row>
    <row r="158" spans="2:2" s="23" customFormat="1" x14ac:dyDescent="0.35">
      <c r="B158" s="64"/>
    </row>
    <row r="159" spans="2:2" s="23" customFormat="1" x14ac:dyDescent="0.35">
      <c r="B159" s="64"/>
    </row>
    <row r="160" spans="2:2" s="23" customFormat="1" x14ac:dyDescent="0.35">
      <c r="B160" s="64"/>
    </row>
    <row r="161" spans="2:2" s="23" customFormat="1" x14ac:dyDescent="0.35">
      <c r="B161" s="64"/>
    </row>
    <row r="162" spans="2:2" s="23" customFormat="1" x14ac:dyDescent="0.35">
      <c r="B162" s="64"/>
    </row>
    <row r="163" spans="2:2" s="23" customFormat="1" x14ac:dyDescent="0.35">
      <c r="B163" s="64"/>
    </row>
    <row r="164" spans="2:2" s="23" customFormat="1" x14ac:dyDescent="0.35">
      <c r="B164" s="64"/>
    </row>
    <row r="165" spans="2:2" s="23" customFormat="1" x14ac:dyDescent="0.35">
      <c r="B165" s="64"/>
    </row>
    <row r="166" spans="2:2" s="23" customFormat="1" x14ac:dyDescent="0.35">
      <c r="B166" s="64"/>
    </row>
    <row r="167" spans="2:2" s="23" customFormat="1" x14ac:dyDescent="0.35">
      <c r="B167" s="64"/>
    </row>
    <row r="168" spans="2:2" s="23" customFormat="1" x14ac:dyDescent="0.35">
      <c r="B168" s="64"/>
    </row>
    <row r="169" spans="2:2" s="23" customFormat="1" x14ac:dyDescent="0.35">
      <c r="B169" s="64"/>
    </row>
    <row r="170" spans="2:2" s="23" customFormat="1" x14ac:dyDescent="0.35">
      <c r="B170" s="64"/>
    </row>
    <row r="171" spans="2:2" s="23" customFormat="1" x14ac:dyDescent="0.35">
      <c r="B171" s="64"/>
    </row>
    <row r="172" spans="2:2" s="23" customFormat="1" x14ac:dyDescent="0.35">
      <c r="B172" s="64"/>
    </row>
    <row r="173" spans="2:2" s="23" customFormat="1" x14ac:dyDescent="0.35">
      <c r="B173" s="64"/>
    </row>
    <row r="174" spans="2:2" s="23" customFormat="1" x14ac:dyDescent="0.35">
      <c r="B174" s="64"/>
    </row>
    <row r="175" spans="2:2" s="23" customFormat="1" x14ac:dyDescent="0.35">
      <c r="B175" s="64"/>
    </row>
    <row r="176" spans="2:2" s="23" customFormat="1" x14ac:dyDescent="0.35">
      <c r="B176" s="64"/>
    </row>
    <row r="177" spans="2:2" s="23" customFormat="1" x14ac:dyDescent="0.35">
      <c r="B177" s="64"/>
    </row>
    <row r="178" spans="2:2" s="23" customFormat="1" x14ac:dyDescent="0.35">
      <c r="B178" s="64"/>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53" fitToHeight="0" orientation="landscape" r:id="rId1"/>
  <headerFooter>
    <oddFooter>&amp;R&amp;P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62"/>
  <sheetViews>
    <sheetView topLeftCell="A51" zoomScale="90" zoomScaleNormal="90" workbookViewId="0">
      <pane xSplit="2" topLeftCell="C1" activePane="topRight" state="frozen"/>
      <selection activeCell="A12" sqref="A12"/>
      <selection pane="topRight" activeCell="F57" sqref="F57"/>
    </sheetView>
  </sheetViews>
  <sheetFormatPr defaultColWidth="9.1796875" defaultRowHeight="14.5" outlineLevelRow="1" x14ac:dyDescent="0.35"/>
  <cols>
    <col min="1" max="1" width="7.54296875" style="7" customWidth="1"/>
    <col min="2" max="2" width="39.453125" style="8" customWidth="1"/>
    <col min="3" max="3" width="13.1796875" style="8" customWidth="1"/>
    <col min="4" max="4" width="25.1796875" style="8" customWidth="1"/>
    <col min="5" max="8" width="15.453125" style="8" customWidth="1"/>
    <col min="9" max="10" width="13.54296875" style="8" customWidth="1"/>
    <col min="11" max="11" width="16.1796875" style="8" bestFit="1" customWidth="1"/>
    <col min="12" max="12" width="16.26953125" style="8" bestFit="1" customWidth="1"/>
    <col min="13" max="13" width="9.54296875" style="8" bestFit="1" customWidth="1"/>
    <col min="14" max="16384" width="9.1796875" style="8"/>
  </cols>
  <sheetData>
    <row r="1" spans="1:26" ht="161.25" customHeight="1" x14ac:dyDescent="0.35">
      <c r="B1" s="46"/>
      <c r="C1" s="46"/>
    </row>
    <row r="2" spans="1:26" s="46" customFormat="1" x14ac:dyDescent="0.35">
      <c r="A2" s="7"/>
    </row>
    <row r="3" spans="1:26" ht="20" x14ac:dyDescent="0.4">
      <c r="B3" s="1257" t="s">
        <v>199</v>
      </c>
      <c r="C3" s="1257"/>
      <c r="D3" s="1257"/>
      <c r="E3" s="1257"/>
      <c r="F3" s="1257"/>
      <c r="G3" s="1257"/>
      <c r="H3" s="1257"/>
      <c r="I3" s="1257"/>
      <c r="J3" s="1257"/>
      <c r="K3" s="1257"/>
    </row>
    <row r="4" spans="1:26" s="46" customFormat="1" ht="20" x14ac:dyDescent="0.4">
      <c r="A4" s="7"/>
      <c r="B4" s="227"/>
      <c r="C4" s="227"/>
      <c r="D4" s="227"/>
      <c r="E4" s="227"/>
      <c r="F4" s="227"/>
      <c r="G4" s="227"/>
      <c r="H4" s="227"/>
      <c r="I4" s="227"/>
      <c r="J4" s="227"/>
      <c r="K4" s="227"/>
    </row>
    <row r="5" spans="1:26" ht="54" customHeight="1" outlineLevel="1" x14ac:dyDescent="0.35">
      <c r="B5" s="1258" t="s">
        <v>399</v>
      </c>
      <c r="C5" s="1261" t="s">
        <v>762</v>
      </c>
      <c r="D5" s="1261"/>
      <c r="E5" s="1261"/>
      <c r="F5" s="1261"/>
      <c r="G5" s="1261"/>
      <c r="H5" s="1261"/>
      <c r="I5" s="1261"/>
      <c r="J5" s="1261"/>
      <c r="K5" s="1261"/>
    </row>
    <row r="6" spans="1:26" s="46" customFormat="1" ht="34.5" customHeight="1" outlineLevel="1" x14ac:dyDescent="0.35">
      <c r="A6" s="7"/>
      <c r="B6" s="1258"/>
      <c r="C6" s="1261" t="s">
        <v>409</v>
      </c>
      <c r="D6" s="1261"/>
      <c r="E6" s="1261"/>
      <c r="F6" s="1261"/>
      <c r="G6" s="1261"/>
      <c r="H6" s="1261"/>
      <c r="I6" s="1261"/>
      <c r="J6" s="1261"/>
      <c r="K6" s="1261"/>
    </row>
    <row r="7" spans="1:26" s="46" customFormat="1" ht="21" customHeight="1" outlineLevel="1" x14ac:dyDescent="0.35">
      <c r="A7" s="7"/>
      <c r="B7" s="1258" t="s">
        <v>337</v>
      </c>
      <c r="C7" s="1259" t="s">
        <v>363</v>
      </c>
      <c r="D7" s="1259"/>
      <c r="E7" s="236"/>
    </row>
    <row r="8" spans="1:26" outlineLevel="1" x14ac:dyDescent="0.35">
      <c r="B8" s="1258"/>
      <c r="C8" s="1260" t="s">
        <v>338</v>
      </c>
      <c r="D8" s="1260"/>
      <c r="E8" s="1260"/>
      <c r="M8" s="9"/>
      <c r="N8" s="9"/>
      <c r="O8" s="9"/>
      <c r="P8" s="9"/>
      <c r="Q8" s="9"/>
      <c r="R8" s="9"/>
      <c r="S8" s="9"/>
      <c r="T8" s="9"/>
      <c r="U8" s="9"/>
      <c r="V8" s="9"/>
      <c r="W8" s="9"/>
      <c r="X8" s="9"/>
      <c r="Y8" s="9"/>
      <c r="Z8" s="9"/>
    </row>
    <row r="9" spans="1:26" s="5" customFormat="1" ht="10.5" customHeight="1" outlineLevel="1" x14ac:dyDescent="0.35">
      <c r="B9" s="46"/>
      <c r="C9" s="237"/>
      <c r="D9" s="238"/>
      <c r="E9" s="238"/>
      <c r="M9" s="9"/>
      <c r="N9" s="9"/>
      <c r="O9" s="9"/>
      <c r="P9" s="9"/>
      <c r="Q9" s="9"/>
      <c r="R9" s="9"/>
      <c r="S9" s="9"/>
      <c r="T9" s="9"/>
      <c r="U9" s="9"/>
      <c r="V9" s="9"/>
      <c r="W9" s="9"/>
      <c r="X9" s="9"/>
      <c r="Y9" s="9"/>
      <c r="Z9" s="9"/>
    </row>
    <row r="10" spans="1:26" s="5" customFormat="1" ht="5.25" customHeight="1" outlineLevel="1" x14ac:dyDescent="0.35">
      <c r="B10" s="46"/>
      <c r="C10" s="237"/>
      <c r="D10" s="238"/>
      <c r="E10" s="238"/>
      <c r="M10" s="9"/>
      <c r="N10" s="9"/>
      <c r="O10" s="9"/>
      <c r="P10" s="9"/>
      <c r="Q10" s="9"/>
      <c r="R10" s="9"/>
      <c r="S10" s="9"/>
      <c r="T10" s="9"/>
      <c r="U10" s="9"/>
      <c r="V10" s="9"/>
      <c r="W10" s="9"/>
      <c r="X10" s="9"/>
      <c r="Y10" s="9"/>
      <c r="Z10" s="9"/>
    </row>
    <row r="11" spans="1:26" s="5" customFormat="1" ht="12.75" customHeight="1" outlineLevel="1" x14ac:dyDescent="0.35">
      <c r="B11" s="46"/>
      <c r="C11" s="39"/>
      <c r="M11" s="9"/>
      <c r="N11" s="9"/>
      <c r="O11" s="9"/>
      <c r="P11" s="9"/>
      <c r="Q11" s="9"/>
      <c r="R11" s="9"/>
      <c r="S11" s="9"/>
      <c r="T11" s="9"/>
      <c r="U11" s="9"/>
      <c r="V11" s="9"/>
      <c r="W11" s="9"/>
      <c r="X11" s="9"/>
      <c r="Y11" s="9"/>
      <c r="Z11" s="9"/>
    </row>
    <row r="12" spans="1:26" s="39" customFormat="1" ht="18.5" outlineLevel="1" x14ac:dyDescent="0.35">
      <c r="A12" s="119"/>
      <c r="B12" s="109" t="s">
        <v>341</v>
      </c>
      <c r="C12" s="77"/>
      <c r="D12" s="77"/>
      <c r="E12" s="77"/>
      <c r="F12" s="77"/>
      <c r="G12" s="77"/>
      <c r="H12" s="77"/>
      <c r="I12" s="77"/>
      <c r="J12" s="77"/>
      <c r="K12" s="77"/>
      <c r="M12" s="119"/>
      <c r="N12" s="119"/>
      <c r="O12" s="119"/>
      <c r="P12" s="119"/>
      <c r="Q12" s="119"/>
      <c r="R12" s="119"/>
      <c r="S12" s="119"/>
      <c r="T12" s="119"/>
      <c r="U12" s="119"/>
      <c r="V12" s="119"/>
      <c r="W12" s="119"/>
      <c r="X12" s="119"/>
      <c r="Y12" s="119"/>
      <c r="Z12" s="119"/>
    </row>
    <row r="13" spans="1:26" s="46" customFormat="1" ht="6.75" customHeight="1" outlineLevel="1" x14ac:dyDescent="0.35">
      <c r="A13" s="9"/>
      <c r="B13" s="77"/>
      <c r="C13" s="77"/>
      <c r="D13" s="77"/>
      <c r="E13" s="77"/>
      <c r="F13" s="77"/>
      <c r="G13" s="77"/>
      <c r="H13" s="77"/>
      <c r="I13" s="77"/>
      <c r="J13" s="77"/>
      <c r="K13" s="77"/>
      <c r="M13" s="9"/>
      <c r="N13" s="9"/>
      <c r="O13" s="9"/>
      <c r="P13" s="9"/>
      <c r="Q13" s="9"/>
      <c r="R13" s="9"/>
      <c r="S13" s="9"/>
      <c r="T13" s="9"/>
      <c r="U13" s="9"/>
      <c r="V13" s="9"/>
      <c r="W13" s="9"/>
      <c r="X13" s="9"/>
      <c r="Y13" s="9"/>
      <c r="Z13" s="9"/>
    </row>
    <row r="14" spans="1:26" ht="32.25" customHeight="1" outlineLevel="1" x14ac:dyDescent="0.35">
      <c r="B14" s="121" t="s">
        <v>347</v>
      </c>
      <c r="C14" s="122"/>
      <c r="D14" s="198" t="s">
        <v>514</v>
      </c>
      <c r="E14" s="198" t="s">
        <v>514</v>
      </c>
      <c r="F14" s="198" t="s">
        <v>515</v>
      </c>
      <c r="G14" s="198" t="s">
        <v>515</v>
      </c>
      <c r="H14" s="198" t="s">
        <v>515</v>
      </c>
      <c r="I14" s="198" t="s">
        <v>516</v>
      </c>
      <c r="J14" s="198" t="s">
        <v>517</v>
      </c>
      <c r="K14" s="198" t="s">
        <v>518</v>
      </c>
    </row>
    <row r="15" spans="1:26" s="11" customFormat="1" ht="14.25" customHeight="1" outlineLevel="1" x14ac:dyDescent="0.3">
      <c r="A15" s="9"/>
      <c r="B15" s="69"/>
      <c r="C15" s="69"/>
      <c r="D15" s="69"/>
      <c r="E15" s="69"/>
      <c r="F15" s="69"/>
      <c r="G15" s="69"/>
      <c r="H15" s="69"/>
      <c r="I15" s="69"/>
      <c r="J15" s="69"/>
      <c r="K15" s="69"/>
      <c r="L15" s="12"/>
    </row>
    <row r="16" spans="1:26" s="352" customFormat="1" ht="46.5" customHeight="1" outlineLevel="1" thickBot="1" x14ac:dyDescent="0.4">
      <c r="A16" s="351"/>
      <c r="B16" s="131" t="s">
        <v>57</v>
      </c>
      <c r="C16" s="132" t="s">
        <v>58</v>
      </c>
      <c r="D16" s="199" t="s">
        <v>519</v>
      </c>
      <c r="E16" s="199" t="s">
        <v>520</v>
      </c>
      <c r="F16" s="199" t="s">
        <v>521</v>
      </c>
      <c r="G16" s="199" t="s">
        <v>522</v>
      </c>
      <c r="H16" s="199" t="s">
        <v>523</v>
      </c>
      <c r="I16" s="199" t="s">
        <v>524</v>
      </c>
      <c r="J16" s="199" t="s">
        <v>525</v>
      </c>
      <c r="K16" s="199" t="s">
        <v>526</v>
      </c>
    </row>
    <row r="17" spans="1:12" s="11" customFormat="1" outlineLevel="1" x14ac:dyDescent="0.25">
      <c r="A17" s="7"/>
      <c r="B17" s="128" t="s">
        <v>407</v>
      </c>
      <c r="C17" s="129"/>
      <c r="D17" s="130">
        <v>2011</v>
      </c>
      <c r="E17" s="130">
        <v>2011</v>
      </c>
      <c r="F17" s="130">
        <v>2012</v>
      </c>
      <c r="G17" s="130">
        <v>2012</v>
      </c>
      <c r="H17" s="130">
        <v>2012</v>
      </c>
      <c r="I17" s="130">
        <v>2013</v>
      </c>
      <c r="J17" s="130">
        <v>2014</v>
      </c>
      <c r="K17" s="130">
        <v>2015</v>
      </c>
    </row>
    <row r="18" spans="1:12" s="11" customFormat="1" outlineLevel="1" x14ac:dyDescent="0.25">
      <c r="A18" s="7"/>
      <c r="B18" s="126" t="s">
        <v>111</v>
      </c>
      <c r="C18" s="127"/>
      <c r="D18" s="446">
        <v>8</v>
      </c>
      <c r="E18" s="201">
        <v>4</v>
      </c>
      <c r="F18" s="201">
        <v>9</v>
      </c>
      <c r="G18" s="201">
        <v>11</v>
      </c>
      <c r="H18" s="201">
        <v>4</v>
      </c>
      <c r="I18" s="201">
        <v>0</v>
      </c>
      <c r="J18" s="201">
        <v>0</v>
      </c>
      <c r="K18" s="201">
        <v>0</v>
      </c>
    </row>
    <row r="19" spans="1:12" s="11" customFormat="1" outlineLevel="1" x14ac:dyDescent="0.25">
      <c r="A19" s="7"/>
      <c r="B19" s="126" t="s">
        <v>112</v>
      </c>
      <c r="C19" s="127"/>
      <c r="D19" s="200">
        <f>12-D18</f>
        <v>4</v>
      </c>
      <c r="E19" s="200">
        <f>12-E18</f>
        <v>8</v>
      </c>
      <c r="F19" s="200">
        <f t="shared" ref="F19:K19" si="0">12-F18</f>
        <v>3</v>
      </c>
      <c r="G19" s="200">
        <f t="shared" si="0"/>
        <v>1</v>
      </c>
      <c r="H19" s="200">
        <f t="shared" si="0"/>
        <v>8</v>
      </c>
      <c r="I19" s="200">
        <f t="shared" si="0"/>
        <v>12</v>
      </c>
      <c r="J19" s="200">
        <f t="shared" si="0"/>
        <v>12</v>
      </c>
      <c r="K19" s="200">
        <f t="shared" si="0"/>
        <v>12</v>
      </c>
    </row>
    <row r="20" spans="1:12" s="11" customFormat="1" ht="14" outlineLevel="1" x14ac:dyDescent="0.3">
      <c r="A20" s="10"/>
      <c r="B20" s="103" t="str">
        <f>'2.  CDM Allocation'!C24</f>
        <v>Residential</v>
      </c>
      <c r="C20" s="78" t="str">
        <f>'2.  CDM Allocation'!C25</f>
        <v>kWh</v>
      </c>
      <c r="D20" s="202">
        <f>'9. Guelph_Lost Revenue'!F5</f>
        <v>1.61E-2</v>
      </c>
      <c r="E20" s="202">
        <f>'9. Guelph_Lost Revenue'!J5</f>
        <v>1.5900000000000001E-2</v>
      </c>
      <c r="F20" s="202">
        <f>'9. Guelph_Lost Revenue'!N5</f>
        <v>1.5900000000000001E-2</v>
      </c>
      <c r="G20" s="202">
        <f>'9. Guelph_Lost Revenue'!S5</f>
        <v>1.6400000000000001E-2</v>
      </c>
      <c r="H20" s="1195">
        <f>'9. Guelph_Lost Revenue'!V5</f>
        <v>1.7000000000000001E-2</v>
      </c>
      <c r="I20" s="202">
        <f>'9. Guelph_Lost Revenue'!Z5</f>
        <v>1.72E-2</v>
      </c>
      <c r="J20" s="202">
        <f>'9. Guelph_Lost Revenue'!AD5</f>
        <v>1.7399999999999999E-2</v>
      </c>
      <c r="K20" s="202">
        <f>'9. Guelph_Lost Revenue'!AH5</f>
        <v>1.7600000000000001E-2</v>
      </c>
      <c r="L20" s="12"/>
    </row>
    <row r="21" spans="1:12" outlineLevel="1" x14ac:dyDescent="0.35">
      <c r="B21" s="103" t="str">
        <f>'2.  CDM Allocation'!D24</f>
        <v>General Service &lt;50 kW</v>
      </c>
      <c r="C21" s="78" t="str">
        <f>'2.  CDM Allocation'!D25</f>
        <v>kWh</v>
      </c>
      <c r="D21" s="202">
        <f>'9. Guelph_Lost Revenue'!F6</f>
        <v>1.5399999999999999E-2</v>
      </c>
      <c r="E21" s="202">
        <f>'9. Guelph_Lost Revenue'!J6</f>
        <v>1.5299999999999999E-2</v>
      </c>
      <c r="F21" s="202">
        <f>'9. Guelph_Lost Revenue'!N6</f>
        <v>1.5299999999999999E-2</v>
      </c>
      <c r="G21" s="202">
        <f>'9. Guelph_Lost Revenue'!S6</f>
        <v>1.11E-2</v>
      </c>
      <c r="H21" s="1195">
        <f>'9. Guelph_Lost Revenue'!V6</f>
        <v>1.26E-2</v>
      </c>
      <c r="I21" s="202">
        <f>'9. Guelph_Lost Revenue'!Z6</f>
        <v>1.2699999999999999E-2</v>
      </c>
      <c r="J21" s="202">
        <f>'9. Guelph_Lost Revenue'!AD6</f>
        <v>1.29E-2</v>
      </c>
      <c r="K21" s="202">
        <f>'9. Guelph_Lost Revenue'!AH6</f>
        <v>1.3100000000000001E-2</v>
      </c>
    </row>
    <row r="22" spans="1:12" s="5" customFormat="1" ht="14" outlineLevel="1" x14ac:dyDescent="0.3">
      <c r="B22" s="103" t="str">
        <f>'2.  CDM Allocation'!E24</f>
        <v>General Service 50 - 999 kW</v>
      </c>
      <c r="C22" s="78" t="str">
        <f>'2.  CDM Allocation'!E25</f>
        <v>kW</v>
      </c>
      <c r="D22" s="202">
        <f>'9. Guelph_Lost Revenue'!F7</f>
        <v>2.7283999999999997</v>
      </c>
      <c r="E22" s="202">
        <f>'9. Guelph_Lost Revenue'!J7</f>
        <v>2.7070000000000003</v>
      </c>
      <c r="F22" s="202">
        <f>'9. Guelph_Lost Revenue'!N7</f>
        <v>2.7070000000000003</v>
      </c>
      <c r="G22" s="202">
        <f>'9. Guelph_Lost Revenue'!S7</f>
        <v>2.2872000000000003</v>
      </c>
      <c r="H22" s="1195">
        <f>'9. Guelph_Lost Revenue'!V7</f>
        <v>2.4801000000000002</v>
      </c>
      <c r="I22" s="202">
        <f>'9. Guelph_Lost Revenue'!Z7</f>
        <v>2.5038</v>
      </c>
      <c r="J22" s="202">
        <f>'9. Guelph_Lost Revenue'!AD7</f>
        <v>2.5388999999999999</v>
      </c>
      <c r="K22" s="202">
        <f>'9. Guelph_Lost Revenue'!AH7</f>
        <v>2.5719000000000003</v>
      </c>
    </row>
    <row r="23" spans="1:12" s="5" customFormat="1" ht="14" outlineLevel="1" x14ac:dyDescent="0.3">
      <c r="A23" s="7"/>
      <c r="B23" s="103" t="str">
        <f>'2.  CDM Allocation'!F24</f>
        <v>General Service 1,000 - 4,999 kW</v>
      </c>
      <c r="C23" s="78" t="str">
        <f>'2.  CDM Allocation'!F25</f>
        <v>kW</v>
      </c>
      <c r="D23" s="202">
        <f>'9. Guelph_Lost Revenue'!F8</f>
        <v>1.9594</v>
      </c>
      <c r="E23" s="202">
        <f>'9. Guelph_Lost Revenue'!J8</f>
        <v>1.9484000000000001</v>
      </c>
      <c r="F23" s="202">
        <f>'9. Guelph_Lost Revenue'!N8</f>
        <v>1.9484000000000001</v>
      </c>
      <c r="G23" s="202">
        <f>'9. Guelph_Lost Revenue'!S8</f>
        <v>3.7101999999999999</v>
      </c>
      <c r="H23" s="1195">
        <f>'9. Guelph_Lost Revenue'!V8</f>
        <v>3.3153000000000001</v>
      </c>
      <c r="I23" s="202">
        <f>'9. Guelph_Lost Revenue'!Z8</f>
        <v>3.3479000000000001</v>
      </c>
      <c r="J23" s="202">
        <f>'9. Guelph_Lost Revenue'!AD8</f>
        <v>3.3948</v>
      </c>
      <c r="K23" s="202">
        <f>'9. Guelph_Lost Revenue'!AH8</f>
        <v>3.4390000000000001</v>
      </c>
    </row>
    <row r="24" spans="1:12" s="5" customFormat="1" ht="14" outlineLevel="1" x14ac:dyDescent="0.3">
      <c r="A24" s="7"/>
      <c r="B24" s="103" t="str">
        <f>'2.  CDM Allocation'!G24</f>
        <v>Sentinel Lighting</v>
      </c>
      <c r="C24" s="78" t="str">
        <f>'2.  CDM Allocation'!G25</f>
        <v>kW</v>
      </c>
      <c r="D24" s="202">
        <f>'9. Guelph_Lost Revenue'!F11</f>
        <v>7.0956000000000001</v>
      </c>
      <c r="E24" s="202">
        <f>'9. Guelph_Lost Revenue'!J11</f>
        <v>7.0204999999999993</v>
      </c>
      <c r="F24" s="202">
        <f>'9. Guelph_Lost Revenue'!N11</f>
        <v>7.0204999999999993</v>
      </c>
      <c r="G24" s="202">
        <f>'9. Guelph_Lost Revenue'!S11</f>
        <v>7.3085000000000004</v>
      </c>
      <c r="H24" s="1195">
        <f>'9. Guelph_Lost Revenue'!V11</f>
        <v>7.5162000000000004</v>
      </c>
      <c r="I24" s="202">
        <f>'9. Guelph_Lost Revenue'!Z11</f>
        <v>7.5833000000000004</v>
      </c>
      <c r="J24" s="202">
        <f>'9. Guelph_Lost Revenue'!AD11</f>
        <v>7.6897000000000002</v>
      </c>
      <c r="K24" s="202">
        <f>'9. Guelph_Lost Revenue'!AH11</f>
        <v>7.7897999999999996</v>
      </c>
    </row>
    <row r="25" spans="1:12" s="5" customFormat="1" ht="14" outlineLevel="1" x14ac:dyDescent="0.3">
      <c r="A25" s="7"/>
      <c r="B25" s="103" t="str">
        <f>'2.  CDM Allocation'!H24</f>
        <v>Street Lighting</v>
      </c>
      <c r="C25" s="78" t="str">
        <f>'2.  CDM Allocation'!H25</f>
        <v>kW</v>
      </c>
      <c r="D25" s="202">
        <f>'9. Guelph_Lost Revenue'!F12</f>
        <v>5.49</v>
      </c>
      <c r="E25" s="202">
        <f>'9. Guelph_Lost Revenue'!J12</f>
        <v>5.4554999999999998</v>
      </c>
      <c r="F25" s="202">
        <f>'9. Guelph_Lost Revenue'!N12</f>
        <v>5.4554999999999998</v>
      </c>
      <c r="G25" s="202">
        <f>'9. Guelph_Lost Revenue'!S12</f>
        <v>10.274799999999999</v>
      </c>
      <c r="H25" s="1195">
        <f>'9. Guelph_Lost Revenue'!V12</f>
        <v>9.2150999999999996</v>
      </c>
      <c r="I25" s="202">
        <f>'9. Guelph_Lost Revenue'!Z12</f>
        <v>9.3044000000000011</v>
      </c>
      <c r="J25" s="202">
        <f>'9. Guelph_Lost Revenue'!AD12</f>
        <v>9.434800000000001</v>
      </c>
      <c r="K25" s="202">
        <f>'9. Guelph_Lost Revenue'!AH12</f>
        <v>9.5576000000000008</v>
      </c>
    </row>
    <row r="26" spans="1:12" s="5" customFormat="1" ht="14" outlineLevel="1" x14ac:dyDescent="0.3">
      <c r="A26" s="7"/>
      <c r="B26" s="103" t="str">
        <f>'2.  CDM Allocation'!I24</f>
        <v>Unmetered Scattered Load</v>
      </c>
      <c r="C26" s="78" t="str">
        <f>'2.  CDM Allocation'!I25</f>
        <v>kWh</v>
      </c>
      <c r="D26" s="202">
        <f>'9. Guelph_Lost Revenue'!$F$10</f>
        <v>2.47E-2</v>
      </c>
      <c r="E26" s="202">
        <f>'9. Guelph_Lost Revenue'!$J$10</f>
        <v>2.4400000000000002E-2</v>
      </c>
      <c r="F26" s="202">
        <f>'9. Guelph_Lost Revenue'!$N$10</f>
        <v>2.4400000000000002E-2</v>
      </c>
      <c r="G26" s="202">
        <f>'9. Guelph_Lost Revenue'!$S$10</f>
        <v>2.5399999999999999E-2</v>
      </c>
      <c r="H26" s="1195">
        <f>'9. Guelph_Lost Revenue'!$V$10</f>
        <v>2.5999999999999999E-2</v>
      </c>
      <c r="I26" s="202">
        <f>'9. Guelph_Lost Revenue'!$Z$10</f>
        <v>2.63E-2</v>
      </c>
      <c r="J26" s="202">
        <f>'9. Guelph_Lost Revenue'!$AD$10</f>
        <v>2.6700000000000002E-2</v>
      </c>
      <c r="K26" s="202">
        <f>'9. Guelph_Lost Revenue'!$AH$10</f>
        <v>2.7E-2</v>
      </c>
    </row>
    <row r="27" spans="1:12" s="5" customFormat="1" ht="14" outlineLevel="1" x14ac:dyDescent="0.3">
      <c r="A27" s="7"/>
      <c r="B27" s="104" t="s">
        <v>508</v>
      </c>
      <c r="C27" s="105" t="s">
        <v>37</v>
      </c>
      <c r="D27" s="203">
        <f>'9. Guelph_Lost Revenue'!$F$9</f>
        <v>2.1543999999999999</v>
      </c>
      <c r="E27" s="203">
        <f>'9. Guelph_Lost Revenue'!$J$9</f>
        <v>2.1438999999999999</v>
      </c>
      <c r="F27" s="203">
        <f>'9. Guelph_Lost Revenue'!$N$9</f>
        <v>2.1438999999999999</v>
      </c>
      <c r="G27" s="203">
        <f>'9. Guelph_Lost Revenue'!$S$9</f>
        <v>2.2493999999999996</v>
      </c>
      <c r="H27" s="1196">
        <f>'9. Guelph_Lost Revenue'!$V$9</f>
        <v>2.2679999999999998</v>
      </c>
      <c r="I27" s="204">
        <f>'9. Guelph_Lost Revenue'!$Z$9</f>
        <v>2.2904</v>
      </c>
      <c r="J27" s="204">
        <f>'9. Guelph_Lost Revenue'!$AD$9</f>
        <v>2.3225000000000002</v>
      </c>
      <c r="K27" s="204">
        <f>'9. Guelph_Lost Revenue'!$AH$9</f>
        <v>2.3527</v>
      </c>
    </row>
    <row r="28" spans="1:12" s="5" customFormat="1" ht="14" outlineLevel="1" x14ac:dyDescent="0.3">
      <c r="A28" s="7"/>
      <c r="B28" s="230"/>
      <c r="C28" s="280"/>
      <c r="D28" s="357"/>
      <c r="E28" s="357"/>
      <c r="F28" s="357"/>
      <c r="G28" s="357"/>
      <c r="H28" s="357"/>
      <c r="I28" s="358"/>
      <c r="J28" s="358"/>
      <c r="K28" s="358"/>
    </row>
    <row r="29" spans="1:12" s="5" customFormat="1" outlineLevel="1" x14ac:dyDescent="0.35">
      <c r="A29" s="7"/>
      <c r="B29" s="36"/>
      <c r="C29" s="37"/>
      <c r="D29" s="38"/>
      <c r="E29" s="38"/>
      <c r="F29" s="38"/>
      <c r="G29" s="38"/>
      <c r="H29" s="38"/>
      <c r="I29" s="39"/>
      <c r="J29" s="39"/>
      <c r="K29" s="39"/>
    </row>
    <row r="30" spans="1:12" s="39" customFormat="1" ht="18.5" x14ac:dyDescent="0.35">
      <c r="A30" s="120"/>
      <c r="B30" s="360" t="s">
        <v>413</v>
      </c>
      <c r="C30" s="77"/>
      <c r="D30" s="77"/>
      <c r="E30" s="77"/>
      <c r="F30" s="77"/>
      <c r="G30" s="77"/>
      <c r="H30" s="77"/>
      <c r="I30" s="77"/>
      <c r="J30" s="77"/>
      <c r="K30" s="77"/>
    </row>
    <row r="31" spans="1:12" ht="9" customHeight="1" x14ac:dyDescent="0.35">
      <c r="B31" s="11"/>
      <c r="C31" s="11"/>
      <c r="D31" s="11"/>
      <c r="E31" s="11"/>
      <c r="F31" s="11"/>
      <c r="G31" s="11"/>
      <c r="H31" s="11"/>
      <c r="I31" s="11"/>
      <c r="J31" s="11"/>
      <c r="K31" s="11"/>
    </row>
    <row r="32" spans="1:12" ht="27" customHeight="1" x14ac:dyDescent="0.35">
      <c r="B32" s="276" t="s">
        <v>57</v>
      </c>
      <c r="C32" s="1254" t="s">
        <v>58</v>
      </c>
      <c r="D32" s="1255"/>
      <c r="E32" s="277">
        <v>2011</v>
      </c>
      <c r="F32" s="277">
        <v>2012</v>
      </c>
      <c r="G32" s="277">
        <v>2013</v>
      </c>
      <c r="H32" s="277">
        <v>2014</v>
      </c>
      <c r="I32" s="277">
        <v>2015</v>
      </c>
      <c r="J32" s="277">
        <v>2016</v>
      </c>
      <c r="K32" s="278">
        <v>2017</v>
      </c>
    </row>
    <row r="33" spans="1:11" ht="19.5" customHeight="1" x14ac:dyDescent="0.35">
      <c r="B33" s="281" t="s">
        <v>38</v>
      </c>
      <c r="C33" s="1256" t="s">
        <v>36</v>
      </c>
      <c r="D33" s="1256"/>
      <c r="E33" s="279">
        <f t="shared" ref="E33:E39" si="1">SUM(D20*$E$18+E20*$E$19)/12</f>
        <v>1.5966666666666667E-2</v>
      </c>
      <c r="F33" s="519">
        <f>(F20*$F$19+G20*$G$19+H20*$H$19)/12</f>
        <v>1.6674999999999999E-2</v>
      </c>
      <c r="G33" s="519">
        <f>I20</f>
        <v>1.72E-2</v>
      </c>
      <c r="H33" s="519">
        <f t="shared" ref="H33:I40" si="2">J20</f>
        <v>1.7399999999999999E-2</v>
      </c>
      <c r="I33" s="519">
        <f t="shared" si="2"/>
        <v>1.7600000000000001E-2</v>
      </c>
      <c r="J33" s="279"/>
      <c r="K33" s="282"/>
    </row>
    <row r="34" spans="1:11" ht="19.5" customHeight="1" x14ac:dyDescent="0.35">
      <c r="B34" s="281" t="s">
        <v>40</v>
      </c>
      <c r="C34" s="1252" t="s">
        <v>36</v>
      </c>
      <c r="D34" s="1252"/>
      <c r="E34" s="279">
        <f t="shared" si="1"/>
        <v>1.5333333333333332E-2</v>
      </c>
      <c r="F34" s="519">
        <f t="shared" ref="F34:F40" si="3">(F21*$F$19+G21*$G$19+H21*$H$19)/12</f>
        <v>1.315E-2</v>
      </c>
      <c r="G34" s="519">
        <f t="shared" ref="G34:G40" si="4">I21</f>
        <v>1.2699999999999999E-2</v>
      </c>
      <c r="H34" s="519">
        <f t="shared" si="2"/>
        <v>1.29E-2</v>
      </c>
      <c r="I34" s="519">
        <f t="shared" si="2"/>
        <v>1.3100000000000001E-2</v>
      </c>
      <c r="J34" s="279"/>
      <c r="K34" s="282"/>
    </row>
    <row r="35" spans="1:11" ht="19.5" customHeight="1" x14ac:dyDescent="0.35">
      <c r="B35" s="281" t="s">
        <v>109</v>
      </c>
      <c r="C35" s="1252" t="s">
        <v>37</v>
      </c>
      <c r="D35" s="1252"/>
      <c r="E35" s="279">
        <f t="shared" si="1"/>
        <v>2.7141333333333333</v>
      </c>
      <c r="F35" s="519">
        <f t="shared" si="3"/>
        <v>2.52075</v>
      </c>
      <c r="G35" s="519">
        <f t="shared" si="4"/>
        <v>2.5038</v>
      </c>
      <c r="H35" s="519">
        <f t="shared" si="2"/>
        <v>2.5388999999999999</v>
      </c>
      <c r="I35" s="519">
        <f t="shared" si="2"/>
        <v>2.5719000000000003</v>
      </c>
      <c r="J35" s="279"/>
      <c r="K35" s="282"/>
    </row>
    <row r="36" spans="1:11" ht="19.5" customHeight="1" x14ac:dyDescent="0.35">
      <c r="B36" s="281" t="s">
        <v>110</v>
      </c>
      <c r="C36" s="1252" t="s">
        <v>37</v>
      </c>
      <c r="D36" s="1252"/>
      <c r="E36" s="279">
        <f t="shared" si="1"/>
        <v>1.9520666666666668</v>
      </c>
      <c r="F36" s="519">
        <f t="shared" si="3"/>
        <v>3.0064833333333336</v>
      </c>
      <c r="G36" s="519">
        <f t="shared" si="4"/>
        <v>3.3479000000000001</v>
      </c>
      <c r="H36" s="519">
        <f t="shared" si="2"/>
        <v>3.3948</v>
      </c>
      <c r="I36" s="519">
        <f t="shared" si="2"/>
        <v>3.4390000000000001</v>
      </c>
      <c r="J36" s="279"/>
      <c r="K36" s="282"/>
    </row>
    <row r="37" spans="1:11" ht="19.5" customHeight="1" x14ac:dyDescent="0.35">
      <c r="B37" s="281" t="s">
        <v>41</v>
      </c>
      <c r="C37" s="1252" t="s">
        <v>37</v>
      </c>
      <c r="D37" s="1252"/>
      <c r="E37" s="279">
        <f t="shared" si="1"/>
        <v>7.0455333333333323</v>
      </c>
      <c r="F37" s="519">
        <f t="shared" si="3"/>
        <v>7.3749666666666664</v>
      </c>
      <c r="G37" s="519">
        <f t="shared" si="4"/>
        <v>7.5833000000000004</v>
      </c>
      <c r="H37" s="519">
        <f t="shared" si="2"/>
        <v>7.6897000000000002</v>
      </c>
      <c r="I37" s="519">
        <f t="shared" si="2"/>
        <v>7.7897999999999996</v>
      </c>
      <c r="J37" s="279"/>
      <c r="K37" s="282"/>
    </row>
    <row r="38" spans="1:11" ht="19.5" customHeight="1" x14ac:dyDescent="0.35">
      <c r="B38" s="281" t="s">
        <v>42</v>
      </c>
      <c r="C38" s="1252" t="s">
        <v>37</v>
      </c>
      <c r="D38" s="1252"/>
      <c r="E38" s="279">
        <f t="shared" si="1"/>
        <v>5.4669999999999996</v>
      </c>
      <c r="F38" s="519">
        <f t="shared" si="3"/>
        <v>8.3635083333333338</v>
      </c>
      <c r="G38" s="519">
        <f t="shared" si="4"/>
        <v>9.3044000000000011</v>
      </c>
      <c r="H38" s="519">
        <f t="shared" si="2"/>
        <v>9.434800000000001</v>
      </c>
      <c r="I38" s="519">
        <f t="shared" si="2"/>
        <v>9.5576000000000008</v>
      </c>
      <c r="J38" s="279"/>
      <c r="K38" s="282"/>
    </row>
    <row r="39" spans="1:11" ht="19.5" customHeight="1" x14ac:dyDescent="0.35">
      <c r="B39" s="281" t="s">
        <v>43</v>
      </c>
      <c r="C39" s="1252" t="s">
        <v>36</v>
      </c>
      <c r="D39" s="1252"/>
      <c r="E39" s="279">
        <f t="shared" si="1"/>
        <v>2.4500000000000004E-2</v>
      </c>
      <c r="F39" s="519">
        <f t="shared" si="3"/>
        <v>2.555E-2</v>
      </c>
      <c r="G39" s="519">
        <f t="shared" si="4"/>
        <v>2.63E-2</v>
      </c>
      <c r="H39" s="519">
        <f t="shared" si="2"/>
        <v>2.6700000000000002E-2</v>
      </c>
      <c r="I39" s="519">
        <f t="shared" si="2"/>
        <v>2.7E-2</v>
      </c>
      <c r="J39" s="279"/>
      <c r="K39" s="282"/>
    </row>
    <row r="40" spans="1:11" ht="19.5" customHeight="1" x14ac:dyDescent="0.35">
      <c r="B40" s="283" t="s">
        <v>508</v>
      </c>
      <c r="C40" s="1253" t="s">
        <v>37</v>
      </c>
      <c r="D40" s="1253"/>
      <c r="E40" s="284">
        <f t="shared" ref="E40" si="5">SUM(D27*$E$18+E27*$E$19)/12</f>
        <v>2.1473999999999998</v>
      </c>
      <c r="F40" s="520">
        <f t="shared" si="3"/>
        <v>2.2354249999999998</v>
      </c>
      <c r="G40" s="520">
        <f t="shared" si="4"/>
        <v>2.2904</v>
      </c>
      <c r="H40" s="520">
        <f t="shared" si="2"/>
        <v>2.3225000000000002</v>
      </c>
      <c r="I40" s="520">
        <f t="shared" si="2"/>
        <v>2.3527</v>
      </c>
      <c r="J40" s="284"/>
      <c r="K40" s="285"/>
    </row>
    <row r="41" spans="1:11" s="46" customFormat="1" ht="19.5" customHeight="1" x14ac:dyDescent="0.35">
      <c r="A41" s="7"/>
      <c r="B41" s="1183"/>
      <c r="C41" s="1182"/>
      <c r="D41" s="1182"/>
      <c r="E41" s="279"/>
      <c r="F41" s="519"/>
      <c r="G41" s="519"/>
      <c r="H41" s="519"/>
      <c r="I41" s="519"/>
      <c r="J41" s="279"/>
      <c r="K41" s="279"/>
    </row>
    <row r="42" spans="1:11" x14ac:dyDescent="0.35">
      <c r="B42" s="46"/>
      <c r="C42" s="46"/>
      <c r="D42" s="46"/>
      <c r="E42" s="46"/>
      <c r="F42" s="1191" t="s">
        <v>799</v>
      </c>
      <c r="G42" s="1191" t="s">
        <v>800</v>
      </c>
      <c r="H42" s="1191" t="s">
        <v>801</v>
      </c>
      <c r="I42" s="46"/>
      <c r="J42" s="46"/>
      <c r="K42" s="46"/>
    </row>
    <row r="43" spans="1:11" x14ac:dyDescent="0.35">
      <c r="D43" s="1250" t="s">
        <v>38</v>
      </c>
      <c r="E43" s="1251"/>
      <c r="F43" s="1185">
        <f t="shared" ref="F43:G46" si="6">+F55*F33</f>
        <v>26880.868188983753</v>
      </c>
      <c r="G43" s="1185">
        <f t="shared" si="6"/>
        <v>27704.076749687629</v>
      </c>
      <c r="H43" s="1185">
        <f>+H55*G33</f>
        <v>15008.53538013186</v>
      </c>
      <c r="I43" s="1185"/>
    </row>
    <row r="44" spans="1:11" x14ac:dyDescent="0.35">
      <c r="D44" s="1250" t="s">
        <v>40</v>
      </c>
      <c r="E44" s="1251"/>
      <c r="F44" s="1185">
        <f t="shared" si="6"/>
        <v>10235.251318513119</v>
      </c>
      <c r="G44" s="1185">
        <f t="shared" si="6"/>
        <v>9876.7546399416897</v>
      </c>
      <c r="H44" s="1185">
        <f>+H56*G34</f>
        <v>11395.294506461676</v>
      </c>
      <c r="I44" s="1185"/>
    </row>
    <row r="45" spans="1:11" x14ac:dyDescent="0.35">
      <c r="D45" s="1250" t="s">
        <v>109</v>
      </c>
      <c r="E45" s="1251"/>
      <c r="F45" s="1185">
        <f t="shared" si="6"/>
        <v>20656.095314220234</v>
      </c>
      <c r="G45" s="1185">
        <f t="shared" si="6"/>
        <v>20482.844161141915</v>
      </c>
      <c r="H45" s="1185">
        <f>+H57*G35</f>
        <v>65226.365998932408</v>
      </c>
      <c r="I45" s="1185"/>
    </row>
    <row r="46" spans="1:11" x14ac:dyDescent="0.35">
      <c r="D46" s="1250" t="s">
        <v>110</v>
      </c>
      <c r="E46" s="1251"/>
      <c r="F46" s="1185">
        <f t="shared" si="6"/>
        <v>36387.51662853107</v>
      </c>
      <c r="G46" s="1185">
        <f t="shared" si="6"/>
        <v>40451.838647838689</v>
      </c>
      <c r="H46" s="1185">
        <f>+H58*G36</f>
        <v>44832.300329165744</v>
      </c>
      <c r="I46" s="1185"/>
    </row>
    <row r="47" spans="1:11" x14ac:dyDescent="0.35">
      <c r="D47" s="281" t="s">
        <v>41</v>
      </c>
      <c r="F47" s="1185"/>
      <c r="G47" s="1185"/>
      <c r="H47" s="1185"/>
      <c r="I47" s="1185"/>
    </row>
    <row r="48" spans="1:11" x14ac:dyDescent="0.35">
      <c r="D48" s="281" t="s">
        <v>42</v>
      </c>
      <c r="F48" s="1185"/>
      <c r="G48" s="1185"/>
      <c r="H48" s="1185"/>
      <c r="I48" s="1185"/>
    </row>
    <row r="49" spans="1:13" x14ac:dyDescent="0.35">
      <c r="D49" s="281" t="s">
        <v>43</v>
      </c>
      <c r="F49" s="1185"/>
      <c r="G49" s="1185"/>
      <c r="H49" s="1185"/>
    </row>
    <row r="50" spans="1:13" ht="72.5" x14ac:dyDescent="0.35">
      <c r="D50" s="1200" t="s">
        <v>508</v>
      </c>
      <c r="E50" s="39"/>
      <c r="F50" s="1203">
        <f>+F59*F40</f>
        <v>18224.494725465891</v>
      </c>
      <c r="G50" s="1203">
        <f>+G59*G40</f>
        <v>18641.416093426731</v>
      </c>
      <c r="H50" s="1203">
        <f>+H59*G40</f>
        <v>62665.970026393843</v>
      </c>
      <c r="I50" s="1212" t="s">
        <v>804</v>
      </c>
      <c r="J50" s="1212" t="s">
        <v>806</v>
      </c>
      <c r="K50" s="1205" t="s">
        <v>807</v>
      </c>
    </row>
    <row r="51" spans="1:13" s="46" customFormat="1" ht="43.5" x14ac:dyDescent="0.35">
      <c r="A51" s="7"/>
      <c r="D51" s="1204" t="s">
        <v>802</v>
      </c>
      <c r="E51" s="1205"/>
      <c r="F51" s="1206">
        <f>SUM(F45:F50)</f>
        <v>75268.106668217195</v>
      </c>
      <c r="G51" s="1206">
        <f t="shared" ref="G51:H51" si="7">SUM(G45:G50)</f>
        <v>79576.098902407335</v>
      </c>
      <c r="H51" s="1206">
        <f t="shared" si="7"/>
        <v>172724.63635449199</v>
      </c>
      <c r="I51" s="1207">
        <f>SUM(F51:H51)</f>
        <v>327568.84192511649</v>
      </c>
      <c r="J51" s="1207"/>
      <c r="K51" s="1211" t="s">
        <v>808</v>
      </c>
      <c r="L51" s="1205" t="s">
        <v>805</v>
      </c>
    </row>
    <row r="52" spans="1:13" s="46" customFormat="1" ht="42" x14ac:dyDescent="0.35">
      <c r="A52" s="7"/>
      <c r="D52" s="1204" t="s">
        <v>803</v>
      </c>
      <c r="E52" s="1205"/>
      <c r="F52" s="1206">
        <f>+F51*'7.  Carrying Charges'!H31*12</f>
        <v>1106.4411680227927</v>
      </c>
      <c r="G52" s="1206">
        <f>(F51+G51)*'7.  Carrying Charges'!H46*12</f>
        <v>2276.2098218881802</v>
      </c>
      <c r="H52" s="1206">
        <f>(F51+G51+H51)*'7.  Carrying Charges'!H46*12</f>
        <v>4815.2619762992117</v>
      </c>
      <c r="I52" s="1207">
        <f>SUM(F52:H52)</f>
        <v>8197.9129662101841</v>
      </c>
      <c r="J52" s="1208">
        <f>I51+I52</f>
        <v>335766.75489132665</v>
      </c>
      <c r="K52" s="1210">
        <f>+'[6]Guelph Adjs'!$E$24</f>
        <v>129057.74413172694</v>
      </c>
      <c r="L52" s="1207">
        <f>+J52+'[6]Guelph Adjs'!$E$24</f>
        <v>464824.49902305356</v>
      </c>
      <c r="M52" s="1209">
        <f>'[6]IRR 3 a'!$C$6-L52</f>
        <v>-8197.9129662099294</v>
      </c>
    </row>
    <row r="53" spans="1:13" s="1187" customFormat="1" x14ac:dyDescent="0.35">
      <c r="A53" s="1186"/>
      <c r="E53" s="1188"/>
      <c r="F53" s="1189">
        <f>+F43+F44</f>
        <v>37116.119507496871</v>
      </c>
      <c r="G53" s="1189">
        <f>+G43+G44</f>
        <v>37580.831389629318</v>
      </c>
      <c r="H53" s="1189">
        <f>+H43+H44</f>
        <v>26403.829886593536</v>
      </c>
      <c r="I53" s="1189"/>
    </row>
    <row r="54" spans="1:13" s="1191" customFormat="1" x14ac:dyDescent="0.35">
      <c r="A54" s="1190"/>
      <c r="F54" s="1191" t="s">
        <v>799</v>
      </c>
      <c r="G54" s="1191" t="s">
        <v>800</v>
      </c>
      <c r="H54" s="1191" t="s">
        <v>801</v>
      </c>
    </row>
    <row r="55" spans="1:13" x14ac:dyDescent="0.35">
      <c r="E55" s="810" t="s">
        <v>38</v>
      </c>
      <c r="F55" s="1184">
        <f>+'[7]CDM Prgs'!$T$5</f>
        <v>1612046.0683048728</v>
      </c>
      <c r="G55" s="1184">
        <f>+'[7]CDM Prgs'!$AF$5</f>
        <v>1610702.1366097459</v>
      </c>
      <c r="H55" s="1184">
        <f>+'[7]CDM Prgs'!$AG$5</f>
        <v>872589.266286736</v>
      </c>
    </row>
    <row r="56" spans="1:13" x14ac:dyDescent="0.35">
      <c r="E56" s="810" t="s">
        <v>557</v>
      </c>
      <c r="F56" s="1184">
        <f>+'[7]CDM Prgs'!$T$6</f>
        <v>778346.1078717201</v>
      </c>
      <c r="G56" s="1184">
        <f>+'[7]CDM Prgs'!$AF$6</f>
        <v>777697.2157434402</v>
      </c>
      <c r="H56" s="1184">
        <f>+'[7]CDM Prgs'!$AG$6</f>
        <v>897267.28397336032</v>
      </c>
    </row>
    <row r="57" spans="1:13" x14ac:dyDescent="0.35">
      <c r="E57" s="810" t="s">
        <v>558</v>
      </c>
      <c r="F57" s="1202">
        <v>8194.4244031420149</v>
      </c>
      <c r="G57" s="1202">
        <v>8180.7029959029933</v>
      </c>
      <c r="H57" s="1202">
        <v>26050.948957158082</v>
      </c>
      <c r="J57" s="1184"/>
    </row>
    <row r="58" spans="1:13" x14ac:dyDescent="0.35">
      <c r="E58" s="810" t="s">
        <v>559</v>
      </c>
      <c r="F58" s="1202">
        <v>12103.016246621823</v>
      </c>
      <c r="G58" s="1202">
        <v>12082.749976952324</v>
      </c>
      <c r="H58" s="1202">
        <v>13391.170682865601</v>
      </c>
    </row>
    <row r="59" spans="1:13" x14ac:dyDescent="0.35">
      <c r="E59" s="810" t="s">
        <v>541</v>
      </c>
      <c r="F59" s="1202">
        <v>8152.5860744448564</v>
      </c>
      <c r="G59" s="1202">
        <v>8138.9347246885827</v>
      </c>
      <c r="H59" s="1202">
        <v>27360.273326228536</v>
      </c>
    </row>
    <row r="60" spans="1:13" x14ac:dyDescent="0.35">
      <c r="E60" s="810" t="s">
        <v>542</v>
      </c>
      <c r="F60" s="1184">
        <f>+'10. Guelph_CDM Prgs'!T23*12</f>
        <v>0</v>
      </c>
      <c r="G60" s="1184">
        <f>+'10. Guelph_CDM Prgs'!AF23*12</f>
        <v>0</v>
      </c>
      <c r="H60" s="1184">
        <f>+'10. Guelph_CDM Prgs'!AG23*12</f>
        <v>0</v>
      </c>
    </row>
    <row r="61" spans="1:13" x14ac:dyDescent="0.35">
      <c r="E61" s="810" t="s">
        <v>41</v>
      </c>
      <c r="F61" s="8">
        <v>0</v>
      </c>
      <c r="G61" s="1184">
        <f>+'10. Guelph_CDM Prgs'!AF24*12</f>
        <v>0</v>
      </c>
      <c r="H61" s="1184">
        <f>+'10. Guelph_CDM Prgs'!AG24*12</f>
        <v>0</v>
      </c>
    </row>
    <row r="62" spans="1:13" ht="15" thickBot="1" x14ac:dyDescent="0.4">
      <c r="E62" s="823" t="s">
        <v>42</v>
      </c>
      <c r="F62" s="8">
        <v>0</v>
      </c>
      <c r="G62" s="1184">
        <f>+'10. Guelph_CDM Prgs'!AF25*12</f>
        <v>0</v>
      </c>
      <c r="H62" s="1184">
        <f>+'10. Guelph_CDM Prgs'!AG25*12</f>
        <v>0</v>
      </c>
    </row>
  </sheetData>
  <mergeCells count="20">
    <mergeCell ref="C32:D32"/>
    <mergeCell ref="C33:D33"/>
    <mergeCell ref="C34:D34"/>
    <mergeCell ref="C35:D35"/>
    <mergeCell ref="B3:K3"/>
    <mergeCell ref="B7:B8"/>
    <mergeCell ref="C7:D7"/>
    <mergeCell ref="C8:E8"/>
    <mergeCell ref="C5:K5"/>
    <mergeCell ref="C6:K6"/>
    <mergeCell ref="B5:B6"/>
    <mergeCell ref="D43:E43"/>
    <mergeCell ref="D44:E44"/>
    <mergeCell ref="D45:E45"/>
    <mergeCell ref="D46:E46"/>
    <mergeCell ref="C36:D36"/>
    <mergeCell ref="C37:D37"/>
    <mergeCell ref="C38:D38"/>
    <mergeCell ref="C39:D39"/>
    <mergeCell ref="C40:D40"/>
  </mergeCells>
  <pageMargins left="0.70866141732283472" right="0.70866141732283472" top="0.74803149606299213" bottom="0.74803149606299213" header="0.31496062992125984" footer="0.31496062992125984"/>
  <pageSetup paperSize="3" scale="95"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22"/>
  <sheetViews>
    <sheetView topLeftCell="E196" zoomScaleNormal="100" zoomScaleSheetLayoutView="80" zoomScalePageLayoutView="85" workbookViewId="0">
      <selection activeCell="I212" sqref="I212"/>
    </sheetView>
  </sheetViews>
  <sheetFormatPr defaultColWidth="9.1796875" defaultRowHeight="15.5" outlineLevelRow="1" x14ac:dyDescent="0.35"/>
  <cols>
    <col min="1" max="1" width="5.1796875" style="44" customWidth="1"/>
    <col min="2" max="2" width="4.54296875" style="25" customWidth="1"/>
    <col min="3" max="3" width="37.26953125" style="18" customWidth="1"/>
    <col min="4" max="4" width="17.81640625" style="25" customWidth="1"/>
    <col min="5" max="5" width="12.54296875" style="25" customWidth="1"/>
    <col min="6" max="6" width="19" style="26" customWidth="1"/>
    <col min="7" max="7" width="19.1796875" style="26" customWidth="1"/>
    <col min="8" max="8" width="13.81640625" style="26" customWidth="1"/>
    <col min="9" max="9" width="13.453125" style="26" customWidth="1"/>
    <col min="10" max="10" width="13" style="26" customWidth="1"/>
    <col min="11" max="11" width="15.54296875" style="26" customWidth="1"/>
    <col min="12" max="13" width="10.81640625" style="26" customWidth="1"/>
    <col min="14" max="14" width="13.54296875" style="26" customWidth="1"/>
    <col min="15" max="15" width="11.1796875" style="26" bestFit="1" customWidth="1"/>
    <col min="16" max="16" width="10.1796875" style="26" bestFit="1" customWidth="1"/>
    <col min="17" max="17" width="3.1796875" style="26" customWidth="1"/>
    <col min="18" max="18" width="14.81640625" style="26" customWidth="1"/>
    <col min="19" max="19" width="14" style="26" customWidth="1"/>
    <col min="20" max="20" width="9.7265625" style="26" customWidth="1"/>
    <col min="21" max="21" width="11.1796875" style="26" customWidth="1"/>
    <col min="22" max="22" width="12.1796875" style="26" customWidth="1"/>
    <col min="23" max="23" width="6.453125" style="26" bestFit="1" customWidth="1"/>
    <col min="24" max="28" width="9.1796875" style="26"/>
    <col min="29" max="29" width="6.453125" style="26" bestFit="1" customWidth="1"/>
    <col min="30" max="16384" width="9.1796875" style="26"/>
  </cols>
  <sheetData>
    <row r="1" spans="1:16" ht="164.25" customHeight="1" x14ac:dyDescent="0.35"/>
    <row r="2" spans="1:16" ht="23.25" customHeight="1" x14ac:dyDescent="0.35"/>
    <row r="3" spans="1:16" ht="20" x14ac:dyDescent="0.4">
      <c r="A3" s="63"/>
      <c r="B3" s="1240" t="s">
        <v>350</v>
      </c>
      <c r="C3" s="1240"/>
      <c r="D3" s="1240"/>
      <c r="E3" s="1240"/>
      <c r="F3" s="1240"/>
      <c r="G3" s="1240"/>
      <c r="H3" s="1240"/>
      <c r="I3" s="1240"/>
      <c r="J3" s="1240"/>
      <c r="K3" s="1240"/>
      <c r="L3" s="1240"/>
      <c r="M3" s="1240"/>
      <c r="N3" s="1240"/>
      <c r="O3" s="1240"/>
      <c r="P3" s="1240"/>
    </row>
    <row r="4" spans="1:16" ht="18.75" customHeight="1" outlineLevel="1" x14ac:dyDescent="0.4">
      <c r="A4" s="63"/>
      <c r="B4" s="125"/>
      <c r="C4" s="227"/>
      <c r="D4" s="363"/>
      <c r="E4" s="227"/>
      <c r="F4" s="125"/>
      <c r="G4" s="125"/>
      <c r="H4" s="125"/>
      <c r="I4" s="125"/>
      <c r="J4" s="125"/>
      <c r="K4" s="125"/>
      <c r="L4" s="125"/>
      <c r="M4" s="125"/>
      <c r="N4" s="125"/>
      <c r="O4" s="125"/>
      <c r="P4" s="125"/>
    </row>
    <row r="5" spans="1:16" outlineLevel="1" x14ac:dyDescent="0.35">
      <c r="A5" s="63"/>
      <c r="C5" s="361" t="s">
        <v>399</v>
      </c>
      <c r="D5" s="364" t="s">
        <v>416</v>
      </c>
      <c r="E5" s="296"/>
    </row>
    <row r="6" spans="1:16" outlineLevel="1" x14ac:dyDescent="0.35">
      <c r="A6" s="63"/>
      <c r="C6" s="296"/>
      <c r="D6" s="364" t="s">
        <v>485</v>
      </c>
      <c r="E6" s="296"/>
    </row>
    <row r="7" spans="1:16" s="65" customFormat="1" outlineLevel="1" x14ac:dyDescent="0.35">
      <c r="A7" s="124"/>
      <c r="B7" s="68"/>
      <c r="C7" s="69"/>
      <c r="D7" s="364" t="s">
        <v>351</v>
      </c>
      <c r="E7" s="365"/>
    </row>
    <row r="8" spans="1:16" outlineLevel="1" x14ac:dyDescent="0.35">
      <c r="A8" s="63"/>
      <c r="C8" s="26"/>
      <c r="D8" s="165" t="s">
        <v>358</v>
      </c>
    </row>
    <row r="9" spans="1:16" s="65" customFormat="1" outlineLevel="1" x14ac:dyDescent="0.35">
      <c r="A9" s="124"/>
      <c r="B9" s="68"/>
      <c r="C9" s="68"/>
      <c r="D9" s="165"/>
      <c r="E9" s="68"/>
    </row>
    <row r="10" spans="1:16" outlineLevel="1" x14ac:dyDescent="0.35">
      <c r="A10" s="63"/>
      <c r="C10" s="25"/>
      <c r="D10" s="165" t="s">
        <v>356</v>
      </c>
    </row>
    <row r="11" spans="1:16" outlineLevel="1" x14ac:dyDescent="0.35">
      <c r="A11" s="63"/>
      <c r="C11" s="25"/>
      <c r="D11" s="165" t="s">
        <v>357</v>
      </c>
    </row>
    <row r="12" spans="1:16" outlineLevel="1" x14ac:dyDescent="0.35">
      <c r="A12" s="63"/>
      <c r="C12" s="1247" t="s">
        <v>337</v>
      </c>
      <c r="D12" s="164"/>
      <c r="E12" s="46"/>
    </row>
    <row r="13" spans="1:16" outlineLevel="1" x14ac:dyDescent="0.35">
      <c r="A13" s="63"/>
      <c r="C13" s="1247"/>
      <c r="D13" s="1259" t="s">
        <v>363</v>
      </c>
      <c r="E13" s="1259"/>
    </row>
    <row r="14" spans="1:16" outlineLevel="1" x14ac:dyDescent="0.35">
      <c r="A14" s="63"/>
      <c r="C14" s="1247"/>
      <c r="D14" s="1260" t="s">
        <v>338</v>
      </c>
      <c r="E14" s="1260"/>
    </row>
    <row r="15" spans="1:16" outlineLevel="1" x14ac:dyDescent="0.35">
      <c r="A15" s="63"/>
      <c r="C15" s="83"/>
      <c r="D15" s="68"/>
      <c r="E15" s="46"/>
    </row>
    <row r="16" spans="1:16" x14ac:dyDescent="0.35">
      <c r="A16" s="63"/>
      <c r="C16" s="83"/>
      <c r="D16" s="246"/>
      <c r="E16" s="46"/>
    </row>
    <row r="17" spans="1:17" x14ac:dyDescent="0.35">
      <c r="B17" s="1275" t="s">
        <v>352</v>
      </c>
      <c r="C17" s="1275"/>
      <c r="D17" s="1275"/>
      <c r="E17" s="1275"/>
      <c r="F17" s="1275"/>
      <c r="G17" s="1275"/>
      <c r="H17" s="1275"/>
      <c r="I17" s="1275"/>
      <c r="J17" s="1275"/>
      <c r="K17" s="1275"/>
      <c r="L17" s="1275"/>
      <c r="M17" s="1275"/>
      <c r="N17" s="1275"/>
      <c r="O17" s="1275"/>
      <c r="P17" s="1275"/>
    </row>
    <row r="18" spans="1:17" ht="18.5" x14ac:dyDescent="0.45">
      <c r="B18" s="19"/>
      <c r="C18" s="20"/>
      <c r="D18" s="19"/>
      <c r="E18" s="19"/>
      <c r="F18" s="19"/>
      <c r="G18" s="19"/>
      <c r="H18" s="19"/>
      <c r="I18" s="19"/>
      <c r="J18" s="19"/>
      <c r="K18" s="19"/>
      <c r="L18" s="19"/>
      <c r="M18" s="19"/>
      <c r="N18" s="19"/>
      <c r="O18" s="19"/>
      <c r="P18" s="19"/>
    </row>
    <row r="19" spans="1:17" s="27" customFormat="1" ht="50.25" customHeight="1" x14ac:dyDescent="0.35">
      <c r="A19" s="44"/>
      <c r="B19" s="1262" t="s">
        <v>59</v>
      </c>
      <c r="C19" s="1264" t="s">
        <v>0</v>
      </c>
      <c r="D19" s="1264" t="s">
        <v>45</v>
      </c>
      <c r="E19" s="1264" t="s">
        <v>205</v>
      </c>
      <c r="F19" s="263" t="s">
        <v>46</v>
      </c>
      <c r="G19" s="263" t="s">
        <v>202</v>
      </c>
      <c r="H19" s="1272" t="s">
        <v>60</v>
      </c>
      <c r="I19" s="1273"/>
      <c r="J19" s="1273"/>
      <c r="K19" s="1273"/>
      <c r="L19" s="1273"/>
      <c r="M19" s="1273"/>
      <c r="N19" s="1273"/>
      <c r="O19" s="1273"/>
      <c r="P19" s="1274"/>
      <c r="Q19" s="4"/>
    </row>
    <row r="20" spans="1:17" s="27" customFormat="1" ht="43.5" customHeight="1" x14ac:dyDescent="0.3">
      <c r="A20" s="262"/>
      <c r="B20" s="1263"/>
      <c r="C20" s="1271"/>
      <c r="D20" s="1271"/>
      <c r="E20" s="1271"/>
      <c r="F20" s="208" t="s">
        <v>47</v>
      </c>
      <c r="G20" s="208" t="s">
        <v>48</v>
      </c>
      <c r="H20" s="208" t="str">
        <f>'1.  LRAMVA Summary'!C21</f>
        <v>Residential</v>
      </c>
      <c r="I20" s="208" t="str">
        <f>'1.  LRAMVA Summary'!D21</f>
        <v>General Service &lt;50 kW</v>
      </c>
      <c r="J20" s="208" t="str">
        <f>'1.  LRAMVA Summary'!E21</f>
        <v>General Service 50 - 999 kW</v>
      </c>
      <c r="K20" s="208" t="str">
        <f>'1.  LRAMVA Summary'!F21</f>
        <v>General Service 1,000 - 4,999 kW</v>
      </c>
      <c r="L20" s="208" t="str">
        <f>'1.  LRAMVA Summary'!G21</f>
        <v>Sentinel Lighting</v>
      </c>
      <c r="M20" s="208" t="str">
        <f>'1.  LRAMVA Summary'!H21</f>
        <v>Street Lighting</v>
      </c>
      <c r="N20" s="208" t="str">
        <f>'1.  LRAMVA Summary'!I21</f>
        <v>Unmetered Scattered Load</v>
      </c>
      <c r="O20" s="208" t="s">
        <v>508</v>
      </c>
      <c r="P20" s="264" t="str">
        <f>'1.  LRAMVA Summary'!K21</f>
        <v>Total</v>
      </c>
      <c r="Q20" s="4"/>
    </row>
    <row r="21" spans="1:17" s="21" customFormat="1" ht="21" customHeight="1" outlineLevel="1" x14ac:dyDescent="0.35">
      <c r="A21" s="1278">
        <v>2011</v>
      </c>
      <c r="B21" s="240"/>
      <c r="C21" s="1270" t="s">
        <v>1</v>
      </c>
      <c r="D21" s="1270"/>
      <c r="E21" s="241"/>
      <c r="F21" s="242"/>
      <c r="G21" s="242"/>
      <c r="H21" s="242"/>
      <c r="I21" s="242"/>
      <c r="J21" s="242"/>
      <c r="K21" s="242"/>
      <c r="L21" s="242"/>
      <c r="M21" s="242"/>
      <c r="N21" s="242"/>
      <c r="O21" s="242"/>
      <c r="P21" s="243"/>
      <c r="Q21" s="136"/>
    </row>
    <row r="22" spans="1:17" s="27" customFormat="1" ht="14" outlineLevel="1" x14ac:dyDescent="0.3">
      <c r="A22" s="1278"/>
      <c r="B22" s="265">
        <v>1</v>
      </c>
      <c r="C22" s="247" t="s">
        <v>2</v>
      </c>
      <c r="D22" s="245" t="s">
        <v>34</v>
      </c>
      <c r="E22" s="245"/>
      <c r="F22" s="289">
        <v>42.57</v>
      </c>
      <c r="G22" s="289">
        <v>312750.36800000002</v>
      </c>
      <c r="H22" s="286">
        <v>0</v>
      </c>
      <c r="I22" s="286">
        <v>0</v>
      </c>
      <c r="J22" s="286">
        <v>0</v>
      </c>
      <c r="K22" s="286">
        <v>0</v>
      </c>
      <c r="L22" s="286">
        <v>0</v>
      </c>
      <c r="M22" s="286">
        <v>0</v>
      </c>
      <c r="N22" s="286">
        <v>0</v>
      </c>
      <c r="O22" s="286">
        <v>0</v>
      </c>
      <c r="P22" s="1112">
        <f>SUM(H22:O22)</f>
        <v>0</v>
      </c>
      <c r="Q22" s="4"/>
    </row>
    <row r="23" spans="1:17" s="27" customFormat="1" ht="14" outlineLevel="1" x14ac:dyDescent="0.3">
      <c r="A23" s="1278"/>
      <c r="B23" s="265">
        <v>2</v>
      </c>
      <c r="C23" s="247" t="s">
        <v>3</v>
      </c>
      <c r="D23" s="245" t="s">
        <v>34</v>
      </c>
      <c r="E23" s="245"/>
      <c r="F23" s="251">
        <v>2.5510000000000002</v>
      </c>
      <c r="G23" s="251">
        <v>3328.3649999999998</v>
      </c>
      <c r="H23" s="286">
        <v>0</v>
      </c>
      <c r="I23" s="286">
        <v>0</v>
      </c>
      <c r="J23" s="286">
        <v>0</v>
      </c>
      <c r="K23" s="286">
        <v>0</v>
      </c>
      <c r="L23" s="286">
        <v>0</v>
      </c>
      <c r="M23" s="286">
        <v>0</v>
      </c>
      <c r="N23" s="286">
        <v>0</v>
      </c>
      <c r="O23" s="286">
        <v>0</v>
      </c>
      <c r="P23" s="1112">
        <f t="shared" ref="P23:P31" si="0">SUM(H23:O23)</f>
        <v>0</v>
      </c>
      <c r="Q23" s="4"/>
    </row>
    <row r="24" spans="1:17" s="27" customFormat="1" ht="14" outlineLevel="1" x14ac:dyDescent="0.3">
      <c r="A24" s="1278"/>
      <c r="B24" s="265">
        <v>3</v>
      </c>
      <c r="C24" s="247" t="s">
        <v>4</v>
      </c>
      <c r="D24" s="245" t="s">
        <v>34</v>
      </c>
      <c r="E24" s="245"/>
      <c r="F24" s="251">
        <v>449.8</v>
      </c>
      <c r="G24" s="251">
        <v>861567.40700000001</v>
      </c>
      <c r="H24" s="286">
        <v>0</v>
      </c>
      <c r="I24" s="286">
        <v>0</v>
      </c>
      <c r="J24" s="286">
        <v>0</v>
      </c>
      <c r="K24" s="286">
        <v>0</v>
      </c>
      <c r="L24" s="286">
        <v>0</v>
      </c>
      <c r="M24" s="286">
        <v>0</v>
      </c>
      <c r="N24" s="286">
        <v>0</v>
      </c>
      <c r="O24" s="286">
        <v>0</v>
      </c>
      <c r="P24" s="1112">
        <f t="shared" si="0"/>
        <v>0</v>
      </c>
      <c r="Q24" s="4"/>
    </row>
    <row r="25" spans="1:17" s="27" customFormat="1" ht="14" outlineLevel="1" x14ac:dyDescent="0.3">
      <c r="A25" s="1278"/>
      <c r="B25" s="265">
        <v>4</v>
      </c>
      <c r="C25" s="247" t="s">
        <v>5</v>
      </c>
      <c r="D25" s="245" t="s">
        <v>34</v>
      </c>
      <c r="E25" s="245"/>
      <c r="F25" s="251">
        <v>10.76</v>
      </c>
      <c r="G25" s="251">
        <v>171748.28200000001</v>
      </c>
      <c r="H25" s="286">
        <v>0</v>
      </c>
      <c r="I25" s="286">
        <v>0</v>
      </c>
      <c r="J25" s="286">
        <v>0</v>
      </c>
      <c r="K25" s="286">
        <v>0</v>
      </c>
      <c r="L25" s="286">
        <v>0</v>
      </c>
      <c r="M25" s="286">
        <v>0</v>
      </c>
      <c r="N25" s="286">
        <v>0</v>
      </c>
      <c r="O25" s="286">
        <v>0</v>
      </c>
      <c r="P25" s="1112">
        <f t="shared" si="0"/>
        <v>0</v>
      </c>
      <c r="Q25" s="4"/>
    </row>
    <row r="26" spans="1:17" s="27" customFormat="1" ht="14" outlineLevel="1" x14ac:dyDescent="0.3">
      <c r="A26" s="1278"/>
      <c r="B26" s="265">
        <v>5</v>
      </c>
      <c r="C26" s="247" t="s">
        <v>6</v>
      </c>
      <c r="D26" s="245" t="s">
        <v>34</v>
      </c>
      <c r="E26" s="245"/>
      <c r="F26" s="251">
        <v>15.105</v>
      </c>
      <c r="G26" s="251">
        <v>263995.34999999998</v>
      </c>
      <c r="H26" s="286">
        <v>0</v>
      </c>
      <c r="I26" s="286">
        <v>0</v>
      </c>
      <c r="J26" s="286">
        <v>0</v>
      </c>
      <c r="K26" s="286">
        <v>0</v>
      </c>
      <c r="L26" s="286">
        <v>0</v>
      </c>
      <c r="M26" s="286">
        <v>0</v>
      </c>
      <c r="N26" s="286">
        <v>0</v>
      </c>
      <c r="O26" s="286">
        <v>0</v>
      </c>
      <c r="P26" s="1112">
        <f t="shared" si="0"/>
        <v>0</v>
      </c>
      <c r="Q26" s="4"/>
    </row>
    <row r="27" spans="1:17" s="27" customFormat="1" ht="14" outlineLevel="1" x14ac:dyDescent="0.3">
      <c r="A27" s="1278"/>
      <c r="B27" s="265">
        <v>6</v>
      </c>
      <c r="C27" s="247" t="s">
        <v>7</v>
      </c>
      <c r="D27" s="245" t="s">
        <v>34</v>
      </c>
      <c r="E27" s="245"/>
      <c r="F27" s="251">
        <v>0</v>
      </c>
      <c r="G27" s="251">
        <v>0</v>
      </c>
      <c r="H27" s="286">
        <v>0</v>
      </c>
      <c r="I27" s="286">
        <v>0</v>
      </c>
      <c r="J27" s="286">
        <v>0</v>
      </c>
      <c r="K27" s="286">
        <v>0</v>
      </c>
      <c r="L27" s="286">
        <v>0</v>
      </c>
      <c r="M27" s="286">
        <v>0</v>
      </c>
      <c r="N27" s="286">
        <v>0</v>
      </c>
      <c r="O27" s="286">
        <v>0</v>
      </c>
      <c r="P27" s="1112">
        <f t="shared" si="0"/>
        <v>0</v>
      </c>
      <c r="Q27" s="4"/>
    </row>
    <row r="28" spans="1:17" s="27" customFormat="1" ht="14" outlineLevel="1" x14ac:dyDescent="0.3">
      <c r="A28" s="1278"/>
      <c r="B28" s="265">
        <v>7</v>
      </c>
      <c r="C28" s="247" t="s">
        <v>61</v>
      </c>
      <c r="D28" s="245" t="s">
        <v>34</v>
      </c>
      <c r="E28" s="245"/>
      <c r="F28" s="251">
        <v>124.32</v>
      </c>
      <c r="G28" s="251">
        <v>0</v>
      </c>
      <c r="H28" s="286">
        <v>0</v>
      </c>
      <c r="I28" s="286">
        <v>0</v>
      </c>
      <c r="J28" s="286">
        <v>0</v>
      </c>
      <c r="K28" s="286">
        <v>0</v>
      </c>
      <c r="L28" s="286">
        <v>0</v>
      </c>
      <c r="M28" s="286">
        <v>0</v>
      </c>
      <c r="N28" s="286">
        <v>0</v>
      </c>
      <c r="O28" s="286">
        <v>0</v>
      </c>
      <c r="P28" s="1112">
        <f t="shared" si="0"/>
        <v>0</v>
      </c>
      <c r="Q28" s="4"/>
    </row>
    <row r="29" spans="1:17" s="27" customFormat="1" ht="14" outlineLevel="1" x14ac:dyDescent="0.3">
      <c r="A29" s="1278"/>
      <c r="B29" s="265">
        <v>8</v>
      </c>
      <c r="C29" s="247" t="s">
        <v>8</v>
      </c>
      <c r="D29" s="245" t="s">
        <v>34</v>
      </c>
      <c r="E29" s="245"/>
      <c r="F29" s="251">
        <v>0</v>
      </c>
      <c r="G29" s="251">
        <v>0</v>
      </c>
      <c r="H29" s="286">
        <v>0</v>
      </c>
      <c r="I29" s="286">
        <v>0</v>
      </c>
      <c r="J29" s="286">
        <v>0</v>
      </c>
      <c r="K29" s="286">
        <v>0</v>
      </c>
      <c r="L29" s="286">
        <v>0</v>
      </c>
      <c r="M29" s="286">
        <v>0</v>
      </c>
      <c r="N29" s="286">
        <v>0</v>
      </c>
      <c r="O29" s="286">
        <v>0</v>
      </c>
      <c r="P29" s="1112">
        <f t="shared" si="0"/>
        <v>0</v>
      </c>
      <c r="Q29" s="4"/>
    </row>
    <row r="30" spans="1:17" s="27" customFormat="1" ht="14" outlineLevel="1" x14ac:dyDescent="0.3">
      <c r="A30" s="1278"/>
      <c r="B30" s="265"/>
      <c r="C30" s="478" t="s">
        <v>254</v>
      </c>
      <c r="D30" s="245" t="s">
        <v>253</v>
      </c>
      <c r="E30" s="245"/>
      <c r="F30" s="1113">
        <v>-70.161000000000016</v>
      </c>
      <c r="G30" s="1113">
        <v>-111988.236</v>
      </c>
      <c r="H30" s="1114">
        <v>1</v>
      </c>
      <c r="I30" s="1114">
        <v>0</v>
      </c>
      <c r="J30" s="1114">
        <v>0</v>
      </c>
      <c r="K30" s="1114">
        <v>0</v>
      </c>
      <c r="L30" s="1114">
        <v>0</v>
      </c>
      <c r="M30" s="1114">
        <v>0</v>
      </c>
      <c r="N30" s="1114">
        <v>0</v>
      </c>
      <c r="O30" s="1114">
        <v>0</v>
      </c>
      <c r="P30" s="1115">
        <f t="shared" si="0"/>
        <v>1</v>
      </c>
      <c r="Q30" s="4"/>
    </row>
    <row r="31" spans="1:17" s="27" customFormat="1" ht="14" outlineLevel="1" x14ac:dyDescent="0.3">
      <c r="A31" s="1278"/>
      <c r="B31" s="265"/>
      <c r="C31" s="1276" t="s">
        <v>778</v>
      </c>
      <c r="D31" s="1276"/>
      <c r="E31" s="1116"/>
      <c r="F31" s="1116">
        <f>SUM(F22:F29)</f>
        <v>645.10599999999999</v>
      </c>
      <c r="G31" s="1116">
        <f>SUM(G22:G29)</f>
        <v>1613389.7720000003</v>
      </c>
      <c r="H31" s="1117">
        <v>1</v>
      </c>
      <c r="I31" s="1117">
        <v>0</v>
      </c>
      <c r="J31" s="1117">
        <v>0</v>
      </c>
      <c r="K31" s="1117">
        <v>0</v>
      </c>
      <c r="L31" s="1117">
        <v>0</v>
      </c>
      <c r="M31" s="1117">
        <v>0</v>
      </c>
      <c r="N31" s="1117">
        <v>0</v>
      </c>
      <c r="O31" s="1117">
        <v>0</v>
      </c>
      <c r="P31" s="1118">
        <f t="shared" si="0"/>
        <v>1</v>
      </c>
      <c r="Q31" s="4"/>
    </row>
    <row r="32" spans="1:17" s="27" customFormat="1" ht="14" outlineLevel="1" x14ac:dyDescent="0.3">
      <c r="A32" s="1278"/>
      <c r="B32" s="265"/>
      <c r="C32" s="1267"/>
      <c r="D32" s="1267"/>
      <c r="E32" s="1087"/>
      <c r="F32" s="290"/>
      <c r="G32" s="290"/>
      <c r="H32" s="286"/>
      <c r="I32" s="286"/>
      <c r="J32" s="286"/>
      <c r="K32" s="286"/>
      <c r="L32" s="286"/>
      <c r="M32" s="286"/>
      <c r="N32" s="286"/>
      <c r="O32" s="286"/>
      <c r="P32" s="1112"/>
      <c r="Q32" s="4"/>
    </row>
    <row r="33" spans="1:19" s="21" customFormat="1" ht="20.25" customHeight="1" outlineLevel="1" x14ac:dyDescent="0.35">
      <c r="A33" s="1278"/>
      <c r="B33" s="240"/>
      <c r="C33" s="1270" t="s">
        <v>9</v>
      </c>
      <c r="D33" s="1270"/>
      <c r="E33" s="241"/>
      <c r="F33" s="242"/>
      <c r="G33" s="242"/>
      <c r="H33" s="241"/>
      <c r="I33" s="241"/>
      <c r="J33" s="241"/>
      <c r="K33" s="241"/>
      <c r="L33" s="241"/>
      <c r="M33" s="241"/>
      <c r="N33" s="241"/>
      <c r="O33" s="241"/>
      <c r="P33" s="1119"/>
      <c r="Q33" s="136"/>
      <c r="R33" s="27"/>
      <c r="S33" s="27"/>
    </row>
    <row r="34" spans="1:19" s="27" customFormat="1" ht="14" outlineLevel="1" x14ac:dyDescent="0.3">
      <c r="A34" s="1278"/>
      <c r="B34" s="145">
        <v>9</v>
      </c>
      <c r="C34" s="249" t="s">
        <v>27</v>
      </c>
      <c r="D34" s="245" t="s">
        <v>34</v>
      </c>
      <c r="E34" s="245">
        <v>12</v>
      </c>
      <c r="F34" s="289">
        <v>109.52200000000001</v>
      </c>
      <c r="G34" s="289">
        <v>549202.26699999999</v>
      </c>
      <c r="H34" s="286"/>
      <c r="I34" s="286">
        <v>0</v>
      </c>
      <c r="J34" s="286">
        <v>0</v>
      </c>
      <c r="K34" s="286">
        <v>0</v>
      </c>
      <c r="L34" s="286"/>
      <c r="M34" s="286"/>
      <c r="N34" s="286"/>
      <c r="O34" s="286"/>
      <c r="P34" s="1112">
        <f t="shared" ref="P34:P41" si="1">SUM(H34:O34)</f>
        <v>0</v>
      </c>
      <c r="Q34" s="4"/>
    </row>
    <row r="35" spans="1:19" s="27" customFormat="1" ht="14" outlineLevel="1" x14ac:dyDescent="0.3">
      <c r="A35" s="1278"/>
      <c r="B35" s="145">
        <v>10</v>
      </c>
      <c r="C35" s="247" t="s">
        <v>25</v>
      </c>
      <c r="D35" s="245" t="s">
        <v>34</v>
      </c>
      <c r="E35" s="245">
        <v>12</v>
      </c>
      <c r="F35" s="251">
        <v>312.90899999999999</v>
      </c>
      <c r="G35" s="251">
        <v>778994.68799999997</v>
      </c>
      <c r="H35" s="286"/>
      <c r="I35" s="286">
        <v>0</v>
      </c>
      <c r="J35" s="286">
        <v>0</v>
      </c>
      <c r="K35" s="286">
        <v>0</v>
      </c>
      <c r="L35" s="286"/>
      <c r="M35" s="286"/>
      <c r="N35" s="286"/>
      <c r="O35" s="286"/>
      <c r="P35" s="1112">
        <f t="shared" si="1"/>
        <v>0</v>
      </c>
      <c r="Q35" s="4"/>
    </row>
    <row r="36" spans="1:19" s="27" customFormat="1" ht="15" customHeight="1" outlineLevel="1" x14ac:dyDescent="0.3">
      <c r="A36" s="1278"/>
      <c r="B36" s="145">
        <v>11</v>
      </c>
      <c r="C36" s="247" t="s">
        <v>28</v>
      </c>
      <c r="D36" s="245" t="s">
        <v>34</v>
      </c>
      <c r="E36" s="250">
        <v>3</v>
      </c>
      <c r="F36" s="251">
        <v>0</v>
      </c>
      <c r="G36" s="251">
        <v>0</v>
      </c>
      <c r="H36" s="286"/>
      <c r="I36" s="286">
        <v>0</v>
      </c>
      <c r="J36" s="286">
        <v>0</v>
      </c>
      <c r="K36" s="286">
        <v>0</v>
      </c>
      <c r="L36" s="286"/>
      <c r="M36" s="286"/>
      <c r="N36" s="286"/>
      <c r="O36" s="286"/>
      <c r="P36" s="1112">
        <f t="shared" si="1"/>
        <v>0</v>
      </c>
      <c r="Q36" s="4"/>
    </row>
    <row r="37" spans="1:19" s="27" customFormat="1" ht="14" outlineLevel="1" x14ac:dyDescent="0.3">
      <c r="A37" s="1278"/>
      <c r="B37" s="145">
        <v>12</v>
      </c>
      <c r="C37" s="247" t="s">
        <v>29</v>
      </c>
      <c r="D37" s="245" t="s">
        <v>34</v>
      </c>
      <c r="E37" s="245">
        <v>12</v>
      </c>
      <c r="F37" s="251">
        <v>0</v>
      </c>
      <c r="G37" s="251">
        <v>0</v>
      </c>
      <c r="H37" s="286"/>
      <c r="I37" s="286">
        <v>0</v>
      </c>
      <c r="J37" s="286">
        <v>0</v>
      </c>
      <c r="K37" s="286">
        <v>0</v>
      </c>
      <c r="L37" s="286"/>
      <c r="M37" s="286"/>
      <c r="N37" s="286"/>
      <c r="O37" s="286"/>
      <c r="P37" s="1112">
        <f t="shared" si="1"/>
        <v>0</v>
      </c>
      <c r="Q37" s="4"/>
    </row>
    <row r="38" spans="1:19" s="27" customFormat="1" ht="14" outlineLevel="1" x14ac:dyDescent="0.3">
      <c r="A38" s="1278"/>
      <c r="B38" s="145">
        <v>13</v>
      </c>
      <c r="C38" s="247" t="s">
        <v>23</v>
      </c>
      <c r="D38" s="245" t="s">
        <v>34</v>
      </c>
      <c r="E38" s="245">
        <v>12</v>
      </c>
      <c r="F38" s="251">
        <v>0</v>
      </c>
      <c r="G38" s="251">
        <v>0</v>
      </c>
      <c r="H38" s="286"/>
      <c r="I38" s="286">
        <v>0</v>
      </c>
      <c r="J38" s="286">
        <v>0</v>
      </c>
      <c r="K38" s="286">
        <v>0</v>
      </c>
      <c r="L38" s="286"/>
      <c r="M38" s="286"/>
      <c r="N38" s="286"/>
      <c r="O38" s="286"/>
      <c r="P38" s="1112">
        <f t="shared" si="1"/>
        <v>0</v>
      </c>
      <c r="Q38" s="4"/>
    </row>
    <row r="39" spans="1:19" s="27" customFormat="1" ht="28" outlineLevel="1" x14ac:dyDescent="0.3">
      <c r="A39" s="1278"/>
      <c r="B39" s="1120">
        <v>14</v>
      </c>
      <c r="C39" s="247" t="s">
        <v>62</v>
      </c>
      <c r="D39" s="245" t="s">
        <v>34</v>
      </c>
      <c r="E39" s="245">
        <v>0</v>
      </c>
      <c r="F39" s="251">
        <v>1.92</v>
      </c>
      <c r="G39" s="251">
        <v>0</v>
      </c>
      <c r="H39" s="286"/>
      <c r="I39" s="286">
        <v>0</v>
      </c>
      <c r="J39" s="286">
        <v>0</v>
      </c>
      <c r="K39" s="286">
        <v>0</v>
      </c>
      <c r="L39" s="286"/>
      <c r="M39" s="286"/>
      <c r="N39" s="286"/>
      <c r="O39" s="286"/>
      <c r="P39" s="1112">
        <f t="shared" si="1"/>
        <v>0</v>
      </c>
      <c r="Q39" s="4"/>
    </row>
    <row r="40" spans="1:19" s="27" customFormat="1" ht="14" outlineLevel="1" x14ac:dyDescent="0.3">
      <c r="A40" s="1278"/>
      <c r="B40" s="265">
        <v>15</v>
      </c>
      <c r="C40" s="247" t="s">
        <v>10</v>
      </c>
      <c r="D40" s="245" t="s">
        <v>34</v>
      </c>
      <c r="E40" s="245">
        <v>0</v>
      </c>
      <c r="F40" s="251">
        <v>307.18</v>
      </c>
      <c r="G40" s="251">
        <v>11993.24</v>
      </c>
      <c r="H40" s="286"/>
      <c r="I40" s="286">
        <v>0</v>
      </c>
      <c r="J40" s="286">
        <v>0</v>
      </c>
      <c r="K40" s="286">
        <v>0</v>
      </c>
      <c r="L40" s="286"/>
      <c r="M40" s="286"/>
      <c r="N40" s="286"/>
      <c r="O40" s="286"/>
      <c r="P40" s="1112">
        <f t="shared" si="1"/>
        <v>0</v>
      </c>
      <c r="Q40" s="4"/>
    </row>
    <row r="41" spans="1:19" s="27" customFormat="1" ht="14" outlineLevel="1" x14ac:dyDescent="0.3">
      <c r="A41" s="1278"/>
      <c r="B41" s="265"/>
      <c r="C41" s="248" t="s">
        <v>254</v>
      </c>
      <c r="D41" s="245" t="s">
        <v>253</v>
      </c>
      <c r="E41" s="1113">
        <v>12</v>
      </c>
      <c r="F41" s="1113">
        <v>175.57</v>
      </c>
      <c r="G41" s="1113">
        <v>1095865.2919999999</v>
      </c>
      <c r="H41" s="1114">
        <v>0</v>
      </c>
      <c r="I41" s="1114">
        <v>0.08</v>
      </c>
      <c r="J41" s="1114">
        <v>0.4</v>
      </c>
      <c r="K41" s="1114">
        <v>0.37</v>
      </c>
      <c r="L41" s="1114">
        <v>0</v>
      </c>
      <c r="M41" s="1114">
        <v>0</v>
      </c>
      <c r="N41" s="1114">
        <v>0</v>
      </c>
      <c r="O41" s="1114">
        <v>0</v>
      </c>
      <c r="P41" s="1115">
        <f t="shared" si="1"/>
        <v>0.85000000000000009</v>
      </c>
      <c r="Q41" s="4"/>
    </row>
    <row r="42" spans="1:19" s="27" customFormat="1" ht="14" outlineLevel="1" x14ac:dyDescent="0.3">
      <c r="A42" s="1278"/>
      <c r="B42" s="265"/>
      <c r="C42" s="1276" t="s">
        <v>779</v>
      </c>
      <c r="D42" s="1276"/>
      <c r="E42" s="1116">
        <v>12</v>
      </c>
      <c r="F42" s="1116">
        <f>SUM(F34:F40)</f>
        <v>731.53099999999995</v>
      </c>
      <c r="G42" s="1116">
        <f>SUM(G34:G40)</f>
        <v>1340190.1950000001</v>
      </c>
      <c r="H42" s="1117"/>
      <c r="I42" s="1117">
        <f>'10. Guelph_CDM Prgs'!C6/'10. Guelph_CDM Prgs'!C13</f>
        <v>0.58125713518232491</v>
      </c>
      <c r="J42" s="1117">
        <f>'10. Guelph_CDM Prgs'!C20/'10. Guelph_CDM Prgs'!C26</f>
        <v>0.51463748290013678</v>
      </c>
      <c r="K42" s="1117">
        <f>'10. Guelph_CDM Prgs'!C21/'10. Guelph_CDM Prgs'!C26</f>
        <v>0</v>
      </c>
      <c r="L42" s="1117">
        <v>0</v>
      </c>
      <c r="M42" s="1117">
        <v>0</v>
      </c>
      <c r="N42" s="1117">
        <v>0</v>
      </c>
      <c r="O42" s="1117">
        <f>'10. Guelph_CDM Prgs'!C22/'10. Guelph_CDM Prgs'!C26</f>
        <v>5.718194254445965E-2</v>
      </c>
      <c r="P42" s="1118">
        <f>SUM(H42:O42)</f>
        <v>1.1530765606269213</v>
      </c>
      <c r="Q42" s="4"/>
    </row>
    <row r="43" spans="1:19" s="27" customFormat="1" ht="14" outlineLevel="1" x14ac:dyDescent="0.3">
      <c r="A43" s="1278"/>
      <c r="B43" s="265"/>
      <c r="C43" s="1267"/>
      <c r="D43" s="1267"/>
      <c r="E43" s="1087"/>
      <c r="F43" s="290"/>
      <c r="G43" s="290"/>
      <c r="H43" s="286"/>
      <c r="I43" s="286"/>
      <c r="J43" s="286"/>
      <c r="K43" s="286"/>
      <c r="L43" s="286"/>
      <c r="M43" s="286"/>
      <c r="N43" s="286"/>
      <c r="O43" s="286"/>
      <c r="P43" s="1112"/>
      <c r="Q43" s="4"/>
    </row>
    <row r="44" spans="1:19" s="21" customFormat="1" ht="18" customHeight="1" outlineLevel="1" x14ac:dyDescent="0.35">
      <c r="A44" s="1278"/>
      <c r="B44" s="240"/>
      <c r="C44" s="1270" t="s">
        <v>11</v>
      </c>
      <c r="D44" s="1270"/>
      <c r="E44" s="241"/>
      <c r="F44" s="242"/>
      <c r="G44" s="242"/>
      <c r="H44" s="241"/>
      <c r="I44" s="241"/>
      <c r="J44" s="241"/>
      <c r="K44" s="241"/>
      <c r="L44" s="241"/>
      <c r="M44" s="241"/>
      <c r="N44" s="241"/>
      <c r="O44" s="241"/>
      <c r="P44" s="1119"/>
      <c r="Q44" s="136"/>
    </row>
    <row r="45" spans="1:19" s="27" customFormat="1" ht="14" outlineLevel="1" x14ac:dyDescent="0.3">
      <c r="A45" s="1278"/>
      <c r="B45" s="145">
        <v>16</v>
      </c>
      <c r="C45" s="247" t="s">
        <v>12</v>
      </c>
      <c r="D45" s="245" t="s">
        <v>34</v>
      </c>
      <c r="E45" s="245">
        <v>12</v>
      </c>
      <c r="F45" s="289">
        <v>0</v>
      </c>
      <c r="G45" s="289">
        <v>0</v>
      </c>
      <c r="H45" s="286"/>
      <c r="I45" s="286">
        <v>0</v>
      </c>
      <c r="J45" s="286">
        <v>0</v>
      </c>
      <c r="K45" s="286">
        <v>0</v>
      </c>
      <c r="L45" s="286"/>
      <c r="M45" s="286"/>
      <c r="N45" s="286"/>
      <c r="O45" s="286"/>
      <c r="P45" s="1112">
        <f t="shared" ref="P45:P49" si="2">SUM(H45:O45)</f>
        <v>0</v>
      </c>
      <c r="Q45" s="4"/>
    </row>
    <row r="46" spans="1:19" s="27" customFormat="1" ht="14" outlineLevel="1" x14ac:dyDescent="0.3">
      <c r="A46" s="1278"/>
      <c r="B46" s="145">
        <v>17</v>
      </c>
      <c r="C46" s="247" t="s">
        <v>13</v>
      </c>
      <c r="D46" s="245" t="s">
        <v>34</v>
      </c>
      <c r="E46" s="245">
        <v>12</v>
      </c>
      <c r="F46" s="251">
        <v>0</v>
      </c>
      <c r="G46" s="251">
        <v>0</v>
      </c>
      <c r="H46" s="286"/>
      <c r="I46" s="286">
        <v>0</v>
      </c>
      <c r="J46" s="286">
        <v>0</v>
      </c>
      <c r="K46" s="286">
        <v>0</v>
      </c>
      <c r="L46" s="286"/>
      <c r="M46" s="286"/>
      <c r="N46" s="286"/>
      <c r="O46" s="286"/>
      <c r="P46" s="1112">
        <f t="shared" si="2"/>
        <v>0</v>
      </c>
      <c r="Q46" s="4"/>
    </row>
    <row r="47" spans="1:19" s="27" customFormat="1" ht="14" outlineLevel="1" x14ac:dyDescent="0.3">
      <c r="A47" s="1278"/>
      <c r="B47" s="145">
        <v>18</v>
      </c>
      <c r="C47" s="247" t="s">
        <v>14</v>
      </c>
      <c r="D47" s="245" t="s">
        <v>34</v>
      </c>
      <c r="E47" s="245">
        <v>12</v>
      </c>
      <c r="F47" s="251">
        <v>0</v>
      </c>
      <c r="G47" s="251">
        <v>0</v>
      </c>
      <c r="H47" s="286"/>
      <c r="I47" s="286">
        <v>0</v>
      </c>
      <c r="J47" s="286">
        <v>0</v>
      </c>
      <c r="K47" s="286">
        <v>0</v>
      </c>
      <c r="L47" s="286"/>
      <c r="M47" s="286"/>
      <c r="N47" s="286"/>
      <c r="O47" s="286"/>
      <c r="P47" s="1112">
        <f t="shared" si="2"/>
        <v>0</v>
      </c>
      <c r="Q47" s="4"/>
    </row>
    <row r="48" spans="1:19" s="27" customFormat="1" ht="14" outlineLevel="1" x14ac:dyDescent="0.3">
      <c r="A48" s="1278"/>
      <c r="B48" s="145">
        <v>19</v>
      </c>
      <c r="C48" s="249" t="s">
        <v>27</v>
      </c>
      <c r="D48" s="245" t="s">
        <v>34</v>
      </c>
      <c r="E48" s="245">
        <v>12</v>
      </c>
      <c r="F48" s="251">
        <v>595.52700000000004</v>
      </c>
      <c r="G48" s="251">
        <v>3704026.7859999998</v>
      </c>
      <c r="H48" s="286"/>
      <c r="I48" s="286">
        <v>0</v>
      </c>
      <c r="J48" s="286">
        <v>0</v>
      </c>
      <c r="K48" s="286">
        <v>0</v>
      </c>
      <c r="L48" s="286"/>
      <c r="M48" s="286"/>
      <c r="N48" s="286"/>
      <c r="O48" s="286"/>
      <c r="P48" s="1112">
        <f t="shared" si="2"/>
        <v>0</v>
      </c>
      <c r="Q48" s="4"/>
    </row>
    <row r="49" spans="1:17" s="27" customFormat="1" ht="14" outlineLevel="1" x14ac:dyDescent="0.3">
      <c r="A49" s="1278"/>
      <c r="B49" s="145">
        <v>20</v>
      </c>
      <c r="C49" s="247" t="s">
        <v>10</v>
      </c>
      <c r="D49" s="245" t="s">
        <v>34</v>
      </c>
      <c r="E49" s="245">
        <v>0</v>
      </c>
      <c r="F49" s="251">
        <v>0</v>
      </c>
      <c r="G49" s="251">
        <v>0</v>
      </c>
      <c r="H49" s="286"/>
      <c r="I49" s="286"/>
      <c r="J49" s="286"/>
      <c r="K49" s="286"/>
      <c r="L49" s="286"/>
      <c r="M49" s="286"/>
      <c r="N49" s="286"/>
      <c r="O49" s="286"/>
      <c r="P49" s="1112">
        <f t="shared" si="2"/>
        <v>0</v>
      </c>
      <c r="Q49" s="4"/>
    </row>
    <row r="50" spans="1:17" s="27" customFormat="1" ht="14" outlineLevel="1" x14ac:dyDescent="0.3">
      <c r="A50" s="1278"/>
      <c r="B50" s="145"/>
      <c r="C50" s="248" t="s">
        <v>254</v>
      </c>
      <c r="D50" s="245" t="s">
        <v>253</v>
      </c>
      <c r="E50" s="245"/>
      <c r="F50" s="1113">
        <v>0</v>
      </c>
      <c r="G50" s="1113">
        <v>0</v>
      </c>
      <c r="H50" s="286"/>
      <c r="I50" s="286"/>
      <c r="J50" s="286"/>
      <c r="K50" s="286"/>
      <c r="L50" s="286"/>
      <c r="M50" s="286"/>
      <c r="N50" s="286"/>
      <c r="O50" s="286"/>
      <c r="P50" s="1112"/>
      <c r="Q50" s="4"/>
    </row>
    <row r="51" spans="1:17" s="27" customFormat="1" ht="14" outlineLevel="1" x14ac:dyDescent="0.3">
      <c r="A51" s="1278"/>
      <c r="B51" s="145"/>
      <c r="C51" s="1276" t="s">
        <v>780</v>
      </c>
      <c r="D51" s="1276"/>
      <c r="E51" s="1116">
        <v>12</v>
      </c>
      <c r="F51" s="1116">
        <f>SUM(F45:F50)</f>
        <v>595.52700000000004</v>
      </c>
      <c r="G51" s="1116">
        <f>SUM(G45:G50)</f>
        <v>3704026.7859999998</v>
      </c>
      <c r="H51" s="1117"/>
      <c r="I51" s="1117">
        <v>0</v>
      </c>
      <c r="J51" s="1117">
        <f>'10. Guelph_CDM Prgs'!D20/'10. Guelph_CDM Prgs'!D26</f>
        <v>0.2</v>
      </c>
      <c r="K51" s="1117">
        <f>'10. Guelph_CDM Prgs'!D21/'10. Guelph_CDM Prgs'!D26</f>
        <v>0.05</v>
      </c>
      <c r="L51" s="1117">
        <v>0</v>
      </c>
      <c r="M51" s="1117">
        <v>0</v>
      </c>
      <c r="N51" s="1117">
        <v>0</v>
      </c>
      <c r="O51" s="1117">
        <f>'10. Guelph_CDM Prgs'!D22/'10. Guelph_CDM Prgs'!D26</f>
        <v>0.75</v>
      </c>
      <c r="P51" s="1118">
        <f>SUM(H51:O51)</f>
        <v>1</v>
      </c>
      <c r="Q51" s="4"/>
    </row>
    <row r="52" spans="1:17" s="27" customFormat="1" ht="14" outlineLevel="1" x14ac:dyDescent="0.3">
      <c r="A52" s="1278"/>
      <c r="B52" s="145"/>
      <c r="C52" s="1267"/>
      <c r="D52" s="1267"/>
      <c r="E52" s="1087"/>
      <c r="F52" s="290"/>
      <c r="G52" s="290"/>
      <c r="H52" s="286"/>
      <c r="I52" s="286"/>
      <c r="J52" s="286"/>
      <c r="K52" s="286"/>
      <c r="L52" s="286"/>
      <c r="M52" s="286"/>
      <c r="N52" s="286"/>
      <c r="O52" s="286"/>
      <c r="P52" s="1112"/>
      <c r="Q52" s="4"/>
    </row>
    <row r="53" spans="1:17" s="21" customFormat="1" ht="20.25" customHeight="1" outlineLevel="1" x14ac:dyDescent="0.35">
      <c r="A53" s="1278"/>
      <c r="B53" s="240"/>
      <c r="C53" s="1270" t="s">
        <v>15</v>
      </c>
      <c r="D53" s="1270"/>
      <c r="E53" s="241"/>
      <c r="F53" s="242"/>
      <c r="G53" s="242"/>
      <c r="H53" s="241"/>
      <c r="I53" s="241"/>
      <c r="J53" s="241"/>
      <c r="K53" s="241"/>
      <c r="L53" s="241"/>
      <c r="M53" s="241"/>
      <c r="N53" s="241"/>
      <c r="O53" s="241"/>
      <c r="P53" s="1119"/>
      <c r="Q53" s="136"/>
    </row>
    <row r="54" spans="1:17" s="27" customFormat="1" ht="14" outlineLevel="1" x14ac:dyDescent="0.3">
      <c r="A54" s="1278"/>
      <c r="B54" s="265">
        <v>21</v>
      </c>
      <c r="C54" s="247" t="s">
        <v>15</v>
      </c>
      <c r="D54" s="245" t="s">
        <v>34</v>
      </c>
      <c r="E54" s="245"/>
      <c r="F54" s="289">
        <v>0</v>
      </c>
      <c r="G54" s="289">
        <v>0</v>
      </c>
      <c r="H54" s="286">
        <v>0</v>
      </c>
      <c r="I54" s="286">
        <v>0</v>
      </c>
      <c r="J54" s="286">
        <v>0</v>
      </c>
      <c r="K54" s="286">
        <v>0</v>
      </c>
      <c r="L54" s="286">
        <v>0</v>
      </c>
      <c r="M54" s="286">
        <v>0</v>
      </c>
      <c r="N54" s="286">
        <v>0</v>
      </c>
      <c r="O54" s="286">
        <v>0</v>
      </c>
      <c r="P54" s="1112">
        <f t="shared" ref="P54" si="3">SUM(H54:O54)</f>
        <v>0</v>
      </c>
      <c r="Q54" s="4"/>
    </row>
    <row r="55" spans="1:17" s="27" customFormat="1" ht="14" outlineLevel="1" x14ac:dyDescent="0.3">
      <c r="A55" s="1278"/>
      <c r="B55" s="265"/>
      <c r="C55" s="248" t="s">
        <v>254</v>
      </c>
      <c r="D55" s="245" t="s">
        <v>253</v>
      </c>
      <c r="E55" s="245"/>
      <c r="F55" s="1113">
        <v>0</v>
      </c>
      <c r="G55" s="1113">
        <v>0</v>
      </c>
      <c r="H55" s="286"/>
      <c r="I55" s="286"/>
      <c r="J55" s="286"/>
      <c r="K55" s="286"/>
      <c r="L55" s="286"/>
      <c r="M55" s="286"/>
      <c r="N55" s="286"/>
      <c r="O55" s="286"/>
      <c r="P55" s="1112"/>
      <c r="Q55" s="4"/>
    </row>
    <row r="56" spans="1:17" s="27" customFormat="1" ht="14" outlineLevel="1" x14ac:dyDescent="0.3">
      <c r="A56" s="1278"/>
      <c r="B56" s="265"/>
      <c r="C56" s="1276" t="s">
        <v>781</v>
      </c>
      <c r="D56" s="1276"/>
      <c r="E56" s="1116"/>
      <c r="F56" s="1116">
        <f>SUM(F54)</f>
        <v>0</v>
      </c>
      <c r="G56" s="1116">
        <f>SUM(G54)</f>
        <v>0</v>
      </c>
      <c r="H56" s="1117">
        <v>1</v>
      </c>
      <c r="I56" s="1117">
        <v>0</v>
      </c>
      <c r="J56" s="1117">
        <v>0</v>
      </c>
      <c r="K56" s="1117">
        <v>0</v>
      </c>
      <c r="L56" s="1117">
        <v>0</v>
      </c>
      <c r="M56" s="1117">
        <v>0</v>
      </c>
      <c r="N56" s="1117">
        <v>0</v>
      </c>
      <c r="O56" s="1117">
        <v>0</v>
      </c>
      <c r="P56" s="1118">
        <f>SUM(H56:O56)</f>
        <v>1</v>
      </c>
      <c r="Q56" s="4"/>
    </row>
    <row r="57" spans="1:17" s="27" customFormat="1" ht="14" outlineLevel="1" x14ac:dyDescent="0.3">
      <c r="A57" s="1278"/>
      <c r="B57" s="265"/>
      <c r="C57" s="1267"/>
      <c r="D57" s="1267"/>
      <c r="E57" s="1087"/>
      <c r="F57" s="290"/>
      <c r="G57" s="290"/>
      <c r="H57" s="286"/>
      <c r="I57" s="286"/>
      <c r="J57" s="286"/>
      <c r="K57" s="286"/>
      <c r="L57" s="286"/>
      <c r="M57" s="286"/>
      <c r="N57" s="286"/>
      <c r="O57" s="286"/>
      <c r="P57" s="1112"/>
      <c r="Q57" s="4"/>
    </row>
    <row r="58" spans="1:17" s="21" customFormat="1" ht="18.75" customHeight="1" outlineLevel="1" x14ac:dyDescent="0.35">
      <c r="A58" s="1278"/>
      <c r="B58" s="240"/>
      <c r="C58" s="1270" t="s">
        <v>16</v>
      </c>
      <c r="D58" s="1270"/>
      <c r="E58" s="241"/>
      <c r="F58" s="242"/>
      <c r="G58" s="242"/>
      <c r="H58" s="241"/>
      <c r="I58" s="241"/>
      <c r="J58" s="241"/>
      <c r="K58" s="241"/>
      <c r="L58" s="241"/>
      <c r="M58" s="241"/>
      <c r="N58" s="241"/>
      <c r="O58" s="241"/>
      <c r="P58" s="1119"/>
      <c r="Q58" s="136"/>
    </row>
    <row r="59" spans="1:17" s="27" customFormat="1" ht="14" outlineLevel="1" x14ac:dyDescent="0.3">
      <c r="A59" s="1278"/>
      <c r="B59" s="265">
        <v>22</v>
      </c>
      <c r="C59" s="247" t="s">
        <v>17</v>
      </c>
      <c r="D59" s="245" t="s">
        <v>34</v>
      </c>
      <c r="E59" s="245"/>
      <c r="F59" s="289">
        <v>1385.38</v>
      </c>
      <c r="G59" s="289">
        <v>7431465.6770000001</v>
      </c>
      <c r="H59" s="286"/>
      <c r="I59" s="286"/>
      <c r="J59" s="286">
        <v>0</v>
      </c>
      <c r="K59" s="286">
        <v>0</v>
      </c>
      <c r="L59" s="286"/>
      <c r="M59" s="286"/>
      <c r="N59" s="286"/>
      <c r="O59" s="286"/>
      <c r="P59" s="1112">
        <f t="shared" ref="P59:P63" si="4">SUM(H59:O59)</f>
        <v>0</v>
      </c>
      <c r="Q59" s="4"/>
    </row>
    <row r="60" spans="1:17" s="27" customFormat="1" ht="14" outlineLevel="1" x14ac:dyDescent="0.3">
      <c r="A60" s="1278"/>
      <c r="B60" s="265">
        <v>23</v>
      </c>
      <c r="C60" s="247" t="s">
        <v>18</v>
      </c>
      <c r="D60" s="245" t="s">
        <v>34</v>
      </c>
      <c r="E60" s="245"/>
      <c r="F60" s="251">
        <v>61.738999999999997</v>
      </c>
      <c r="G60" s="251">
        <v>317090.63900000002</v>
      </c>
      <c r="H60" s="286"/>
      <c r="I60" s="286"/>
      <c r="J60" s="286">
        <v>0</v>
      </c>
      <c r="K60" s="286">
        <v>0</v>
      </c>
      <c r="L60" s="286"/>
      <c r="M60" s="286"/>
      <c r="N60" s="286"/>
      <c r="O60" s="286"/>
      <c r="P60" s="1112">
        <f t="shared" si="4"/>
        <v>0</v>
      </c>
      <c r="Q60" s="4"/>
    </row>
    <row r="61" spans="1:17" s="27" customFormat="1" ht="14" outlineLevel="1" x14ac:dyDescent="0.3">
      <c r="A61" s="1278"/>
      <c r="B61" s="265">
        <v>24</v>
      </c>
      <c r="C61" s="247" t="s">
        <v>19</v>
      </c>
      <c r="D61" s="245" t="s">
        <v>34</v>
      </c>
      <c r="E61" s="245"/>
      <c r="F61" s="251">
        <v>0</v>
      </c>
      <c r="G61" s="251">
        <v>0</v>
      </c>
      <c r="H61" s="286"/>
      <c r="I61" s="286"/>
      <c r="J61" s="286">
        <v>0</v>
      </c>
      <c r="K61" s="286">
        <v>0</v>
      </c>
      <c r="L61" s="286"/>
      <c r="M61" s="286"/>
      <c r="N61" s="286"/>
      <c r="O61" s="286"/>
      <c r="P61" s="1112">
        <f t="shared" si="4"/>
        <v>0</v>
      </c>
      <c r="Q61" s="4"/>
    </row>
    <row r="62" spans="1:17" s="27" customFormat="1" ht="14" outlineLevel="1" x14ac:dyDescent="0.3">
      <c r="A62" s="1278"/>
      <c r="B62" s="265">
        <v>25</v>
      </c>
      <c r="C62" s="247" t="s">
        <v>20</v>
      </c>
      <c r="D62" s="245" t="s">
        <v>34</v>
      </c>
      <c r="E62" s="245"/>
      <c r="F62" s="251">
        <v>0</v>
      </c>
      <c r="G62" s="251">
        <v>0</v>
      </c>
      <c r="H62" s="286"/>
      <c r="I62" s="286"/>
      <c r="J62" s="286">
        <v>0</v>
      </c>
      <c r="K62" s="286">
        <v>0</v>
      </c>
      <c r="L62" s="286"/>
      <c r="M62" s="286"/>
      <c r="N62" s="286"/>
      <c r="O62" s="286"/>
      <c r="P62" s="1112">
        <f t="shared" si="4"/>
        <v>0</v>
      </c>
      <c r="Q62" s="4"/>
    </row>
    <row r="63" spans="1:17" s="27" customFormat="1" ht="14" outlineLevel="1" x14ac:dyDescent="0.3">
      <c r="A63" s="1278"/>
      <c r="B63" s="265"/>
      <c r="C63" s="248" t="s">
        <v>254</v>
      </c>
      <c r="D63" s="245" t="s">
        <v>253</v>
      </c>
      <c r="E63" s="1113">
        <v>12</v>
      </c>
      <c r="F63" s="1113">
        <v>-0.98299999999999998</v>
      </c>
      <c r="G63" s="1113">
        <v>-100859.391</v>
      </c>
      <c r="H63" s="1114">
        <v>0</v>
      </c>
      <c r="I63" s="1114">
        <v>0</v>
      </c>
      <c r="J63" s="1114">
        <v>1</v>
      </c>
      <c r="K63" s="1114">
        <v>0</v>
      </c>
      <c r="L63" s="1114">
        <v>0</v>
      </c>
      <c r="M63" s="1114">
        <v>0</v>
      </c>
      <c r="N63" s="1114">
        <v>0</v>
      </c>
      <c r="O63" s="1114">
        <v>0</v>
      </c>
      <c r="P63" s="1115">
        <f t="shared" si="4"/>
        <v>1</v>
      </c>
      <c r="Q63" s="4"/>
    </row>
    <row r="64" spans="1:17" s="27" customFormat="1" ht="14" outlineLevel="1" x14ac:dyDescent="0.3">
      <c r="A64" s="1278"/>
      <c r="B64" s="265"/>
      <c r="C64" s="1276" t="s">
        <v>782</v>
      </c>
      <c r="D64" s="1276"/>
      <c r="E64" s="1116">
        <v>12</v>
      </c>
      <c r="F64" s="1116">
        <f>SUM(F59:F62)</f>
        <v>1447.1190000000001</v>
      </c>
      <c r="G64" s="1116">
        <f>SUM(G59:G62)</f>
        <v>7748556.3160000006</v>
      </c>
      <c r="H64" s="1117"/>
      <c r="I64" s="1117">
        <v>0</v>
      </c>
      <c r="J64" s="1117">
        <f>'10. Guelph_CDM Prgs'!F20/'10. Guelph_CDM Prgs'!F26</f>
        <v>0.15</v>
      </c>
      <c r="K64" s="1117">
        <f>'10. Guelph_CDM Prgs'!F21/'10. Guelph_CDM Prgs'!F26</f>
        <v>0.65</v>
      </c>
      <c r="L64" s="1117">
        <v>0</v>
      </c>
      <c r="M64" s="1117">
        <v>0</v>
      </c>
      <c r="N64" s="1117">
        <v>0</v>
      </c>
      <c r="O64" s="1117">
        <f>'10. Guelph_CDM Prgs'!F22/'10. Guelph_CDM Prgs'!F26</f>
        <v>0.2</v>
      </c>
      <c r="P64" s="1118">
        <f>SUM(H64:O64)</f>
        <v>1</v>
      </c>
      <c r="Q64" s="4"/>
    </row>
    <row r="65" spans="1:17" s="27" customFormat="1" ht="14" outlineLevel="1" x14ac:dyDescent="0.3">
      <c r="A65" s="1278"/>
      <c r="B65" s="265"/>
      <c r="C65" s="1281" t="s">
        <v>783</v>
      </c>
      <c r="D65" s="1281"/>
      <c r="E65" s="1113">
        <v>12</v>
      </c>
      <c r="F65" s="1113">
        <v>119.47499999999999</v>
      </c>
      <c r="G65" s="1113">
        <v>449226</v>
      </c>
      <c r="H65" s="1114">
        <v>0</v>
      </c>
      <c r="I65" s="1114">
        <v>0</v>
      </c>
      <c r="J65" s="1114">
        <v>0</v>
      </c>
      <c r="K65" s="1114">
        <v>1</v>
      </c>
      <c r="L65" s="1114">
        <v>0</v>
      </c>
      <c r="M65" s="1114">
        <v>0</v>
      </c>
      <c r="N65" s="1114">
        <v>0</v>
      </c>
      <c r="O65" s="1114">
        <v>0</v>
      </c>
      <c r="P65" s="1115">
        <f t="shared" ref="P65" si="5">SUM(H65:O65)</f>
        <v>1</v>
      </c>
      <c r="Q65" s="4"/>
    </row>
    <row r="66" spans="1:17" s="27" customFormat="1" ht="14" outlineLevel="1" x14ac:dyDescent="0.3">
      <c r="A66" s="1278"/>
      <c r="B66" s="265"/>
      <c r="C66" s="1282"/>
      <c r="D66" s="1282"/>
      <c r="E66" s="1088"/>
      <c r="F66" s="290"/>
      <c r="G66" s="290"/>
      <c r="H66" s="286"/>
      <c r="I66" s="286"/>
      <c r="J66" s="286"/>
      <c r="K66" s="286"/>
      <c r="L66" s="286"/>
      <c r="M66" s="286"/>
      <c r="N66" s="286"/>
      <c r="O66" s="286"/>
      <c r="P66" s="1112"/>
      <c r="Q66" s="4"/>
    </row>
    <row r="67" spans="1:17" s="27" customFormat="1" ht="14" x14ac:dyDescent="0.3">
      <c r="A67" s="1278"/>
      <c r="B67" s="345"/>
      <c r="C67" s="1266" t="s">
        <v>221</v>
      </c>
      <c r="D67" s="1266"/>
      <c r="E67" s="346"/>
      <c r="F67" s="347"/>
      <c r="G67" s="347"/>
      <c r="H67" s="1121">
        <f>SUM(G30*H30,G31*H31,G56*H56)</f>
        <v>1501401.5360000003</v>
      </c>
      <c r="I67" s="1121">
        <f>SUM(G42*I42,G41*I41)</f>
        <v>866664.33670514135</v>
      </c>
      <c r="J67" s="349"/>
      <c r="K67" s="346"/>
      <c r="L67" s="346"/>
      <c r="M67" s="346"/>
      <c r="N67" s="1121">
        <f>SUM(G30*N30,G31*N31,G56*N56)</f>
        <v>0</v>
      </c>
      <c r="O67" s="346"/>
      <c r="P67" s="350">
        <f>SUM(H67:O67)</f>
        <v>2368065.8727051415</v>
      </c>
      <c r="Q67" s="4"/>
    </row>
    <row r="68" spans="1:17" s="27" customFormat="1" ht="14" x14ac:dyDescent="0.3">
      <c r="A68" s="1278"/>
      <c r="B68" s="472"/>
      <c r="C68" s="473" t="s">
        <v>503</v>
      </c>
      <c r="D68" s="473"/>
      <c r="E68" s="474"/>
      <c r="F68" s="475"/>
      <c r="G68" s="475"/>
      <c r="H68" s="1122">
        <f>H67</f>
        <v>1501401.5360000003</v>
      </c>
      <c r="I68" s="1122">
        <f>I67</f>
        <v>866664.33670514135</v>
      </c>
      <c r="J68" s="476"/>
      <c r="K68" s="474"/>
      <c r="L68" s="474"/>
      <c r="M68" s="474"/>
      <c r="N68" s="1122">
        <f>N67</f>
        <v>0</v>
      </c>
      <c r="O68" s="474"/>
      <c r="P68" s="477"/>
      <c r="Q68" s="4"/>
    </row>
    <row r="69" spans="1:17" s="27" customFormat="1" ht="14" x14ac:dyDescent="0.3">
      <c r="A69" s="1278"/>
      <c r="B69" s="266"/>
      <c r="C69" s="1267" t="s">
        <v>318</v>
      </c>
      <c r="D69" s="1267"/>
      <c r="E69" s="260"/>
      <c r="F69" s="258"/>
      <c r="G69" s="258"/>
      <c r="H69" s="260"/>
      <c r="I69" s="260"/>
      <c r="J69" s="1123">
        <f>SUM(E42*$F$42*J42,E41*$F$41*J41,E51*$F$51*J51,E64*$F$64*J64,E63*$F$63*J63)</f>
        <v>9382.698270041039</v>
      </c>
      <c r="K69" s="1123">
        <f>SUM(E42*$F$42*K42,E41*$F$41*K41,E51*$F$51*K51,E64*$F$64*K64,E65*$F$65*K65)</f>
        <v>13858.075199999999</v>
      </c>
      <c r="L69" s="1123">
        <f t="shared" ref="L69:M69" si="6">SUM(F42*$F$42*L42,F41*$F$41*L41,F51*$F$51*L51,F64*$F$64*L64,F65*$F$65*L65)</f>
        <v>0</v>
      </c>
      <c r="M69" s="1123">
        <f t="shared" si="6"/>
        <v>0</v>
      </c>
      <c r="N69" s="260"/>
      <c r="O69" s="1123">
        <f>SUM(E42*$F$42*O42,E51*$F$51*O51,E64*$F$64*O64)</f>
        <v>9334.7929633378953</v>
      </c>
      <c r="P69" s="267">
        <f>SUM(H69:O69)</f>
        <v>32575.566433378932</v>
      </c>
      <c r="Q69" s="4"/>
    </row>
    <row r="70" spans="1:17" s="27" customFormat="1" ht="14" x14ac:dyDescent="0.3">
      <c r="A70" s="1278"/>
      <c r="B70" s="266"/>
      <c r="C70" s="1267" t="s">
        <v>499</v>
      </c>
      <c r="D70" s="1267"/>
      <c r="E70" s="260"/>
      <c r="F70" s="258"/>
      <c r="G70" s="258"/>
      <c r="H70" s="260"/>
      <c r="I70" s="260"/>
      <c r="J70" s="1123">
        <f>J69</f>
        <v>9382.698270041039</v>
      </c>
      <c r="K70" s="1123">
        <f>K69</f>
        <v>13858.075199999999</v>
      </c>
      <c r="L70" s="1123">
        <f t="shared" ref="L70:M70" si="7">L69</f>
        <v>0</v>
      </c>
      <c r="M70" s="1123">
        <f t="shared" si="7"/>
        <v>0</v>
      </c>
      <c r="N70" s="260"/>
      <c r="O70" s="1123">
        <f>O69</f>
        <v>9334.7929633378953</v>
      </c>
      <c r="P70" s="267">
        <f>SUM(H70:O70)</f>
        <v>32575.566433378932</v>
      </c>
      <c r="Q70" s="4"/>
    </row>
    <row r="71" spans="1:17" s="27" customFormat="1" ht="14" x14ac:dyDescent="0.3">
      <c r="A71" s="1278"/>
      <c r="B71" s="268"/>
      <c r="C71" s="1268"/>
      <c r="D71" s="1268"/>
      <c r="E71" s="254"/>
      <c r="F71" s="252"/>
      <c r="G71" s="252"/>
      <c r="H71" s="252"/>
      <c r="I71" s="252"/>
      <c r="J71" s="252"/>
      <c r="K71" s="254"/>
      <c r="L71" s="254"/>
      <c r="M71" s="254"/>
      <c r="N71" s="254"/>
      <c r="O71" s="254"/>
      <c r="P71" s="269"/>
      <c r="Q71" s="4"/>
    </row>
    <row r="72" spans="1:17" s="6" customFormat="1" ht="14" x14ac:dyDescent="0.3">
      <c r="A72" s="1278"/>
      <c r="B72" s="268"/>
      <c r="C72" s="1269" t="s">
        <v>320</v>
      </c>
      <c r="D72" s="1269"/>
      <c r="E72" s="245"/>
      <c r="F72" s="255"/>
      <c r="G72" s="245"/>
      <c r="H72" s="256">
        <f>'3.  Distribution Rates'!E33</f>
        <v>1.5966666666666667E-2</v>
      </c>
      <c r="I72" s="256">
        <f>'3.  Distribution Rates'!E34</f>
        <v>1.5333333333333332E-2</v>
      </c>
      <c r="J72" s="256">
        <f>'3.  Distribution Rates'!E35</f>
        <v>2.7141333333333333</v>
      </c>
      <c r="K72" s="256">
        <f>'3.  Distribution Rates'!E36</f>
        <v>1.9520666666666668</v>
      </c>
      <c r="L72" s="256">
        <f>'3.  Distribution Rates'!E37</f>
        <v>7.0455333333333323</v>
      </c>
      <c r="M72" s="256">
        <f>'3.  Distribution Rates'!E38</f>
        <v>5.4669999999999996</v>
      </c>
      <c r="N72" s="256">
        <f>'3.  Distribution Rates'!E39</f>
        <v>2.4500000000000004E-2</v>
      </c>
      <c r="O72" s="521">
        <f>'3.  Distribution Rates'!E40</f>
        <v>2.1473999999999998</v>
      </c>
      <c r="P72" s="270"/>
      <c r="Q72" s="137"/>
    </row>
    <row r="73" spans="1:17" s="27" customFormat="1" ht="14" x14ac:dyDescent="0.3">
      <c r="A73" s="1278"/>
      <c r="B73" s="268"/>
      <c r="C73" s="1268" t="s">
        <v>63</v>
      </c>
      <c r="D73" s="1268"/>
      <c r="E73" s="254"/>
      <c r="F73" s="255"/>
      <c r="G73" s="245"/>
      <c r="H73" s="257">
        <f>H67*H72</f>
        <v>23972.377858133339</v>
      </c>
      <c r="I73" s="257">
        <f>I67*I72</f>
        <v>13288.853162812167</v>
      </c>
      <c r="J73" s="257">
        <f>J69*J72</f>
        <v>25465.894131327386</v>
      </c>
      <c r="K73" s="257">
        <f>K69*K72</f>
        <v>27051.88666208</v>
      </c>
      <c r="L73" s="522">
        <f>L69*L72</f>
        <v>0</v>
      </c>
      <c r="M73" s="522">
        <f>M69*M72</f>
        <v>0</v>
      </c>
      <c r="N73" s="522">
        <f>N67*N72</f>
        <v>0</v>
      </c>
      <c r="O73" s="522">
        <f>O69*O72</f>
        <v>20045.534409471795</v>
      </c>
      <c r="P73" s="271">
        <f>SUM(H73:O73)</f>
        <v>109824.54622382467</v>
      </c>
      <c r="Q73" s="4"/>
    </row>
    <row r="74" spans="1:17" s="27" customFormat="1" ht="14" x14ac:dyDescent="0.3">
      <c r="A74" s="1278"/>
      <c r="B74" s="268"/>
      <c r="C74" s="1269" t="s">
        <v>64</v>
      </c>
      <c r="D74" s="1269"/>
      <c r="E74" s="254"/>
      <c r="F74" s="252"/>
      <c r="G74" s="252"/>
      <c r="H74" s="245">
        <f>H68*'6.  Persistence Rates'!$E$25</f>
        <v>1500150.8891561851</v>
      </c>
      <c r="I74" s="245">
        <f>I68*'6.  Persistence Rates'!$E$25</f>
        <v>865942.41722433723</v>
      </c>
      <c r="J74" s="245">
        <f>J70*'6.  Persistence Rates'!Q25</f>
        <v>0</v>
      </c>
      <c r="K74" s="254">
        <f>K70*'6.  Persistence Rates'!Q25</f>
        <v>0</v>
      </c>
      <c r="L74" s="523">
        <f>L69*'6.  Persistence Rates'!Q25</f>
        <v>0</v>
      </c>
      <c r="M74" s="523">
        <f>M69*'6.  Persistence Rates'!Q25</f>
        <v>0</v>
      </c>
      <c r="N74" s="523">
        <f>N67*'6.  Persistence Rates'!E25</f>
        <v>0</v>
      </c>
      <c r="O74" s="523">
        <f>O70*'6.  Persistence Rates'!Q25</f>
        <v>0</v>
      </c>
      <c r="P74" s="269"/>
      <c r="Q74" s="4"/>
    </row>
    <row r="75" spans="1:17" s="27" customFormat="1" ht="14" x14ac:dyDescent="0.3">
      <c r="A75" s="1278"/>
      <c r="B75" s="268"/>
      <c r="C75" s="1269" t="s">
        <v>65</v>
      </c>
      <c r="D75" s="1269"/>
      <c r="E75" s="254"/>
      <c r="F75" s="252"/>
      <c r="G75" s="252"/>
      <c r="H75" s="245">
        <f>H68*'6.  Persistence Rates'!$F$25</f>
        <v>1498900.2423123701</v>
      </c>
      <c r="I75" s="245">
        <f>I68*'6.  Persistence Rates'!$F$25</f>
        <v>865220.49774353346</v>
      </c>
      <c r="J75" s="245">
        <f>J70*'6.  Persistence Rates'!R25</f>
        <v>0</v>
      </c>
      <c r="K75" s="254">
        <f>K70*'6.  Persistence Rates'!R25</f>
        <v>0</v>
      </c>
      <c r="L75" s="523">
        <f>L69*'6.  Persistence Rates'!R25</f>
        <v>0</v>
      </c>
      <c r="M75" s="523">
        <f>M69*'6.  Persistence Rates'!R25</f>
        <v>0</v>
      </c>
      <c r="N75" s="523">
        <f>N67*'6.  Persistence Rates'!F25</f>
        <v>0</v>
      </c>
      <c r="O75" s="523">
        <f>O70*'6.  Persistence Rates'!R25</f>
        <v>0</v>
      </c>
      <c r="P75" s="269"/>
      <c r="Q75" s="4"/>
    </row>
    <row r="76" spans="1:17" s="27" customFormat="1" ht="14" x14ac:dyDescent="0.3">
      <c r="A76" s="1278"/>
      <c r="B76" s="268"/>
      <c r="C76" s="1269" t="s">
        <v>66</v>
      </c>
      <c r="D76" s="1269"/>
      <c r="E76" s="254"/>
      <c r="F76" s="252"/>
      <c r="G76" s="252"/>
      <c r="H76" s="245">
        <f>$H$68*'6.  Persistence Rates'!$G$25</f>
        <v>1482954.4950537279</v>
      </c>
      <c r="I76" s="245">
        <f>$I$68*'6.  Persistence Rates'!$G$25</f>
        <v>856016.02436328307</v>
      </c>
      <c r="J76" s="245">
        <f>$J$70*'6.  Persistence Rates'!$S$25</f>
        <v>8035.256079169395</v>
      </c>
      <c r="K76" s="254">
        <f>$K$70*'6.  Persistence Rates'!$S$25</f>
        <v>11867.927518455688</v>
      </c>
      <c r="L76" s="523">
        <f>$L$69*'6.  Persistence Rates'!$S$25</f>
        <v>0</v>
      </c>
      <c r="M76" s="523">
        <f>$M$69*'6.  Persistence Rates'!$S$25</f>
        <v>0</v>
      </c>
      <c r="N76" s="523">
        <f>$N$67*'6.  Persistence Rates'!$G$25</f>
        <v>0</v>
      </c>
      <c r="O76" s="523">
        <f>$J$70*'6.  Persistence Rates'!$S$25</f>
        <v>8035.256079169395</v>
      </c>
      <c r="P76" s="269"/>
      <c r="Q76" s="4"/>
    </row>
    <row r="77" spans="1:17" s="27" customFormat="1" ht="14" x14ac:dyDescent="0.3">
      <c r="A77" s="239"/>
      <c r="B77" s="268"/>
      <c r="C77" s="1085" t="s">
        <v>418</v>
      </c>
      <c r="D77" s="1085"/>
      <c r="E77" s="254"/>
      <c r="F77" s="252"/>
      <c r="G77" s="252"/>
      <c r="H77" s="245">
        <f>$H$68*'6.  Persistence Rates'!$H$25</f>
        <v>1469478.4148937035</v>
      </c>
      <c r="I77" s="245">
        <f>$I$68*'6.  Persistence Rates'!$H$25</f>
        <v>848237.13391110708</v>
      </c>
      <c r="J77" s="245">
        <f>$J$70*'6.  Persistence Rates'!$T$25</f>
        <v>9054.49400454221</v>
      </c>
      <c r="K77" s="245">
        <f>$K$70*'6.  Persistence Rates'!$T$25</f>
        <v>13373.323451479408</v>
      </c>
      <c r="L77" s="524">
        <f>$L$69*'6.  Persistence Rates'!$T$25</f>
        <v>0</v>
      </c>
      <c r="M77" s="524">
        <f>$M$69*'6.  Persistence Rates'!$T$25</f>
        <v>0</v>
      </c>
      <c r="N77" s="524">
        <f>$N$67*'6.  Persistence Rates'!$H$25</f>
        <v>0</v>
      </c>
      <c r="O77" s="524">
        <f>$J$70*'6.  Persistence Rates'!$T$25</f>
        <v>9054.49400454221</v>
      </c>
      <c r="P77" s="269"/>
      <c r="Q77" s="4"/>
    </row>
    <row r="78" spans="1:17" s="27" customFormat="1" ht="14" x14ac:dyDescent="0.3">
      <c r="A78" s="239"/>
      <c r="B78" s="268"/>
      <c r="C78" s="1085" t="s">
        <v>419</v>
      </c>
      <c r="D78" s="1085"/>
      <c r="E78" s="254"/>
      <c r="F78" s="252"/>
      <c r="G78" s="252"/>
      <c r="H78" s="245">
        <f>$H$68*'6.  Persistence Rates'!$I$25</f>
        <v>1442210.1067858508</v>
      </c>
      <c r="I78" s="245">
        <f>$I$68*'6.  Persistence Rates'!$I$25</f>
        <v>832496.86084443319</v>
      </c>
      <c r="J78" s="245">
        <f>$J$70*'6.  Persistence Rates'!$U$25</f>
        <v>8511.8034609801543</v>
      </c>
      <c r="K78" s="245">
        <f>$K$70*'6.  Persistence Rates'!$U$25</f>
        <v>12571.779359730739</v>
      </c>
      <c r="L78" s="524">
        <f>$L$69*'6.  Persistence Rates'!$U$25</f>
        <v>0</v>
      </c>
      <c r="M78" s="524">
        <f>$M$69*'6.  Persistence Rates'!$U$25</f>
        <v>0</v>
      </c>
      <c r="N78" s="524">
        <f>$N$67*'6.  Persistence Rates'!$I$25</f>
        <v>0</v>
      </c>
      <c r="O78" s="524">
        <f>$J$70*'6.  Persistence Rates'!$U$25</f>
        <v>8511.8034609801543</v>
      </c>
      <c r="P78" s="269"/>
      <c r="Q78" s="4"/>
    </row>
    <row r="79" spans="1:17" s="27" customFormat="1" ht="14" x14ac:dyDescent="0.3">
      <c r="A79" s="239"/>
      <c r="B79" s="268"/>
      <c r="C79" s="1085" t="s">
        <v>420</v>
      </c>
      <c r="D79" s="1085"/>
      <c r="E79" s="254"/>
      <c r="F79" s="252"/>
      <c r="G79" s="252"/>
      <c r="H79" s="245">
        <f>$H$68*'6.  Persistence Rates'!$J$25</f>
        <v>1392002.9973839703</v>
      </c>
      <c r="I79" s="245">
        <f>$I$68*'6.  Persistence Rates'!$J$25</f>
        <v>803515.46571173018</v>
      </c>
      <c r="J79" s="245">
        <f>$J$70*'6.  Persistence Rates'!$V$25</f>
        <v>8503.8353606518976</v>
      </c>
      <c r="K79" s="245">
        <f>$K$70*'6.  Persistence Rates'!$V$25</f>
        <v>12560.010620038585</v>
      </c>
      <c r="L79" s="524">
        <f>$L$69*'6.  Persistence Rates'!$V$25</f>
        <v>0</v>
      </c>
      <c r="M79" s="524">
        <f>$M$69*'6.  Persistence Rates'!$V$25</f>
        <v>0</v>
      </c>
      <c r="N79" s="524">
        <f>$N$67*'6.  Persistence Rates'!$J$25</f>
        <v>0</v>
      </c>
      <c r="O79" s="524">
        <f>$J$70*'6.  Persistence Rates'!$V$25</f>
        <v>8503.8353606518976</v>
      </c>
      <c r="P79" s="269"/>
      <c r="Q79" s="4"/>
    </row>
    <row r="80" spans="1:17" s="27" customFormat="1" ht="14" x14ac:dyDescent="0.3">
      <c r="A80" s="239"/>
      <c r="B80" s="268"/>
      <c r="C80" s="1085" t="s">
        <v>421</v>
      </c>
      <c r="D80" s="1085"/>
      <c r="E80" s="254"/>
      <c r="F80" s="252"/>
      <c r="G80" s="252"/>
      <c r="H80" s="245">
        <f>$H$68*'6.  Persistence Rates'!$K$25</f>
        <v>1391680.7313198291</v>
      </c>
      <c r="I80" s="245">
        <f>$I$68*'6.  Persistence Rates'!$K$25</f>
        <v>803329.44185467088</v>
      </c>
      <c r="J80" s="245">
        <f>$J$70*'6.  Persistence Rates'!$W$25</f>
        <v>7504.5604064156314</v>
      </c>
      <c r="K80" s="245">
        <f>$K$70*'6.  Persistence Rates'!$W$25</f>
        <v>11084.099633377158</v>
      </c>
      <c r="L80" s="524">
        <f>$L$69*'6.  Persistence Rates'!$W$25</f>
        <v>0</v>
      </c>
      <c r="M80" s="524">
        <f>$M$69*'6.  Persistence Rates'!$W$25</f>
        <v>0</v>
      </c>
      <c r="N80" s="524">
        <f>$N$67*'6.  Persistence Rates'!$K$25</f>
        <v>0</v>
      </c>
      <c r="O80" s="524">
        <f>$J$70*'6.  Persistence Rates'!$W$25</f>
        <v>7504.5604064156314</v>
      </c>
      <c r="P80" s="269"/>
      <c r="Q80" s="4"/>
    </row>
    <row r="81" spans="1:17" s="27" customFormat="1" ht="14" x14ac:dyDescent="0.3">
      <c r="A81" s="239"/>
      <c r="B81" s="268"/>
      <c r="C81" s="1085" t="s">
        <v>422</v>
      </c>
      <c r="D81" s="1085"/>
      <c r="E81" s="254"/>
      <c r="F81" s="252"/>
      <c r="G81" s="252"/>
      <c r="H81" s="245">
        <f>$H$68*'6.  Persistence Rates'!$L$25</f>
        <v>1179374.4931953931</v>
      </c>
      <c r="I81" s="245">
        <f>$I$68*'6.  Persistence Rates'!$L$25</f>
        <v>680778.45157615945</v>
      </c>
      <c r="J81" s="245">
        <f>$J$70*'6.  Persistence Rates'!$X$25</f>
        <v>7471.3651604607721</v>
      </c>
      <c r="K81" s="245">
        <f>$K$70*'6.  Persistence Rates'!$X$25</f>
        <v>11035.070857060884</v>
      </c>
      <c r="L81" s="524">
        <f>$L$69*'6.  Persistence Rates'!$X$25</f>
        <v>0</v>
      </c>
      <c r="M81" s="524">
        <f>$M$69*'6.  Persistence Rates'!$X$25</f>
        <v>0</v>
      </c>
      <c r="N81" s="524">
        <f>$N$67*'6.  Persistence Rates'!$L$25</f>
        <v>0</v>
      </c>
      <c r="O81" s="524">
        <f>$J$70*'6.  Persistence Rates'!$X$25</f>
        <v>7471.3651604607721</v>
      </c>
      <c r="P81" s="269"/>
      <c r="Q81" s="4"/>
    </row>
    <row r="82" spans="1:17" x14ac:dyDescent="0.35">
      <c r="B82" s="387"/>
      <c r="C82" s="1086" t="s">
        <v>423</v>
      </c>
      <c r="D82" s="388"/>
      <c r="E82" s="388"/>
      <c r="F82" s="389"/>
      <c r="G82" s="389"/>
      <c r="H82" s="491">
        <f>$H$68*'6.  Persistence Rates'!$M$25</f>
        <v>1155597.4497684876</v>
      </c>
      <c r="I82" s="491">
        <f>$I$68*'6.  Persistence Rates'!$M$25</f>
        <v>667053.46523753589</v>
      </c>
      <c r="J82" s="491">
        <f>$J$70*'6.  Persistence Rates'!$Y$25</f>
        <v>7433.4417005724526</v>
      </c>
      <c r="K82" s="491">
        <f>$K$70*'6.  Persistence Rates'!$Y$25</f>
        <v>10979.058594505816</v>
      </c>
      <c r="L82" s="525">
        <f>$L$69*'6.  Persistence Rates'!$Y$25</f>
        <v>0</v>
      </c>
      <c r="M82" s="525">
        <f>$M$69*'6.  Persistence Rates'!$Y$25</f>
        <v>0</v>
      </c>
      <c r="N82" s="525">
        <f>$N$67*'6.  Persistence Rates'!$M$25</f>
        <v>0</v>
      </c>
      <c r="O82" s="525">
        <f>$J$70*'6.  Persistence Rates'!$Y$25</f>
        <v>7433.4417005724526</v>
      </c>
      <c r="P82" s="1124"/>
      <c r="Q82" s="141"/>
    </row>
    <row r="83" spans="1:17" x14ac:dyDescent="0.35">
      <c r="B83" s="1084"/>
      <c r="C83" s="1085"/>
      <c r="D83" s="139"/>
      <c r="E83" s="139"/>
      <c r="F83" s="140"/>
      <c r="G83" s="140"/>
      <c r="H83" s="65"/>
      <c r="I83" s="65"/>
      <c r="J83" s="65"/>
      <c r="K83" s="65"/>
      <c r="L83" s="65"/>
      <c r="M83" s="65"/>
      <c r="N83" s="65"/>
      <c r="O83" s="65"/>
      <c r="P83" s="65"/>
      <c r="Q83" s="141"/>
    </row>
    <row r="84" spans="1:17" x14ac:dyDescent="0.35">
      <c r="B84" s="1084"/>
      <c r="C84" s="138"/>
      <c r="D84" s="1084"/>
      <c r="E84" s="1084"/>
      <c r="F84" s="65"/>
      <c r="G84" s="65"/>
      <c r="H84" s="245"/>
      <c r="I84" s="65"/>
      <c r="J84" s="65"/>
      <c r="K84" s="65"/>
      <c r="L84" s="65"/>
      <c r="M84" s="65"/>
      <c r="N84" s="65"/>
      <c r="O84" s="65"/>
      <c r="P84" s="65"/>
      <c r="Q84" s="65"/>
    </row>
    <row r="85" spans="1:17" x14ac:dyDescent="0.35">
      <c r="B85" s="1275" t="s">
        <v>353</v>
      </c>
      <c r="C85" s="1275"/>
      <c r="D85" s="1275"/>
      <c r="E85" s="1275"/>
      <c r="F85" s="1275"/>
      <c r="G85" s="1275"/>
      <c r="H85" s="1275"/>
      <c r="I85" s="1275"/>
      <c r="J85" s="1275"/>
      <c r="K85" s="1275"/>
      <c r="L85" s="1275"/>
      <c r="M85" s="1275"/>
      <c r="N85" s="1275"/>
      <c r="O85" s="1275"/>
      <c r="P85" s="1275"/>
      <c r="Q85" s="65"/>
    </row>
    <row r="86" spans="1:17" ht="18" x14ac:dyDescent="0.4">
      <c r="B86" s="142"/>
      <c r="C86" s="143"/>
      <c r="D86" s="142"/>
      <c r="E86" s="142"/>
      <c r="F86" s="97"/>
      <c r="G86" s="142"/>
      <c r="H86" s="142"/>
      <c r="I86" s="142"/>
      <c r="J86" s="142"/>
      <c r="K86" s="142"/>
      <c r="L86" s="142"/>
      <c r="M86" s="142"/>
      <c r="N86" s="142"/>
      <c r="O86" s="142"/>
      <c r="P86" s="142"/>
      <c r="Q86" s="65"/>
    </row>
    <row r="87" spans="1:17" ht="42" x14ac:dyDescent="0.35">
      <c r="B87" s="1262" t="s">
        <v>59</v>
      </c>
      <c r="C87" s="1264" t="s">
        <v>0</v>
      </c>
      <c r="D87" s="1264" t="s">
        <v>45</v>
      </c>
      <c r="E87" s="1264" t="s">
        <v>205</v>
      </c>
      <c r="F87" s="263" t="s">
        <v>46</v>
      </c>
      <c r="G87" s="263" t="s">
        <v>202</v>
      </c>
      <c r="H87" s="1272" t="s">
        <v>60</v>
      </c>
      <c r="I87" s="1273"/>
      <c r="J87" s="1273"/>
      <c r="K87" s="1273"/>
      <c r="L87" s="1273"/>
      <c r="M87" s="1273"/>
      <c r="N87" s="1273"/>
      <c r="O87" s="1273"/>
      <c r="P87" s="1274"/>
      <c r="Q87" s="65"/>
    </row>
    <row r="88" spans="1:17" ht="42" x14ac:dyDescent="0.35">
      <c r="B88" s="1280"/>
      <c r="C88" s="1265"/>
      <c r="D88" s="1265"/>
      <c r="E88" s="1265"/>
      <c r="F88" s="208" t="s">
        <v>94</v>
      </c>
      <c r="G88" s="134" t="s">
        <v>95</v>
      </c>
      <c r="H88" s="134" t="s">
        <v>38</v>
      </c>
      <c r="I88" s="134" t="s">
        <v>40</v>
      </c>
      <c r="J88" s="134" t="s">
        <v>109</v>
      </c>
      <c r="K88" s="134" t="s">
        <v>110</v>
      </c>
      <c r="L88" s="134" t="s">
        <v>41</v>
      </c>
      <c r="M88" s="134" t="s">
        <v>42</v>
      </c>
      <c r="N88" s="134" t="s">
        <v>43</v>
      </c>
      <c r="O88" s="208" t="s">
        <v>508</v>
      </c>
      <c r="P88" s="372" t="s">
        <v>35</v>
      </c>
      <c r="Q88" s="65"/>
    </row>
    <row r="89" spans="1:17" s="21" customFormat="1" ht="19.5" customHeight="1" outlineLevel="1" x14ac:dyDescent="0.35">
      <c r="A89" s="44"/>
      <c r="B89" s="366"/>
      <c r="C89" s="1277" t="s">
        <v>1</v>
      </c>
      <c r="D89" s="1277"/>
      <c r="E89" s="367"/>
      <c r="F89" s="368"/>
      <c r="G89" s="368"/>
      <c r="H89" s="368"/>
      <c r="I89" s="368"/>
      <c r="J89" s="368"/>
      <c r="K89" s="368"/>
      <c r="L89" s="368"/>
      <c r="M89" s="368"/>
      <c r="N89" s="368"/>
      <c r="O89" s="368"/>
      <c r="P89" s="369"/>
      <c r="Q89" s="136"/>
    </row>
    <row r="90" spans="1:17" ht="14.5" outlineLevel="1" x14ac:dyDescent="0.35">
      <c r="A90" s="1278"/>
      <c r="B90" s="265">
        <v>1</v>
      </c>
      <c r="C90" s="247" t="s">
        <v>2</v>
      </c>
      <c r="D90" s="245" t="s">
        <v>34</v>
      </c>
      <c r="E90" s="245"/>
      <c r="F90" s="289">
        <v>22.817</v>
      </c>
      <c r="G90" s="289">
        <v>167643.23300000001</v>
      </c>
      <c r="H90" s="288">
        <v>0</v>
      </c>
      <c r="I90" s="287"/>
      <c r="J90" s="287"/>
      <c r="K90" s="287"/>
      <c r="L90" s="287"/>
      <c r="M90" s="287"/>
      <c r="N90" s="287"/>
      <c r="O90" s="287"/>
      <c r="P90" s="244">
        <f>SUM(H90:O90)</f>
        <v>0</v>
      </c>
      <c r="Q90" s="65"/>
    </row>
    <row r="91" spans="1:17" ht="14.5" outlineLevel="1" x14ac:dyDescent="0.35">
      <c r="A91" s="1278"/>
      <c r="B91" s="265">
        <v>2</v>
      </c>
      <c r="C91" s="247" t="s">
        <v>3</v>
      </c>
      <c r="D91" s="245" t="s">
        <v>34</v>
      </c>
      <c r="E91" s="245"/>
      <c r="F91" s="289">
        <v>3.1720000000000002</v>
      </c>
      <c r="G91" s="289">
        <v>5638.5439999999999</v>
      </c>
      <c r="H91" s="288">
        <v>0</v>
      </c>
      <c r="I91" s="287"/>
      <c r="J91" s="287"/>
      <c r="K91" s="287"/>
      <c r="L91" s="287"/>
      <c r="M91" s="287"/>
      <c r="N91" s="287"/>
      <c r="O91" s="287"/>
      <c r="P91" s="244">
        <f t="shared" ref="P91:P100" si="8">SUM(H91:O91)</f>
        <v>0</v>
      </c>
      <c r="Q91" s="65"/>
    </row>
    <row r="92" spans="1:17" ht="14.5" outlineLevel="1" x14ac:dyDescent="0.35">
      <c r="A92" s="1278"/>
      <c r="B92" s="265">
        <v>3</v>
      </c>
      <c r="C92" s="247" t="s">
        <v>4</v>
      </c>
      <c r="D92" s="245" t="s">
        <v>34</v>
      </c>
      <c r="E92" s="245"/>
      <c r="F92" s="289">
        <v>253.10400000000001</v>
      </c>
      <c r="G92" s="289">
        <v>449782.71100000001</v>
      </c>
      <c r="H92" s="288">
        <v>0</v>
      </c>
      <c r="I92" s="287"/>
      <c r="J92" s="287"/>
      <c r="K92" s="287"/>
      <c r="L92" s="287"/>
      <c r="M92" s="287"/>
      <c r="N92" s="287"/>
      <c r="O92" s="287"/>
      <c r="P92" s="244">
        <f t="shared" si="8"/>
        <v>0</v>
      </c>
      <c r="Q92" s="65"/>
    </row>
    <row r="93" spans="1:17" ht="14.5" outlineLevel="1" x14ac:dyDescent="0.35">
      <c r="A93" s="1278"/>
      <c r="B93" s="265">
        <v>4</v>
      </c>
      <c r="C93" s="247" t="s">
        <v>5</v>
      </c>
      <c r="D93" s="245" t="s">
        <v>34</v>
      </c>
      <c r="E93" s="245"/>
      <c r="F93" s="289">
        <v>2.0699999999999998</v>
      </c>
      <c r="G93" s="289">
        <v>12560.415000000001</v>
      </c>
      <c r="H93" s="288">
        <v>0</v>
      </c>
      <c r="I93" s="287"/>
      <c r="J93" s="287"/>
      <c r="K93" s="287"/>
      <c r="L93" s="287"/>
      <c r="M93" s="287"/>
      <c r="N93" s="287"/>
      <c r="O93" s="287"/>
      <c r="P93" s="244">
        <f t="shared" si="8"/>
        <v>0</v>
      </c>
      <c r="Q93" s="65"/>
    </row>
    <row r="94" spans="1:17" ht="14.5" outlineLevel="1" x14ac:dyDescent="0.35">
      <c r="A94" s="1278"/>
      <c r="B94" s="265">
        <v>5</v>
      </c>
      <c r="C94" s="247" t="s">
        <v>6</v>
      </c>
      <c r="D94" s="245" t="s">
        <v>34</v>
      </c>
      <c r="E94" s="245"/>
      <c r="F94" s="289">
        <v>13.295</v>
      </c>
      <c r="G94" s="289">
        <v>240586.81599999999</v>
      </c>
      <c r="H94" s="288">
        <v>0</v>
      </c>
      <c r="I94" s="287"/>
      <c r="J94" s="287"/>
      <c r="K94" s="287"/>
      <c r="L94" s="287"/>
      <c r="M94" s="287"/>
      <c r="N94" s="287"/>
      <c r="O94" s="287"/>
      <c r="P94" s="244">
        <f t="shared" si="8"/>
        <v>0</v>
      </c>
      <c r="Q94" s="65"/>
    </row>
    <row r="95" spans="1:17" ht="14.5" outlineLevel="1" x14ac:dyDescent="0.35">
      <c r="A95" s="1278"/>
      <c r="B95" s="265">
        <v>6</v>
      </c>
      <c r="C95" s="247" t="s">
        <v>7</v>
      </c>
      <c r="D95" s="245" t="s">
        <v>34</v>
      </c>
      <c r="E95" s="245"/>
      <c r="F95" s="289">
        <v>0</v>
      </c>
      <c r="G95" s="289">
        <v>0</v>
      </c>
      <c r="H95" s="288">
        <v>0</v>
      </c>
      <c r="I95" s="287"/>
      <c r="J95" s="287"/>
      <c r="K95" s="287"/>
      <c r="L95" s="287"/>
      <c r="M95" s="287"/>
      <c r="N95" s="287"/>
      <c r="O95" s="287"/>
      <c r="P95" s="244">
        <f t="shared" si="8"/>
        <v>0</v>
      </c>
      <c r="Q95" s="65"/>
    </row>
    <row r="96" spans="1:17" ht="28" outlineLevel="1" x14ac:dyDescent="0.35">
      <c r="A96" s="1278"/>
      <c r="B96" s="265">
        <v>7</v>
      </c>
      <c r="C96" s="247" t="s">
        <v>33</v>
      </c>
      <c r="D96" s="245" t="s">
        <v>34</v>
      </c>
      <c r="E96" s="245"/>
      <c r="F96" s="289">
        <v>0</v>
      </c>
      <c r="G96" s="289">
        <v>0</v>
      </c>
      <c r="H96" s="286">
        <v>0</v>
      </c>
      <c r="I96" s="1125"/>
      <c r="J96" s="1125"/>
      <c r="K96" s="1125"/>
      <c r="L96" s="1125"/>
      <c r="M96" s="1125"/>
      <c r="N96" s="1125"/>
      <c r="O96" s="1125"/>
      <c r="P96" s="1126">
        <f t="shared" si="8"/>
        <v>0</v>
      </c>
      <c r="Q96" s="65"/>
    </row>
    <row r="97" spans="1:19" ht="14.5" outlineLevel="1" x14ac:dyDescent="0.35">
      <c r="A97" s="1278"/>
      <c r="B97" s="265">
        <v>8</v>
      </c>
      <c r="C97" s="247" t="s">
        <v>26</v>
      </c>
      <c r="D97" s="245" t="s">
        <v>34</v>
      </c>
      <c r="E97" s="245"/>
      <c r="F97" s="289">
        <v>0</v>
      </c>
      <c r="G97" s="289">
        <v>0</v>
      </c>
      <c r="H97" s="288">
        <v>0</v>
      </c>
      <c r="I97" s="287"/>
      <c r="J97" s="287"/>
      <c r="K97" s="287"/>
      <c r="L97" s="287"/>
      <c r="M97" s="287"/>
      <c r="N97" s="287"/>
      <c r="O97" s="287"/>
      <c r="P97" s="244">
        <f t="shared" si="8"/>
        <v>0</v>
      </c>
      <c r="Q97" s="65"/>
    </row>
    <row r="98" spans="1:19" ht="14.5" outlineLevel="1" x14ac:dyDescent="0.35">
      <c r="A98" s="1278"/>
      <c r="B98" s="265">
        <v>9</v>
      </c>
      <c r="C98" s="247" t="s">
        <v>8</v>
      </c>
      <c r="D98" s="245" t="s">
        <v>34</v>
      </c>
      <c r="E98" s="245"/>
      <c r="F98" s="289">
        <v>0</v>
      </c>
      <c r="G98" s="289">
        <v>0</v>
      </c>
      <c r="H98" s="288">
        <v>0</v>
      </c>
      <c r="I98" s="287"/>
      <c r="J98" s="287"/>
      <c r="K98" s="287"/>
      <c r="L98" s="287"/>
      <c r="M98" s="287"/>
      <c r="N98" s="287"/>
      <c r="O98" s="287"/>
      <c r="P98" s="244">
        <f t="shared" si="8"/>
        <v>0</v>
      </c>
      <c r="Q98" s="65"/>
    </row>
    <row r="99" spans="1:19" ht="14.5" outlineLevel="1" x14ac:dyDescent="0.35">
      <c r="A99" s="1278"/>
      <c r="B99" s="265"/>
      <c r="C99" s="248" t="s">
        <v>255</v>
      </c>
      <c r="D99" s="245" t="s">
        <v>253</v>
      </c>
      <c r="E99" s="245"/>
      <c r="F99" s="1127">
        <v>7.4009999999999998</v>
      </c>
      <c r="G99" s="1127">
        <v>14802.991</v>
      </c>
      <c r="H99" s="1114">
        <v>1</v>
      </c>
      <c r="I99" s="1114">
        <v>0</v>
      </c>
      <c r="J99" s="1114">
        <v>0</v>
      </c>
      <c r="K99" s="1114">
        <v>0</v>
      </c>
      <c r="L99" s="1114">
        <v>0</v>
      </c>
      <c r="M99" s="1114">
        <v>0</v>
      </c>
      <c r="N99" s="1114">
        <v>0</v>
      </c>
      <c r="O99" s="1114">
        <v>0</v>
      </c>
      <c r="P99" s="1115">
        <f t="shared" si="8"/>
        <v>1</v>
      </c>
      <c r="Q99" s="65"/>
    </row>
    <row r="100" spans="1:19" ht="14.5" outlineLevel="1" x14ac:dyDescent="0.35">
      <c r="A100" s="1278"/>
      <c r="B100" s="265"/>
      <c r="C100" s="1276" t="s">
        <v>778</v>
      </c>
      <c r="D100" s="1276"/>
      <c r="E100" s="1116"/>
      <c r="F100" s="1116">
        <f>SUM(F90:F98)</f>
        <v>294.45800000000003</v>
      </c>
      <c r="G100" s="1116">
        <f>SUM(G90:G98)</f>
        <v>876211.71900000004</v>
      </c>
      <c r="H100" s="1117">
        <v>1</v>
      </c>
      <c r="I100" s="1117">
        <v>0</v>
      </c>
      <c r="J100" s="1117">
        <v>0</v>
      </c>
      <c r="K100" s="1117">
        <v>0</v>
      </c>
      <c r="L100" s="1117">
        <v>0</v>
      </c>
      <c r="M100" s="1117">
        <v>0</v>
      </c>
      <c r="N100" s="1117">
        <v>0</v>
      </c>
      <c r="O100" s="1117">
        <v>0</v>
      </c>
      <c r="P100" s="1118">
        <f t="shared" si="8"/>
        <v>1</v>
      </c>
      <c r="Q100" s="65"/>
    </row>
    <row r="101" spans="1:19" ht="14.5" outlineLevel="1" x14ac:dyDescent="0.35">
      <c r="A101" s="1278"/>
      <c r="B101" s="265"/>
      <c r="C101" s="1267"/>
      <c r="D101" s="1267"/>
      <c r="E101" s="1087"/>
      <c r="F101" s="289"/>
      <c r="G101" s="289"/>
      <c r="H101" s="286"/>
      <c r="I101" s="287"/>
      <c r="J101" s="287"/>
      <c r="K101" s="287"/>
      <c r="L101" s="287"/>
      <c r="M101" s="287"/>
      <c r="N101" s="287"/>
      <c r="O101" s="287"/>
      <c r="P101" s="244"/>
      <c r="Q101" s="65"/>
    </row>
    <row r="102" spans="1:19" s="21" customFormat="1" ht="18.75" customHeight="1" outlineLevel="1" x14ac:dyDescent="0.35">
      <c r="A102" s="1278"/>
      <c r="B102" s="240"/>
      <c r="C102" s="1270" t="s">
        <v>9</v>
      </c>
      <c r="D102" s="1270"/>
      <c r="E102" s="241"/>
      <c r="F102" s="242"/>
      <c r="G102" s="242"/>
      <c r="H102" s="242"/>
      <c r="I102" s="242"/>
      <c r="J102" s="242"/>
      <c r="K102" s="242"/>
      <c r="L102" s="242"/>
      <c r="M102" s="242"/>
      <c r="N102" s="242"/>
      <c r="O102" s="242"/>
      <c r="P102" s="243"/>
      <c r="Q102" s="136"/>
      <c r="R102" s="27"/>
      <c r="S102" s="27"/>
    </row>
    <row r="103" spans="1:19" ht="14.5" outlineLevel="1" x14ac:dyDescent="0.35">
      <c r="A103" s="1278"/>
      <c r="B103" s="145">
        <v>10</v>
      </c>
      <c r="C103" s="249" t="s">
        <v>27</v>
      </c>
      <c r="D103" s="245" t="s">
        <v>34</v>
      </c>
      <c r="E103" s="245">
        <v>12</v>
      </c>
      <c r="F103" s="289">
        <v>1055.06</v>
      </c>
      <c r="G103" s="289">
        <v>5028198.9289999995</v>
      </c>
      <c r="H103" s="286"/>
      <c r="I103" s="288">
        <v>0</v>
      </c>
      <c r="J103" s="288">
        <v>0</v>
      </c>
      <c r="K103" s="288">
        <v>0</v>
      </c>
      <c r="L103" s="287"/>
      <c r="M103" s="287"/>
      <c r="N103" s="287"/>
      <c r="O103" s="287"/>
      <c r="P103" s="244">
        <f>SUM(H103:O103)</f>
        <v>0</v>
      </c>
      <c r="Q103" s="65"/>
    </row>
    <row r="104" spans="1:19" ht="14.5" outlineLevel="1" x14ac:dyDescent="0.35">
      <c r="A104" s="1278"/>
      <c r="B104" s="145">
        <v>11</v>
      </c>
      <c r="C104" s="247" t="s">
        <v>25</v>
      </c>
      <c r="D104" s="245" t="s">
        <v>34</v>
      </c>
      <c r="E104" s="245">
        <v>12</v>
      </c>
      <c r="F104" s="289">
        <v>156.24199999999999</v>
      </c>
      <c r="G104" s="289">
        <v>553505.777</v>
      </c>
      <c r="H104" s="286"/>
      <c r="I104" s="288">
        <v>0</v>
      </c>
      <c r="J104" s="288">
        <v>0</v>
      </c>
      <c r="K104" s="288">
        <v>0</v>
      </c>
      <c r="L104" s="287"/>
      <c r="M104" s="287"/>
      <c r="N104" s="287"/>
      <c r="O104" s="287"/>
      <c r="P104" s="244">
        <f>SUM(H104:O104)</f>
        <v>0</v>
      </c>
      <c r="Q104" s="65"/>
    </row>
    <row r="105" spans="1:19" ht="14.5" outlineLevel="1" x14ac:dyDescent="0.35">
      <c r="A105" s="1278"/>
      <c r="B105" s="145">
        <v>12</v>
      </c>
      <c r="C105" s="247" t="s">
        <v>28</v>
      </c>
      <c r="D105" s="245" t="s">
        <v>34</v>
      </c>
      <c r="E105" s="245">
        <v>3</v>
      </c>
      <c r="F105" s="289">
        <v>0</v>
      </c>
      <c r="G105" s="289">
        <v>0</v>
      </c>
      <c r="H105" s="286"/>
      <c r="I105" s="288">
        <v>0</v>
      </c>
      <c r="J105" s="288">
        <v>0</v>
      </c>
      <c r="K105" s="288">
        <v>0</v>
      </c>
      <c r="L105" s="287"/>
      <c r="M105" s="287"/>
      <c r="N105" s="287"/>
      <c r="O105" s="287"/>
      <c r="P105" s="244">
        <f t="shared" ref="P105:P111" si="9">SUM(H105:O105)</f>
        <v>0</v>
      </c>
      <c r="Q105" s="65"/>
    </row>
    <row r="106" spans="1:19" ht="14.5" outlineLevel="1" x14ac:dyDescent="0.35">
      <c r="A106" s="1278"/>
      <c r="B106" s="145">
        <v>13</v>
      </c>
      <c r="C106" s="247" t="s">
        <v>29</v>
      </c>
      <c r="D106" s="245" t="s">
        <v>34</v>
      </c>
      <c r="E106" s="245">
        <v>12</v>
      </c>
      <c r="F106" s="289">
        <v>0</v>
      </c>
      <c r="G106" s="289">
        <v>0</v>
      </c>
      <c r="H106" s="286"/>
      <c r="I106" s="288">
        <v>0</v>
      </c>
      <c r="J106" s="288">
        <v>0</v>
      </c>
      <c r="K106" s="288">
        <v>0</v>
      </c>
      <c r="L106" s="287"/>
      <c r="M106" s="287"/>
      <c r="N106" s="287"/>
      <c r="O106" s="287"/>
      <c r="P106" s="244">
        <f t="shared" si="9"/>
        <v>0</v>
      </c>
      <c r="Q106" s="65"/>
    </row>
    <row r="107" spans="1:19" ht="14.5" outlineLevel="1" x14ac:dyDescent="0.35">
      <c r="A107" s="1278"/>
      <c r="B107" s="145">
        <v>14</v>
      </c>
      <c r="C107" s="247" t="s">
        <v>23</v>
      </c>
      <c r="D107" s="245" t="s">
        <v>34</v>
      </c>
      <c r="E107" s="245">
        <v>12</v>
      </c>
      <c r="F107" s="289">
        <v>82.834999999999994</v>
      </c>
      <c r="G107" s="289">
        <v>402820.071</v>
      </c>
      <c r="H107" s="286"/>
      <c r="I107" s="288">
        <v>0</v>
      </c>
      <c r="J107" s="288">
        <v>0</v>
      </c>
      <c r="K107" s="288">
        <v>0</v>
      </c>
      <c r="L107" s="287"/>
      <c r="M107" s="287"/>
      <c r="N107" s="287"/>
      <c r="O107" s="287"/>
      <c r="P107" s="244">
        <f t="shared" si="9"/>
        <v>0</v>
      </c>
      <c r="Q107" s="65"/>
    </row>
    <row r="108" spans="1:19" ht="28" outlineLevel="1" x14ac:dyDescent="0.35">
      <c r="A108" s="1278"/>
      <c r="B108" s="265">
        <v>15</v>
      </c>
      <c r="C108" s="247" t="s">
        <v>30</v>
      </c>
      <c r="D108" s="245" t="s">
        <v>34</v>
      </c>
      <c r="E108" s="245">
        <v>0</v>
      </c>
      <c r="F108" s="289">
        <v>0</v>
      </c>
      <c r="G108" s="289">
        <v>0</v>
      </c>
      <c r="H108" s="286"/>
      <c r="I108" s="286">
        <v>0</v>
      </c>
      <c r="J108" s="286">
        <v>0</v>
      </c>
      <c r="K108" s="286">
        <v>0</v>
      </c>
      <c r="L108" s="1125"/>
      <c r="M108" s="1125"/>
      <c r="N108" s="1125"/>
      <c r="O108" s="1125"/>
      <c r="P108" s="1126">
        <f t="shared" si="9"/>
        <v>0</v>
      </c>
      <c r="Q108" s="65"/>
    </row>
    <row r="109" spans="1:19" ht="28" outlineLevel="1" x14ac:dyDescent="0.35">
      <c r="A109" s="1278"/>
      <c r="B109" s="265">
        <v>16</v>
      </c>
      <c r="C109" s="247" t="s">
        <v>31</v>
      </c>
      <c r="D109" s="245" t="s">
        <v>34</v>
      </c>
      <c r="E109" s="245">
        <v>0</v>
      </c>
      <c r="F109" s="289">
        <v>0</v>
      </c>
      <c r="G109" s="289">
        <v>0</v>
      </c>
      <c r="H109" s="286"/>
      <c r="I109" s="286">
        <v>0</v>
      </c>
      <c r="J109" s="286">
        <v>0</v>
      </c>
      <c r="K109" s="286">
        <v>0</v>
      </c>
      <c r="L109" s="1125"/>
      <c r="M109" s="1125"/>
      <c r="N109" s="1125"/>
      <c r="O109" s="1125"/>
      <c r="P109" s="1126">
        <f t="shared" si="9"/>
        <v>0</v>
      </c>
      <c r="Q109" s="65"/>
    </row>
    <row r="110" spans="1:19" ht="14.5" outlineLevel="1" x14ac:dyDescent="0.35">
      <c r="A110" s="1278"/>
      <c r="B110" s="265">
        <v>17</v>
      </c>
      <c r="C110" s="247" t="s">
        <v>10</v>
      </c>
      <c r="D110" s="245" t="s">
        <v>34</v>
      </c>
      <c r="E110" s="245">
        <v>0</v>
      </c>
      <c r="F110" s="289">
        <v>1068.7909999999999</v>
      </c>
      <c r="G110" s="289">
        <v>15535.22</v>
      </c>
      <c r="H110" s="286"/>
      <c r="I110" s="288">
        <v>0</v>
      </c>
      <c r="J110" s="288">
        <v>0</v>
      </c>
      <c r="K110" s="288">
        <v>0</v>
      </c>
      <c r="L110" s="287"/>
      <c r="M110" s="287"/>
      <c r="N110" s="287"/>
      <c r="O110" s="287"/>
      <c r="P110" s="244">
        <f t="shared" si="9"/>
        <v>0</v>
      </c>
      <c r="Q110" s="65"/>
    </row>
    <row r="111" spans="1:19" ht="14.5" outlineLevel="1" x14ac:dyDescent="0.35">
      <c r="A111" s="1278"/>
      <c r="B111" s="265"/>
      <c r="C111" s="248" t="s">
        <v>255</v>
      </c>
      <c r="D111" s="245" t="s">
        <v>253</v>
      </c>
      <c r="E111" s="1113">
        <v>12</v>
      </c>
      <c r="F111" s="1127">
        <v>56.353000000000002</v>
      </c>
      <c r="G111" s="1127">
        <v>375584.65899999999</v>
      </c>
      <c r="H111" s="1114"/>
      <c r="I111" s="1114">
        <v>0</v>
      </c>
      <c r="J111" s="1114">
        <v>0.32</v>
      </c>
      <c r="K111" s="1114">
        <v>0.68</v>
      </c>
      <c r="L111" s="1114">
        <v>0</v>
      </c>
      <c r="M111" s="1114">
        <v>0</v>
      </c>
      <c r="N111" s="1114">
        <v>0</v>
      </c>
      <c r="O111" s="1114">
        <v>0</v>
      </c>
      <c r="P111" s="1115">
        <f t="shared" si="9"/>
        <v>1</v>
      </c>
      <c r="Q111" s="65"/>
    </row>
    <row r="112" spans="1:19" ht="14.5" outlineLevel="1" x14ac:dyDescent="0.35">
      <c r="A112" s="1278"/>
      <c r="B112" s="265"/>
      <c r="C112" s="1276" t="s">
        <v>779</v>
      </c>
      <c r="D112" s="1276"/>
      <c r="E112" s="1116">
        <v>12</v>
      </c>
      <c r="F112" s="1116">
        <f>SUM(F103:F110)</f>
        <v>2362.9279999999999</v>
      </c>
      <c r="G112" s="1116">
        <f>SUM(G103:G110)</f>
        <v>6000059.9969999986</v>
      </c>
      <c r="H112" s="1117"/>
      <c r="I112" s="1117">
        <f>'10. Guelph_CDM Prgs'!L6/SUM('10. Guelph_CDM Prgs'!L13:M13)</f>
        <v>0.15000000000000002</v>
      </c>
      <c r="J112" s="1117">
        <f>SUM('10. Guelph_CDM Prgs'!L20:M20)/SUM('10. Guelph_CDM Prgs'!L26:M26)</f>
        <v>0.60000000000000009</v>
      </c>
      <c r="K112" s="1117">
        <f>SUM('10. Guelph_CDM Prgs'!L21:M21)/SUM('10. Guelph_CDM Prgs'!L26:M26)</f>
        <v>2.5000000000000001E-2</v>
      </c>
      <c r="L112" s="1117">
        <v>0</v>
      </c>
      <c r="M112" s="1117">
        <v>0</v>
      </c>
      <c r="N112" s="1117">
        <v>0</v>
      </c>
      <c r="O112" s="1117">
        <f>SUM('10. Guelph_CDM Prgs'!L22:M22)/SUM('10. Guelph_CDM Prgs'!L26:M26)</f>
        <v>0.25</v>
      </c>
      <c r="P112" s="1118">
        <f>SUM(H112:O112)</f>
        <v>1.0250000000000001</v>
      </c>
      <c r="Q112" s="65"/>
    </row>
    <row r="113" spans="1:17" ht="14.5" outlineLevel="1" x14ac:dyDescent="0.35">
      <c r="A113" s="1278"/>
      <c r="B113" s="265"/>
      <c r="C113" s="1267"/>
      <c r="D113" s="1267"/>
      <c r="E113" s="1087"/>
      <c r="F113" s="289"/>
      <c r="G113" s="289"/>
      <c r="H113" s="286"/>
      <c r="I113" s="288"/>
      <c r="J113" s="288"/>
      <c r="K113" s="287"/>
      <c r="L113" s="287"/>
      <c r="M113" s="287"/>
      <c r="N113" s="287"/>
      <c r="O113" s="287"/>
      <c r="P113" s="244"/>
      <c r="Q113" s="65"/>
    </row>
    <row r="114" spans="1:17" s="21" customFormat="1" ht="18" customHeight="1" outlineLevel="1" x14ac:dyDescent="0.35">
      <c r="A114" s="1278"/>
      <c r="B114" s="240"/>
      <c r="C114" s="1270" t="s">
        <v>11</v>
      </c>
      <c r="D114" s="1270"/>
      <c r="E114" s="241"/>
      <c r="F114" s="242"/>
      <c r="G114" s="242"/>
      <c r="H114" s="242"/>
      <c r="I114" s="242"/>
      <c r="J114" s="242"/>
      <c r="K114" s="242"/>
      <c r="L114" s="242"/>
      <c r="M114" s="242"/>
      <c r="N114" s="242"/>
      <c r="O114" s="242"/>
      <c r="P114" s="243"/>
      <c r="Q114" s="136"/>
    </row>
    <row r="115" spans="1:17" ht="14.5" outlineLevel="1" x14ac:dyDescent="0.35">
      <c r="A115" s="1278"/>
      <c r="B115" s="145">
        <v>18</v>
      </c>
      <c r="C115" s="247" t="s">
        <v>12</v>
      </c>
      <c r="D115" s="245" t="s">
        <v>34</v>
      </c>
      <c r="E115" s="245">
        <v>12</v>
      </c>
      <c r="F115" s="289">
        <v>0</v>
      </c>
      <c r="G115" s="289">
        <v>0</v>
      </c>
      <c r="H115" s="286"/>
      <c r="I115" s="287"/>
      <c r="J115" s="288">
        <v>0</v>
      </c>
      <c r="K115" s="288">
        <v>0</v>
      </c>
      <c r="L115" s="287"/>
      <c r="M115" s="287"/>
      <c r="N115" s="287"/>
      <c r="O115" s="287"/>
      <c r="P115" s="244">
        <f t="shared" ref="P115:P119" si="10">SUM(H115:O115)</f>
        <v>0</v>
      </c>
      <c r="Q115" s="65"/>
    </row>
    <row r="116" spans="1:17" ht="14.5" outlineLevel="1" x14ac:dyDescent="0.35">
      <c r="A116" s="1278"/>
      <c r="B116" s="145">
        <v>19</v>
      </c>
      <c r="C116" s="247" t="s">
        <v>13</v>
      </c>
      <c r="D116" s="245" t="s">
        <v>34</v>
      </c>
      <c r="E116" s="245">
        <v>12</v>
      </c>
      <c r="F116" s="289">
        <v>0</v>
      </c>
      <c r="G116" s="289">
        <v>0</v>
      </c>
      <c r="H116" s="286"/>
      <c r="I116" s="287"/>
      <c r="J116" s="288">
        <v>0</v>
      </c>
      <c r="K116" s="288">
        <v>0</v>
      </c>
      <c r="L116" s="287"/>
      <c r="M116" s="287"/>
      <c r="N116" s="287"/>
      <c r="O116" s="287"/>
      <c r="P116" s="244">
        <f t="shared" si="10"/>
        <v>0</v>
      </c>
      <c r="Q116" s="65"/>
    </row>
    <row r="117" spans="1:17" ht="14.5" outlineLevel="1" x14ac:dyDescent="0.35">
      <c r="A117" s="1278"/>
      <c r="B117" s="145">
        <v>20</v>
      </c>
      <c r="C117" s="247" t="s">
        <v>14</v>
      </c>
      <c r="D117" s="245" t="s">
        <v>34</v>
      </c>
      <c r="E117" s="245">
        <v>12</v>
      </c>
      <c r="F117" s="289">
        <v>0</v>
      </c>
      <c r="G117" s="289">
        <v>0</v>
      </c>
      <c r="H117" s="286"/>
      <c r="I117" s="287"/>
      <c r="J117" s="288">
        <v>0</v>
      </c>
      <c r="K117" s="288">
        <v>0</v>
      </c>
      <c r="L117" s="287"/>
      <c r="M117" s="287"/>
      <c r="N117" s="287"/>
      <c r="O117" s="287"/>
      <c r="P117" s="244">
        <f t="shared" si="10"/>
        <v>0</v>
      </c>
      <c r="Q117" s="65"/>
    </row>
    <row r="118" spans="1:17" ht="14.5" outlineLevel="1" x14ac:dyDescent="0.35">
      <c r="A118" s="1278"/>
      <c r="B118" s="145">
        <v>21</v>
      </c>
      <c r="C118" s="249" t="s">
        <v>27</v>
      </c>
      <c r="D118" s="245" t="s">
        <v>34</v>
      </c>
      <c r="E118" s="245">
        <v>12</v>
      </c>
      <c r="F118" s="289">
        <v>0</v>
      </c>
      <c r="G118" s="289">
        <v>0</v>
      </c>
      <c r="H118" s="286"/>
      <c r="I118" s="287"/>
      <c r="J118" s="288">
        <v>0</v>
      </c>
      <c r="K118" s="288">
        <v>0</v>
      </c>
      <c r="L118" s="287"/>
      <c r="M118" s="287"/>
      <c r="N118" s="287"/>
      <c r="O118" s="287"/>
      <c r="P118" s="244">
        <f t="shared" si="10"/>
        <v>0</v>
      </c>
      <c r="Q118" s="65"/>
    </row>
    <row r="119" spans="1:17" ht="14.5" outlineLevel="1" x14ac:dyDescent="0.35">
      <c r="A119" s="1278"/>
      <c r="B119" s="145">
        <v>22</v>
      </c>
      <c r="C119" s="247" t="s">
        <v>10</v>
      </c>
      <c r="D119" s="245" t="s">
        <v>34</v>
      </c>
      <c r="E119" s="245">
        <v>0</v>
      </c>
      <c r="F119" s="289">
        <v>0</v>
      </c>
      <c r="G119" s="289">
        <v>0</v>
      </c>
      <c r="H119" s="286"/>
      <c r="I119" s="287"/>
      <c r="J119" s="288">
        <v>0</v>
      </c>
      <c r="K119" s="288">
        <v>0</v>
      </c>
      <c r="L119" s="287"/>
      <c r="M119" s="287"/>
      <c r="N119" s="287"/>
      <c r="O119" s="287"/>
      <c r="P119" s="244">
        <f t="shared" si="10"/>
        <v>0</v>
      </c>
      <c r="Q119" s="65"/>
    </row>
    <row r="120" spans="1:17" ht="14.5" outlineLevel="1" x14ac:dyDescent="0.35">
      <c r="A120" s="1278"/>
      <c r="B120" s="145"/>
      <c r="C120" s="248" t="s">
        <v>255</v>
      </c>
      <c r="D120" s="245" t="s">
        <v>253</v>
      </c>
      <c r="E120" s="245"/>
      <c r="F120" s="1127">
        <v>0</v>
      </c>
      <c r="G120" s="1127">
        <v>0</v>
      </c>
      <c r="H120" s="286"/>
      <c r="I120" s="287"/>
      <c r="J120" s="287"/>
      <c r="K120" s="287"/>
      <c r="L120" s="287"/>
      <c r="M120" s="287"/>
      <c r="N120" s="287"/>
      <c r="O120" s="287"/>
      <c r="P120" s="244"/>
      <c r="Q120" s="65"/>
    </row>
    <row r="121" spans="1:17" ht="14.5" outlineLevel="1" x14ac:dyDescent="0.35">
      <c r="A121" s="1278"/>
      <c r="B121" s="145"/>
      <c r="C121" s="1276" t="s">
        <v>780</v>
      </c>
      <c r="D121" s="1276"/>
      <c r="E121" s="1116">
        <v>12</v>
      </c>
      <c r="F121" s="1116">
        <f>SUM(F115:F120)</f>
        <v>0</v>
      </c>
      <c r="G121" s="1116">
        <f>SUM(G115:G120)</f>
        <v>0</v>
      </c>
      <c r="H121" s="1117"/>
      <c r="I121" s="1117">
        <v>0</v>
      </c>
      <c r="J121" s="1117">
        <v>0</v>
      </c>
      <c r="K121" s="1117">
        <v>0</v>
      </c>
      <c r="L121" s="1117">
        <v>0</v>
      </c>
      <c r="M121" s="1117">
        <v>0</v>
      </c>
      <c r="N121" s="1117">
        <v>0</v>
      </c>
      <c r="O121" s="1117">
        <v>0</v>
      </c>
      <c r="P121" s="1118">
        <f>SUM(H121:O121)</f>
        <v>0</v>
      </c>
      <c r="Q121" s="65"/>
    </row>
    <row r="122" spans="1:17" ht="14.5" outlineLevel="1" x14ac:dyDescent="0.35">
      <c r="A122" s="1278"/>
      <c r="B122" s="145"/>
      <c r="C122" s="1267"/>
      <c r="D122" s="1267"/>
      <c r="E122" s="1087"/>
      <c r="F122" s="289"/>
      <c r="G122" s="289"/>
      <c r="H122" s="286"/>
      <c r="I122" s="287"/>
      <c r="J122" s="287"/>
      <c r="K122" s="287"/>
      <c r="L122" s="287"/>
      <c r="M122" s="287"/>
      <c r="N122" s="287"/>
      <c r="O122" s="287"/>
      <c r="P122" s="244"/>
      <c r="Q122" s="65"/>
    </row>
    <row r="123" spans="1:17" ht="14.5" outlineLevel="1" x14ac:dyDescent="0.35">
      <c r="A123" s="1278"/>
      <c r="B123" s="145"/>
      <c r="C123" s="1267"/>
      <c r="D123" s="1267"/>
      <c r="E123" s="1087"/>
      <c r="F123" s="289"/>
      <c r="G123" s="289"/>
      <c r="H123" s="286"/>
      <c r="I123" s="287"/>
      <c r="J123" s="287"/>
      <c r="K123" s="287"/>
      <c r="L123" s="287"/>
      <c r="M123" s="287"/>
      <c r="N123" s="287"/>
      <c r="O123" s="287"/>
      <c r="P123" s="244"/>
      <c r="Q123" s="65"/>
    </row>
    <row r="124" spans="1:17" s="41" customFormat="1" ht="14.5" outlineLevel="1" x14ac:dyDescent="0.35">
      <c r="A124" s="1278"/>
      <c r="B124" s="240"/>
      <c r="C124" s="1270" t="s">
        <v>15</v>
      </c>
      <c r="D124" s="1270"/>
      <c r="E124" s="241"/>
      <c r="F124" s="242"/>
      <c r="G124" s="242"/>
      <c r="H124" s="242"/>
      <c r="I124" s="242"/>
      <c r="J124" s="242"/>
      <c r="K124" s="242"/>
      <c r="L124" s="242"/>
      <c r="M124" s="242"/>
      <c r="N124" s="242"/>
      <c r="O124" s="242"/>
      <c r="P124" s="243"/>
      <c r="Q124" s="144"/>
    </row>
    <row r="125" spans="1:17" ht="14.5" outlineLevel="1" x14ac:dyDescent="0.35">
      <c r="A125" s="1278"/>
      <c r="B125" s="265">
        <v>23</v>
      </c>
      <c r="C125" s="247" t="s">
        <v>15</v>
      </c>
      <c r="D125" s="245" t="s">
        <v>34</v>
      </c>
      <c r="E125" s="245"/>
      <c r="F125" s="289">
        <v>0</v>
      </c>
      <c r="G125" s="289">
        <v>0</v>
      </c>
      <c r="H125" s="288">
        <v>1</v>
      </c>
      <c r="I125" s="287"/>
      <c r="J125" s="287"/>
      <c r="K125" s="287"/>
      <c r="L125" s="287"/>
      <c r="M125" s="287"/>
      <c r="N125" s="287"/>
      <c r="O125" s="287"/>
      <c r="P125" s="244">
        <f t="shared" ref="P125" si="11">SUM(H125:O125)</f>
        <v>1</v>
      </c>
      <c r="Q125" s="65"/>
    </row>
    <row r="126" spans="1:17" ht="14.5" outlineLevel="1" x14ac:dyDescent="0.35">
      <c r="A126" s="1278"/>
      <c r="B126" s="265"/>
      <c r="C126" s="248" t="s">
        <v>255</v>
      </c>
      <c r="D126" s="245" t="s">
        <v>253</v>
      </c>
      <c r="E126" s="245"/>
      <c r="F126" s="1127">
        <v>0</v>
      </c>
      <c r="G126" s="1127">
        <v>0</v>
      </c>
      <c r="H126" s="286"/>
      <c r="I126" s="287"/>
      <c r="J126" s="287"/>
      <c r="K126" s="287"/>
      <c r="L126" s="287"/>
      <c r="M126" s="287"/>
      <c r="N126" s="287"/>
      <c r="O126" s="287"/>
      <c r="P126" s="244"/>
      <c r="Q126" s="65"/>
    </row>
    <row r="127" spans="1:17" ht="14.5" outlineLevel="1" x14ac:dyDescent="0.35">
      <c r="A127" s="1278"/>
      <c r="B127" s="265"/>
      <c r="C127" s="1276" t="s">
        <v>781</v>
      </c>
      <c r="D127" s="1276"/>
      <c r="E127" s="1116"/>
      <c r="F127" s="1116">
        <f>SUM(F125)</f>
        <v>0</v>
      </c>
      <c r="G127" s="1116">
        <f>SUM(G125)</f>
        <v>0</v>
      </c>
      <c r="H127" s="1117">
        <v>1</v>
      </c>
      <c r="I127" s="1117">
        <v>0</v>
      </c>
      <c r="J127" s="1117">
        <v>0</v>
      </c>
      <c r="K127" s="1117">
        <v>0</v>
      </c>
      <c r="L127" s="1117">
        <v>0</v>
      </c>
      <c r="M127" s="1117">
        <v>0</v>
      </c>
      <c r="N127" s="1117">
        <v>0</v>
      </c>
      <c r="O127" s="1117">
        <v>0</v>
      </c>
      <c r="P127" s="1118">
        <f>SUM(H127:O127)</f>
        <v>1</v>
      </c>
      <c r="Q127" s="65"/>
    </row>
    <row r="128" spans="1:17" ht="14.5" outlineLevel="1" x14ac:dyDescent="0.35">
      <c r="A128" s="1278"/>
      <c r="B128" s="265"/>
      <c r="C128" s="1267"/>
      <c r="D128" s="1267"/>
      <c r="E128" s="1087"/>
      <c r="F128" s="289"/>
      <c r="G128" s="289"/>
      <c r="H128" s="286"/>
      <c r="I128" s="287"/>
      <c r="J128" s="287"/>
      <c r="K128" s="287"/>
      <c r="L128" s="287"/>
      <c r="M128" s="287"/>
      <c r="N128" s="287"/>
      <c r="O128" s="287"/>
      <c r="P128" s="244"/>
      <c r="Q128" s="65"/>
    </row>
    <row r="129" spans="1:17" s="41" customFormat="1" ht="14.5" outlineLevel="1" x14ac:dyDescent="0.35">
      <c r="A129" s="1278"/>
      <c r="B129" s="240"/>
      <c r="C129" s="1270" t="s">
        <v>16</v>
      </c>
      <c r="D129" s="1270"/>
      <c r="E129" s="241"/>
      <c r="F129" s="242"/>
      <c r="G129" s="242"/>
      <c r="H129" s="242"/>
      <c r="I129" s="242"/>
      <c r="J129" s="242"/>
      <c r="K129" s="242"/>
      <c r="L129" s="242"/>
      <c r="M129" s="242"/>
      <c r="N129" s="242"/>
      <c r="O129" s="242"/>
      <c r="P129" s="243"/>
      <c r="Q129" s="144"/>
    </row>
    <row r="130" spans="1:17" ht="14.5" outlineLevel="1" x14ac:dyDescent="0.35">
      <c r="A130" s="1278"/>
      <c r="B130" s="265">
        <v>24</v>
      </c>
      <c r="C130" s="247" t="s">
        <v>17</v>
      </c>
      <c r="D130" s="245" t="s">
        <v>34</v>
      </c>
      <c r="E130" s="245"/>
      <c r="F130" s="289">
        <v>0</v>
      </c>
      <c r="G130" s="289">
        <v>0</v>
      </c>
      <c r="H130" s="286"/>
      <c r="I130" s="287"/>
      <c r="J130" s="288">
        <v>0</v>
      </c>
      <c r="K130" s="288">
        <v>0</v>
      </c>
      <c r="L130" s="287"/>
      <c r="M130" s="287"/>
      <c r="N130" s="287"/>
      <c r="O130" s="287"/>
      <c r="P130" s="244">
        <f t="shared" ref="P130:P134" si="12">SUM(H130:O130)</f>
        <v>0</v>
      </c>
      <c r="Q130" s="65"/>
    </row>
    <row r="131" spans="1:17" ht="14.5" outlineLevel="1" x14ac:dyDescent="0.35">
      <c r="A131" s="1278"/>
      <c r="B131" s="265">
        <v>25</v>
      </c>
      <c r="C131" s="247" t="s">
        <v>18</v>
      </c>
      <c r="D131" s="245" t="s">
        <v>34</v>
      </c>
      <c r="E131" s="245"/>
      <c r="F131" s="289">
        <v>1.0149999999999999</v>
      </c>
      <c r="G131" s="289">
        <v>983.47400000000005</v>
      </c>
      <c r="H131" s="286"/>
      <c r="I131" s="287"/>
      <c r="J131" s="288">
        <v>0</v>
      </c>
      <c r="K131" s="288">
        <v>0</v>
      </c>
      <c r="L131" s="287"/>
      <c r="M131" s="287"/>
      <c r="N131" s="287"/>
      <c r="O131" s="287"/>
      <c r="P131" s="244">
        <f t="shared" si="12"/>
        <v>0</v>
      </c>
      <c r="Q131" s="65"/>
    </row>
    <row r="132" spans="1:17" ht="14.5" outlineLevel="1" x14ac:dyDescent="0.35">
      <c r="A132" s="1278"/>
      <c r="B132" s="265">
        <v>26</v>
      </c>
      <c r="C132" s="247" t="s">
        <v>19</v>
      </c>
      <c r="D132" s="245" t="s">
        <v>34</v>
      </c>
      <c r="E132" s="245"/>
      <c r="F132" s="289">
        <v>0</v>
      </c>
      <c r="G132" s="289">
        <v>0</v>
      </c>
      <c r="H132" s="286"/>
      <c r="I132" s="287"/>
      <c r="J132" s="288">
        <v>0</v>
      </c>
      <c r="K132" s="288">
        <v>0</v>
      </c>
      <c r="L132" s="287"/>
      <c r="M132" s="287"/>
      <c r="N132" s="287"/>
      <c r="O132" s="287"/>
      <c r="P132" s="244">
        <f t="shared" si="12"/>
        <v>0</v>
      </c>
      <c r="Q132" s="65"/>
    </row>
    <row r="133" spans="1:17" ht="14.5" outlineLevel="1" x14ac:dyDescent="0.35">
      <c r="A133" s="1278"/>
      <c r="B133" s="265">
        <v>27</v>
      </c>
      <c r="C133" s="247" t="s">
        <v>20</v>
      </c>
      <c r="D133" s="245" t="s">
        <v>34</v>
      </c>
      <c r="E133" s="245"/>
      <c r="F133" s="289">
        <v>0</v>
      </c>
      <c r="G133" s="289">
        <v>0</v>
      </c>
      <c r="H133" s="286"/>
      <c r="I133" s="287"/>
      <c r="J133" s="288">
        <v>0</v>
      </c>
      <c r="K133" s="288">
        <v>0</v>
      </c>
      <c r="L133" s="287"/>
      <c r="M133" s="287"/>
      <c r="N133" s="287"/>
      <c r="O133" s="287"/>
      <c r="P133" s="244">
        <f t="shared" si="12"/>
        <v>0</v>
      </c>
      <c r="Q133" s="65"/>
    </row>
    <row r="134" spans="1:17" ht="14.5" outlineLevel="1" x14ac:dyDescent="0.35">
      <c r="A134" s="1278"/>
      <c r="B134" s="265">
        <v>28</v>
      </c>
      <c r="C134" s="247" t="s">
        <v>105</v>
      </c>
      <c r="D134" s="245" t="s">
        <v>34</v>
      </c>
      <c r="E134" s="245"/>
      <c r="F134" s="289">
        <v>0</v>
      </c>
      <c r="G134" s="289">
        <v>0</v>
      </c>
      <c r="H134" s="286"/>
      <c r="I134" s="287"/>
      <c r="J134" s="288">
        <v>0</v>
      </c>
      <c r="K134" s="288">
        <v>0</v>
      </c>
      <c r="L134" s="287"/>
      <c r="M134" s="287"/>
      <c r="N134" s="287"/>
      <c r="O134" s="287"/>
      <c r="P134" s="244">
        <f t="shared" si="12"/>
        <v>0</v>
      </c>
      <c r="Q134" s="65"/>
    </row>
    <row r="135" spans="1:17" ht="14.5" outlineLevel="1" x14ac:dyDescent="0.35">
      <c r="A135" s="1278"/>
      <c r="B135" s="265"/>
      <c r="C135" s="248" t="s">
        <v>255</v>
      </c>
      <c r="D135" s="245" t="s">
        <v>253</v>
      </c>
      <c r="E135" s="245"/>
      <c r="F135" s="1127">
        <v>0</v>
      </c>
      <c r="G135" s="1127">
        <v>0</v>
      </c>
      <c r="H135" s="286"/>
      <c r="I135" s="287"/>
      <c r="J135" s="288"/>
      <c r="K135" s="287"/>
      <c r="L135" s="287"/>
      <c r="M135" s="287"/>
      <c r="N135" s="287"/>
      <c r="O135" s="287"/>
      <c r="P135" s="244"/>
      <c r="Q135" s="65"/>
    </row>
    <row r="136" spans="1:17" ht="14.5" outlineLevel="1" x14ac:dyDescent="0.35">
      <c r="A136" s="1278"/>
      <c r="B136" s="265"/>
      <c r="C136" s="1276" t="s">
        <v>782</v>
      </c>
      <c r="D136" s="1276"/>
      <c r="E136" s="1116">
        <v>12</v>
      </c>
      <c r="F136" s="1116">
        <f>SUM(F130:F134)</f>
        <v>1.0149999999999999</v>
      </c>
      <c r="G136" s="1116">
        <f>SUM(G130:G134)</f>
        <v>983.47400000000005</v>
      </c>
      <c r="H136" s="1117"/>
      <c r="I136" s="1117">
        <v>0</v>
      </c>
      <c r="J136" s="1117">
        <v>1</v>
      </c>
      <c r="K136" s="1117">
        <f>'10. Guelph_CDM Prgs'!F93/'10. Guelph_CDM Prgs'!F98</f>
        <v>0</v>
      </c>
      <c r="L136" s="1117">
        <v>0</v>
      </c>
      <c r="M136" s="1117">
        <v>0</v>
      </c>
      <c r="N136" s="1117">
        <v>0</v>
      </c>
      <c r="O136" s="1117">
        <f>'10. Guelph_CDM Prgs'!F94/'10. Guelph_CDM Prgs'!F98</f>
        <v>0</v>
      </c>
      <c r="P136" s="1118">
        <f>SUM(H136:O136)</f>
        <v>1</v>
      </c>
      <c r="Q136" s="65"/>
    </row>
    <row r="137" spans="1:17" ht="14.5" outlineLevel="1" x14ac:dyDescent="0.35">
      <c r="A137" s="1278"/>
      <c r="B137" s="265"/>
      <c r="C137" s="1267"/>
      <c r="D137" s="1267"/>
      <c r="E137" s="1087"/>
      <c r="F137" s="289"/>
      <c r="G137" s="289"/>
      <c r="H137" s="286"/>
      <c r="I137" s="287"/>
      <c r="J137" s="288"/>
      <c r="K137" s="287"/>
      <c r="L137" s="287"/>
      <c r="M137" s="287"/>
      <c r="N137" s="287"/>
      <c r="O137" s="287"/>
      <c r="P137" s="244"/>
      <c r="Q137" s="65"/>
    </row>
    <row r="138" spans="1:17" ht="14.5" outlineLevel="1" x14ac:dyDescent="0.35">
      <c r="A138" s="1278"/>
      <c r="B138" s="265"/>
      <c r="C138" s="1267"/>
      <c r="D138" s="1267"/>
      <c r="E138" s="1087"/>
      <c r="F138" s="289"/>
      <c r="G138" s="289"/>
      <c r="H138" s="286"/>
      <c r="I138" s="287"/>
      <c r="J138" s="288"/>
      <c r="K138" s="287"/>
      <c r="L138" s="287"/>
      <c r="M138" s="287"/>
      <c r="N138" s="287"/>
      <c r="O138" s="287"/>
      <c r="P138" s="244"/>
      <c r="Q138" s="65"/>
    </row>
    <row r="139" spans="1:17" s="41" customFormat="1" ht="14.5" outlineLevel="1" x14ac:dyDescent="0.35">
      <c r="A139" s="1278"/>
      <c r="B139" s="240"/>
      <c r="C139" s="1270" t="s">
        <v>106</v>
      </c>
      <c r="D139" s="1270"/>
      <c r="E139" s="241"/>
      <c r="F139" s="242"/>
      <c r="G139" s="242"/>
      <c r="H139" s="242"/>
      <c r="I139" s="242"/>
      <c r="J139" s="242"/>
      <c r="K139" s="242"/>
      <c r="L139" s="242"/>
      <c r="M139" s="242"/>
      <c r="N139" s="242"/>
      <c r="O139" s="242"/>
      <c r="P139" s="243"/>
      <c r="Q139" s="144"/>
    </row>
    <row r="140" spans="1:17" ht="14.5" outlineLevel="1" x14ac:dyDescent="0.35">
      <c r="A140" s="1278"/>
      <c r="B140" s="145">
        <v>29</v>
      </c>
      <c r="C140" s="247" t="s">
        <v>108</v>
      </c>
      <c r="D140" s="245" t="s">
        <v>34</v>
      </c>
      <c r="E140" s="245"/>
      <c r="F140" s="289">
        <v>2304</v>
      </c>
      <c r="G140" s="289">
        <v>1188362</v>
      </c>
      <c r="H140" s="286"/>
      <c r="I140" s="287"/>
      <c r="J140" s="287"/>
      <c r="K140" s="287"/>
      <c r="L140" s="287"/>
      <c r="M140" s="287"/>
      <c r="N140" s="287"/>
      <c r="O140" s="287"/>
      <c r="P140" s="244">
        <f t="shared" ref="P140:P142" si="13">SUM(H140:O140)</f>
        <v>0</v>
      </c>
      <c r="Q140" s="65"/>
    </row>
    <row r="141" spans="1:17" ht="14.5" outlineLevel="1" x14ac:dyDescent="0.35">
      <c r="A141" s="1278"/>
      <c r="B141" s="145">
        <v>30</v>
      </c>
      <c r="C141" s="247" t="s">
        <v>107</v>
      </c>
      <c r="D141" s="245" t="s">
        <v>34</v>
      </c>
      <c r="E141" s="245"/>
      <c r="F141" s="289">
        <v>0</v>
      </c>
      <c r="G141" s="289">
        <v>0</v>
      </c>
      <c r="H141" s="286"/>
      <c r="I141" s="287"/>
      <c r="J141" s="287"/>
      <c r="K141" s="287"/>
      <c r="L141" s="287"/>
      <c r="M141" s="287"/>
      <c r="N141" s="287"/>
      <c r="O141" s="287"/>
      <c r="P141" s="244">
        <f t="shared" si="13"/>
        <v>0</v>
      </c>
      <c r="Q141" s="65"/>
    </row>
    <row r="142" spans="1:17" ht="14.5" outlineLevel="1" x14ac:dyDescent="0.35">
      <c r="A142" s="1278"/>
      <c r="B142" s="145"/>
      <c r="C142" s="248" t="s">
        <v>255</v>
      </c>
      <c r="D142" s="245" t="s">
        <v>253</v>
      </c>
      <c r="E142" s="1113">
        <v>12</v>
      </c>
      <c r="F142" s="1127">
        <v>2638.8</v>
      </c>
      <c r="G142" s="1127">
        <v>994407.2</v>
      </c>
      <c r="H142" s="1114"/>
      <c r="I142" s="1114">
        <v>0</v>
      </c>
      <c r="J142" s="1114">
        <v>0.5</v>
      </c>
      <c r="K142" s="1114">
        <v>0.5</v>
      </c>
      <c r="L142" s="1114">
        <v>0</v>
      </c>
      <c r="M142" s="1114">
        <v>0</v>
      </c>
      <c r="N142" s="1114">
        <v>0</v>
      </c>
      <c r="O142" s="1114">
        <v>0</v>
      </c>
      <c r="P142" s="1115">
        <f t="shared" si="13"/>
        <v>1</v>
      </c>
      <c r="Q142" s="65"/>
    </row>
    <row r="143" spans="1:17" ht="14.5" outlineLevel="1" x14ac:dyDescent="0.35">
      <c r="A143" s="1278"/>
      <c r="B143" s="145"/>
      <c r="C143" s="1276" t="s">
        <v>784</v>
      </c>
      <c r="D143" s="1276"/>
      <c r="E143" s="1116">
        <v>12</v>
      </c>
      <c r="F143" s="1116">
        <f>SUM(F140:F141)</f>
        <v>2304</v>
      </c>
      <c r="G143" s="1116">
        <f>SUM(G140:G141)</f>
        <v>1188362</v>
      </c>
      <c r="H143" s="1117"/>
      <c r="I143" s="1117">
        <v>0</v>
      </c>
      <c r="J143" s="1117">
        <v>0</v>
      </c>
      <c r="K143" s="1117">
        <v>0</v>
      </c>
      <c r="L143" s="1117">
        <v>0</v>
      </c>
      <c r="M143" s="1117">
        <v>0</v>
      </c>
      <c r="N143" s="1117">
        <v>0</v>
      </c>
      <c r="O143" s="1117">
        <v>1</v>
      </c>
      <c r="P143" s="1118">
        <f>SUM(H143:O143)</f>
        <v>1</v>
      </c>
      <c r="Q143" s="65"/>
    </row>
    <row r="144" spans="1:17" ht="14.5" outlineLevel="1" x14ac:dyDescent="0.35">
      <c r="A144" s="1278"/>
      <c r="B144" s="145"/>
      <c r="C144" s="1282"/>
      <c r="D144" s="1282"/>
      <c r="E144" s="1088"/>
      <c r="F144" s="391"/>
      <c r="G144" s="391"/>
      <c r="H144" s="286"/>
      <c r="I144" s="287"/>
      <c r="J144" s="287"/>
      <c r="K144" s="287"/>
      <c r="L144" s="287"/>
      <c r="M144" s="287"/>
      <c r="N144" s="287"/>
      <c r="O144" s="287"/>
      <c r="P144" s="244"/>
      <c r="Q144" s="65"/>
    </row>
    <row r="145" spans="1:17" ht="14.5" x14ac:dyDescent="0.35">
      <c r="A145" s="1278"/>
      <c r="B145" s="345"/>
      <c r="C145" s="1266" t="s">
        <v>221</v>
      </c>
      <c r="D145" s="1266"/>
      <c r="E145" s="346"/>
      <c r="F145" s="347"/>
      <c r="G145" s="347"/>
      <c r="H145" s="1121">
        <f>SUM(G100*H100,G99*H99,G125*H125)</f>
        <v>891014.71000000008</v>
      </c>
      <c r="I145" s="1121">
        <f>SUM(G112*I112)</f>
        <v>900008.99954999995</v>
      </c>
      <c r="J145" s="349"/>
      <c r="K145" s="346"/>
      <c r="L145" s="346"/>
      <c r="M145" s="346"/>
      <c r="N145" s="1121">
        <f>SUM(G100*N100,G99*N99,G127*N127)</f>
        <v>0</v>
      </c>
      <c r="O145" s="346"/>
      <c r="P145" s="350">
        <f>SUM(H145:O145)</f>
        <v>1791023.70955</v>
      </c>
      <c r="Q145" s="65"/>
    </row>
    <row r="146" spans="1:17" ht="14.5" x14ac:dyDescent="0.35">
      <c r="A146" s="1278"/>
      <c r="B146" s="472"/>
      <c r="C146" s="473" t="s">
        <v>503</v>
      </c>
      <c r="D146" s="473"/>
      <c r="E146" s="474"/>
      <c r="F146" s="475"/>
      <c r="G146" s="475"/>
      <c r="H146" s="1122">
        <f>H145</f>
        <v>891014.71000000008</v>
      </c>
      <c r="I146" s="1122">
        <f>I145</f>
        <v>900008.99954999995</v>
      </c>
      <c r="J146" s="476"/>
      <c r="K146" s="474"/>
      <c r="L146" s="474"/>
      <c r="M146" s="474"/>
      <c r="N146" s="1122">
        <f>N145</f>
        <v>0</v>
      </c>
      <c r="O146" s="474"/>
      <c r="P146" s="477"/>
      <c r="Q146" s="65"/>
    </row>
    <row r="147" spans="1:17" ht="14.5" x14ac:dyDescent="0.35">
      <c r="A147" s="1278"/>
      <c r="B147" s="266"/>
      <c r="C147" s="1267" t="s">
        <v>318</v>
      </c>
      <c r="D147" s="1267"/>
      <c r="E147" s="260"/>
      <c r="F147" s="258"/>
      <c r="G147" s="258"/>
      <c r="H147" s="260"/>
      <c r="I147" s="260"/>
      <c r="J147" s="1123">
        <f>SUM(E112*$F$112*J112,E111*$F$111*J111,E136*$F$136*J136,E121*$F$121*J121,E143*$F$143*J143,E142*$F$142*J142)</f>
        <v>33074.457119999999</v>
      </c>
      <c r="K147" s="1123">
        <f>SUM(E112*$F$112*K112,E111*$F$111*K111,E121*$F$121*K121,E136*$F$136*K136,E143*$F$143*K143,E142*$F$142*K142)</f>
        <v>17001.51888</v>
      </c>
      <c r="L147" s="1123">
        <f t="shared" ref="L147:M147" si="14">SUM(F112*$F$112*L112,F111*$F$111*L111,F121*$F$121*L121,F136*$F$136*L136,F143*$F$143*L143,F142*$F$142*L142)</f>
        <v>0</v>
      </c>
      <c r="M147" s="1123">
        <f t="shared" si="14"/>
        <v>0</v>
      </c>
      <c r="N147" s="260"/>
      <c r="O147" s="1123">
        <f>SUM(E112*$F$112*O112,E121*$F$121*O121,E136*$F$136*O136,E143*$F$143*O143)</f>
        <v>34736.784</v>
      </c>
      <c r="P147" s="267">
        <f>SUM(H147:O147)</f>
        <v>84812.76</v>
      </c>
      <c r="Q147" s="65"/>
    </row>
    <row r="148" spans="1:17" ht="14.5" x14ac:dyDescent="0.35">
      <c r="A148" s="1278"/>
      <c r="B148" s="266"/>
      <c r="C148" s="1267" t="s">
        <v>499</v>
      </c>
      <c r="D148" s="1267"/>
      <c r="E148" s="260"/>
      <c r="F148" s="258"/>
      <c r="G148" s="258"/>
      <c r="H148" s="260"/>
      <c r="I148" s="260"/>
      <c r="J148" s="1123">
        <f>J147</f>
        <v>33074.457119999999</v>
      </c>
      <c r="K148" s="1123">
        <f>K147</f>
        <v>17001.51888</v>
      </c>
      <c r="L148" s="1123">
        <f t="shared" ref="L148:M148" si="15">L147</f>
        <v>0</v>
      </c>
      <c r="M148" s="1123">
        <f t="shared" si="15"/>
        <v>0</v>
      </c>
      <c r="N148" s="260"/>
      <c r="O148" s="1123">
        <f>O147</f>
        <v>34736.784</v>
      </c>
      <c r="P148" s="267">
        <f>SUM(H148:O148)</f>
        <v>84812.76</v>
      </c>
      <c r="Q148" s="65"/>
    </row>
    <row r="149" spans="1:17" ht="14.5" x14ac:dyDescent="0.35">
      <c r="A149" s="1278"/>
      <c r="B149" s="268"/>
      <c r="C149" s="1268"/>
      <c r="D149" s="1268"/>
      <c r="E149" s="254"/>
      <c r="F149" s="252"/>
      <c r="G149" s="252"/>
      <c r="H149" s="254"/>
      <c r="I149" s="254"/>
      <c r="J149" s="254"/>
      <c r="K149" s="254"/>
      <c r="L149" s="254"/>
      <c r="M149" s="254"/>
      <c r="N149" s="254"/>
      <c r="O149" s="254"/>
      <c r="P149" s="269"/>
      <c r="Q149" s="65"/>
    </row>
    <row r="150" spans="1:17" ht="14.5" x14ac:dyDescent="0.35">
      <c r="A150" s="1278"/>
      <c r="B150" s="373"/>
      <c r="C150" s="1269" t="s">
        <v>321</v>
      </c>
      <c r="D150" s="1269"/>
      <c r="E150" s="245"/>
      <c r="F150" s="255"/>
      <c r="G150" s="245"/>
      <c r="H150" s="256">
        <f>'3.  Distribution Rates'!F33</f>
        <v>1.6674999999999999E-2</v>
      </c>
      <c r="I150" s="256">
        <f>'3.  Distribution Rates'!F34</f>
        <v>1.315E-2</v>
      </c>
      <c r="J150" s="256">
        <f>'3.  Distribution Rates'!F35</f>
        <v>2.52075</v>
      </c>
      <c r="K150" s="256">
        <f>'3.  Distribution Rates'!F36</f>
        <v>3.0064833333333336</v>
      </c>
      <c r="L150" s="256">
        <f>'3.  Distribution Rates'!F37</f>
        <v>7.3749666666666664</v>
      </c>
      <c r="M150" s="256">
        <f>'3.  Distribution Rates'!F38</f>
        <v>8.3635083333333338</v>
      </c>
      <c r="N150" s="256">
        <f>'3.  Distribution Rates'!F39</f>
        <v>2.555E-2</v>
      </c>
      <c r="O150" s="521">
        <f>'3.  Distribution Rates'!F40</f>
        <v>2.2354249999999998</v>
      </c>
      <c r="P150" s="374"/>
      <c r="Q150" s="65"/>
    </row>
    <row r="151" spans="1:17" ht="14.5" x14ac:dyDescent="0.35">
      <c r="A151" s="1278"/>
      <c r="B151" s="373"/>
      <c r="C151" s="1269" t="s">
        <v>233</v>
      </c>
      <c r="D151" s="1269"/>
      <c r="E151" s="254"/>
      <c r="F151" s="255"/>
      <c r="G151" s="255"/>
      <c r="H151" s="370">
        <f>'4.  2011-14 LRAM'!H74*H150</f>
        <v>25015.016076679385</v>
      </c>
      <c r="I151" s="370">
        <f>'4.  2011-14 LRAM'!I74*I150</f>
        <v>11387.142786500035</v>
      </c>
      <c r="J151" s="370">
        <f>'4.  2011-14 LRAM'!J74*J150</f>
        <v>0</v>
      </c>
      <c r="K151" s="370">
        <f>'4.  2011-14 LRAM'!K74*K150</f>
        <v>0</v>
      </c>
      <c r="L151" s="370">
        <f>'4.  2011-14 LRAM'!L74*L150</f>
        <v>0</v>
      </c>
      <c r="M151" s="370">
        <f>'4.  2011-14 LRAM'!M74*M150</f>
        <v>0</v>
      </c>
      <c r="N151" s="370">
        <f>'4.  2011-14 LRAM'!N74*N150</f>
        <v>0</v>
      </c>
      <c r="O151" s="526">
        <f>'4.  2011-14 LRAM'!O74*O150</f>
        <v>0</v>
      </c>
      <c r="P151" s="270">
        <f>SUM(H151:O151)</f>
        <v>36402.158863179422</v>
      </c>
      <c r="Q151" s="65"/>
    </row>
    <row r="152" spans="1:17" ht="14.5" x14ac:dyDescent="0.35">
      <c r="A152" s="1278"/>
      <c r="B152" s="373"/>
      <c r="C152" s="1269" t="s">
        <v>234</v>
      </c>
      <c r="D152" s="1269"/>
      <c r="E152" s="254"/>
      <c r="F152" s="255"/>
      <c r="G152" s="255"/>
      <c r="H152" s="370">
        <f>H145*H150</f>
        <v>14857.67028925</v>
      </c>
      <c r="I152" s="370">
        <f>I145*I150</f>
        <v>11835.118344082499</v>
      </c>
      <c r="J152" s="370">
        <f>J147*J150</f>
        <v>83372.437785239992</v>
      </c>
      <c r="K152" s="370">
        <f>K147*K150</f>
        <v>51114.783154072007</v>
      </c>
      <c r="L152" s="370">
        <f>L147*L150</f>
        <v>0</v>
      </c>
      <c r="M152" s="370">
        <f>M147*M150</f>
        <v>0</v>
      </c>
      <c r="N152" s="370">
        <f>N145*N150</f>
        <v>0</v>
      </c>
      <c r="O152" s="526">
        <f>O147*O150</f>
        <v>77651.475373199995</v>
      </c>
      <c r="P152" s="270">
        <f>SUM(H152:O152)</f>
        <v>238831.48494584448</v>
      </c>
      <c r="Q152" s="65"/>
    </row>
    <row r="153" spans="1:17" ht="14.5" x14ac:dyDescent="0.35">
      <c r="A153" s="1278"/>
      <c r="B153" s="268"/>
      <c r="C153" s="371" t="s">
        <v>98</v>
      </c>
      <c r="D153" s="254"/>
      <c r="E153" s="254"/>
      <c r="F153" s="252"/>
      <c r="G153" s="252"/>
      <c r="H153" s="257">
        <f t="shared" ref="H153:P153" si="16">SUM(H151:H152)</f>
        <v>39872.686365929389</v>
      </c>
      <c r="I153" s="257">
        <f t="shared" si="16"/>
        <v>23222.261130582534</v>
      </c>
      <c r="J153" s="257">
        <f t="shared" si="16"/>
        <v>83372.437785239992</v>
      </c>
      <c r="K153" s="257">
        <f t="shared" si="16"/>
        <v>51114.783154072007</v>
      </c>
      <c r="L153" s="522">
        <f t="shared" si="16"/>
        <v>0</v>
      </c>
      <c r="M153" s="522">
        <f t="shared" si="16"/>
        <v>0</v>
      </c>
      <c r="N153" s="522">
        <f t="shared" si="16"/>
        <v>0</v>
      </c>
      <c r="O153" s="522">
        <f t="shared" si="16"/>
        <v>77651.475373199995</v>
      </c>
      <c r="P153" s="271">
        <f t="shared" si="16"/>
        <v>275233.6438090239</v>
      </c>
      <c r="Q153" s="65"/>
    </row>
    <row r="154" spans="1:17" s="23" customFormat="1" ht="14.5" x14ac:dyDescent="0.35">
      <c r="A154" s="1278"/>
      <c r="B154" s="373"/>
      <c r="C154" s="1269" t="s">
        <v>96</v>
      </c>
      <c r="D154" s="1269"/>
      <c r="E154" s="245"/>
      <c r="F154" s="255"/>
      <c r="G154" s="255"/>
      <c r="H154" s="245">
        <f>H146*'6.  Persistence Rates'!$F$26</f>
        <v>887330.7738875855</v>
      </c>
      <c r="I154" s="245">
        <f>I146*'6.  Persistence Rates'!$F$26</f>
        <v>896287.87618612149</v>
      </c>
      <c r="J154" s="245">
        <f>J148*'6.  Persistence Rates'!$R$26</f>
        <v>0</v>
      </c>
      <c r="K154" s="245">
        <f>K148*'6.  Persistence Rates'!$R$26</f>
        <v>0</v>
      </c>
      <c r="L154" s="524">
        <f>L147*'6.  Persistence Rates'!$R$26</f>
        <v>0</v>
      </c>
      <c r="M154" s="524">
        <f>M147*'6.  Persistence Rates'!$R$26</f>
        <v>0</v>
      </c>
      <c r="N154" s="524">
        <f>N145*'6.  Persistence Rates'!F26</f>
        <v>0</v>
      </c>
      <c r="O154" s="524">
        <f>O148*'6.  Persistence Rates'!$R$26</f>
        <v>0</v>
      </c>
      <c r="P154" s="374"/>
      <c r="Q154" s="65"/>
    </row>
    <row r="155" spans="1:17" s="23" customFormat="1" ht="14.5" x14ac:dyDescent="0.35">
      <c r="A155" s="1278"/>
      <c r="B155" s="373"/>
      <c r="C155" s="1269" t="s">
        <v>97</v>
      </c>
      <c r="D155" s="1269"/>
      <c r="E155" s="245"/>
      <c r="F155" s="255"/>
      <c r="G155" s="255"/>
      <c r="H155" s="245">
        <f>$H$146*'6.  Persistence Rates'!$G$26</f>
        <v>876079.83386858867</v>
      </c>
      <c r="I155" s="245">
        <f>$I$146*'6.  Persistence Rates'!$G$26</f>
        <v>884923.36429103243</v>
      </c>
      <c r="J155" s="245">
        <f>$J$148*'6.  Persistence Rates'!$S$26</f>
        <v>25829.016543090584</v>
      </c>
      <c r="K155" s="245">
        <f>$K$148*'6.  Persistence Rates'!$S$26</f>
        <v>13277.089048383657</v>
      </c>
      <c r="L155" s="524">
        <f>$L$147*'6.  Persistence Rates'!$S$26</f>
        <v>0</v>
      </c>
      <c r="M155" s="524">
        <f>$M$147*'6.  Persistence Rates'!$S$26</f>
        <v>0</v>
      </c>
      <c r="N155" s="524">
        <f>$N$145*'6.  Persistence Rates'!$G$26</f>
        <v>0</v>
      </c>
      <c r="O155" s="524">
        <f>$O$148*'6.  Persistence Rates'!$S$26</f>
        <v>27127.186557726465</v>
      </c>
      <c r="P155" s="374"/>
      <c r="Q155" s="65"/>
    </row>
    <row r="156" spans="1:17" s="23" customFormat="1" ht="14.5" x14ac:dyDescent="0.35">
      <c r="A156" s="239"/>
      <c r="B156" s="373"/>
      <c r="C156" s="1085" t="s">
        <v>424</v>
      </c>
      <c r="D156" s="1085"/>
      <c r="E156" s="245"/>
      <c r="F156" s="255"/>
      <c r="G156" s="255"/>
      <c r="H156" s="245">
        <f>$H$146*'6.  Persistence Rates'!$H$26</f>
        <v>814644.52628340584</v>
      </c>
      <c r="I156" s="245">
        <f>$I$146*'6.  Persistence Rates'!$H$26</f>
        <v>822867.90202286514</v>
      </c>
      <c r="J156" s="245">
        <f>$J$148*'6.  Persistence Rates'!$T$26</f>
        <v>11061.128937557784</v>
      </c>
      <c r="K156" s="245">
        <f>$K$148*'6.  Persistence Rates'!$T$26</f>
        <v>5685.8376173402485</v>
      </c>
      <c r="L156" s="524">
        <f>$L$147*'6.  Persistence Rates'!$T$26</f>
        <v>0</v>
      </c>
      <c r="M156" s="524">
        <f>$M$147*'6.  Persistence Rates'!$T$26</f>
        <v>0</v>
      </c>
      <c r="N156" s="524">
        <f>$N$145*'6.  Persistence Rates'!$H$26</f>
        <v>0</v>
      </c>
      <c r="O156" s="524">
        <f>$O$148*'6.  Persistence Rates'!$T$26</f>
        <v>11617.062838130545</v>
      </c>
      <c r="P156" s="374"/>
      <c r="Q156" s="65"/>
    </row>
    <row r="157" spans="1:17" s="23" customFormat="1" ht="14.5" x14ac:dyDescent="0.35">
      <c r="A157" s="239"/>
      <c r="B157" s="373"/>
      <c r="C157" s="1085" t="s">
        <v>425</v>
      </c>
      <c r="D157" s="1085"/>
      <c r="E157" s="245"/>
      <c r="F157" s="255"/>
      <c r="G157" s="255"/>
      <c r="H157" s="245">
        <f>$H$146*'6.  Persistence Rates'!$I$26</f>
        <v>764994.47806965408</v>
      </c>
      <c r="I157" s="245">
        <f>$I$146*'6.  Persistence Rates'!$I$26</f>
        <v>772716.66465387947</v>
      </c>
      <c r="J157" s="245">
        <f>$J$148*'6.  Persistence Rates'!$U$26</f>
        <v>10432.095073148579</v>
      </c>
      <c r="K157" s="245">
        <f>$K$148*'6.  Persistence Rates'!$U$26</f>
        <v>5362.4904771858146</v>
      </c>
      <c r="L157" s="524">
        <f>$L$147*'6.  Persistence Rates'!$U$26</f>
        <v>0</v>
      </c>
      <c r="M157" s="524">
        <f>$M$147*'6.  Persistence Rates'!$U$26</f>
        <v>0</v>
      </c>
      <c r="N157" s="524">
        <f>$N$145*'6.  Persistence Rates'!$I$26</f>
        <v>0</v>
      </c>
      <c r="O157" s="524">
        <f>$O$148*'6.  Persistence Rates'!$U$26</f>
        <v>10956.413642970972</v>
      </c>
      <c r="P157" s="374"/>
      <c r="Q157" s="65"/>
    </row>
    <row r="158" spans="1:17" s="23" customFormat="1" ht="14.5" x14ac:dyDescent="0.35">
      <c r="A158" s="239"/>
      <c r="B158" s="373"/>
      <c r="C158" s="1085" t="s">
        <v>426</v>
      </c>
      <c r="D158" s="1085"/>
      <c r="E158" s="245"/>
      <c r="F158" s="255"/>
      <c r="G158" s="255"/>
      <c r="H158" s="245">
        <f>$H$146*'6.  Persistence Rates'!$J$26</f>
        <v>679113.37111765181</v>
      </c>
      <c r="I158" s="245">
        <f>$I$146*'6.  Persistence Rates'!$J$26</f>
        <v>685968.6365005417</v>
      </c>
      <c r="J158" s="245">
        <f>$J$148*'6.  Persistence Rates'!$V$26</f>
        <v>8960.0314971211919</v>
      </c>
      <c r="K158" s="245">
        <f>$K$148*'6.  Persistence Rates'!$V$26</f>
        <v>4605.7942572120019</v>
      </c>
      <c r="L158" s="524">
        <f>$L$147*'6.  Persistence Rates'!$V$26</f>
        <v>0</v>
      </c>
      <c r="M158" s="524">
        <f>$M$147*'6.  Persistence Rates'!$V$26</f>
        <v>0</v>
      </c>
      <c r="N158" s="524">
        <f>$N$145*'6.  Persistence Rates'!$J$26</f>
        <v>0</v>
      </c>
      <c r="O158" s="524">
        <f>$O$148*'6.  Persistence Rates'!$V$26</f>
        <v>9410.3639439780309</v>
      </c>
      <c r="P158" s="374"/>
      <c r="Q158" s="65"/>
    </row>
    <row r="159" spans="1:17" s="23" customFormat="1" ht="14.5" x14ac:dyDescent="0.35">
      <c r="A159" s="239"/>
      <c r="B159" s="373"/>
      <c r="C159" s="1085" t="s">
        <v>427</v>
      </c>
      <c r="D159" s="1085"/>
      <c r="E159" s="245"/>
      <c r="F159" s="255"/>
      <c r="G159" s="255"/>
      <c r="H159" s="245">
        <f>$H$146*'6.  Persistence Rates'!$K$26</f>
        <v>599574.30264009035</v>
      </c>
      <c r="I159" s="245">
        <f>$I$146*'6.  Persistence Rates'!$K$26</f>
        <v>605626.66611306183</v>
      </c>
      <c r="J159" s="245">
        <f>$J$148*'6.  Persistence Rates'!$W$26</f>
        <v>8350.4731821762798</v>
      </c>
      <c r="K159" s="245">
        <f>$K$148*'6.  Persistence Rates'!$W$26</f>
        <v>4292.4582843070921</v>
      </c>
      <c r="L159" s="524">
        <f>$L$147*'6.  Persistence Rates'!$W$26</f>
        <v>0</v>
      </c>
      <c r="M159" s="524">
        <f>$M$147*'6.  Persistence Rates'!$W$26</f>
        <v>0</v>
      </c>
      <c r="N159" s="524">
        <f>$N$145*'6.  Persistence Rates'!$K$26</f>
        <v>0</v>
      </c>
      <c r="O159" s="524">
        <f>$O$148*'6.  Persistence Rates'!$W$26</f>
        <v>8770.169142145849</v>
      </c>
      <c r="P159" s="374"/>
      <c r="Q159" s="65"/>
    </row>
    <row r="160" spans="1:17" s="23" customFormat="1" ht="14.5" x14ac:dyDescent="0.35">
      <c r="A160" s="239"/>
      <c r="B160" s="373"/>
      <c r="C160" s="1085" t="s">
        <v>428</v>
      </c>
      <c r="D160" s="1085"/>
      <c r="E160" s="245"/>
      <c r="F160" s="255"/>
      <c r="G160" s="255"/>
      <c r="H160" s="245">
        <f>$H$146*'6.  Persistence Rates'!$L$26</f>
        <v>593764.59247592022</v>
      </c>
      <c r="I160" s="245">
        <f>$I$146*'6.  Persistence Rates'!$L$26</f>
        <v>599758.31021068804</v>
      </c>
      <c r="J160" s="245">
        <f>$J$148*'6.  Persistence Rates'!$X$26</f>
        <v>8251.2733952693925</v>
      </c>
      <c r="K160" s="245">
        <f>$K$148*'6.  Persistence Rates'!$X$26</f>
        <v>4241.4658509658493</v>
      </c>
      <c r="L160" s="524">
        <f>$L$147*'6.  Persistence Rates'!$X$26</f>
        <v>0</v>
      </c>
      <c r="M160" s="524">
        <f>$M$147*'6.  Persistence Rates'!$X$26</f>
        <v>0</v>
      </c>
      <c r="N160" s="524">
        <f>$N$145*'6.  Persistence Rates'!$L$26</f>
        <v>0</v>
      </c>
      <c r="O160" s="524">
        <f>$O$148*'6.  Persistence Rates'!$X$26</f>
        <v>8665.9835599569033</v>
      </c>
      <c r="P160" s="374"/>
      <c r="Q160" s="65"/>
    </row>
    <row r="161" spans="1:17" x14ac:dyDescent="0.35">
      <c r="B161" s="387"/>
      <c r="C161" s="1086" t="s">
        <v>429</v>
      </c>
      <c r="D161" s="388"/>
      <c r="E161" s="388"/>
      <c r="F161" s="389"/>
      <c r="G161" s="389"/>
      <c r="H161" s="491">
        <f>$H$146*'6.  Persistence Rates'!$M$26</f>
        <v>587199.08218340587</v>
      </c>
      <c r="I161" s="491">
        <f>$I$146*'6.  Persistence Rates'!$M$26</f>
        <v>593126.52480514639</v>
      </c>
      <c r="J161" s="491">
        <f>$J$148*'6.  Persistence Rates'!$Y$26</f>
        <v>8195.3046876803783</v>
      </c>
      <c r="K161" s="491">
        <f>$K$148*'6.  Persistence Rates'!$Y$26</f>
        <v>4212.6958235301327</v>
      </c>
      <c r="L161" s="525">
        <f>$L$147*'6.  Persistence Rates'!$Y$26</f>
        <v>0</v>
      </c>
      <c r="M161" s="525">
        <f>$M$147*'6.  Persistence Rates'!$Y$26</f>
        <v>0</v>
      </c>
      <c r="N161" s="525">
        <f>$N$145*'6.  Persistence Rates'!$M$26</f>
        <v>0</v>
      </c>
      <c r="O161" s="525">
        <f>$O$148*'6.  Persistence Rates'!$Y$26</f>
        <v>8607.201857230084</v>
      </c>
      <c r="P161" s="390"/>
      <c r="Q161" s="65"/>
    </row>
    <row r="162" spans="1:17" x14ac:dyDescent="0.35">
      <c r="B162" s="1084"/>
      <c r="C162" s="138"/>
      <c r="D162" s="1084"/>
      <c r="E162" s="1084"/>
      <c r="F162" s="65"/>
      <c r="G162" s="65"/>
      <c r="H162" s="65"/>
      <c r="I162" s="65"/>
      <c r="J162" s="65"/>
      <c r="K162" s="65"/>
      <c r="L162" s="65"/>
      <c r="M162" s="65"/>
      <c r="N162" s="65"/>
      <c r="O162" s="65"/>
      <c r="P162" s="65"/>
      <c r="Q162" s="65"/>
    </row>
    <row r="163" spans="1:17" x14ac:dyDescent="0.35">
      <c r="B163" s="1084"/>
      <c r="C163" s="138"/>
      <c r="D163" s="1084"/>
      <c r="E163" s="1084"/>
      <c r="F163" s="65"/>
      <c r="G163" s="65"/>
      <c r="H163" s="65"/>
      <c r="I163" s="65"/>
      <c r="J163" s="65"/>
      <c r="K163" s="65"/>
      <c r="L163" s="65"/>
      <c r="M163" s="65"/>
      <c r="N163" s="65"/>
      <c r="O163" s="65"/>
      <c r="P163" s="65"/>
      <c r="Q163" s="65"/>
    </row>
    <row r="164" spans="1:17" x14ac:dyDescent="0.35">
      <c r="B164" s="1275" t="s">
        <v>354</v>
      </c>
      <c r="C164" s="1275"/>
      <c r="D164" s="1275"/>
      <c r="E164" s="1275"/>
      <c r="F164" s="1275"/>
      <c r="G164" s="1275"/>
      <c r="H164" s="1275"/>
      <c r="I164" s="1275"/>
      <c r="J164" s="1275"/>
      <c r="K164" s="1275"/>
      <c r="L164" s="1275"/>
      <c r="M164" s="1275"/>
      <c r="N164" s="1275"/>
      <c r="O164" s="1275"/>
      <c r="P164" s="1275"/>
      <c r="Q164" s="65"/>
    </row>
    <row r="165" spans="1:17" x14ac:dyDescent="0.35">
      <c r="B165" s="1084"/>
      <c r="C165" s="138"/>
      <c r="D165" s="1084"/>
      <c r="E165" s="1084"/>
      <c r="F165" s="65"/>
      <c r="G165" s="65"/>
      <c r="H165" s="65"/>
      <c r="I165" s="65"/>
      <c r="J165" s="65"/>
      <c r="K165" s="65"/>
      <c r="L165" s="65"/>
      <c r="M165" s="65"/>
      <c r="N165" s="65"/>
      <c r="O165" s="65"/>
      <c r="P165" s="65"/>
      <c r="Q165" s="65"/>
    </row>
    <row r="166" spans="1:17" ht="42" x14ac:dyDescent="0.35">
      <c r="B166" s="1262" t="s">
        <v>59</v>
      </c>
      <c r="C166" s="1264" t="s">
        <v>0</v>
      </c>
      <c r="D166" s="1264" t="s">
        <v>45</v>
      </c>
      <c r="E166" s="1264" t="s">
        <v>205</v>
      </c>
      <c r="F166" s="263" t="s">
        <v>46</v>
      </c>
      <c r="G166" s="263" t="s">
        <v>202</v>
      </c>
      <c r="H166" s="1272" t="s">
        <v>60</v>
      </c>
      <c r="I166" s="1273"/>
      <c r="J166" s="1273"/>
      <c r="K166" s="1273"/>
      <c r="L166" s="1273"/>
      <c r="M166" s="1273"/>
      <c r="N166" s="1273"/>
      <c r="O166" s="1273"/>
      <c r="P166" s="1274"/>
      <c r="Q166" s="65"/>
    </row>
    <row r="167" spans="1:17" ht="42" x14ac:dyDescent="0.35">
      <c r="B167" s="1280"/>
      <c r="C167" s="1265"/>
      <c r="D167" s="1265"/>
      <c r="E167" s="1265"/>
      <c r="F167" s="208" t="s">
        <v>100</v>
      </c>
      <c r="G167" s="134" t="s">
        <v>101</v>
      </c>
      <c r="H167" s="134" t="s">
        <v>38</v>
      </c>
      <c r="I167" s="134" t="s">
        <v>40</v>
      </c>
      <c r="J167" s="134" t="s">
        <v>109</v>
      </c>
      <c r="K167" s="134" t="s">
        <v>110</v>
      </c>
      <c r="L167" s="134" t="s">
        <v>41</v>
      </c>
      <c r="M167" s="134" t="s">
        <v>42</v>
      </c>
      <c r="N167" s="134" t="s">
        <v>43</v>
      </c>
      <c r="O167" s="208" t="s">
        <v>508</v>
      </c>
      <c r="P167" s="372" t="s">
        <v>35</v>
      </c>
      <c r="Q167" s="65"/>
    </row>
    <row r="168" spans="1:17" s="41" customFormat="1" ht="15" customHeight="1" outlineLevel="1" x14ac:dyDescent="0.35">
      <c r="A168" s="1278">
        <v>2013</v>
      </c>
      <c r="B168" s="366"/>
      <c r="C168" s="1277" t="s">
        <v>1</v>
      </c>
      <c r="D168" s="1277"/>
      <c r="E168" s="367"/>
      <c r="F168" s="368"/>
      <c r="G168" s="368"/>
      <c r="H168" s="368"/>
      <c r="I168" s="368"/>
      <c r="J168" s="368"/>
      <c r="K168" s="368"/>
      <c r="L168" s="368"/>
      <c r="M168" s="368"/>
      <c r="N168" s="368"/>
      <c r="O168" s="368"/>
      <c r="P168" s="369"/>
      <c r="Q168" s="144"/>
    </row>
    <row r="169" spans="1:17" ht="14.5" outlineLevel="1" x14ac:dyDescent="0.35">
      <c r="A169" s="1278"/>
      <c r="B169" s="265">
        <v>1</v>
      </c>
      <c r="C169" s="247" t="s">
        <v>2</v>
      </c>
      <c r="D169" s="245" t="s">
        <v>34</v>
      </c>
      <c r="E169" s="245"/>
      <c r="F169" s="289">
        <v>14.04</v>
      </c>
      <c r="G169" s="289">
        <v>88261.400999999998</v>
      </c>
      <c r="H169" s="288">
        <v>0</v>
      </c>
      <c r="I169" s="288"/>
      <c r="J169" s="288"/>
      <c r="K169" s="288"/>
      <c r="L169" s="288"/>
      <c r="M169" s="288"/>
      <c r="N169" s="288"/>
      <c r="O169" s="288"/>
      <c r="P169" s="1128">
        <f>SUM(H169:O169)</f>
        <v>0</v>
      </c>
      <c r="Q169" s="65"/>
    </row>
    <row r="170" spans="1:17" ht="14.5" outlineLevel="1" x14ac:dyDescent="0.35">
      <c r="A170" s="1278"/>
      <c r="B170" s="265">
        <v>2</v>
      </c>
      <c r="C170" s="247" t="s">
        <v>3</v>
      </c>
      <c r="D170" s="245" t="s">
        <v>34</v>
      </c>
      <c r="E170" s="245"/>
      <c r="F170" s="289">
        <v>11.188000000000001</v>
      </c>
      <c r="G170" s="289">
        <v>19949.753000000001</v>
      </c>
      <c r="H170" s="288">
        <v>0</v>
      </c>
      <c r="I170" s="288"/>
      <c r="J170" s="288"/>
      <c r="K170" s="288"/>
      <c r="L170" s="288"/>
      <c r="M170" s="288"/>
      <c r="N170" s="288"/>
      <c r="O170" s="288"/>
      <c r="P170" s="1128">
        <f t="shared" ref="P170:P179" si="17">SUM(H170:O170)</f>
        <v>0</v>
      </c>
      <c r="Q170" s="65"/>
    </row>
    <row r="171" spans="1:17" ht="14.5" outlineLevel="1" x14ac:dyDescent="0.35">
      <c r="A171" s="1278"/>
      <c r="B171" s="265">
        <v>3</v>
      </c>
      <c r="C171" s="247" t="s">
        <v>4</v>
      </c>
      <c r="D171" s="245" t="s">
        <v>34</v>
      </c>
      <c r="E171" s="245"/>
      <c r="F171" s="289">
        <v>287.23</v>
      </c>
      <c r="G171" s="289">
        <v>503633.12400000001</v>
      </c>
      <c r="H171" s="288">
        <v>0</v>
      </c>
      <c r="I171" s="288"/>
      <c r="J171" s="288"/>
      <c r="K171" s="288"/>
      <c r="L171" s="288"/>
      <c r="M171" s="288"/>
      <c r="N171" s="288"/>
      <c r="O171" s="288"/>
      <c r="P171" s="1128">
        <f t="shared" si="17"/>
        <v>0</v>
      </c>
      <c r="Q171" s="65"/>
    </row>
    <row r="172" spans="1:17" ht="14.5" outlineLevel="1" x14ac:dyDescent="0.35">
      <c r="A172" s="1278"/>
      <c r="B172" s="265">
        <v>4</v>
      </c>
      <c r="C172" s="247" t="s">
        <v>5</v>
      </c>
      <c r="D172" s="245" t="s">
        <v>34</v>
      </c>
      <c r="E172" s="245"/>
      <c r="F172" s="289">
        <v>4.641</v>
      </c>
      <c r="G172" s="289">
        <v>69239.153000000006</v>
      </c>
      <c r="H172" s="288">
        <v>0</v>
      </c>
      <c r="I172" s="288"/>
      <c r="J172" s="288"/>
      <c r="K172" s="288"/>
      <c r="L172" s="288"/>
      <c r="M172" s="288"/>
      <c r="N172" s="288"/>
      <c r="O172" s="288"/>
      <c r="P172" s="1128">
        <f t="shared" si="17"/>
        <v>0</v>
      </c>
      <c r="Q172" s="65"/>
    </row>
    <row r="173" spans="1:17" ht="14.5" outlineLevel="1" x14ac:dyDescent="0.35">
      <c r="A173" s="1278"/>
      <c r="B173" s="265">
        <v>5</v>
      </c>
      <c r="C173" s="247" t="s">
        <v>6</v>
      </c>
      <c r="D173" s="245" t="s">
        <v>34</v>
      </c>
      <c r="E173" s="245"/>
      <c r="F173" s="289">
        <v>10.632999999999999</v>
      </c>
      <c r="G173" s="289">
        <v>154331.02499999999</v>
      </c>
      <c r="H173" s="288">
        <v>0</v>
      </c>
      <c r="I173" s="288"/>
      <c r="J173" s="288"/>
      <c r="K173" s="288"/>
      <c r="L173" s="288"/>
      <c r="M173" s="288"/>
      <c r="N173" s="288"/>
      <c r="O173" s="288"/>
      <c r="P173" s="1128">
        <f t="shared" si="17"/>
        <v>0</v>
      </c>
      <c r="Q173" s="65"/>
    </row>
    <row r="174" spans="1:17" ht="14.5" outlineLevel="1" x14ac:dyDescent="0.35">
      <c r="A174" s="1278"/>
      <c r="B174" s="265">
        <v>6</v>
      </c>
      <c r="C174" s="247" t="s">
        <v>7</v>
      </c>
      <c r="D174" s="245" t="s">
        <v>34</v>
      </c>
      <c r="E174" s="245"/>
      <c r="F174" s="289">
        <v>0</v>
      </c>
      <c r="G174" s="289">
        <v>0</v>
      </c>
      <c r="H174" s="288">
        <v>0</v>
      </c>
      <c r="I174" s="288"/>
      <c r="J174" s="288"/>
      <c r="K174" s="288"/>
      <c r="L174" s="288"/>
      <c r="M174" s="288"/>
      <c r="N174" s="288"/>
      <c r="O174" s="288"/>
      <c r="P174" s="1128">
        <f t="shared" si="17"/>
        <v>0</v>
      </c>
      <c r="Q174" s="65"/>
    </row>
    <row r="175" spans="1:17" ht="28" outlineLevel="1" x14ac:dyDescent="0.35">
      <c r="A175" s="1278"/>
      <c r="B175" s="265">
        <v>7</v>
      </c>
      <c r="C175" s="247" t="s">
        <v>33</v>
      </c>
      <c r="D175" s="245" t="s">
        <v>34</v>
      </c>
      <c r="E175" s="245"/>
      <c r="F175" s="289">
        <v>0</v>
      </c>
      <c r="G175" s="289">
        <v>0</v>
      </c>
      <c r="H175" s="286">
        <v>0</v>
      </c>
      <c r="I175" s="286"/>
      <c r="J175" s="286"/>
      <c r="K175" s="286"/>
      <c r="L175" s="286"/>
      <c r="M175" s="286"/>
      <c r="N175" s="286"/>
      <c r="O175" s="286"/>
      <c r="P175" s="1112">
        <f t="shared" si="17"/>
        <v>0</v>
      </c>
      <c r="Q175" s="65"/>
    </row>
    <row r="176" spans="1:17" ht="14.5" outlineLevel="1" x14ac:dyDescent="0.35">
      <c r="A176" s="1278"/>
      <c r="B176" s="265">
        <v>8</v>
      </c>
      <c r="C176" s="247" t="s">
        <v>26</v>
      </c>
      <c r="D176" s="245" t="s">
        <v>34</v>
      </c>
      <c r="E176" s="245"/>
      <c r="F176" s="289">
        <v>0</v>
      </c>
      <c r="G176" s="289">
        <v>0</v>
      </c>
      <c r="H176" s="288">
        <v>0</v>
      </c>
      <c r="I176" s="288"/>
      <c r="J176" s="288"/>
      <c r="K176" s="288"/>
      <c r="L176" s="288"/>
      <c r="M176" s="288"/>
      <c r="N176" s="288"/>
      <c r="O176" s="288"/>
      <c r="P176" s="1128">
        <f t="shared" si="17"/>
        <v>0</v>
      </c>
      <c r="Q176" s="65"/>
    </row>
    <row r="177" spans="1:17" ht="14.5" outlineLevel="1" x14ac:dyDescent="0.35">
      <c r="A177" s="1278"/>
      <c r="B177" s="265">
        <v>9</v>
      </c>
      <c r="C177" s="247" t="s">
        <v>8</v>
      </c>
      <c r="D177" s="245" t="s">
        <v>34</v>
      </c>
      <c r="E177" s="245"/>
      <c r="F177" s="289">
        <v>0</v>
      </c>
      <c r="G177" s="289">
        <v>0</v>
      </c>
      <c r="H177" s="288">
        <v>0</v>
      </c>
      <c r="I177" s="288"/>
      <c r="J177" s="288"/>
      <c r="K177" s="288"/>
      <c r="L177" s="288"/>
      <c r="M177" s="288"/>
      <c r="N177" s="288"/>
      <c r="O177" s="288"/>
      <c r="P177" s="1128">
        <f t="shared" si="17"/>
        <v>0</v>
      </c>
      <c r="Q177" s="65"/>
    </row>
    <row r="178" spans="1:17" ht="14.5" outlineLevel="1" x14ac:dyDescent="0.35">
      <c r="A178" s="1278"/>
      <c r="B178" s="265"/>
      <c r="C178" s="248" t="s">
        <v>256</v>
      </c>
      <c r="D178" s="245" t="s">
        <v>253</v>
      </c>
      <c r="E178" s="245"/>
      <c r="F178" s="1127">
        <v>15.450000000000001</v>
      </c>
      <c r="G178" s="1127">
        <v>27510.628815600001</v>
      </c>
      <c r="H178" s="1114">
        <v>1</v>
      </c>
      <c r="I178" s="1114">
        <v>0</v>
      </c>
      <c r="J178" s="1114">
        <v>0</v>
      </c>
      <c r="K178" s="1114">
        <v>0</v>
      </c>
      <c r="L178" s="1114">
        <v>0</v>
      </c>
      <c r="M178" s="1114">
        <v>0</v>
      </c>
      <c r="N178" s="1114">
        <v>0</v>
      </c>
      <c r="O178" s="1114">
        <v>0</v>
      </c>
      <c r="P178" s="1115">
        <f t="shared" si="17"/>
        <v>1</v>
      </c>
      <c r="Q178" s="65"/>
    </row>
    <row r="179" spans="1:17" ht="14.5" outlineLevel="1" x14ac:dyDescent="0.35">
      <c r="A179" s="1278"/>
      <c r="B179" s="265"/>
      <c r="C179" s="1276" t="s">
        <v>778</v>
      </c>
      <c r="D179" s="1276"/>
      <c r="E179" s="1129"/>
      <c r="F179" s="1116">
        <f>SUM(F169:F177)</f>
        <v>327.73200000000003</v>
      </c>
      <c r="G179" s="1116">
        <f>SUM(G169:G177)</f>
        <v>835414.45600000012</v>
      </c>
      <c r="H179" s="1117">
        <v>1</v>
      </c>
      <c r="I179" s="1117">
        <v>0</v>
      </c>
      <c r="J179" s="1117">
        <v>0</v>
      </c>
      <c r="K179" s="1117">
        <v>0</v>
      </c>
      <c r="L179" s="1117">
        <v>0</v>
      </c>
      <c r="M179" s="1117">
        <v>0</v>
      </c>
      <c r="N179" s="1117">
        <v>0</v>
      </c>
      <c r="O179" s="1117">
        <v>0</v>
      </c>
      <c r="P179" s="1118">
        <f t="shared" si="17"/>
        <v>1</v>
      </c>
      <c r="Q179" s="65"/>
    </row>
    <row r="180" spans="1:17" ht="14.5" outlineLevel="1" x14ac:dyDescent="0.35">
      <c r="A180" s="1278"/>
      <c r="B180" s="265"/>
      <c r="C180" s="1267"/>
      <c r="D180" s="1267"/>
      <c r="E180" s="1087"/>
      <c r="F180" s="289"/>
      <c r="G180" s="289"/>
      <c r="H180" s="286"/>
      <c r="I180" s="288"/>
      <c r="J180" s="288"/>
      <c r="K180" s="288"/>
      <c r="L180" s="288"/>
      <c r="M180" s="288"/>
      <c r="N180" s="288"/>
      <c r="O180" s="288"/>
      <c r="P180" s="1128"/>
      <c r="Q180" s="65"/>
    </row>
    <row r="181" spans="1:17" ht="14.5" outlineLevel="1" x14ac:dyDescent="0.35">
      <c r="A181" s="1278"/>
      <c r="B181" s="265"/>
      <c r="C181" s="1267"/>
      <c r="D181" s="1267"/>
      <c r="E181" s="1087"/>
      <c r="F181" s="289"/>
      <c r="G181" s="289"/>
      <c r="H181" s="286"/>
      <c r="I181" s="288"/>
      <c r="J181" s="288"/>
      <c r="K181" s="288"/>
      <c r="L181" s="288"/>
      <c r="M181" s="288"/>
      <c r="N181" s="288"/>
      <c r="O181" s="288"/>
      <c r="P181" s="1128"/>
      <c r="Q181" s="65"/>
    </row>
    <row r="182" spans="1:17" s="41" customFormat="1" ht="14.5" outlineLevel="1" x14ac:dyDescent="0.35">
      <c r="A182" s="1278"/>
      <c r="B182" s="375"/>
      <c r="C182" s="1279" t="s">
        <v>9</v>
      </c>
      <c r="D182" s="1279"/>
      <c r="E182" s="376"/>
      <c r="F182" s="377"/>
      <c r="G182" s="377"/>
      <c r="H182" s="376"/>
      <c r="I182" s="376"/>
      <c r="J182" s="376"/>
      <c r="K182" s="376"/>
      <c r="L182" s="376"/>
      <c r="M182" s="376"/>
      <c r="N182" s="376"/>
      <c r="O182" s="376"/>
      <c r="P182" s="1130"/>
      <c r="Q182" s="144"/>
    </row>
    <row r="183" spans="1:17" ht="14.5" outlineLevel="1" x14ac:dyDescent="0.35">
      <c r="A183" s="1278"/>
      <c r="B183" s="145">
        <v>10</v>
      </c>
      <c r="C183" s="249" t="s">
        <v>27</v>
      </c>
      <c r="D183" s="245" t="s">
        <v>34</v>
      </c>
      <c r="E183" s="245">
        <v>12</v>
      </c>
      <c r="F183" s="289">
        <v>939.024</v>
      </c>
      <c r="G183" s="289">
        <v>6406518.557</v>
      </c>
      <c r="H183" s="286"/>
      <c r="I183" s="288">
        <v>0</v>
      </c>
      <c r="J183" s="288">
        <v>0</v>
      </c>
      <c r="K183" s="288">
        <v>0</v>
      </c>
      <c r="L183" s="288"/>
      <c r="M183" s="288"/>
      <c r="N183" s="288"/>
      <c r="O183" s="288"/>
      <c r="P183" s="1128">
        <f t="shared" ref="P183:P191" si="18">SUM(H183:O183)</f>
        <v>0</v>
      </c>
      <c r="Q183" s="65"/>
    </row>
    <row r="184" spans="1:17" ht="14.5" outlineLevel="1" x14ac:dyDescent="0.35">
      <c r="A184" s="1278"/>
      <c r="B184" s="145">
        <v>11</v>
      </c>
      <c r="C184" s="247" t="s">
        <v>25</v>
      </c>
      <c r="D184" s="245" t="s">
        <v>34</v>
      </c>
      <c r="E184" s="245">
        <v>12</v>
      </c>
      <c r="F184" s="289">
        <v>104.815</v>
      </c>
      <c r="G184" s="289">
        <v>361892.33500000002</v>
      </c>
      <c r="H184" s="286"/>
      <c r="I184" s="288">
        <v>0</v>
      </c>
      <c r="J184" s="288">
        <v>0</v>
      </c>
      <c r="K184" s="288">
        <v>0</v>
      </c>
      <c r="L184" s="288"/>
      <c r="M184" s="288"/>
      <c r="N184" s="288"/>
      <c r="O184" s="288"/>
      <c r="P184" s="1128">
        <f t="shared" si="18"/>
        <v>0</v>
      </c>
      <c r="Q184" s="65"/>
    </row>
    <row r="185" spans="1:17" ht="14.5" outlineLevel="1" x14ac:dyDescent="0.35">
      <c r="A185" s="1278"/>
      <c r="B185" s="145">
        <v>12</v>
      </c>
      <c r="C185" s="247" t="s">
        <v>28</v>
      </c>
      <c r="D185" s="245" t="s">
        <v>34</v>
      </c>
      <c r="E185" s="245">
        <v>3</v>
      </c>
      <c r="F185" s="289">
        <v>0</v>
      </c>
      <c r="G185" s="289">
        <v>0</v>
      </c>
      <c r="H185" s="286"/>
      <c r="I185" s="288">
        <v>0</v>
      </c>
      <c r="J185" s="288">
        <v>0</v>
      </c>
      <c r="K185" s="288">
        <v>0</v>
      </c>
      <c r="L185" s="288"/>
      <c r="M185" s="288"/>
      <c r="N185" s="288"/>
      <c r="O185" s="288"/>
      <c r="P185" s="1128">
        <f t="shared" si="18"/>
        <v>0</v>
      </c>
      <c r="Q185" s="65"/>
    </row>
    <row r="186" spans="1:17" ht="14.5" outlineLevel="1" x14ac:dyDescent="0.35">
      <c r="A186" s="1278"/>
      <c r="B186" s="145">
        <v>13</v>
      </c>
      <c r="C186" s="247" t="s">
        <v>29</v>
      </c>
      <c r="D186" s="245" t="s">
        <v>34</v>
      </c>
      <c r="E186" s="245">
        <v>12</v>
      </c>
      <c r="F186" s="289">
        <v>0</v>
      </c>
      <c r="G186" s="289">
        <v>0</v>
      </c>
      <c r="H186" s="286"/>
      <c r="I186" s="288">
        <v>0</v>
      </c>
      <c r="J186" s="288">
        <v>0</v>
      </c>
      <c r="K186" s="288">
        <v>0</v>
      </c>
      <c r="L186" s="288"/>
      <c r="M186" s="288"/>
      <c r="N186" s="288"/>
      <c r="O186" s="288"/>
      <c r="P186" s="1128">
        <f t="shared" si="18"/>
        <v>0</v>
      </c>
      <c r="Q186" s="65"/>
    </row>
    <row r="187" spans="1:17" ht="14.5" outlineLevel="1" x14ac:dyDescent="0.35">
      <c r="A187" s="1278"/>
      <c r="B187" s="145">
        <v>14</v>
      </c>
      <c r="C187" s="247" t="s">
        <v>23</v>
      </c>
      <c r="D187" s="245" t="s">
        <v>34</v>
      </c>
      <c r="E187" s="245">
        <v>12</v>
      </c>
      <c r="F187" s="289">
        <v>8.8130000000000006</v>
      </c>
      <c r="G187" s="289">
        <v>48450.767999999996</v>
      </c>
      <c r="H187" s="286"/>
      <c r="I187" s="288">
        <v>0</v>
      </c>
      <c r="J187" s="288">
        <v>0</v>
      </c>
      <c r="K187" s="288">
        <v>0</v>
      </c>
      <c r="L187" s="288"/>
      <c r="M187" s="288"/>
      <c r="N187" s="288"/>
      <c r="O187" s="288"/>
      <c r="P187" s="1128">
        <f t="shared" si="18"/>
        <v>0</v>
      </c>
      <c r="Q187" s="65"/>
    </row>
    <row r="188" spans="1:17" ht="28" outlineLevel="1" x14ac:dyDescent="0.35">
      <c r="A188" s="1278"/>
      <c r="B188" s="265">
        <v>15</v>
      </c>
      <c r="C188" s="247" t="s">
        <v>30</v>
      </c>
      <c r="D188" s="245" t="s">
        <v>34</v>
      </c>
      <c r="E188" s="245">
        <v>0</v>
      </c>
      <c r="F188" s="289">
        <v>0</v>
      </c>
      <c r="G188" s="289">
        <v>0</v>
      </c>
      <c r="H188" s="286"/>
      <c r="I188" s="286">
        <v>0</v>
      </c>
      <c r="J188" s="286">
        <v>0</v>
      </c>
      <c r="K188" s="286">
        <v>0</v>
      </c>
      <c r="L188" s="286"/>
      <c r="M188" s="286"/>
      <c r="N188" s="286"/>
      <c r="O188" s="286"/>
      <c r="P188" s="1112">
        <f t="shared" si="18"/>
        <v>0</v>
      </c>
      <c r="Q188" s="65"/>
    </row>
    <row r="189" spans="1:17" ht="28" outlineLevel="1" x14ac:dyDescent="0.35">
      <c r="A189" s="1278"/>
      <c r="B189" s="265">
        <v>16</v>
      </c>
      <c r="C189" s="247" t="s">
        <v>31</v>
      </c>
      <c r="D189" s="245" t="s">
        <v>34</v>
      </c>
      <c r="E189" s="245">
        <v>0</v>
      </c>
      <c r="F189" s="289">
        <v>0</v>
      </c>
      <c r="G189" s="289">
        <v>0</v>
      </c>
      <c r="H189" s="286"/>
      <c r="I189" s="286">
        <v>0</v>
      </c>
      <c r="J189" s="286">
        <v>0</v>
      </c>
      <c r="K189" s="286">
        <v>0</v>
      </c>
      <c r="L189" s="286"/>
      <c r="M189" s="286"/>
      <c r="N189" s="286"/>
      <c r="O189" s="286"/>
      <c r="P189" s="1112">
        <f t="shared" si="18"/>
        <v>0</v>
      </c>
      <c r="Q189" s="65"/>
    </row>
    <row r="190" spans="1:17" ht="14.5" outlineLevel="1" x14ac:dyDescent="0.35">
      <c r="A190" s="1278"/>
      <c r="B190" s="265">
        <v>17</v>
      </c>
      <c r="C190" s="247" t="s">
        <v>10</v>
      </c>
      <c r="D190" s="245" t="s">
        <v>34</v>
      </c>
      <c r="E190" s="245">
        <v>0</v>
      </c>
      <c r="F190" s="289">
        <v>1063.95</v>
      </c>
      <c r="G190" s="289">
        <v>14560.09</v>
      </c>
      <c r="H190" s="286"/>
      <c r="I190" s="288">
        <v>0</v>
      </c>
      <c r="J190" s="288">
        <v>0</v>
      </c>
      <c r="K190" s="288">
        <v>0</v>
      </c>
      <c r="L190" s="288"/>
      <c r="M190" s="288"/>
      <c r="N190" s="288"/>
      <c r="O190" s="288"/>
      <c r="P190" s="1128">
        <f t="shared" si="18"/>
        <v>0</v>
      </c>
      <c r="Q190" s="65"/>
    </row>
    <row r="191" spans="1:17" ht="14.5" outlineLevel="1" x14ac:dyDescent="0.35">
      <c r="A191" s="1278"/>
      <c r="B191" s="265"/>
      <c r="C191" s="248" t="s">
        <v>256</v>
      </c>
      <c r="D191" s="245" t="s">
        <v>253</v>
      </c>
      <c r="E191" s="1113">
        <v>12</v>
      </c>
      <c r="F191" s="1127">
        <v>1324.7529999999999</v>
      </c>
      <c r="G191" s="1127">
        <v>7126147.74179166</v>
      </c>
      <c r="H191" s="1114"/>
      <c r="I191" s="1114">
        <v>0</v>
      </c>
      <c r="J191" s="1114">
        <v>0.21</v>
      </c>
      <c r="K191" s="1114">
        <v>0</v>
      </c>
      <c r="L191" s="1114">
        <v>0</v>
      </c>
      <c r="M191" s="1114">
        <v>0</v>
      </c>
      <c r="N191" s="1114">
        <v>0</v>
      </c>
      <c r="O191" s="1114">
        <v>0.79</v>
      </c>
      <c r="P191" s="1115">
        <f t="shared" si="18"/>
        <v>1</v>
      </c>
      <c r="Q191" s="65"/>
    </row>
    <row r="192" spans="1:17" ht="14.5" outlineLevel="1" x14ac:dyDescent="0.35">
      <c r="A192" s="1278"/>
      <c r="B192" s="265"/>
      <c r="C192" s="1276" t="s">
        <v>779</v>
      </c>
      <c r="D192" s="1276"/>
      <c r="E192" s="1116">
        <v>12</v>
      </c>
      <c r="F192" s="1116">
        <f>SUM(F183:F190)</f>
        <v>2116.6019999999999</v>
      </c>
      <c r="G192" s="1116">
        <f>SUM(G183:G190)</f>
        <v>6831421.75</v>
      </c>
      <c r="H192" s="1117"/>
      <c r="I192" s="1117">
        <f>'10. Guelph_CDM Prgs'!X6/SUM('10. Guelph_CDM Prgs'!X13:Y13)</f>
        <v>4.9410961931879056E-2</v>
      </c>
      <c r="J192" s="1117">
        <f>'10. Guelph_CDM Prgs'!X20/SUM('10. Guelph_CDM Prgs'!X20:Y22)</f>
        <v>0.1291588441899835</v>
      </c>
      <c r="K192" s="1117">
        <f>'10. Guelph_CDM Prgs'!X21/SUM('10. Guelph_CDM Prgs'!X20:Y22)</f>
        <v>0</v>
      </c>
      <c r="L192" s="1117">
        <v>0</v>
      </c>
      <c r="M192" s="1117">
        <v>0</v>
      </c>
      <c r="N192" s="1117">
        <v>0</v>
      </c>
      <c r="O192" s="1117">
        <f>'10. Guelph_CDM Prgs'!X22/SUM('10. Guelph_CDM Prgs'!X20:Y22)</f>
        <v>0.1641097989304536</v>
      </c>
      <c r="P192" s="1118">
        <f>SUM(H192:O192)</f>
        <v>0.34267960505231615</v>
      </c>
      <c r="Q192" s="65"/>
    </row>
    <row r="193" spans="1:17" ht="14.5" outlineLevel="1" x14ac:dyDescent="0.35">
      <c r="A193" s="1278"/>
      <c r="B193" s="265"/>
      <c r="C193" s="1267"/>
      <c r="D193" s="1267"/>
      <c r="E193" s="1087"/>
      <c r="F193" s="289"/>
      <c r="G193" s="289"/>
      <c r="H193" s="286"/>
      <c r="I193" s="288"/>
      <c r="J193" s="288"/>
      <c r="K193" s="288"/>
      <c r="L193" s="288"/>
      <c r="M193" s="288"/>
      <c r="N193" s="288"/>
      <c r="O193" s="288"/>
      <c r="P193" s="1128"/>
      <c r="Q193" s="65"/>
    </row>
    <row r="194" spans="1:17" ht="14.5" outlineLevel="1" x14ac:dyDescent="0.35">
      <c r="A194" s="1278"/>
      <c r="B194" s="265"/>
      <c r="C194" s="1267"/>
      <c r="D194" s="1267"/>
      <c r="E194" s="1087"/>
      <c r="F194" s="289"/>
      <c r="G194" s="289"/>
      <c r="H194" s="286"/>
      <c r="I194" s="288"/>
      <c r="J194" s="288"/>
      <c r="K194" s="288"/>
      <c r="L194" s="288"/>
      <c r="M194" s="288"/>
      <c r="N194" s="288"/>
      <c r="O194" s="288"/>
      <c r="P194" s="1128"/>
      <c r="Q194" s="65"/>
    </row>
    <row r="195" spans="1:17" s="41" customFormat="1" ht="14.5" outlineLevel="1" x14ac:dyDescent="0.35">
      <c r="A195" s="1278"/>
      <c r="B195" s="375"/>
      <c r="C195" s="1279" t="s">
        <v>11</v>
      </c>
      <c r="D195" s="1279"/>
      <c r="E195" s="376"/>
      <c r="F195" s="377"/>
      <c r="G195" s="377"/>
      <c r="H195" s="376"/>
      <c r="I195" s="376"/>
      <c r="J195" s="376"/>
      <c r="K195" s="376"/>
      <c r="L195" s="376"/>
      <c r="M195" s="376"/>
      <c r="N195" s="376"/>
      <c r="O195" s="376"/>
      <c r="P195" s="1130"/>
      <c r="Q195" s="144"/>
    </row>
    <row r="196" spans="1:17" ht="14.5" outlineLevel="1" x14ac:dyDescent="0.35">
      <c r="A196" s="1278"/>
      <c r="B196" s="145">
        <v>18</v>
      </c>
      <c r="C196" s="247" t="s">
        <v>12</v>
      </c>
      <c r="D196" s="245" t="s">
        <v>34</v>
      </c>
      <c r="E196" s="245">
        <v>12</v>
      </c>
      <c r="F196" s="289">
        <v>0</v>
      </c>
      <c r="G196" s="289">
        <v>0</v>
      </c>
      <c r="H196" s="286"/>
      <c r="I196" s="288"/>
      <c r="J196" s="288">
        <v>0</v>
      </c>
      <c r="K196" s="288">
        <v>0</v>
      </c>
      <c r="L196" s="288"/>
      <c r="M196" s="288"/>
      <c r="N196" s="288"/>
      <c r="O196" s="288"/>
      <c r="P196" s="1128">
        <f t="shared" ref="P196:P201" si="19">SUM(H196:O196)</f>
        <v>0</v>
      </c>
      <c r="Q196" s="65"/>
    </row>
    <row r="197" spans="1:17" ht="14.5" outlineLevel="1" x14ac:dyDescent="0.35">
      <c r="A197" s="1278"/>
      <c r="B197" s="145">
        <v>19</v>
      </c>
      <c r="C197" s="247" t="s">
        <v>13</v>
      </c>
      <c r="D197" s="245" t="s">
        <v>34</v>
      </c>
      <c r="E197" s="245">
        <v>12</v>
      </c>
      <c r="F197" s="289">
        <v>0</v>
      </c>
      <c r="G197" s="289">
        <v>0</v>
      </c>
      <c r="H197" s="286"/>
      <c r="I197" s="288"/>
      <c r="J197" s="288">
        <v>0</v>
      </c>
      <c r="K197" s="288">
        <v>0</v>
      </c>
      <c r="L197" s="288"/>
      <c r="M197" s="288"/>
      <c r="N197" s="288"/>
      <c r="O197" s="288"/>
      <c r="P197" s="1128">
        <f t="shared" si="19"/>
        <v>0</v>
      </c>
      <c r="Q197" s="65"/>
    </row>
    <row r="198" spans="1:17" ht="14.5" outlineLevel="1" x14ac:dyDescent="0.35">
      <c r="A198" s="1278"/>
      <c r="B198" s="145">
        <v>20</v>
      </c>
      <c r="C198" s="247" t="s">
        <v>14</v>
      </c>
      <c r="D198" s="245" t="s">
        <v>34</v>
      </c>
      <c r="E198" s="245">
        <v>12</v>
      </c>
      <c r="F198" s="289">
        <v>0</v>
      </c>
      <c r="G198" s="289">
        <v>0</v>
      </c>
      <c r="H198" s="286"/>
      <c r="I198" s="288"/>
      <c r="J198" s="288">
        <v>0</v>
      </c>
      <c r="K198" s="288">
        <v>0</v>
      </c>
      <c r="L198" s="288"/>
      <c r="M198" s="288"/>
      <c r="N198" s="288"/>
      <c r="O198" s="288"/>
      <c r="P198" s="1128">
        <f t="shared" si="19"/>
        <v>0</v>
      </c>
      <c r="Q198" s="65"/>
    </row>
    <row r="199" spans="1:17" ht="14.5" outlineLevel="1" x14ac:dyDescent="0.35">
      <c r="A199" s="1278"/>
      <c r="B199" s="145">
        <v>21</v>
      </c>
      <c r="C199" s="249" t="s">
        <v>27</v>
      </c>
      <c r="D199" s="245" t="s">
        <v>34</v>
      </c>
      <c r="E199" s="245">
        <v>12</v>
      </c>
      <c r="F199" s="289">
        <v>0</v>
      </c>
      <c r="G199" s="289">
        <v>0</v>
      </c>
      <c r="H199" s="286"/>
      <c r="I199" s="288"/>
      <c r="J199" s="288">
        <v>0</v>
      </c>
      <c r="K199" s="288">
        <v>0</v>
      </c>
      <c r="L199" s="288"/>
      <c r="M199" s="288"/>
      <c r="N199" s="288"/>
      <c r="O199" s="288"/>
      <c r="P199" s="1128">
        <f t="shared" si="19"/>
        <v>0</v>
      </c>
      <c r="Q199" s="65"/>
    </row>
    <row r="200" spans="1:17" ht="14.5" outlineLevel="1" x14ac:dyDescent="0.35">
      <c r="A200" s="1278"/>
      <c r="B200" s="145">
        <v>22</v>
      </c>
      <c r="C200" s="247" t="s">
        <v>10</v>
      </c>
      <c r="D200" s="245" t="s">
        <v>34</v>
      </c>
      <c r="E200" s="245">
        <v>0</v>
      </c>
      <c r="F200" s="289">
        <v>3576.4850000000001</v>
      </c>
      <c r="G200" s="289">
        <v>81438.759999999995</v>
      </c>
      <c r="H200" s="286"/>
      <c r="I200" s="288"/>
      <c r="J200" s="288">
        <v>0</v>
      </c>
      <c r="K200" s="288">
        <v>0</v>
      </c>
      <c r="L200" s="288"/>
      <c r="M200" s="288"/>
      <c r="N200" s="288"/>
      <c r="O200" s="288"/>
      <c r="P200" s="1128">
        <f t="shared" si="19"/>
        <v>0</v>
      </c>
      <c r="Q200" s="65"/>
    </row>
    <row r="201" spans="1:17" ht="14.5" outlineLevel="1" x14ac:dyDescent="0.35">
      <c r="A201" s="1278"/>
      <c r="B201" s="145"/>
      <c r="C201" s="248" t="s">
        <v>256</v>
      </c>
      <c r="D201" s="245" t="s">
        <v>253</v>
      </c>
      <c r="E201" s="1113">
        <v>12</v>
      </c>
      <c r="F201" s="1127">
        <v>0.17699999999999999</v>
      </c>
      <c r="G201" s="1127">
        <v>10467.69231</v>
      </c>
      <c r="H201" s="1114"/>
      <c r="I201" s="1114">
        <v>0</v>
      </c>
      <c r="J201" s="1114">
        <v>0</v>
      </c>
      <c r="K201" s="1114">
        <v>1</v>
      </c>
      <c r="L201" s="1114">
        <v>0</v>
      </c>
      <c r="M201" s="1114">
        <v>0</v>
      </c>
      <c r="N201" s="1114">
        <v>0</v>
      </c>
      <c r="O201" s="1114">
        <v>0</v>
      </c>
      <c r="P201" s="1115">
        <f t="shared" si="19"/>
        <v>1</v>
      </c>
      <c r="Q201" s="65"/>
    </row>
    <row r="202" spans="1:17" ht="14.5" outlineLevel="1" x14ac:dyDescent="0.35">
      <c r="A202" s="1278"/>
      <c r="B202" s="145"/>
      <c r="C202" s="1276" t="s">
        <v>780</v>
      </c>
      <c r="D202" s="1276"/>
      <c r="E202" s="1116">
        <v>12</v>
      </c>
      <c r="F202" s="1116">
        <f>SUM(F196:F200)</f>
        <v>3576.4850000000001</v>
      </c>
      <c r="G202" s="1116">
        <f>SUM(G196:G200)</f>
        <v>81438.759999999995</v>
      </c>
      <c r="H202" s="1117"/>
      <c r="I202" s="1117">
        <v>0</v>
      </c>
      <c r="J202" s="1117">
        <f>'10. Guelph_CDM Prgs'!Y20/SUM('10. Guelph_CDM Prgs'!X20:Y22)</f>
        <v>2.8960552752432991E-2</v>
      </c>
      <c r="K202" s="1117">
        <f>'10. Guelph_CDM Prgs'!Y21/SUM('10. Guelph_CDM Prgs'!X20:Y22)</f>
        <v>8.0891256269261844E-2</v>
      </c>
      <c r="L202" s="1117">
        <v>0</v>
      </c>
      <c r="M202" s="1117">
        <v>0</v>
      </c>
      <c r="N202" s="1117">
        <v>0</v>
      </c>
      <c r="O202" s="1117">
        <f>'10. Guelph_CDM Prgs'!Y22/SUM('10. Guelph_CDM Prgs'!X20:Y22)</f>
        <v>0.5968795478578679</v>
      </c>
      <c r="P202" s="1118">
        <f>SUM(H202:O202)</f>
        <v>0.70673135687956279</v>
      </c>
      <c r="Q202" s="65"/>
    </row>
    <row r="203" spans="1:17" ht="14.5" outlineLevel="1" x14ac:dyDescent="0.35">
      <c r="A203" s="1278"/>
      <c r="B203" s="145"/>
      <c r="C203" s="1267"/>
      <c r="D203" s="1267"/>
      <c r="E203" s="1087"/>
      <c r="F203" s="289"/>
      <c r="G203" s="289"/>
      <c r="H203" s="286"/>
      <c r="I203" s="288"/>
      <c r="J203" s="288"/>
      <c r="K203" s="288"/>
      <c r="L203" s="288"/>
      <c r="M203" s="288"/>
      <c r="N203" s="288"/>
      <c r="O203" s="288"/>
      <c r="P203" s="1128"/>
      <c r="Q203" s="65"/>
    </row>
    <row r="204" spans="1:17" ht="14.5" outlineLevel="1" x14ac:dyDescent="0.35">
      <c r="A204" s="1278"/>
      <c r="B204" s="145"/>
      <c r="C204" s="1267"/>
      <c r="D204" s="1267"/>
      <c r="E204" s="1087"/>
      <c r="F204" s="289"/>
      <c r="G204" s="289"/>
      <c r="H204" s="286"/>
      <c r="I204" s="288"/>
      <c r="J204" s="288"/>
      <c r="K204" s="288"/>
      <c r="L204" s="288"/>
      <c r="M204" s="288"/>
      <c r="N204" s="288"/>
      <c r="O204" s="288"/>
      <c r="P204" s="1128"/>
      <c r="Q204" s="65"/>
    </row>
    <row r="205" spans="1:17" s="41" customFormat="1" ht="14.5" outlineLevel="1" x14ac:dyDescent="0.35">
      <c r="A205" s="1278"/>
      <c r="B205" s="375"/>
      <c r="C205" s="1279" t="s">
        <v>15</v>
      </c>
      <c r="D205" s="1279"/>
      <c r="E205" s="376"/>
      <c r="F205" s="377"/>
      <c r="G205" s="377"/>
      <c r="H205" s="376"/>
      <c r="I205" s="376"/>
      <c r="J205" s="376"/>
      <c r="K205" s="376"/>
      <c r="L205" s="376"/>
      <c r="M205" s="376"/>
      <c r="N205" s="376"/>
      <c r="O205" s="376"/>
      <c r="P205" s="1130"/>
      <c r="Q205" s="144"/>
    </row>
    <row r="206" spans="1:17" ht="14.5" outlineLevel="1" x14ac:dyDescent="0.35">
      <c r="A206" s="1278"/>
      <c r="B206" s="265">
        <v>23</v>
      </c>
      <c r="C206" s="247" t="s">
        <v>15</v>
      </c>
      <c r="D206" s="245" t="s">
        <v>34</v>
      </c>
      <c r="E206" s="245"/>
      <c r="F206" s="289">
        <v>0</v>
      </c>
      <c r="G206" s="289">
        <v>0</v>
      </c>
      <c r="H206" s="288">
        <v>1</v>
      </c>
      <c r="I206" s="288"/>
      <c r="J206" s="288"/>
      <c r="K206" s="288"/>
      <c r="L206" s="288"/>
      <c r="M206" s="288"/>
      <c r="N206" s="288"/>
      <c r="O206" s="288"/>
      <c r="P206" s="1128">
        <f t="shared" ref="P206" si="20">SUM(H206:O206)</f>
        <v>1</v>
      </c>
      <c r="Q206" s="65"/>
    </row>
    <row r="207" spans="1:17" ht="14.5" outlineLevel="1" x14ac:dyDescent="0.35">
      <c r="A207" s="1278"/>
      <c r="B207" s="265"/>
      <c r="C207" s="248" t="s">
        <v>256</v>
      </c>
      <c r="D207" s="245" t="s">
        <v>253</v>
      </c>
      <c r="E207" s="245"/>
      <c r="F207" s="1127">
        <v>0</v>
      </c>
      <c r="G207" s="1127">
        <v>0</v>
      </c>
      <c r="H207" s="286"/>
      <c r="I207" s="288"/>
      <c r="J207" s="288"/>
      <c r="K207" s="288"/>
      <c r="L207" s="288"/>
      <c r="M207" s="288"/>
      <c r="N207" s="288"/>
      <c r="O207" s="288"/>
      <c r="P207" s="1128"/>
      <c r="Q207" s="65"/>
    </row>
    <row r="208" spans="1:17" ht="14.5" outlineLevel="1" x14ac:dyDescent="0.35">
      <c r="A208" s="1278"/>
      <c r="B208" s="265"/>
      <c r="C208" s="1276" t="s">
        <v>781</v>
      </c>
      <c r="D208" s="1276"/>
      <c r="E208" s="1129"/>
      <c r="F208" s="1116">
        <f>SUM(F206)</f>
        <v>0</v>
      </c>
      <c r="G208" s="1116">
        <f>SUM(G206)</f>
        <v>0</v>
      </c>
      <c r="H208" s="1117">
        <v>1</v>
      </c>
      <c r="I208" s="1117">
        <v>0</v>
      </c>
      <c r="J208" s="1117">
        <v>0</v>
      </c>
      <c r="K208" s="1117">
        <v>0</v>
      </c>
      <c r="L208" s="1117">
        <v>0</v>
      </c>
      <c r="M208" s="1117">
        <v>0</v>
      </c>
      <c r="N208" s="1117">
        <v>0</v>
      </c>
      <c r="O208" s="1117">
        <v>0</v>
      </c>
      <c r="P208" s="1118">
        <f>SUM(H208:O208)</f>
        <v>1</v>
      </c>
      <c r="Q208" s="65"/>
    </row>
    <row r="209" spans="1:17" ht="14.5" outlineLevel="1" x14ac:dyDescent="0.35">
      <c r="A209" s="1278"/>
      <c r="B209" s="265"/>
      <c r="C209" s="1267"/>
      <c r="D209" s="1267"/>
      <c r="E209" s="1087"/>
      <c r="F209" s="289"/>
      <c r="G209" s="289"/>
      <c r="H209" s="286"/>
      <c r="I209" s="288"/>
      <c r="J209" s="288"/>
      <c r="K209" s="288"/>
      <c r="L209" s="288"/>
      <c r="M209" s="288"/>
      <c r="N209" s="288"/>
      <c r="O209" s="288"/>
      <c r="P209" s="1128"/>
      <c r="Q209" s="65"/>
    </row>
    <row r="210" spans="1:17" s="41" customFormat="1" ht="14.5" outlineLevel="1" x14ac:dyDescent="0.35">
      <c r="A210" s="1278"/>
      <c r="B210" s="375"/>
      <c r="C210" s="1279" t="s">
        <v>16</v>
      </c>
      <c r="D210" s="1279"/>
      <c r="E210" s="376"/>
      <c r="F210" s="377"/>
      <c r="G210" s="377"/>
      <c r="H210" s="376"/>
      <c r="I210" s="376"/>
      <c r="J210" s="376"/>
      <c r="K210" s="376"/>
      <c r="L210" s="376"/>
      <c r="M210" s="376"/>
      <c r="N210" s="376"/>
      <c r="O210" s="376"/>
      <c r="P210" s="1130"/>
      <c r="Q210" s="144"/>
    </row>
    <row r="211" spans="1:17" ht="14.5" outlineLevel="1" x14ac:dyDescent="0.35">
      <c r="A211" s="1278"/>
      <c r="B211" s="265">
        <v>24</v>
      </c>
      <c r="C211" s="247" t="s">
        <v>17</v>
      </c>
      <c r="D211" s="245" t="s">
        <v>34</v>
      </c>
      <c r="E211" s="245"/>
      <c r="F211" s="289">
        <v>0</v>
      </c>
      <c r="G211" s="289">
        <v>0</v>
      </c>
      <c r="H211" s="286"/>
      <c r="I211" s="288"/>
      <c r="J211" s="288">
        <v>0</v>
      </c>
      <c r="K211" s="288">
        <v>0</v>
      </c>
      <c r="L211" s="288"/>
      <c r="M211" s="288"/>
      <c r="N211" s="288"/>
      <c r="O211" s="288"/>
      <c r="P211" s="1128">
        <f t="shared" ref="P211:P215" si="21">SUM(H211:O211)</f>
        <v>0</v>
      </c>
      <c r="Q211" s="65"/>
    </row>
    <row r="212" spans="1:17" ht="14.5" outlineLevel="1" x14ac:dyDescent="0.35">
      <c r="A212" s="1278"/>
      <c r="B212" s="265">
        <v>25</v>
      </c>
      <c r="C212" s="247" t="s">
        <v>18</v>
      </c>
      <c r="D212" s="245" t="s">
        <v>34</v>
      </c>
      <c r="E212" s="245"/>
      <c r="F212" s="289">
        <v>0</v>
      </c>
      <c r="G212" s="289">
        <v>0</v>
      </c>
      <c r="H212" s="286"/>
      <c r="I212" s="288"/>
      <c r="J212" s="288">
        <v>0</v>
      </c>
      <c r="K212" s="288">
        <v>0</v>
      </c>
      <c r="L212" s="288"/>
      <c r="M212" s="288"/>
      <c r="N212" s="288"/>
      <c r="O212" s="288"/>
      <c r="P212" s="1128">
        <f t="shared" si="21"/>
        <v>0</v>
      </c>
      <c r="Q212" s="65"/>
    </row>
    <row r="213" spans="1:17" ht="14.5" outlineLevel="1" x14ac:dyDescent="0.35">
      <c r="A213" s="1278"/>
      <c r="B213" s="265">
        <v>26</v>
      </c>
      <c r="C213" s="247" t="s">
        <v>19</v>
      </c>
      <c r="D213" s="245" t="s">
        <v>34</v>
      </c>
      <c r="E213" s="245"/>
      <c r="F213" s="289">
        <v>0</v>
      </c>
      <c r="G213" s="289">
        <v>0</v>
      </c>
      <c r="H213" s="286"/>
      <c r="I213" s="288"/>
      <c r="J213" s="288">
        <v>0</v>
      </c>
      <c r="K213" s="288">
        <v>0</v>
      </c>
      <c r="L213" s="288"/>
      <c r="M213" s="288"/>
      <c r="N213" s="288"/>
      <c r="O213" s="288"/>
      <c r="P213" s="1128">
        <f t="shared" si="21"/>
        <v>0</v>
      </c>
      <c r="Q213" s="65"/>
    </row>
    <row r="214" spans="1:17" ht="14.5" outlineLevel="1" x14ac:dyDescent="0.35">
      <c r="A214" s="1278"/>
      <c r="B214" s="265">
        <v>27</v>
      </c>
      <c r="C214" s="247" t="s">
        <v>20</v>
      </c>
      <c r="D214" s="245" t="s">
        <v>34</v>
      </c>
      <c r="E214" s="245"/>
      <c r="F214" s="289">
        <v>0</v>
      </c>
      <c r="G214" s="289">
        <v>0</v>
      </c>
      <c r="H214" s="286"/>
      <c r="I214" s="288"/>
      <c r="J214" s="288">
        <v>0</v>
      </c>
      <c r="K214" s="288">
        <v>0</v>
      </c>
      <c r="L214" s="288"/>
      <c r="M214" s="288"/>
      <c r="N214" s="288"/>
      <c r="O214" s="288"/>
      <c r="P214" s="1128">
        <f t="shared" si="21"/>
        <v>0</v>
      </c>
      <c r="Q214" s="65"/>
    </row>
    <row r="215" spans="1:17" ht="14.5" outlineLevel="1" x14ac:dyDescent="0.35">
      <c r="A215" s="1278"/>
      <c r="B215" s="265">
        <v>28</v>
      </c>
      <c r="C215" s="247" t="s">
        <v>105</v>
      </c>
      <c r="D215" s="245" t="s">
        <v>34</v>
      </c>
      <c r="E215" s="245"/>
      <c r="F215" s="289">
        <v>0</v>
      </c>
      <c r="G215" s="289">
        <v>0</v>
      </c>
      <c r="H215" s="286"/>
      <c r="I215" s="288"/>
      <c r="J215" s="288">
        <v>0</v>
      </c>
      <c r="K215" s="288">
        <v>0</v>
      </c>
      <c r="L215" s="288"/>
      <c r="M215" s="288"/>
      <c r="N215" s="288"/>
      <c r="O215" s="288"/>
      <c r="P215" s="1128">
        <f t="shared" si="21"/>
        <v>0</v>
      </c>
      <c r="Q215" s="65"/>
    </row>
    <row r="216" spans="1:17" ht="14.5" outlineLevel="1" x14ac:dyDescent="0.35">
      <c r="A216" s="1278"/>
      <c r="B216" s="265"/>
      <c r="C216" s="248" t="s">
        <v>256</v>
      </c>
      <c r="D216" s="245" t="s">
        <v>253</v>
      </c>
      <c r="E216" s="245"/>
      <c r="F216" s="1127">
        <v>0</v>
      </c>
      <c r="G216" s="1127">
        <v>0</v>
      </c>
      <c r="H216" s="286"/>
      <c r="I216" s="288"/>
      <c r="J216" s="288"/>
      <c r="K216" s="288"/>
      <c r="L216" s="288"/>
      <c r="M216" s="288"/>
      <c r="N216" s="288"/>
      <c r="O216" s="288"/>
      <c r="P216" s="1128"/>
      <c r="Q216" s="65"/>
    </row>
    <row r="217" spans="1:17" ht="14.5" outlineLevel="1" x14ac:dyDescent="0.35">
      <c r="A217" s="1278"/>
      <c r="B217" s="265"/>
      <c r="C217" s="1267"/>
      <c r="D217" s="1267"/>
      <c r="E217" s="1087"/>
      <c r="F217" s="289"/>
      <c r="G217" s="289"/>
      <c r="H217" s="286"/>
      <c r="I217" s="288"/>
      <c r="J217" s="288"/>
      <c r="K217" s="288"/>
      <c r="L217" s="288"/>
      <c r="M217" s="288"/>
      <c r="N217" s="288"/>
      <c r="O217" s="288"/>
      <c r="P217" s="1128"/>
      <c r="Q217" s="65"/>
    </row>
    <row r="218" spans="1:17" ht="14.5" outlineLevel="1" x14ac:dyDescent="0.35">
      <c r="A218" s="1278"/>
      <c r="B218" s="265"/>
      <c r="C218" s="1267"/>
      <c r="D218" s="1267"/>
      <c r="E218" s="1087"/>
      <c r="F218" s="289"/>
      <c r="G218" s="289"/>
      <c r="H218" s="286"/>
      <c r="I218" s="288"/>
      <c r="J218" s="288"/>
      <c r="K218" s="288"/>
      <c r="L218" s="288"/>
      <c r="M218" s="288"/>
      <c r="N218" s="288"/>
      <c r="O218" s="288"/>
      <c r="P218" s="1128"/>
      <c r="Q218" s="65"/>
    </row>
    <row r="219" spans="1:17" s="41" customFormat="1" ht="14.5" outlineLevel="1" x14ac:dyDescent="0.35">
      <c r="A219" s="1278"/>
      <c r="B219" s="375"/>
      <c r="C219" s="1279" t="s">
        <v>106</v>
      </c>
      <c r="D219" s="1279"/>
      <c r="E219" s="376"/>
      <c r="F219" s="377"/>
      <c r="G219" s="377"/>
      <c r="H219" s="376"/>
      <c r="I219" s="376"/>
      <c r="J219" s="376"/>
      <c r="K219" s="376"/>
      <c r="L219" s="376"/>
      <c r="M219" s="376"/>
      <c r="N219" s="376"/>
      <c r="O219" s="376"/>
      <c r="P219" s="1130"/>
      <c r="Q219" s="144"/>
    </row>
    <row r="220" spans="1:17" ht="14.5" outlineLevel="1" x14ac:dyDescent="0.35">
      <c r="A220" s="1278"/>
      <c r="B220" s="145">
        <v>29</v>
      </c>
      <c r="C220" s="247" t="s">
        <v>108</v>
      </c>
      <c r="D220" s="245" t="s">
        <v>34</v>
      </c>
      <c r="E220" s="245"/>
      <c r="F220" s="289">
        <v>16</v>
      </c>
      <c r="G220" s="289">
        <v>96000</v>
      </c>
      <c r="H220" s="286"/>
      <c r="I220" s="288"/>
      <c r="J220" s="288"/>
      <c r="K220" s="288"/>
      <c r="L220" s="288"/>
      <c r="M220" s="288"/>
      <c r="N220" s="288"/>
      <c r="O220" s="288"/>
      <c r="P220" s="1128">
        <f t="shared" ref="P220:P221" si="22">SUM(H220:O220)</f>
        <v>0</v>
      </c>
      <c r="Q220" s="65"/>
    </row>
    <row r="221" spans="1:17" ht="14.5" outlineLevel="1" x14ac:dyDescent="0.35">
      <c r="A221" s="1278"/>
      <c r="B221" s="145">
        <v>30</v>
      </c>
      <c r="C221" s="247" t="s">
        <v>107</v>
      </c>
      <c r="D221" s="245" t="s">
        <v>34</v>
      </c>
      <c r="E221" s="245"/>
      <c r="F221" s="289">
        <v>0</v>
      </c>
      <c r="G221" s="289">
        <v>0</v>
      </c>
      <c r="H221" s="286"/>
      <c r="I221" s="288"/>
      <c r="J221" s="288"/>
      <c r="K221" s="288"/>
      <c r="L221" s="288"/>
      <c r="M221" s="288"/>
      <c r="N221" s="288"/>
      <c r="O221" s="288"/>
      <c r="P221" s="1128">
        <f t="shared" si="22"/>
        <v>0</v>
      </c>
      <c r="Q221" s="65"/>
    </row>
    <row r="222" spans="1:17" ht="14.5" outlineLevel="1" x14ac:dyDescent="0.35">
      <c r="A222" s="1278"/>
      <c r="B222" s="145"/>
      <c r="C222" s="248" t="s">
        <v>256</v>
      </c>
      <c r="D222" s="245" t="s">
        <v>253</v>
      </c>
      <c r="E222" s="245"/>
      <c r="F222" s="1127">
        <v>0</v>
      </c>
      <c r="G222" s="1127">
        <v>0</v>
      </c>
      <c r="H222" s="286"/>
      <c r="I222" s="288"/>
      <c r="J222" s="288"/>
      <c r="K222" s="288"/>
      <c r="L222" s="288"/>
      <c r="M222" s="288"/>
      <c r="N222" s="288"/>
      <c r="O222" s="288"/>
      <c r="P222" s="1128"/>
      <c r="Q222" s="65"/>
    </row>
    <row r="223" spans="1:17" ht="14.5" outlineLevel="1" x14ac:dyDescent="0.35">
      <c r="A223" s="1278"/>
      <c r="B223" s="145"/>
      <c r="C223" s="1276" t="s">
        <v>784</v>
      </c>
      <c r="D223" s="1276"/>
      <c r="E223" s="1116">
        <v>12</v>
      </c>
      <c r="F223" s="1116">
        <f>SUM(F220:F221)</f>
        <v>16</v>
      </c>
      <c r="G223" s="1116">
        <f>SUM(G220:G221)</f>
        <v>96000</v>
      </c>
      <c r="H223" s="1117"/>
      <c r="I223" s="1117">
        <v>0</v>
      </c>
      <c r="J223" s="1117">
        <v>0</v>
      </c>
      <c r="K223" s="1117">
        <v>0</v>
      </c>
      <c r="L223" s="1117">
        <v>0</v>
      </c>
      <c r="M223" s="1117">
        <v>0</v>
      </c>
      <c r="N223" s="1117">
        <v>0</v>
      </c>
      <c r="O223" s="1117">
        <v>1</v>
      </c>
      <c r="P223" s="1118">
        <f>SUM(H223:O223)</f>
        <v>1</v>
      </c>
      <c r="Q223" s="65"/>
    </row>
    <row r="224" spans="1:17" s="41" customFormat="1" ht="14.5" outlineLevel="1" x14ac:dyDescent="0.35">
      <c r="A224" s="1278"/>
      <c r="B224" s="146"/>
      <c r="C224" s="1282"/>
      <c r="D224" s="1282"/>
      <c r="E224" s="1088"/>
      <c r="F224" s="289"/>
      <c r="G224" s="289"/>
      <c r="H224" s="392"/>
      <c r="I224" s="1131"/>
      <c r="J224" s="1131"/>
      <c r="K224" s="1131"/>
      <c r="L224" s="1131"/>
      <c r="M224" s="1131"/>
      <c r="N224" s="1131"/>
      <c r="O224" s="1131"/>
      <c r="P224" s="1132"/>
      <c r="Q224" s="144"/>
    </row>
    <row r="225" spans="1:17" ht="14.5" x14ac:dyDescent="0.35">
      <c r="A225" s="1278"/>
      <c r="B225" s="345"/>
      <c r="C225" s="1266" t="s">
        <v>221</v>
      </c>
      <c r="D225" s="1266"/>
      <c r="E225" s="346"/>
      <c r="F225" s="347"/>
      <c r="G225" s="347"/>
      <c r="H225" s="1121">
        <f>SUM(G178*H178,G179*H179,G208*H208)</f>
        <v>862925.08481560007</v>
      </c>
      <c r="I225" s="1121">
        <f>SUM(G192*I192)</f>
        <v>337547.12002986058</v>
      </c>
      <c r="J225" s="349"/>
      <c r="K225" s="346"/>
      <c r="L225" s="346"/>
      <c r="M225" s="346"/>
      <c r="N225" s="1121">
        <f>SUM(G178*N178,G179*N179,G208*N208)</f>
        <v>0</v>
      </c>
      <c r="O225" s="346"/>
      <c r="P225" s="350">
        <f>SUM(H225:O225)</f>
        <v>1200472.2048454606</v>
      </c>
      <c r="Q225" s="65"/>
    </row>
    <row r="226" spans="1:17" ht="14.5" x14ac:dyDescent="0.35">
      <c r="A226" s="1278"/>
      <c r="B226" s="472"/>
      <c r="C226" s="473" t="s">
        <v>503</v>
      </c>
      <c r="D226" s="473"/>
      <c r="E226" s="474"/>
      <c r="F226" s="475"/>
      <c r="G226" s="475"/>
      <c r="H226" s="1122">
        <f>H225</f>
        <v>862925.08481560007</v>
      </c>
      <c r="I226" s="1122">
        <f>I225</f>
        <v>337547.12002986058</v>
      </c>
      <c r="J226" s="476"/>
      <c r="K226" s="474"/>
      <c r="L226" s="474"/>
      <c r="M226" s="474"/>
      <c r="N226" s="1122">
        <f>N225</f>
        <v>0</v>
      </c>
      <c r="O226" s="474"/>
      <c r="P226" s="477"/>
      <c r="Q226" s="65"/>
    </row>
    <row r="227" spans="1:17" ht="14.5" x14ac:dyDescent="0.35">
      <c r="A227" s="1278"/>
      <c r="B227" s="266"/>
      <c r="C227" s="1267" t="s">
        <v>318</v>
      </c>
      <c r="D227" s="1267"/>
      <c r="E227" s="260"/>
      <c r="F227" s="258"/>
      <c r="G227" s="258"/>
      <c r="H227" s="260"/>
      <c r="I227" s="260"/>
      <c r="J227" s="1123">
        <f>SUM(E192*($F$192-$F$184+$F$202)*J192,E191*$F$191*J191,E201*$F$201*J201,E202*($F$192-$F$184+$F$202)*J202,E223*$F$223*J223)</f>
        <v>13941.747943082299</v>
      </c>
      <c r="K227" s="1123">
        <f>SUM(E192*($F$192-$F$184+$F202)*K192,E191*$F$191*K191,E201*$F$201*K201,E202*($F192-$F184+$F$202)*K202,E223*$F$223*K223)</f>
        <v>5426.6321094520845</v>
      </c>
      <c r="L227" s="1123">
        <f>SUM(E192*($F$192-$F$184)*L192,E191*$F$191*L191,E201*$F$201*L201,E202*$F$202*L202,E223*$F$223*L223)</f>
        <v>0</v>
      </c>
      <c r="M227" s="1123">
        <f>SUM(E192*($F$192-$F$184)*M192,E191*$F$191*M191,E201*$F$201*M201,E202*$F$202*M202,E223*$F$223*M223)</f>
        <v>0</v>
      </c>
      <c r="N227" s="260"/>
      <c r="O227" s="1123">
        <f>SUM(E192*($F$192-$F$184+$F202)*O192,E191*$F$191*O191,E201*$F$201*O201,E202*($F192-$F184+$F$202)*O202,E223*$F$223*O223)</f>
        <v>63782.043947465601</v>
      </c>
      <c r="P227" s="267">
        <f>SUM(H227:O227)</f>
        <v>83150.423999999985</v>
      </c>
      <c r="Q227" s="65"/>
    </row>
    <row r="228" spans="1:17" ht="14.5" x14ac:dyDescent="0.35">
      <c r="A228" s="1278"/>
      <c r="B228" s="266"/>
      <c r="C228" s="1267" t="s">
        <v>499</v>
      </c>
      <c r="D228" s="1267"/>
      <c r="E228" s="260"/>
      <c r="F228" s="258"/>
      <c r="G228" s="258"/>
      <c r="H228" s="260"/>
      <c r="I228" s="260"/>
      <c r="J228" s="1123">
        <f>J227</f>
        <v>13941.747943082299</v>
      </c>
      <c r="K228" s="1123">
        <f>K227</f>
        <v>5426.6321094520845</v>
      </c>
      <c r="L228" s="1123">
        <f>L227</f>
        <v>0</v>
      </c>
      <c r="M228" s="1123">
        <f>M227</f>
        <v>0</v>
      </c>
      <c r="N228" s="260"/>
      <c r="O228" s="1123">
        <f>O227</f>
        <v>63782.043947465601</v>
      </c>
      <c r="P228" s="267">
        <f>SUM(H228:O228)</f>
        <v>83150.423999999985</v>
      </c>
      <c r="Q228" s="65"/>
    </row>
    <row r="229" spans="1:17" ht="14.5" x14ac:dyDescent="0.35">
      <c r="A229" s="1278"/>
      <c r="B229" s="268"/>
      <c r="C229" s="1268"/>
      <c r="D229" s="1268"/>
      <c r="E229" s="254"/>
      <c r="F229" s="252"/>
      <c r="G229" s="252"/>
      <c r="H229" s="254"/>
      <c r="I229" s="254"/>
      <c r="J229" s="254"/>
      <c r="K229" s="254"/>
      <c r="L229" s="254"/>
      <c r="M229" s="254"/>
      <c r="N229" s="254"/>
      <c r="O229" s="254"/>
      <c r="P229" s="269"/>
      <c r="Q229" s="65"/>
    </row>
    <row r="230" spans="1:17" ht="14.5" x14ac:dyDescent="0.35">
      <c r="A230" s="1278"/>
      <c r="B230" s="373"/>
      <c r="C230" s="1269" t="s">
        <v>322</v>
      </c>
      <c r="D230" s="1269"/>
      <c r="E230" s="245"/>
      <c r="F230" s="255"/>
      <c r="G230" s="245"/>
      <c r="H230" s="256">
        <f>'3.  Distribution Rates'!G33</f>
        <v>1.72E-2</v>
      </c>
      <c r="I230" s="256">
        <f>'3.  Distribution Rates'!G34</f>
        <v>1.2699999999999999E-2</v>
      </c>
      <c r="J230" s="256">
        <f>'3.  Distribution Rates'!G35</f>
        <v>2.5038</v>
      </c>
      <c r="K230" s="256">
        <f>'3.  Distribution Rates'!G36</f>
        <v>3.3479000000000001</v>
      </c>
      <c r="L230" s="1133">
        <f>'3.  Distribution Rates'!G37</f>
        <v>7.5833000000000004</v>
      </c>
      <c r="M230" s="1133">
        <f>'3.  Distribution Rates'!G38</f>
        <v>9.3044000000000011</v>
      </c>
      <c r="N230" s="1133">
        <f>'3.  Distribution Rates'!G39</f>
        <v>2.63E-2</v>
      </c>
      <c r="O230" s="521">
        <f>'3.  Distribution Rates'!G40</f>
        <v>2.2904</v>
      </c>
      <c r="P230" s="374"/>
      <c r="Q230" s="65"/>
    </row>
    <row r="231" spans="1:17" ht="14.5" x14ac:dyDescent="0.35">
      <c r="A231" s="1278"/>
      <c r="B231" s="373"/>
      <c r="C231" s="1269" t="s">
        <v>235</v>
      </c>
      <c r="D231" s="1269"/>
      <c r="E231" s="254"/>
      <c r="F231" s="255"/>
      <c r="G231" s="255"/>
      <c r="H231" s="370">
        <f t="shared" ref="H231:O231" si="23">H75*H230</f>
        <v>25781.084167772766</v>
      </c>
      <c r="I231" s="370">
        <f t="shared" si="23"/>
        <v>10988.300321342875</v>
      </c>
      <c r="J231" s="370">
        <f t="shared" si="23"/>
        <v>0</v>
      </c>
      <c r="K231" s="370">
        <f t="shared" si="23"/>
        <v>0</v>
      </c>
      <c r="L231" s="1134">
        <f t="shared" si="23"/>
        <v>0</v>
      </c>
      <c r="M231" s="1134">
        <f t="shared" si="23"/>
        <v>0</v>
      </c>
      <c r="N231" s="1134">
        <f t="shared" si="23"/>
        <v>0</v>
      </c>
      <c r="O231" s="526">
        <f t="shared" si="23"/>
        <v>0</v>
      </c>
      <c r="P231" s="270">
        <f>SUM(H231:O231)</f>
        <v>36769.38448911564</v>
      </c>
      <c r="Q231" s="65"/>
    </row>
    <row r="232" spans="1:17" ht="14.5" x14ac:dyDescent="0.35">
      <c r="A232" s="1278"/>
      <c r="B232" s="373"/>
      <c r="C232" s="1269" t="s">
        <v>236</v>
      </c>
      <c r="D232" s="1269"/>
      <c r="E232" s="254"/>
      <c r="F232" s="255"/>
      <c r="G232" s="255"/>
      <c r="H232" s="370">
        <f>H154*H230</f>
        <v>15262.089310866471</v>
      </c>
      <c r="I232" s="370">
        <f>I154*I230</f>
        <v>11382.856027563743</v>
      </c>
      <c r="J232" s="370">
        <f>J154*J230</f>
        <v>0</v>
      </c>
      <c r="K232" s="370">
        <f t="shared" ref="K232:O232" si="24">K154*K230</f>
        <v>0</v>
      </c>
      <c r="L232" s="1134">
        <f t="shared" si="24"/>
        <v>0</v>
      </c>
      <c r="M232" s="1134">
        <f t="shared" si="24"/>
        <v>0</v>
      </c>
      <c r="N232" s="1134">
        <f t="shared" si="24"/>
        <v>0</v>
      </c>
      <c r="O232" s="526">
        <f t="shared" si="24"/>
        <v>0</v>
      </c>
      <c r="P232" s="270">
        <f>SUM(H232:O232)</f>
        <v>26644.945338430214</v>
      </c>
      <c r="Q232" s="65"/>
    </row>
    <row r="233" spans="1:17" ht="14.5" x14ac:dyDescent="0.35">
      <c r="A233" s="1278"/>
      <c r="B233" s="373"/>
      <c r="C233" s="1269" t="s">
        <v>237</v>
      </c>
      <c r="D233" s="1269"/>
      <c r="E233" s="254"/>
      <c r="F233" s="255"/>
      <c r="G233" s="255"/>
      <c r="H233" s="370">
        <f>H225*H230</f>
        <v>14842.311458828321</v>
      </c>
      <c r="I233" s="370">
        <f>I225*I230</f>
        <v>4286.8484243792291</v>
      </c>
      <c r="J233" s="370">
        <f>J227*J230</f>
        <v>34907.348499889456</v>
      </c>
      <c r="K233" s="370">
        <f>K227*K230</f>
        <v>18167.821639234633</v>
      </c>
      <c r="L233" s="1134">
        <f>L227*L230</f>
        <v>0</v>
      </c>
      <c r="M233" s="1134">
        <f>M227*M230</f>
        <v>0</v>
      </c>
      <c r="N233" s="1134">
        <f>N225*N230</f>
        <v>0</v>
      </c>
      <c r="O233" s="526">
        <f>O227*O230</f>
        <v>146086.3934572752</v>
      </c>
      <c r="P233" s="270">
        <f>SUM(H233:O233)</f>
        <v>218290.72347960685</v>
      </c>
      <c r="Q233" s="65"/>
    </row>
    <row r="234" spans="1:17" ht="14.5" x14ac:dyDescent="0.35">
      <c r="A234" s="1278"/>
      <c r="B234" s="268"/>
      <c r="C234" s="371" t="s">
        <v>99</v>
      </c>
      <c r="D234" s="254"/>
      <c r="E234" s="254"/>
      <c r="F234" s="252"/>
      <c r="G234" s="252"/>
      <c r="H234" s="257">
        <f t="shared" ref="H234:P234" si="25">SUM(H231:H233)</f>
        <v>55885.484937467554</v>
      </c>
      <c r="I234" s="257">
        <f t="shared" si="25"/>
        <v>26658.004773285847</v>
      </c>
      <c r="J234" s="257">
        <f t="shared" si="25"/>
        <v>34907.348499889456</v>
      </c>
      <c r="K234" s="257">
        <f t="shared" si="25"/>
        <v>18167.821639234633</v>
      </c>
      <c r="L234" s="522">
        <f t="shared" si="25"/>
        <v>0</v>
      </c>
      <c r="M234" s="522">
        <f t="shared" si="25"/>
        <v>0</v>
      </c>
      <c r="N234" s="522">
        <f t="shared" si="25"/>
        <v>0</v>
      </c>
      <c r="O234" s="522">
        <f t="shared" si="25"/>
        <v>146086.3934572752</v>
      </c>
      <c r="P234" s="271">
        <f t="shared" si="25"/>
        <v>281705.0533071527</v>
      </c>
      <c r="Q234" s="65"/>
    </row>
    <row r="235" spans="1:17" ht="14.5" x14ac:dyDescent="0.35">
      <c r="A235" s="1278"/>
      <c r="B235" s="268"/>
      <c r="C235" s="1269" t="s">
        <v>102</v>
      </c>
      <c r="D235" s="1269"/>
      <c r="E235" s="254"/>
      <c r="F235" s="252"/>
      <c r="G235" s="252"/>
      <c r="H235" s="245">
        <f>$H$226*'6.  Persistence Rates'!$G$27</f>
        <v>852167.81086270243</v>
      </c>
      <c r="I235" s="245">
        <f>$I$226*'6.  Persistence Rates'!$G$27</f>
        <v>333339.23813366005</v>
      </c>
      <c r="J235" s="245">
        <f>$J$228*'6.  Persistence Rates'!$S$27</f>
        <v>3316.6299079832952</v>
      </c>
      <c r="K235" s="245">
        <f>$K$228*'6.  Persistence Rates'!$S$27</f>
        <v>1290.9522125424512</v>
      </c>
      <c r="L235" s="524">
        <f>L228*'6.  Persistence Rates'!$S$27</f>
        <v>0</v>
      </c>
      <c r="M235" s="524">
        <f>$M$228*'6.  Persistence Rates'!$S$27</f>
        <v>0</v>
      </c>
      <c r="N235" s="524">
        <f>$N$226*'6.  Persistence Rates'!$G$27</f>
        <v>0</v>
      </c>
      <c r="O235" s="524">
        <f>$O$228*'6.  Persistence Rates'!$S$27</f>
        <v>15173.236197648606</v>
      </c>
      <c r="P235" s="269"/>
      <c r="Q235" s="65"/>
    </row>
    <row r="236" spans="1:17" ht="14.5" x14ac:dyDescent="0.35">
      <c r="A236" s="239"/>
      <c r="B236" s="268"/>
      <c r="C236" s="1269" t="s">
        <v>430</v>
      </c>
      <c r="D236" s="1269"/>
      <c r="E236" s="254"/>
      <c r="F236" s="252"/>
      <c r="G236" s="252"/>
      <c r="H236" s="245">
        <f>$H$226*'6.  Persistence Rates'!$H$27</f>
        <v>849494.41399320005</v>
      </c>
      <c r="I236" s="245">
        <f>$I$226*'6.  Persistence Rates'!$H$27</f>
        <v>332293.49565858743</v>
      </c>
      <c r="J236" s="245">
        <f>$J$228*'6.  Persistence Rates'!$T$27</f>
        <v>3306.115012733841</v>
      </c>
      <c r="K236" s="245">
        <f>$K$228*'6.  Persistence Rates'!$T$27</f>
        <v>1286.8594353368121</v>
      </c>
      <c r="L236" s="524">
        <f>$L$228*'6.  Persistence Rates'!$T$27</f>
        <v>0</v>
      </c>
      <c r="M236" s="524">
        <f>$M$228*'6.  Persistence Rates'!$T$27</f>
        <v>0</v>
      </c>
      <c r="N236" s="524">
        <f>$N$226*'6.  Persistence Rates'!$H$27</f>
        <v>0</v>
      </c>
      <c r="O236" s="524">
        <f>$O$228*'6.  Persistence Rates'!$T$27</f>
        <v>15125.131647656619</v>
      </c>
      <c r="P236" s="269"/>
      <c r="Q236" s="65"/>
    </row>
    <row r="237" spans="1:17" ht="14.5" x14ac:dyDescent="0.35">
      <c r="A237" s="239"/>
      <c r="B237" s="268"/>
      <c r="C237" s="1269" t="s">
        <v>431</v>
      </c>
      <c r="D237" s="1269"/>
      <c r="E237" s="254"/>
      <c r="F237" s="252"/>
      <c r="G237" s="252"/>
      <c r="H237" s="245">
        <f>$H$226*'6.  Persistence Rates'!$I$27</f>
        <v>835272.4874485638</v>
      </c>
      <c r="I237" s="245">
        <f>$I$226*'6.  Persistence Rates'!$I$27</f>
        <v>326730.3587989792</v>
      </c>
      <c r="J237" s="245">
        <f>$J$228*'6.  Persistence Rates'!$U$27</f>
        <v>3254.1658597535429</v>
      </c>
      <c r="K237" s="245">
        <f>$K$228*'6.  Persistence Rates'!$U$27</f>
        <v>1266.6389477212974</v>
      </c>
      <c r="L237" s="524">
        <f>$L$228*'6.  Persistence Rates'!$U$27</f>
        <v>0</v>
      </c>
      <c r="M237" s="524">
        <f>$M$228*'6.  Persistence Rates'!$U$27</f>
        <v>0</v>
      </c>
      <c r="N237" s="524">
        <f>$N$226*'6.  Persistence Rates'!$I$27</f>
        <v>0</v>
      </c>
      <c r="O237" s="524">
        <f>$O$228*'6.  Persistence Rates'!$U$27</f>
        <v>14887.469686477134</v>
      </c>
      <c r="P237" s="269"/>
      <c r="Q237" s="65"/>
    </row>
    <row r="238" spans="1:17" ht="14.5" x14ac:dyDescent="0.35">
      <c r="A238" s="239"/>
      <c r="B238" s="268"/>
      <c r="C238" s="1269" t="s">
        <v>432</v>
      </c>
      <c r="D238" s="1269"/>
      <c r="E238" s="254"/>
      <c r="F238" s="252"/>
      <c r="G238" s="252"/>
      <c r="H238" s="245">
        <f>$H$226*'6.  Persistence Rates'!$J$27</f>
        <v>794812.93179261882</v>
      </c>
      <c r="I238" s="245">
        <f>$I$226*'6.  Persistence Rates'!$J$27</f>
        <v>310903.94845390221</v>
      </c>
      <c r="J238" s="245">
        <f>$J$228*'6.  Persistence Rates'!$V$27</f>
        <v>2999.0782005973124</v>
      </c>
      <c r="K238" s="245">
        <f>$K$228*'6.  Persistence Rates'!$V$27</f>
        <v>1167.3496127287633</v>
      </c>
      <c r="L238" s="524">
        <f>$L$228*'6.  Persistence Rates'!$V$27</f>
        <v>0</v>
      </c>
      <c r="M238" s="524">
        <f>$M$228*'6.  Persistence Rates'!$V$27</f>
        <v>0</v>
      </c>
      <c r="N238" s="524">
        <f>$N$226*'6.  Persistence Rates'!$J$27</f>
        <v>0</v>
      </c>
      <c r="O238" s="524">
        <f>$O$228*'6.  Persistence Rates'!$V$27</f>
        <v>13720.47022893553</v>
      </c>
      <c r="P238" s="269"/>
      <c r="Q238" s="65"/>
    </row>
    <row r="239" spans="1:17" ht="14.5" x14ac:dyDescent="0.35">
      <c r="A239" s="239"/>
      <c r="B239" s="268"/>
      <c r="C239" s="1269" t="s">
        <v>433</v>
      </c>
      <c r="D239" s="1269"/>
      <c r="E239" s="254"/>
      <c r="F239" s="252"/>
      <c r="G239" s="252"/>
      <c r="H239" s="245">
        <f>$H$226*'6.  Persistence Rates'!$K$27</f>
        <v>784861.09017969097</v>
      </c>
      <c r="I239" s="245">
        <f>$I$226*'6.  Persistence Rates'!$K$27</f>
        <v>307011.12445962121</v>
      </c>
      <c r="J239" s="245">
        <f>$J$228*'6.  Persistence Rates'!$W$27</f>
        <v>2964.6544194767912</v>
      </c>
      <c r="K239" s="245">
        <f>$K$228*'6.  Persistence Rates'!$W$27</f>
        <v>1153.9506331517398</v>
      </c>
      <c r="L239" s="524">
        <f>$L$228*'6.  Persistence Rates'!$W$27</f>
        <v>0</v>
      </c>
      <c r="M239" s="524">
        <f>$M$228*'6.  Persistence Rates'!$W$27</f>
        <v>0</v>
      </c>
      <c r="N239" s="524">
        <f>$N$226*'6.  Persistence Rates'!$K$27</f>
        <v>0</v>
      </c>
      <c r="O239" s="524">
        <f>$O$228*'6.  Persistence Rates'!$W$27</f>
        <v>13562.985017667135</v>
      </c>
      <c r="P239" s="269"/>
      <c r="Q239" s="65"/>
    </row>
    <row r="240" spans="1:17" ht="14.5" x14ac:dyDescent="0.35">
      <c r="A240" s="239"/>
      <c r="B240" s="268"/>
      <c r="C240" s="1269" t="s">
        <v>434</v>
      </c>
      <c r="D240" s="1269"/>
      <c r="E240" s="254"/>
      <c r="F240" s="252"/>
      <c r="G240" s="252"/>
      <c r="H240" s="245">
        <f>$H$226*'6.  Persistence Rates'!$L$27</f>
        <v>784861.09017969097</v>
      </c>
      <c r="I240" s="245">
        <f>$I$226*'6.  Persistence Rates'!$L$27</f>
        <v>307011.12445962121</v>
      </c>
      <c r="J240" s="245">
        <f>$J$228*'6.  Persistence Rates'!$X$27</f>
        <v>2964.6544194767912</v>
      </c>
      <c r="K240" s="245">
        <f>$K$228*'6.  Persistence Rates'!$X$27</f>
        <v>1153.9506331517398</v>
      </c>
      <c r="L240" s="524">
        <f>$L$228*'6.  Persistence Rates'!$X$27</f>
        <v>0</v>
      </c>
      <c r="M240" s="524">
        <f>$M$228*'6.  Persistence Rates'!$X$27</f>
        <v>0</v>
      </c>
      <c r="N240" s="524">
        <f>$N$226*'6.  Persistence Rates'!$L$27</f>
        <v>0</v>
      </c>
      <c r="O240" s="524">
        <f>$O$228*'6.  Persistence Rates'!$X$27</f>
        <v>13562.985017667135</v>
      </c>
      <c r="P240" s="269"/>
      <c r="Q240" s="65"/>
    </row>
    <row r="241" spans="1:17" ht="14.5" x14ac:dyDescent="0.35">
      <c r="A241" s="239"/>
      <c r="B241" s="272"/>
      <c r="C241" s="1283" t="s">
        <v>435</v>
      </c>
      <c r="D241" s="1283"/>
      <c r="E241" s="273"/>
      <c r="F241" s="274"/>
      <c r="G241" s="274"/>
      <c r="H241" s="491">
        <f>$H$226*'6.  Persistence Rates'!$M$27</f>
        <v>783055.93262250256</v>
      </c>
      <c r="I241" s="491">
        <f>$I$226*'6.  Persistence Rates'!$M$27</f>
        <v>306305.00785071618</v>
      </c>
      <c r="J241" s="491">
        <f>$J$228*'6.  Persistence Rates'!$Y$27</f>
        <v>2955.0819324959584</v>
      </c>
      <c r="K241" s="491">
        <f>$K$228*'6.  Persistence Rates'!$Y$27</f>
        <v>1150.2246752998569</v>
      </c>
      <c r="L241" s="525">
        <f>$L$228*'6.  Persistence Rates'!$Y$27</f>
        <v>0</v>
      </c>
      <c r="M241" s="525">
        <f>$M$228*'6.  Persistence Rates'!$Y$27</f>
        <v>0</v>
      </c>
      <c r="N241" s="525">
        <f>$N$226*'6.  Persistence Rates'!$M$27</f>
        <v>0</v>
      </c>
      <c r="O241" s="525">
        <f>$O$228*'6.  Persistence Rates'!$Y$27</f>
        <v>13519.191887294201</v>
      </c>
      <c r="P241" s="275"/>
      <c r="Q241" s="65"/>
    </row>
    <row r="242" spans="1:17" x14ac:dyDescent="0.35">
      <c r="B242" s="1084"/>
      <c r="C242" s="138"/>
      <c r="D242" s="1084"/>
      <c r="E242" s="1084"/>
      <c r="F242" s="65"/>
      <c r="G242" s="65"/>
      <c r="H242" s="65"/>
      <c r="I242" s="65"/>
      <c r="J242" s="65"/>
      <c r="K242" s="65"/>
      <c r="L242" s="65"/>
      <c r="M242" s="65"/>
      <c r="N242" s="65"/>
      <c r="O242" s="65"/>
      <c r="P242" s="65"/>
      <c r="Q242" s="65"/>
    </row>
    <row r="243" spans="1:17" x14ac:dyDescent="0.35">
      <c r="B243" s="1084"/>
      <c r="C243" s="138"/>
      <c r="D243" s="1084"/>
      <c r="E243" s="1084"/>
      <c r="F243" s="65"/>
      <c r="G243" s="65"/>
      <c r="H243" s="65"/>
      <c r="I243" s="65"/>
      <c r="J243" s="65"/>
      <c r="K243" s="65"/>
      <c r="L243" s="65"/>
      <c r="M243" s="65"/>
      <c r="N243" s="65"/>
      <c r="O243" s="65"/>
      <c r="P243" s="65"/>
      <c r="Q243" s="65"/>
    </row>
    <row r="244" spans="1:17" x14ac:dyDescent="0.35">
      <c r="B244" s="1275" t="s">
        <v>355</v>
      </c>
      <c r="C244" s="1275"/>
      <c r="D244" s="1275"/>
      <c r="E244" s="1275"/>
      <c r="F244" s="1275"/>
      <c r="G244" s="1275"/>
      <c r="H244" s="1275"/>
      <c r="I244" s="1275"/>
      <c r="J244" s="1275"/>
      <c r="K244" s="1275"/>
      <c r="L244" s="1275"/>
      <c r="M244" s="1275"/>
      <c r="N244" s="1275"/>
      <c r="O244" s="1275"/>
      <c r="P244" s="1275"/>
      <c r="Q244" s="65"/>
    </row>
    <row r="245" spans="1:17" x14ac:dyDescent="0.35">
      <c r="B245" s="1084"/>
      <c r="C245" s="138"/>
      <c r="D245" s="1084"/>
      <c r="E245" s="1084"/>
      <c r="F245" s="65"/>
      <c r="G245" s="65"/>
      <c r="H245" s="65"/>
      <c r="I245" s="65"/>
      <c r="J245" s="65"/>
      <c r="K245" s="65"/>
      <c r="L245" s="65"/>
      <c r="M245" s="65"/>
      <c r="N245" s="65"/>
      <c r="O245" s="65"/>
      <c r="P245" s="65"/>
      <c r="Q245" s="65"/>
    </row>
    <row r="246" spans="1:17" ht="44.25" customHeight="1" x14ac:dyDescent="0.35">
      <c r="B246" s="1262" t="s">
        <v>59</v>
      </c>
      <c r="C246" s="1264" t="s">
        <v>0</v>
      </c>
      <c r="D246" s="1264" t="s">
        <v>45</v>
      </c>
      <c r="E246" s="1264" t="s">
        <v>205</v>
      </c>
      <c r="F246" s="263" t="s">
        <v>46</v>
      </c>
      <c r="G246" s="263" t="s">
        <v>202</v>
      </c>
      <c r="H246" s="1272" t="s">
        <v>60</v>
      </c>
      <c r="I246" s="1273"/>
      <c r="J246" s="1273"/>
      <c r="K246" s="1273"/>
      <c r="L246" s="1273"/>
      <c r="M246" s="1273"/>
      <c r="N246" s="1273"/>
      <c r="O246" s="1273"/>
      <c r="P246" s="1274"/>
      <c r="Q246" s="65"/>
    </row>
    <row r="247" spans="1:17" ht="48" customHeight="1" x14ac:dyDescent="0.35">
      <c r="B247" s="1280"/>
      <c r="C247" s="1265"/>
      <c r="D247" s="1265"/>
      <c r="E247" s="1265"/>
      <c r="F247" s="208" t="s">
        <v>103</v>
      </c>
      <c r="G247" s="134" t="s">
        <v>104</v>
      </c>
      <c r="H247" s="134" t="s">
        <v>38</v>
      </c>
      <c r="I247" s="134" t="s">
        <v>40</v>
      </c>
      <c r="J247" s="134" t="s">
        <v>109</v>
      </c>
      <c r="K247" s="134" t="s">
        <v>110</v>
      </c>
      <c r="L247" s="134" t="s">
        <v>41</v>
      </c>
      <c r="M247" s="134" t="s">
        <v>42</v>
      </c>
      <c r="N247" s="134" t="s">
        <v>43</v>
      </c>
      <c r="O247" s="134" t="s">
        <v>508</v>
      </c>
      <c r="P247" s="372" t="s">
        <v>35</v>
      </c>
      <c r="Q247" s="65"/>
    </row>
    <row r="248" spans="1:17" s="41" customFormat="1" ht="15" customHeight="1" outlineLevel="1" x14ac:dyDescent="0.35">
      <c r="A248" s="1278">
        <v>2014</v>
      </c>
      <c r="B248" s="366"/>
      <c r="C248" s="1277" t="s">
        <v>1</v>
      </c>
      <c r="D248" s="1277"/>
      <c r="E248" s="367"/>
      <c r="F248" s="368"/>
      <c r="G248" s="368"/>
      <c r="H248" s="368"/>
      <c r="I248" s="368"/>
      <c r="J248" s="368"/>
      <c r="K248" s="368"/>
      <c r="L248" s="368"/>
      <c r="M248" s="368"/>
      <c r="N248" s="368"/>
      <c r="O248" s="368"/>
      <c r="P248" s="369"/>
      <c r="Q248" s="144"/>
    </row>
    <row r="249" spans="1:17" ht="14.5" outlineLevel="1" x14ac:dyDescent="0.35">
      <c r="A249" s="1278"/>
      <c r="B249" s="265">
        <v>1</v>
      </c>
      <c r="C249" s="247" t="s">
        <v>2</v>
      </c>
      <c r="D249" s="245" t="s">
        <v>34</v>
      </c>
      <c r="E249" s="245"/>
      <c r="F249" s="289">
        <v>13.25</v>
      </c>
      <c r="G249" s="289">
        <v>86630.372000000003</v>
      </c>
      <c r="H249" s="288">
        <v>0</v>
      </c>
      <c r="I249" s="288"/>
      <c r="J249" s="288"/>
      <c r="K249" s="288"/>
      <c r="L249" s="288"/>
      <c r="M249" s="288"/>
      <c r="N249" s="288"/>
      <c r="O249" s="288"/>
      <c r="P249" s="1135">
        <f>SUM(H249:O249)</f>
        <v>0</v>
      </c>
      <c r="Q249" s="65"/>
    </row>
    <row r="250" spans="1:17" ht="14.5" outlineLevel="1" x14ac:dyDescent="0.35">
      <c r="A250" s="1278"/>
      <c r="B250" s="265">
        <v>2</v>
      </c>
      <c r="C250" s="247" t="s">
        <v>3</v>
      </c>
      <c r="D250" s="245" t="s">
        <v>34</v>
      </c>
      <c r="E250" s="245"/>
      <c r="F250" s="289">
        <v>13.882</v>
      </c>
      <c r="G250" s="289">
        <v>24752.472000000002</v>
      </c>
      <c r="H250" s="288">
        <v>0</v>
      </c>
      <c r="I250" s="288"/>
      <c r="J250" s="288"/>
      <c r="K250" s="288"/>
      <c r="L250" s="288"/>
      <c r="M250" s="288"/>
      <c r="N250" s="288"/>
      <c r="O250" s="288"/>
      <c r="P250" s="1135">
        <f t="shared" ref="P250:P257" si="26">SUM(H250:O250)</f>
        <v>0</v>
      </c>
      <c r="Q250" s="65"/>
    </row>
    <row r="251" spans="1:17" ht="14.5" outlineLevel="1" x14ac:dyDescent="0.35">
      <c r="A251" s="1278"/>
      <c r="B251" s="265">
        <v>3</v>
      </c>
      <c r="C251" s="247" t="s">
        <v>4</v>
      </c>
      <c r="D251" s="245" t="s">
        <v>34</v>
      </c>
      <c r="E251" s="245"/>
      <c r="F251" s="289">
        <v>350.74700000000001</v>
      </c>
      <c r="G251" s="289">
        <v>650307.46</v>
      </c>
      <c r="H251" s="288">
        <v>0</v>
      </c>
      <c r="I251" s="288"/>
      <c r="J251" s="288"/>
      <c r="K251" s="288"/>
      <c r="L251" s="288"/>
      <c r="M251" s="288"/>
      <c r="N251" s="288"/>
      <c r="O251" s="288"/>
      <c r="P251" s="1135">
        <f t="shared" si="26"/>
        <v>0</v>
      </c>
      <c r="Q251" s="65"/>
    </row>
    <row r="252" spans="1:17" ht="14.5" outlineLevel="1" x14ac:dyDescent="0.35">
      <c r="A252" s="1278"/>
      <c r="B252" s="265">
        <v>4</v>
      </c>
      <c r="C252" s="247" t="s">
        <v>5</v>
      </c>
      <c r="D252" s="245" t="s">
        <v>34</v>
      </c>
      <c r="E252" s="245"/>
      <c r="F252" s="289">
        <v>20.407</v>
      </c>
      <c r="G252" s="289">
        <v>271895.087</v>
      </c>
      <c r="H252" s="288">
        <v>0</v>
      </c>
      <c r="I252" s="288"/>
      <c r="J252" s="288"/>
      <c r="K252" s="288"/>
      <c r="L252" s="288"/>
      <c r="M252" s="288"/>
      <c r="N252" s="288"/>
      <c r="O252" s="288"/>
      <c r="P252" s="1135">
        <f t="shared" si="26"/>
        <v>0</v>
      </c>
      <c r="Q252" s="65"/>
    </row>
    <row r="253" spans="1:17" ht="14.5" outlineLevel="1" x14ac:dyDescent="0.35">
      <c r="A253" s="1278"/>
      <c r="B253" s="265">
        <v>5</v>
      </c>
      <c r="C253" s="247" t="s">
        <v>6</v>
      </c>
      <c r="D253" s="245" t="s">
        <v>34</v>
      </c>
      <c r="E253" s="245"/>
      <c r="F253" s="289">
        <v>72.256</v>
      </c>
      <c r="G253" s="289">
        <v>1104067.862</v>
      </c>
      <c r="H253" s="288">
        <v>0</v>
      </c>
      <c r="I253" s="288"/>
      <c r="J253" s="288"/>
      <c r="K253" s="288"/>
      <c r="L253" s="288"/>
      <c r="M253" s="288"/>
      <c r="N253" s="288"/>
      <c r="O253" s="288"/>
      <c r="P253" s="1135">
        <f t="shared" si="26"/>
        <v>0</v>
      </c>
      <c r="Q253" s="65"/>
    </row>
    <row r="254" spans="1:17" ht="14.5" outlineLevel="1" x14ac:dyDescent="0.35">
      <c r="A254" s="1278"/>
      <c r="B254" s="265">
        <v>6</v>
      </c>
      <c r="C254" s="247" t="s">
        <v>7</v>
      </c>
      <c r="D254" s="245" t="s">
        <v>34</v>
      </c>
      <c r="E254" s="245"/>
      <c r="F254" s="289">
        <v>0</v>
      </c>
      <c r="G254" s="289">
        <v>0</v>
      </c>
      <c r="H254" s="288">
        <v>0</v>
      </c>
      <c r="I254" s="288"/>
      <c r="J254" s="288"/>
      <c r="K254" s="288"/>
      <c r="L254" s="288"/>
      <c r="M254" s="288"/>
      <c r="N254" s="288"/>
      <c r="O254" s="288"/>
      <c r="P254" s="1135">
        <f t="shared" si="26"/>
        <v>0</v>
      </c>
      <c r="Q254" s="65"/>
    </row>
    <row r="255" spans="1:17" ht="28" outlineLevel="1" x14ac:dyDescent="0.35">
      <c r="A255" s="1278"/>
      <c r="B255" s="265">
        <v>7</v>
      </c>
      <c r="C255" s="247" t="s">
        <v>33</v>
      </c>
      <c r="D255" s="245" t="s">
        <v>34</v>
      </c>
      <c r="E255" s="245"/>
      <c r="F255" s="289">
        <v>251.488</v>
      </c>
      <c r="G255" s="289">
        <v>0</v>
      </c>
      <c r="H255" s="286">
        <v>1</v>
      </c>
      <c r="I255" s="286"/>
      <c r="J255" s="286"/>
      <c r="K255" s="286"/>
      <c r="L255" s="286"/>
      <c r="M255" s="286"/>
      <c r="N255" s="286"/>
      <c r="O255" s="286"/>
      <c r="P255" s="1136">
        <f t="shared" si="26"/>
        <v>1</v>
      </c>
      <c r="Q255" s="65"/>
    </row>
    <row r="256" spans="1:17" ht="14.5" outlineLevel="1" x14ac:dyDescent="0.35">
      <c r="A256" s="1278"/>
      <c r="B256" s="265">
        <v>8</v>
      </c>
      <c r="C256" s="247" t="s">
        <v>26</v>
      </c>
      <c r="D256" s="245" t="s">
        <v>34</v>
      </c>
      <c r="E256" s="245"/>
      <c r="F256" s="289">
        <v>0</v>
      </c>
      <c r="G256" s="289">
        <v>0</v>
      </c>
      <c r="H256" s="288">
        <v>1</v>
      </c>
      <c r="I256" s="288"/>
      <c r="J256" s="288"/>
      <c r="K256" s="288"/>
      <c r="L256" s="288"/>
      <c r="M256" s="288"/>
      <c r="N256" s="288"/>
      <c r="O256" s="288"/>
      <c r="P256" s="1135">
        <f t="shared" si="26"/>
        <v>1</v>
      </c>
      <c r="Q256" s="65"/>
    </row>
    <row r="257" spans="1:17" ht="14.5" outlineLevel="1" x14ac:dyDescent="0.35">
      <c r="A257" s="1278"/>
      <c r="B257" s="265">
        <v>9</v>
      </c>
      <c r="C257" s="247" t="s">
        <v>8</v>
      </c>
      <c r="D257" s="245" t="s">
        <v>34</v>
      </c>
      <c r="E257" s="245"/>
      <c r="F257" s="289">
        <v>0</v>
      </c>
      <c r="G257" s="289">
        <v>0</v>
      </c>
      <c r="H257" s="288">
        <v>0</v>
      </c>
      <c r="I257" s="288"/>
      <c r="J257" s="288"/>
      <c r="K257" s="288"/>
      <c r="L257" s="288"/>
      <c r="M257" s="288"/>
      <c r="N257" s="288"/>
      <c r="O257" s="288"/>
      <c r="P257" s="1135">
        <f t="shared" si="26"/>
        <v>0</v>
      </c>
      <c r="Q257" s="65"/>
    </row>
    <row r="258" spans="1:17" ht="14.5" outlineLevel="1" x14ac:dyDescent="0.35">
      <c r="A258" s="1278"/>
      <c r="B258" s="265"/>
      <c r="C258" s="248" t="s">
        <v>257</v>
      </c>
      <c r="D258" s="245" t="s">
        <v>253</v>
      </c>
      <c r="E258" s="245"/>
      <c r="F258" s="1127">
        <v>0</v>
      </c>
      <c r="G258" s="1127">
        <v>0</v>
      </c>
      <c r="H258" s="286"/>
      <c r="I258" s="288"/>
      <c r="J258" s="288"/>
      <c r="K258" s="288"/>
      <c r="L258" s="288"/>
      <c r="M258" s="288"/>
      <c r="N258" s="288"/>
      <c r="O258" s="288"/>
      <c r="P258" s="1135"/>
      <c r="Q258" s="65"/>
    </row>
    <row r="259" spans="1:17" ht="14.5" outlineLevel="1" x14ac:dyDescent="0.35">
      <c r="A259" s="1278"/>
      <c r="B259" s="265"/>
      <c r="C259" s="1276" t="s">
        <v>778</v>
      </c>
      <c r="D259" s="1276"/>
      <c r="E259" s="1129"/>
      <c r="F259" s="1116">
        <f>SUM(F249:F257)</f>
        <v>722.03</v>
      </c>
      <c r="G259" s="1116">
        <f>SUM(G249:G257)</f>
        <v>2137653.253</v>
      </c>
      <c r="H259" s="1117">
        <v>1</v>
      </c>
      <c r="I259" s="1117">
        <v>0</v>
      </c>
      <c r="J259" s="1117">
        <v>0</v>
      </c>
      <c r="K259" s="1117">
        <v>0</v>
      </c>
      <c r="L259" s="1117">
        <v>0</v>
      </c>
      <c r="M259" s="1117">
        <v>0</v>
      </c>
      <c r="N259" s="1117">
        <v>0</v>
      </c>
      <c r="O259" s="1117">
        <v>0</v>
      </c>
      <c r="P259" s="1118">
        <f t="shared" ref="P259" si="27">SUM(H259:O259)</f>
        <v>1</v>
      </c>
      <c r="Q259" s="65"/>
    </row>
    <row r="260" spans="1:17" ht="14.5" outlineLevel="1" x14ac:dyDescent="0.35">
      <c r="A260" s="1278"/>
      <c r="B260" s="265"/>
      <c r="C260" s="1267"/>
      <c r="D260" s="1267"/>
      <c r="E260" s="1087"/>
      <c r="F260" s="289"/>
      <c r="G260" s="289"/>
      <c r="H260" s="286"/>
      <c r="I260" s="288"/>
      <c r="J260" s="288"/>
      <c r="K260" s="288"/>
      <c r="L260" s="288"/>
      <c r="M260" s="288"/>
      <c r="N260" s="288"/>
      <c r="O260" s="288"/>
      <c r="P260" s="1135"/>
      <c r="Q260" s="65"/>
    </row>
    <row r="261" spans="1:17" ht="14.5" outlineLevel="1" x14ac:dyDescent="0.35">
      <c r="A261" s="1278"/>
      <c r="B261" s="265"/>
      <c r="C261" s="1267"/>
      <c r="D261" s="1267"/>
      <c r="E261" s="1087"/>
      <c r="F261" s="289"/>
      <c r="G261" s="289"/>
      <c r="H261" s="286"/>
      <c r="I261" s="288"/>
      <c r="J261" s="288"/>
      <c r="K261" s="288"/>
      <c r="L261" s="288"/>
      <c r="M261" s="288"/>
      <c r="N261" s="288"/>
      <c r="O261" s="288"/>
      <c r="P261" s="1135"/>
      <c r="Q261" s="65"/>
    </row>
    <row r="262" spans="1:17" s="41" customFormat="1" ht="14.5" outlineLevel="1" x14ac:dyDescent="0.35">
      <c r="A262" s="1278"/>
      <c r="B262" s="375"/>
      <c r="C262" s="1279" t="s">
        <v>9</v>
      </c>
      <c r="D262" s="1279"/>
      <c r="E262" s="376"/>
      <c r="F262" s="377"/>
      <c r="G262" s="377"/>
      <c r="H262" s="376"/>
      <c r="I262" s="376"/>
      <c r="J262" s="376"/>
      <c r="K262" s="376"/>
      <c r="L262" s="376"/>
      <c r="M262" s="376"/>
      <c r="N262" s="376"/>
      <c r="O262" s="376"/>
      <c r="P262" s="1130"/>
      <c r="Q262" s="144"/>
    </row>
    <row r="263" spans="1:17" ht="14.5" outlineLevel="1" x14ac:dyDescent="0.35">
      <c r="A263" s="1278"/>
      <c r="B263" s="145">
        <v>10</v>
      </c>
      <c r="C263" s="249" t="s">
        <v>27</v>
      </c>
      <c r="D263" s="245" t="s">
        <v>34</v>
      </c>
      <c r="E263" s="245">
        <v>12</v>
      </c>
      <c r="F263" s="289">
        <v>1106.595</v>
      </c>
      <c r="G263" s="289">
        <v>7229048.0290000001</v>
      </c>
      <c r="H263" s="286"/>
      <c r="I263" s="288">
        <v>0</v>
      </c>
      <c r="J263" s="288">
        <v>0</v>
      </c>
      <c r="K263" s="288">
        <v>0</v>
      </c>
      <c r="L263" s="288"/>
      <c r="M263" s="288"/>
      <c r="N263" s="288"/>
      <c r="O263" s="288"/>
      <c r="P263" s="1135">
        <f t="shared" ref="P263:P270" si="28">SUM(H263:O263)</f>
        <v>0</v>
      </c>
      <c r="Q263" s="65"/>
    </row>
    <row r="264" spans="1:17" ht="14.5" outlineLevel="1" x14ac:dyDescent="0.35">
      <c r="A264" s="1278"/>
      <c r="B264" s="145">
        <v>11</v>
      </c>
      <c r="C264" s="247" t="s">
        <v>25</v>
      </c>
      <c r="D264" s="245" t="s">
        <v>34</v>
      </c>
      <c r="E264" s="245">
        <v>12</v>
      </c>
      <c r="F264" s="289">
        <v>107.876</v>
      </c>
      <c r="G264" s="289">
        <v>384907.43900000001</v>
      </c>
      <c r="H264" s="286"/>
      <c r="I264" s="288">
        <v>0</v>
      </c>
      <c r="J264" s="288">
        <v>0</v>
      </c>
      <c r="K264" s="288">
        <v>0</v>
      </c>
      <c r="L264" s="288"/>
      <c r="M264" s="288"/>
      <c r="N264" s="288"/>
      <c r="O264" s="288"/>
      <c r="P264" s="1135">
        <f t="shared" si="28"/>
        <v>0</v>
      </c>
      <c r="Q264" s="65"/>
    </row>
    <row r="265" spans="1:17" ht="14.5" outlineLevel="1" x14ac:dyDescent="0.35">
      <c r="A265" s="1278"/>
      <c r="B265" s="145">
        <v>12</v>
      </c>
      <c r="C265" s="247" t="s">
        <v>28</v>
      </c>
      <c r="D265" s="245" t="s">
        <v>34</v>
      </c>
      <c r="E265" s="245">
        <v>3</v>
      </c>
      <c r="F265" s="289">
        <v>0</v>
      </c>
      <c r="G265" s="289">
        <v>0</v>
      </c>
      <c r="H265" s="286"/>
      <c r="I265" s="288">
        <v>0</v>
      </c>
      <c r="J265" s="288">
        <v>0</v>
      </c>
      <c r="K265" s="288">
        <v>0</v>
      </c>
      <c r="L265" s="288"/>
      <c r="M265" s="288"/>
      <c r="N265" s="288"/>
      <c r="O265" s="288">
        <v>0</v>
      </c>
      <c r="P265" s="1135">
        <f t="shared" si="28"/>
        <v>0</v>
      </c>
      <c r="Q265" s="65"/>
    </row>
    <row r="266" spans="1:17" ht="14.5" outlineLevel="1" x14ac:dyDescent="0.35">
      <c r="A266" s="1278"/>
      <c r="B266" s="145">
        <v>13</v>
      </c>
      <c r="C266" s="247" t="s">
        <v>29</v>
      </c>
      <c r="D266" s="245" t="s">
        <v>34</v>
      </c>
      <c r="E266" s="245">
        <v>12</v>
      </c>
      <c r="F266" s="289">
        <v>2.0209999999999999</v>
      </c>
      <c r="G266" s="289">
        <v>20615.868999999999</v>
      </c>
      <c r="H266" s="286"/>
      <c r="I266" s="288">
        <v>0</v>
      </c>
      <c r="J266" s="288">
        <v>0</v>
      </c>
      <c r="K266" s="288">
        <v>0</v>
      </c>
      <c r="L266" s="288"/>
      <c r="M266" s="288"/>
      <c r="N266" s="288"/>
      <c r="O266" s="288"/>
      <c r="P266" s="1135">
        <f t="shared" si="28"/>
        <v>0</v>
      </c>
      <c r="Q266" s="65"/>
    </row>
    <row r="267" spans="1:17" ht="14.5" outlineLevel="1" x14ac:dyDescent="0.35">
      <c r="A267" s="1278"/>
      <c r="B267" s="145">
        <v>14</v>
      </c>
      <c r="C267" s="247" t="s">
        <v>23</v>
      </c>
      <c r="D267" s="245" t="s">
        <v>34</v>
      </c>
      <c r="E267" s="245">
        <v>12</v>
      </c>
      <c r="F267" s="289">
        <v>53.468000000000004</v>
      </c>
      <c r="G267" s="289">
        <v>261094.28</v>
      </c>
      <c r="H267" s="286"/>
      <c r="I267" s="288">
        <v>0</v>
      </c>
      <c r="J267" s="288">
        <v>0</v>
      </c>
      <c r="K267" s="288">
        <v>0</v>
      </c>
      <c r="L267" s="288"/>
      <c r="M267" s="288"/>
      <c r="N267" s="288"/>
      <c r="O267" s="288"/>
      <c r="P267" s="1135">
        <f t="shared" si="28"/>
        <v>0</v>
      </c>
      <c r="Q267" s="65"/>
    </row>
    <row r="268" spans="1:17" ht="28" outlineLevel="1" x14ac:dyDescent="0.35">
      <c r="A268" s="1278"/>
      <c r="B268" s="265">
        <v>15</v>
      </c>
      <c r="C268" s="247" t="s">
        <v>30</v>
      </c>
      <c r="D268" s="245" t="s">
        <v>34</v>
      </c>
      <c r="E268" s="245">
        <v>0</v>
      </c>
      <c r="F268" s="289">
        <v>3.3679999999999999</v>
      </c>
      <c r="G268" s="289">
        <v>0</v>
      </c>
      <c r="H268" s="286"/>
      <c r="I268" s="286">
        <v>1</v>
      </c>
      <c r="J268" s="286">
        <v>0</v>
      </c>
      <c r="K268" s="286">
        <v>0</v>
      </c>
      <c r="L268" s="286"/>
      <c r="M268" s="286"/>
      <c r="N268" s="286"/>
      <c r="O268" s="286"/>
      <c r="P268" s="1136">
        <f t="shared" si="28"/>
        <v>1</v>
      </c>
      <c r="Q268" s="65"/>
    </row>
    <row r="269" spans="1:17" ht="28" outlineLevel="1" x14ac:dyDescent="0.35">
      <c r="A269" s="1278"/>
      <c r="B269" s="265">
        <v>16</v>
      </c>
      <c r="C269" s="247" t="s">
        <v>31</v>
      </c>
      <c r="D269" s="245" t="s">
        <v>34</v>
      </c>
      <c r="E269" s="245">
        <v>0</v>
      </c>
      <c r="F269" s="289">
        <v>0</v>
      </c>
      <c r="G269" s="289">
        <v>0</v>
      </c>
      <c r="H269" s="286"/>
      <c r="I269" s="286">
        <v>1</v>
      </c>
      <c r="J269" s="286">
        <v>0</v>
      </c>
      <c r="K269" s="286">
        <v>0</v>
      </c>
      <c r="L269" s="286"/>
      <c r="M269" s="286"/>
      <c r="N269" s="286"/>
      <c r="O269" s="286"/>
      <c r="P269" s="1136">
        <f t="shared" si="28"/>
        <v>1</v>
      </c>
      <c r="Q269" s="65"/>
    </row>
    <row r="270" spans="1:17" ht="14.5" outlineLevel="1" x14ac:dyDescent="0.35">
      <c r="A270" s="1278"/>
      <c r="B270" s="265">
        <v>17</v>
      </c>
      <c r="C270" s="247" t="s">
        <v>10</v>
      </c>
      <c r="D270" s="245" t="s">
        <v>34</v>
      </c>
      <c r="E270" s="245">
        <v>0</v>
      </c>
      <c r="F270" s="289">
        <v>1203.663</v>
      </c>
      <c r="G270" s="289">
        <v>0</v>
      </c>
      <c r="H270" s="286"/>
      <c r="I270" s="288">
        <v>0</v>
      </c>
      <c r="J270" s="288">
        <v>0.5</v>
      </c>
      <c r="K270" s="288">
        <v>0.5</v>
      </c>
      <c r="L270" s="288"/>
      <c r="M270" s="288"/>
      <c r="N270" s="288"/>
      <c r="O270" s="288">
        <v>0</v>
      </c>
      <c r="P270" s="1135">
        <f t="shared" si="28"/>
        <v>1</v>
      </c>
      <c r="Q270" s="65"/>
    </row>
    <row r="271" spans="1:17" ht="14.5" outlineLevel="1" x14ac:dyDescent="0.35">
      <c r="A271" s="1278"/>
      <c r="B271" s="265"/>
      <c r="C271" s="248" t="s">
        <v>257</v>
      </c>
      <c r="D271" s="245" t="s">
        <v>253</v>
      </c>
      <c r="E271" s="245"/>
      <c r="F271" s="1127">
        <v>0</v>
      </c>
      <c r="G271" s="1127">
        <v>0</v>
      </c>
      <c r="H271" s="286"/>
      <c r="I271" s="288"/>
      <c r="J271" s="288"/>
      <c r="K271" s="288"/>
      <c r="L271" s="288"/>
      <c r="M271" s="288"/>
      <c r="N271" s="288"/>
      <c r="O271" s="288"/>
      <c r="P271" s="1135"/>
      <c r="Q271" s="65"/>
    </row>
    <row r="272" spans="1:17" ht="14.5" outlineLevel="1" x14ac:dyDescent="0.35">
      <c r="A272" s="1278"/>
      <c r="B272" s="265"/>
      <c r="C272" s="1276" t="s">
        <v>779</v>
      </c>
      <c r="D272" s="1276"/>
      <c r="E272" s="1116">
        <v>12</v>
      </c>
      <c r="F272" s="1116">
        <f>SUM(F263:F270)</f>
        <v>2476.991</v>
      </c>
      <c r="G272" s="1116">
        <f>SUM(G263:G270)</f>
        <v>7895665.6170000006</v>
      </c>
      <c r="H272" s="1117"/>
      <c r="I272" s="1117">
        <f>'10. Guelph_CDM Prgs'!AK6/'10. Guelph_CDM Prgs'!AK13</f>
        <v>0.2</v>
      </c>
      <c r="J272" s="1117">
        <f>'10. Guelph_CDM Prgs'!AK20/SUM('10. Guelph_CDM Prgs'!AK20:AK22)</f>
        <v>0.32941176470588235</v>
      </c>
      <c r="K272" s="1117">
        <f>'10. Guelph_CDM Prgs'!AK21/SUM('10. Guelph_CDM Prgs'!AK20:AK22)</f>
        <v>0.48235294117647048</v>
      </c>
      <c r="L272" s="1117">
        <v>0</v>
      </c>
      <c r="M272" s="1117">
        <v>0</v>
      </c>
      <c r="N272" s="1117">
        <v>0</v>
      </c>
      <c r="O272" s="1117">
        <f>'10. Guelph_CDM Prgs'!AK22/SUM('10. Guelph_CDM Prgs'!AK20:AK22)</f>
        <v>0.18823529411764703</v>
      </c>
      <c r="P272" s="1118">
        <f>SUM(H272:O272)</f>
        <v>1.2</v>
      </c>
      <c r="Q272" s="65"/>
    </row>
    <row r="273" spans="1:17" ht="14.5" outlineLevel="1" x14ac:dyDescent="0.35">
      <c r="A273" s="1278"/>
      <c r="B273" s="265"/>
      <c r="C273" s="1267"/>
      <c r="D273" s="1267"/>
      <c r="E273" s="1087"/>
      <c r="F273" s="289"/>
      <c r="G273" s="289"/>
      <c r="H273" s="286"/>
      <c r="I273" s="288"/>
      <c r="J273" s="288"/>
      <c r="K273" s="288"/>
      <c r="L273" s="288"/>
      <c r="M273" s="288"/>
      <c r="N273" s="288"/>
      <c r="O273" s="288"/>
      <c r="P273" s="1135"/>
      <c r="Q273" s="65"/>
    </row>
    <row r="274" spans="1:17" ht="14.5" outlineLevel="1" x14ac:dyDescent="0.35">
      <c r="A274" s="1278"/>
      <c r="B274" s="265"/>
      <c r="C274" s="1267"/>
      <c r="D274" s="1267"/>
      <c r="E274" s="1087"/>
      <c r="F274" s="289"/>
      <c r="G274" s="289"/>
      <c r="H274" s="286"/>
      <c r="I274" s="288"/>
      <c r="J274" s="288"/>
      <c r="K274" s="288"/>
      <c r="L274" s="288"/>
      <c r="M274" s="288"/>
      <c r="N274" s="288"/>
      <c r="O274" s="288"/>
      <c r="P274" s="1135"/>
      <c r="Q274" s="65"/>
    </row>
    <row r="275" spans="1:17" s="41" customFormat="1" ht="14.5" outlineLevel="1" x14ac:dyDescent="0.35">
      <c r="A275" s="1278"/>
      <c r="B275" s="375"/>
      <c r="C275" s="1279" t="s">
        <v>11</v>
      </c>
      <c r="D275" s="1279"/>
      <c r="E275" s="376"/>
      <c r="F275" s="377"/>
      <c r="G275" s="377"/>
      <c r="H275" s="376"/>
      <c r="I275" s="376"/>
      <c r="J275" s="376"/>
      <c r="K275" s="376"/>
      <c r="L275" s="376"/>
      <c r="M275" s="376"/>
      <c r="N275" s="376"/>
      <c r="O275" s="376"/>
      <c r="P275" s="1130"/>
      <c r="Q275" s="144"/>
    </row>
    <row r="276" spans="1:17" ht="14.5" outlineLevel="1" x14ac:dyDescent="0.35">
      <c r="A276" s="1278"/>
      <c r="B276" s="145">
        <v>18</v>
      </c>
      <c r="C276" s="247" t="s">
        <v>12</v>
      </c>
      <c r="D276" s="245" t="s">
        <v>34</v>
      </c>
      <c r="E276" s="245">
        <v>12</v>
      </c>
      <c r="F276" s="289">
        <v>0</v>
      </c>
      <c r="G276" s="289">
        <v>0</v>
      </c>
      <c r="H276" s="286"/>
      <c r="I276" s="288"/>
      <c r="J276" s="288">
        <v>0</v>
      </c>
      <c r="K276" s="288">
        <v>0</v>
      </c>
      <c r="L276" s="288"/>
      <c r="M276" s="288"/>
      <c r="N276" s="288"/>
      <c r="O276" s="288"/>
      <c r="P276" s="1135">
        <f t="shared" ref="P276:P280" si="29">SUM(H276:O276)</f>
        <v>0</v>
      </c>
      <c r="Q276" s="65"/>
    </row>
    <row r="277" spans="1:17" ht="14.5" outlineLevel="1" x14ac:dyDescent="0.35">
      <c r="A277" s="1278"/>
      <c r="B277" s="145">
        <v>19</v>
      </c>
      <c r="C277" s="247" t="s">
        <v>13</v>
      </c>
      <c r="D277" s="245" t="s">
        <v>34</v>
      </c>
      <c r="E277" s="245">
        <v>12</v>
      </c>
      <c r="F277" s="289">
        <v>0</v>
      </c>
      <c r="G277" s="289">
        <v>0</v>
      </c>
      <c r="H277" s="286"/>
      <c r="I277" s="288"/>
      <c r="J277" s="288">
        <v>0</v>
      </c>
      <c r="K277" s="288">
        <v>0</v>
      </c>
      <c r="L277" s="288"/>
      <c r="M277" s="288"/>
      <c r="N277" s="288"/>
      <c r="O277" s="288"/>
      <c r="P277" s="1135">
        <f t="shared" si="29"/>
        <v>0</v>
      </c>
      <c r="Q277" s="65"/>
    </row>
    <row r="278" spans="1:17" ht="14.5" outlineLevel="1" x14ac:dyDescent="0.35">
      <c r="A278" s="1278"/>
      <c r="B278" s="145">
        <v>20</v>
      </c>
      <c r="C278" s="247" t="s">
        <v>14</v>
      </c>
      <c r="D278" s="245" t="s">
        <v>34</v>
      </c>
      <c r="E278" s="245">
        <v>12</v>
      </c>
      <c r="F278" s="289">
        <v>0</v>
      </c>
      <c r="G278" s="289">
        <v>0</v>
      </c>
      <c r="H278" s="286"/>
      <c r="I278" s="288"/>
      <c r="J278" s="288">
        <v>0</v>
      </c>
      <c r="K278" s="288">
        <v>0</v>
      </c>
      <c r="L278" s="288"/>
      <c r="M278" s="288"/>
      <c r="N278" s="288"/>
      <c r="O278" s="288"/>
      <c r="P278" s="1135">
        <f t="shared" si="29"/>
        <v>0</v>
      </c>
      <c r="Q278" s="65"/>
    </row>
    <row r="279" spans="1:17" ht="14.5" outlineLevel="1" x14ac:dyDescent="0.35">
      <c r="A279" s="1278"/>
      <c r="B279" s="145">
        <v>21</v>
      </c>
      <c r="C279" s="249" t="s">
        <v>27</v>
      </c>
      <c r="D279" s="245" t="s">
        <v>34</v>
      </c>
      <c r="E279" s="245">
        <v>12</v>
      </c>
      <c r="F279" s="289">
        <v>0</v>
      </c>
      <c r="G279" s="289">
        <v>0</v>
      </c>
      <c r="H279" s="286"/>
      <c r="I279" s="288"/>
      <c r="J279" s="288">
        <v>0</v>
      </c>
      <c r="K279" s="288">
        <v>0</v>
      </c>
      <c r="L279" s="288"/>
      <c r="M279" s="288"/>
      <c r="N279" s="288"/>
      <c r="O279" s="288"/>
      <c r="P279" s="1135">
        <f t="shared" si="29"/>
        <v>0</v>
      </c>
      <c r="Q279" s="65"/>
    </row>
    <row r="280" spans="1:17" ht="14.5" outlineLevel="1" x14ac:dyDescent="0.35">
      <c r="A280" s="1278"/>
      <c r="B280" s="145">
        <v>22</v>
      </c>
      <c r="C280" s="247" t="s">
        <v>10</v>
      </c>
      <c r="D280" s="245" t="s">
        <v>34</v>
      </c>
      <c r="E280" s="245">
        <v>0</v>
      </c>
      <c r="F280" s="289">
        <f>3686.434</f>
        <v>3686.4340000000002</v>
      </c>
      <c r="G280" s="289">
        <v>0</v>
      </c>
      <c r="H280" s="286"/>
      <c r="I280" s="288"/>
      <c r="J280" s="288">
        <v>0</v>
      </c>
      <c r="K280" s="288">
        <v>0</v>
      </c>
      <c r="L280" s="288"/>
      <c r="M280" s="288"/>
      <c r="N280" s="288"/>
      <c r="O280" s="288"/>
      <c r="P280" s="1135">
        <f t="shared" si="29"/>
        <v>0</v>
      </c>
      <c r="Q280" s="65"/>
    </row>
    <row r="281" spans="1:17" ht="14.5" outlineLevel="1" x14ac:dyDescent="0.35">
      <c r="A281" s="1278"/>
      <c r="B281" s="145"/>
      <c r="C281" s="248" t="s">
        <v>257</v>
      </c>
      <c r="D281" s="245" t="s">
        <v>253</v>
      </c>
      <c r="E281" s="245"/>
      <c r="F281" s="1127">
        <v>0</v>
      </c>
      <c r="G281" s="1127">
        <v>0</v>
      </c>
      <c r="H281" s="286"/>
      <c r="I281" s="288"/>
      <c r="J281" s="288"/>
      <c r="K281" s="288"/>
      <c r="L281" s="288"/>
      <c r="M281" s="288"/>
      <c r="N281" s="288"/>
      <c r="O281" s="288"/>
      <c r="P281" s="1135"/>
      <c r="Q281" s="65"/>
    </row>
    <row r="282" spans="1:17" ht="14.5" outlineLevel="1" x14ac:dyDescent="0.35">
      <c r="A282" s="1278"/>
      <c r="B282" s="145"/>
      <c r="C282" s="1276" t="s">
        <v>780</v>
      </c>
      <c r="D282" s="1276"/>
      <c r="E282" s="1116">
        <v>12</v>
      </c>
      <c r="F282" s="1116">
        <f>SUM(F276:F280)</f>
        <v>3686.4340000000002</v>
      </c>
      <c r="G282" s="1116">
        <f>SUM(G276:G280)</f>
        <v>0</v>
      </c>
      <c r="H282" s="1117"/>
      <c r="I282" s="1117">
        <v>0</v>
      </c>
      <c r="J282" s="1117">
        <v>0.1</v>
      </c>
      <c r="K282" s="1117">
        <v>0.7</v>
      </c>
      <c r="L282" s="1117">
        <v>0</v>
      </c>
      <c r="M282" s="1117">
        <v>0</v>
      </c>
      <c r="N282" s="1117">
        <v>0</v>
      </c>
      <c r="O282" s="1117">
        <v>0.2</v>
      </c>
      <c r="P282" s="1118">
        <f>SUM(H282:O282)</f>
        <v>1</v>
      </c>
      <c r="Q282" s="65"/>
    </row>
    <row r="283" spans="1:17" ht="14.5" outlineLevel="1" x14ac:dyDescent="0.35">
      <c r="A283" s="1278"/>
      <c r="B283" s="145"/>
      <c r="C283" s="1267"/>
      <c r="D283" s="1267"/>
      <c r="E283" s="1087"/>
      <c r="F283" s="289"/>
      <c r="G283" s="289"/>
      <c r="H283" s="286"/>
      <c r="I283" s="288"/>
      <c r="J283" s="288"/>
      <c r="K283" s="288"/>
      <c r="L283" s="288"/>
      <c r="M283" s="288"/>
      <c r="N283" s="288"/>
      <c r="O283" s="288"/>
      <c r="P283" s="1135"/>
      <c r="Q283" s="65"/>
    </row>
    <row r="284" spans="1:17" ht="14.5" outlineLevel="1" x14ac:dyDescent="0.35">
      <c r="A284" s="1278"/>
      <c r="B284" s="145"/>
      <c r="C284" s="1267"/>
      <c r="D284" s="1267"/>
      <c r="E284" s="1087"/>
      <c r="F284" s="289"/>
      <c r="G284" s="289"/>
      <c r="H284" s="286"/>
      <c r="I284" s="288"/>
      <c r="J284" s="288"/>
      <c r="K284" s="288"/>
      <c r="L284" s="288"/>
      <c r="M284" s="288"/>
      <c r="N284" s="288"/>
      <c r="O284" s="288"/>
      <c r="P284" s="1135"/>
      <c r="Q284" s="65"/>
    </row>
    <row r="285" spans="1:17" s="41" customFormat="1" ht="14.5" outlineLevel="1" x14ac:dyDescent="0.35">
      <c r="A285" s="1278"/>
      <c r="B285" s="375"/>
      <c r="C285" s="1279" t="s">
        <v>15</v>
      </c>
      <c r="D285" s="1279"/>
      <c r="E285" s="376"/>
      <c r="F285" s="377"/>
      <c r="G285" s="377"/>
      <c r="H285" s="376"/>
      <c r="I285" s="376"/>
      <c r="J285" s="376"/>
      <c r="K285" s="376"/>
      <c r="L285" s="376"/>
      <c r="M285" s="376"/>
      <c r="N285" s="376"/>
      <c r="O285" s="376"/>
      <c r="P285" s="1130"/>
      <c r="Q285" s="144"/>
    </row>
    <row r="286" spans="1:17" ht="14.5" outlineLevel="1" x14ac:dyDescent="0.35">
      <c r="A286" s="1278"/>
      <c r="B286" s="265">
        <v>23</v>
      </c>
      <c r="C286" s="247" t="s">
        <v>15</v>
      </c>
      <c r="D286" s="245" t="s">
        <v>34</v>
      </c>
      <c r="E286" s="245"/>
      <c r="F286" s="289">
        <v>1.4179999999999999</v>
      </c>
      <c r="G286" s="289">
        <v>20414.023000000001</v>
      </c>
      <c r="H286" s="288">
        <v>1</v>
      </c>
      <c r="I286" s="288"/>
      <c r="J286" s="288"/>
      <c r="K286" s="288"/>
      <c r="L286" s="288"/>
      <c r="M286" s="288"/>
      <c r="N286" s="288"/>
      <c r="O286" s="288"/>
      <c r="P286" s="1135">
        <f t="shared" ref="P286" si="30">SUM(H286:O286)</f>
        <v>1</v>
      </c>
      <c r="Q286" s="65"/>
    </row>
    <row r="287" spans="1:17" ht="14.5" outlineLevel="1" x14ac:dyDescent="0.35">
      <c r="A287" s="1278"/>
      <c r="B287" s="265"/>
      <c r="C287" s="248" t="s">
        <v>257</v>
      </c>
      <c r="D287" s="245" t="s">
        <v>253</v>
      </c>
      <c r="E287" s="245"/>
      <c r="F287" s="1127">
        <v>0</v>
      </c>
      <c r="G287" s="1127">
        <v>0</v>
      </c>
      <c r="H287" s="286"/>
      <c r="I287" s="288"/>
      <c r="J287" s="288"/>
      <c r="K287" s="288"/>
      <c r="L287" s="288"/>
      <c r="M287" s="288"/>
      <c r="N287" s="288"/>
      <c r="O287" s="288"/>
      <c r="P287" s="1135"/>
      <c r="Q287" s="65"/>
    </row>
    <row r="288" spans="1:17" ht="14.5" outlineLevel="1" x14ac:dyDescent="0.35">
      <c r="A288" s="1278"/>
      <c r="B288" s="265"/>
      <c r="C288" s="1276" t="s">
        <v>781</v>
      </c>
      <c r="D288" s="1276"/>
      <c r="E288" s="1129"/>
      <c r="F288" s="1116">
        <f>SUM(F286)</f>
        <v>1.4179999999999999</v>
      </c>
      <c r="G288" s="1116">
        <f>SUM(G286)</f>
        <v>20414.023000000001</v>
      </c>
      <c r="H288" s="1117">
        <v>1</v>
      </c>
      <c r="I288" s="1117">
        <v>0</v>
      </c>
      <c r="J288" s="1117">
        <v>0</v>
      </c>
      <c r="K288" s="1117">
        <v>0</v>
      </c>
      <c r="L288" s="1117">
        <v>0</v>
      </c>
      <c r="M288" s="1117">
        <v>0</v>
      </c>
      <c r="N288" s="1117">
        <v>0</v>
      </c>
      <c r="O288" s="1117">
        <v>0</v>
      </c>
      <c r="P288" s="1118">
        <f>SUM(H288:O288)</f>
        <v>1</v>
      </c>
      <c r="Q288" s="65"/>
    </row>
    <row r="289" spans="1:17" ht="14.5" outlineLevel="1" x14ac:dyDescent="0.35">
      <c r="A289" s="1278"/>
      <c r="B289" s="265"/>
      <c r="C289" s="1267"/>
      <c r="D289" s="1267"/>
      <c r="E289" s="1087"/>
      <c r="F289" s="289"/>
      <c r="G289" s="289"/>
      <c r="H289" s="286"/>
      <c r="I289" s="288"/>
      <c r="J289" s="288"/>
      <c r="K289" s="288"/>
      <c r="L289" s="288"/>
      <c r="M289" s="288"/>
      <c r="N289" s="288"/>
      <c r="O289" s="288"/>
      <c r="P289" s="1135"/>
      <c r="Q289" s="65"/>
    </row>
    <row r="290" spans="1:17" s="41" customFormat="1" ht="14.5" outlineLevel="1" x14ac:dyDescent="0.35">
      <c r="A290" s="1278"/>
      <c r="B290" s="375"/>
      <c r="C290" s="1279" t="s">
        <v>16</v>
      </c>
      <c r="D290" s="1279"/>
      <c r="E290" s="376"/>
      <c r="F290" s="377"/>
      <c r="G290" s="377"/>
      <c r="H290" s="376"/>
      <c r="I290" s="376"/>
      <c r="J290" s="376"/>
      <c r="K290" s="376"/>
      <c r="L290" s="376"/>
      <c r="M290" s="376"/>
      <c r="N290" s="376"/>
      <c r="O290" s="376"/>
      <c r="P290" s="1130"/>
      <c r="Q290" s="144"/>
    </row>
    <row r="291" spans="1:17" ht="14.5" outlineLevel="1" x14ac:dyDescent="0.35">
      <c r="A291" s="1278"/>
      <c r="B291" s="265">
        <v>24</v>
      </c>
      <c r="C291" s="247" t="s">
        <v>17</v>
      </c>
      <c r="D291" s="245" t="s">
        <v>34</v>
      </c>
      <c r="E291" s="245"/>
      <c r="F291" s="289">
        <v>0</v>
      </c>
      <c r="G291" s="289">
        <v>0</v>
      </c>
      <c r="H291" s="286"/>
      <c r="I291" s="288"/>
      <c r="J291" s="288">
        <v>0</v>
      </c>
      <c r="K291" s="288">
        <v>0</v>
      </c>
      <c r="L291" s="288"/>
      <c r="M291" s="288"/>
      <c r="N291" s="288"/>
      <c r="O291" s="288"/>
      <c r="P291" s="1135">
        <f t="shared" ref="P291:P295" si="31">SUM(H291:O291)</f>
        <v>0</v>
      </c>
      <c r="Q291" s="65"/>
    </row>
    <row r="292" spans="1:17" ht="14.5" outlineLevel="1" x14ac:dyDescent="0.35">
      <c r="A292" s="1278"/>
      <c r="B292" s="265">
        <v>25</v>
      </c>
      <c r="C292" s="247" t="s">
        <v>18</v>
      </c>
      <c r="D292" s="245" t="s">
        <v>34</v>
      </c>
      <c r="E292" s="245"/>
      <c r="F292" s="289">
        <v>0</v>
      </c>
      <c r="G292" s="289">
        <v>0</v>
      </c>
      <c r="H292" s="286"/>
      <c r="I292" s="288"/>
      <c r="J292" s="288">
        <v>0</v>
      </c>
      <c r="K292" s="288">
        <v>0</v>
      </c>
      <c r="L292" s="288"/>
      <c r="M292" s="288"/>
      <c r="N292" s="288"/>
      <c r="O292" s="288"/>
      <c r="P292" s="1135">
        <f t="shared" si="31"/>
        <v>0</v>
      </c>
      <c r="Q292" s="65"/>
    </row>
    <row r="293" spans="1:17" ht="14.5" outlineLevel="1" x14ac:dyDescent="0.35">
      <c r="A293" s="1278"/>
      <c r="B293" s="265">
        <v>26</v>
      </c>
      <c r="C293" s="247" t="s">
        <v>19</v>
      </c>
      <c r="D293" s="245" t="s">
        <v>34</v>
      </c>
      <c r="E293" s="245"/>
      <c r="F293" s="289">
        <v>0</v>
      </c>
      <c r="G293" s="289">
        <v>0</v>
      </c>
      <c r="H293" s="286"/>
      <c r="I293" s="288"/>
      <c r="J293" s="288">
        <v>0</v>
      </c>
      <c r="K293" s="288">
        <v>0</v>
      </c>
      <c r="L293" s="288"/>
      <c r="M293" s="288"/>
      <c r="N293" s="288"/>
      <c r="O293" s="288"/>
      <c r="P293" s="1135">
        <f t="shared" si="31"/>
        <v>0</v>
      </c>
      <c r="Q293" s="65"/>
    </row>
    <row r="294" spans="1:17" ht="14.5" outlineLevel="1" x14ac:dyDescent="0.35">
      <c r="A294" s="1278"/>
      <c r="B294" s="265">
        <v>27</v>
      </c>
      <c r="C294" s="247" t="s">
        <v>20</v>
      </c>
      <c r="D294" s="245" t="s">
        <v>34</v>
      </c>
      <c r="E294" s="245"/>
      <c r="F294" s="289">
        <v>0</v>
      </c>
      <c r="G294" s="289">
        <v>0</v>
      </c>
      <c r="H294" s="286"/>
      <c r="I294" s="288"/>
      <c r="J294" s="288">
        <v>0</v>
      </c>
      <c r="K294" s="288">
        <v>0</v>
      </c>
      <c r="L294" s="288"/>
      <c r="M294" s="288"/>
      <c r="N294" s="288"/>
      <c r="O294" s="288"/>
      <c r="P294" s="1135">
        <f t="shared" si="31"/>
        <v>0</v>
      </c>
      <c r="Q294" s="65"/>
    </row>
    <row r="295" spans="1:17" ht="14.5" outlineLevel="1" x14ac:dyDescent="0.35">
      <c r="A295" s="1278"/>
      <c r="B295" s="265">
        <v>28</v>
      </c>
      <c r="C295" s="247" t="s">
        <v>105</v>
      </c>
      <c r="D295" s="245" t="s">
        <v>34</v>
      </c>
      <c r="E295" s="245"/>
      <c r="F295" s="289">
        <v>0</v>
      </c>
      <c r="G295" s="289">
        <v>0</v>
      </c>
      <c r="H295" s="286"/>
      <c r="I295" s="288"/>
      <c r="J295" s="288">
        <v>0</v>
      </c>
      <c r="K295" s="288">
        <v>0</v>
      </c>
      <c r="L295" s="288"/>
      <c r="M295" s="288"/>
      <c r="N295" s="288"/>
      <c r="O295" s="288"/>
      <c r="P295" s="1135">
        <f t="shared" si="31"/>
        <v>0</v>
      </c>
      <c r="Q295" s="65"/>
    </row>
    <row r="296" spans="1:17" ht="14.5" outlineLevel="1" x14ac:dyDescent="0.35">
      <c r="A296" s="1278"/>
      <c r="B296" s="265"/>
      <c r="C296" s="248" t="s">
        <v>257</v>
      </c>
      <c r="D296" s="245" t="s">
        <v>253</v>
      </c>
      <c r="E296" s="245"/>
      <c r="F296" s="1127">
        <v>0</v>
      </c>
      <c r="G296" s="1127">
        <v>0</v>
      </c>
      <c r="H296" s="286"/>
      <c r="I296" s="288"/>
      <c r="J296" s="288"/>
      <c r="K296" s="288"/>
      <c r="L296" s="288"/>
      <c r="M296" s="288"/>
      <c r="N296" s="288"/>
      <c r="O296" s="288"/>
      <c r="P296" s="1135"/>
      <c r="Q296" s="65"/>
    </row>
    <row r="297" spans="1:17" ht="14.5" outlineLevel="1" x14ac:dyDescent="0.35">
      <c r="A297" s="1278"/>
      <c r="B297" s="265"/>
      <c r="C297" s="1267"/>
      <c r="D297" s="1267"/>
      <c r="E297" s="1087"/>
      <c r="F297" s="289"/>
      <c r="G297" s="289"/>
      <c r="H297" s="286"/>
      <c r="I297" s="288"/>
      <c r="J297" s="288"/>
      <c r="K297" s="288"/>
      <c r="L297" s="288"/>
      <c r="M297" s="288"/>
      <c r="N297" s="288"/>
      <c r="O297" s="288"/>
      <c r="P297" s="1135"/>
      <c r="Q297" s="65"/>
    </row>
    <row r="298" spans="1:17" ht="14.5" outlineLevel="1" x14ac:dyDescent="0.35">
      <c r="A298" s="1278"/>
      <c r="B298" s="265"/>
      <c r="C298" s="1267"/>
      <c r="D298" s="1267"/>
      <c r="E298" s="1087"/>
      <c r="F298" s="289"/>
      <c r="G298" s="289"/>
      <c r="H298" s="286"/>
      <c r="I298" s="288"/>
      <c r="J298" s="288"/>
      <c r="K298" s="288"/>
      <c r="L298" s="288"/>
      <c r="M298" s="288"/>
      <c r="N298" s="288"/>
      <c r="O298" s="288"/>
      <c r="P298" s="1135"/>
      <c r="Q298" s="65"/>
    </row>
    <row r="299" spans="1:17" ht="14.5" outlineLevel="1" x14ac:dyDescent="0.35">
      <c r="A299" s="1278"/>
      <c r="B299" s="265"/>
      <c r="C299" s="1267"/>
      <c r="D299" s="1267"/>
      <c r="E299" s="1087"/>
      <c r="F299" s="289"/>
      <c r="G299" s="289"/>
      <c r="H299" s="286"/>
      <c r="I299" s="288"/>
      <c r="J299" s="288"/>
      <c r="K299" s="288"/>
      <c r="L299" s="288"/>
      <c r="M299" s="288"/>
      <c r="N299" s="288"/>
      <c r="O299" s="288"/>
      <c r="P299" s="1135"/>
      <c r="Q299" s="65"/>
    </row>
    <row r="300" spans="1:17" s="41" customFormat="1" ht="14.5" outlineLevel="1" x14ac:dyDescent="0.35">
      <c r="A300" s="1278"/>
      <c r="B300" s="375"/>
      <c r="C300" s="1279" t="s">
        <v>106</v>
      </c>
      <c r="D300" s="1279"/>
      <c r="E300" s="376"/>
      <c r="F300" s="377"/>
      <c r="G300" s="377"/>
      <c r="H300" s="376"/>
      <c r="I300" s="376"/>
      <c r="J300" s="376"/>
      <c r="K300" s="376"/>
      <c r="L300" s="376"/>
      <c r="M300" s="376"/>
      <c r="N300" s="376"/>
      <c r="O300" s="376"/>
      <c r="P300" s="1130"/>
      <c r="Q300" s="144"/>
    </row>
    <row r="301" spans="1:17" ht="14.5" outlineLevel="1" x14ac:dyDescent="0.35">
      <c r="A301" s="1278"/>
      <c r="B301" s="145">
        <v>29</v>
      </c>
      <c r="C301" s="247" t="s">
        <v>108</v>
      </c>
      <c r="D301" s="245" t="s">
        <v>34</v>
      </c>
      <c r="E301" s="245"/>
      <c r="F301" s="289">
        <v>0</v>
      </c>
      <c r="G301" s="289">
        <v>0</v>
      </c>
      <c r="H301" s="286"/>
      <c r="I301" s="288"/>
      <c r="J301" s="288"/>
      <c r="K301" s="288"/>
      <c r="L301" s="288"/>
      <c r="M301" s="288"/>
      <c r="N301" s="288"/>
      <c r="O301" s="288"/>
      <c r="P301" s="1135">
        <f t="shared" ref="P301:P302" si="32">SUM(H301:O301)</f>
        <v>0</v>
      </c>
      <c r="Q301" s="65"/>
    </row>
    <row r="302" spans="1:17" ht="14.5" outlineLevel="1" x14ac:dyDescent="0.35">
      <c r="A302" s="1278"/>
      <c r="B302" s="145">
        <v>30</v>
      </c>
      <c r="C302" s="247" t="s">
        <v>107</v>
      </c>
      <c r="D302" s="245" t="s">
        <v>34</v>
      </c>
      <c r="E302" s="245"/>
      <c r="F302" s="289">
        <v>688.42399999999998</v>
      </c>
      <c r="G302" s="289">
        <v>0</v>
      </c>
      <c r="H302" s="286"/>
      <c r="I302" s="288"/>
      <c r="J302" s="288"/>
      <c r="K302" s="288"/>
      <c r="L302" s="288"/>
      <c r="M302" s="288"/>
      <c r="N302" s="288"/>
      <c r="O302" s="288"/>
      <c r="P302" s="1135">
        <f t="shared" si="32"/>
        <v>0</v>
      </c>
      <c r="Q302" s="65"/>
    </row>
    <row r="303" spans="1:17" ht="14.5" outlineLevel="1" x14ac:dyDescent="0.35">
      <c r="A303" s="1278"/>
      <c r="B303" s="145"/>
      <c r="C303" s="248" t="s">
        <v>257</v>
      </c>
      <c r="D303" s="245" t="s">
        <v>253</v>
      </c>
      <c r="E303" s="245"/>
      <c r="F303" s="1127">
        <v>0</v>
      </c>
      <c r="G303" s="1127">
        <v>0</v>
      </c>
      <c r="H303" s="286"/>
      <c r="I303" s="288"/>
      <c r="J303" s="288"/>
      <c r="K303" s="288"/>
      <c r="L303" s="288"/>
      <c r="M303" s="288"/>
      <c r="N303" s="288"/>
      <c r="O303" s="288"/>
      <c r="P303" s="1135"/>
      <c r="Q303" s="65"/>
    </row>
    <row r="304" spans="1:17" ht="14.5" outlineLevel="1" x14ac:dyDescent="0.35">
      <c r="A304" s="1278"/>
      <c r="B304" s="145"/>
      <c r="C304" s="1276" t="s">
        <v>784</v>
      </c>
      <c r="D304" s="1276"/>
      <c r="E304" s="1116">
        <v>12</v>
      </c>
      <c r="F304" s="1116">
        <f>SUM(F301:F302)</f>
        <v>688.42399999999998</v>
      </c>
      <c r="G304" s="1116">
        <f>SUM(G301:G302)</f>
        <v>0</v>
      </c>
      <c r="H304" s="1117"/>
      <c r="I304" s="1117">
        <v>0</v>
      </c>
      <c r="J304" s="1117">
        <v>0</v>
      </c>
      <c r="K304" s="1117">
        <v>0</v>
      </c>
      <c r="L304" s="1117">
        <v>0</v>
      </c>
      <c r="M304" s="1117">
        <v>0</v>
      </c>
      <c r="N304" s="1117">
        <v>0</v>
      </c>
      <c r="O304" s="1117">
        <v>1</v>
      </c>
      <c r="P304" s="1118">
        <f>SUM(H304:O304)</f>
        <v>1</v>
      </c>
      <c r="Q304" s="65"/>
    </row>
    <row r="305" spans="1:17" s="41" customFormat="1" ht="14.5" outlineLevel="1" x14ac:dyDescent="0.35">
      <c r="A305" s="1278"/>
      <c r="B305" s="146"/>
      <c r="C305" s="1267"/>
      <c r="D305" s="1267"/>
      <c r="E305" s="1087"/>
      <c r="F305" s="289"/>
      <c r="G305" s="289"/>
      <c r="H305" s="392"/>
      <c r="I305" s="1131"/>
      <c r="J305" s="1131"/>
      <c r="K305" s="1131"/>
      <c r="L305" s="1131"/>
      <c r="M305" s="1131"/>
      <c r="N305" s="1131"/>
      <c r="O305" s="1131"/>
      <c r="P305" s="1137"/>
      <c r="Q305" s="144"/>
    </row>
    <row r="306" spans="1:17" ht="14.5" x14ac:dyDescent="0.35">
      <c r="A306" s="1278"/>
      <c r="B306" s="345"/>
      <c r="C306" s="1266" t="s">
        <v>221</v>
      </c>
      <c r="D306" s="1266"/>
      <c r="E306" s="346"/>
      <c r="F306" s="347"/>
      <c r="G306" s="347"/>
      <c r="H306" s="1121">
        <f>SUM(,G259*H259,G288*H288)</f>
        <v>2158067.2760000001</v>
      </c>
      <c r="I306" s="1121">
        <f>SUM(G272*I272)</f>
        <v>1579133.1234000002</v>
      </c>
      <c r="J306" s="349"/>
      <c r="K306" s="346"/>
      <c r="L306" s="346"/>
      <c r="M306" s="346"/>
      <c r="N306" s="1121">
        <v>0</v>
      </c>
      <c r="O306" s="346"/>
      <c r="P306" s="350">
        <f>SUM(H306:O306)</f>
        <v>3737200.3994000005</v>
      </c>
      <c r="Q306" s="65"/>
    </row>
    <row r="307" spans="1:17" ht="14.5" x14ac:dyDescent="0.35">
      <c r="A307" s="1278"/>
      <c r="B307" s="472"/>
      <c r="C307" s="473" t="s">
        <v>503</v>
      </c>
      <c r="D307" s="473"/>
      <c r="E307" s="474"/>
      <c r="F307" s="475"/>
      <c r="G307" s="475"/>
      <c r="H307" s="1122">
        <f>H306-SUM(G255*H255,G256*H256)</f>
        <v>2158067.2760000001</v>
      </c>
      <c r="I307" s="1122">
        <f>I306-SUM(G268*I268,G269*I269)</f>
        <v>1579133.1234000002</v>
      </c>
      <c r="J307" s="476"/>
      <c r="K307" s="474"/>
      <c r="L307" s="474"/>
      <c r="M307" s="474"/>
      <c r="N307" s="1122">
        <f>N306</f>
        <v>0</v>
      </c>
      <c r="O307" s="474"/>
      <c r="P307" s="477"/>
      <c r="Q307" s="65"/>
    </row>
    <row r="308" spans="1:17" ht="14.5" x14ac:dyDescent="0.35">
      <c r="A308" s="1278"/>
      <c r="B308" s="266"/>
      <c r="C308" s="1284" t="s">
        <v>318</v>
      </c>
      <c r="D308" s="1284"/>
      <c r="E308" s="260"/>
      <c r="F308" s="258"/>
      <c r="G308" s="258"/>
      <c r="H308" s="260"/>
      <c r="I308" s="260"/>
      <c r="J308" s="1123">
        <f>SUM($E$272*($F$272-F264)*J272,$E$282*$F$282*J282,E304*$F$304*J304)</f>
        <v>13788.693035294116</v>
      </c>
      <c r="K308" s="1123">
        <f>SUM($E$272*($F$272-F264)*K272,$E$282*$F$282*K282,E304*$F$304*K304)</f>
        <v>44679.04065882352</v>
      </c>
      <c r="L308" s="1123">
        <v>0</v>
      </c>
      <c r="M308" s="1123">
        <v>0</v>
      </c>
      <c r="N308" s="260"/>
      <c r="O308" s="1123">
        <f>SUM($E$272*($F$272-F264)*O272,$E$282*$F$282*O282,F304*$E$304*O304)</f>
        <v>22459.942305882352</v>
      </c>
      <c r="P308" s="267">
        <f>SUM(H308:O308)</f>
        <v>80927.675999999978</v>
      </c>
      <c r="Q308" s="65"/>
    </row>
    <row r="309" spans="1:17" ht="14.5" x14ac:dyDescent="0.35">
      <c r="A309" s="1278"/>
      <c r="B309" s="266"/>
      <c r="C309" s="1284" t="s">
        <v>785</v>
      </c>
      <c r="D309" s="1284"/>
      <c r="E309" s="260"/>
      <c r="F309" s="258"/>
      <c r="G309" s="258"/>
      <c r="H309" s="260"/>
      <c r="I309" s="260"/>
      <c r="J309" s="1181">
        <f>J308-(9*$F$265*J265+E272*SUM(F268:F270)*J270+E282*F280*J282)</f>
        <v>2122.7862352941156</v>
      </c>
      <c r="K309" s="1181">
        <f>K308-(9*$F$265*K265+E272*SUM(F268:F270)*K270+E282*F280*K282)</f>
        <v>6470.8090588235209</v>
      </c>
      <c r="L309" s="1123">
        <f>L308</f>
        <v>0</v>
      </c>
      <c r="M309" s="1123">
        <f>M308</f>
        <v>0</v>
      </c>
      <c r="N309" s="260"/>
      <c r="O309" s="1123">
        <f>O308-(9*$F$265*O265+E272*SUM(F268:F270)*O270+E282*F280*O282)</f>
        <v>13612.500705882352</v>
      </c>
      <c r="P309" s="267">
        <f>SUM(H309:O309)</f>
        <v>22206.09599999999</v>
      </c>
      <c r="Q309" s="65"/>
    </row>
    <row r="310" spans="1:17" ht="14.5" x14ac:dyDescent="0.35">
      <c r="A310" s="1278"/>
      <c r="B310" s="268"/>
      <c r="C310" s="1089"/>
      <c r="D310" s="254"/>
      <c r="E310" s="254"/>
      <c r="F310" s="252"/>
      <c r="G310" s="252"/>
      <c r="H310" s="254"/>
      <c r="I310" s="254"/>
      <c r="J310" s="254"/>
      <c r="K310" s="254"/>
      <c r="L310" s="254"/>
      <c r="M310" s="254"/>
      <c r="N310" s="254"/>
      <c r="O310" s="254"/>
      <c r="P310" s="269"/>
      <c r="Q310" s="65"/>
    </row>
    <row r="311" spans="1:17" ht="14.5" x14ac:dyDescent="0.35">
      <c r="A311" s="1278"/>
      <c r="B311" s="373"/>
      <c r="C311" s="1269" t="s">
        <v>323</v>
      </c>
      <c r="D311" s="1269"/>
      <c r="E311" s="245"/>
      <c r="F311" s="255"/>
      <c r="G311" s="245"/>
      <c r="H311" s="256">
        <f>'3.  Distribution Rates'!H33</f>
        <v>1.7399999999999999E-2</v>
      </c>
      <c r="I311" s="256">
        <f>'3.  Distribution Rates'!H34</f>
        <v>1.29E-2</v>
      </c>
      <c r="J311" s="256">
        <f>'3.  Distribution Rates'!H35</f>
        <v>2.5388999999999999</v>
      </c>
      <c r="K311" s="256">
        <f>'3.  Distribution Rates'!H36</f>
        <v>3.3948</v>
      </c>
      <c r="L311" s="256">
        <f>'3.  Distribution Rates'!H37</f>
        <v>7.6897000000000002</v>
      </c>
      <c r="M311" s="256">
        <f>'3.  Distribution Rates'!H38</f>
        <v>9.434800000000001</v>
      </c>
      <c r="N311" s="256">
        <f>'3.  Distribution Rates'!H39</f>
        <v>2.6700000000000002E-2</v>
      </c>
      <c r="O311" s="521">
        <f>'3.  Distribution Rates'!H40</f>
        <v>2.3225000000000002</v>
      </c>
      <c r="P311" s="374"/>
      <c r="Q311" s="65"/>
    </row>
    <row r="312" spans="1:17" ht="14.5" x14ac:dyDescent="0.35">
      <c r="A312" s="1278"/>
      <c r="B312" s="373"/>
      <c r="C312" s="1269" t="s">
        <v>238</v>
      </c>
      <c r="D312" s="1269"/>
      <c r="E312" s="254"/>
      <c r="F312" s="255"/>
      <c r="G312" s="255"/>
      <c r="H312" s="370">
        <f>H76*H311</f>
        <v>25803.408213934865</v>
      </c>
      <c r="I312" s="370">
        <f t="shared" ref="I312:O312" si="33">I76*I311</f>
        <v>11042.606714286352</v>
      </c>
      <c r="J312" s="370">
        <f t="shared" si="33"/>
        <v>20400.711659403176</v>
      </c>
      <c r="K312" s="370">
        <f t="shared" si="33"/>
        <v>40289.24033965337</v>
      </c>
      <c r="L312" s="370">
        <f t="shared" si="33"/>
        <v>0</v>
      </c>
      <c r="M312" s="370">
        <f t="shared" si="33"/>
        <v>0</v>
      </c>
      <c r="N312" s="370">
        <f t="shared" si="33"/>
        <v>0</v>
      </c>
      <c r="O312" s="526">
        <f t="shared" si="33"/>
        <v>18661.882243870921</v>
      </c>
      <c r="P312" s="270">
        <f>SUM(H312:O312)</f>
        <v>116197.84917114869</v>
      </c>
      <c r="Q312" s="65"/>
    </row>
    <row r="313" spans="1:17" ht="14.5" x14ac:dyDescent="0.35">
      <c r="A313" s="1278"/>
      <c r="B313" s="373"/>
      <c r="C313" s="1269" t="s">
        <v>239</v>
      </c>
      <c r="D313" s="1269"/>
      <c r="E313" s="254"/>
      <c r="F313" s="255"/>
      <c r="G313" s="255"/>
      <c r="H313" s="370">
        <f>H155*H311</f>
        <v>15243.789109313442</v>
      </c>
      <c r="I313" s="370">
        <f t="shared" ref="I313:O313" si="34">I155*I311</f>
        <v>11415.511399354318</v>
      </c>
      <c r="J313" s="370">
        <f t="shared" si="34"/>
        <v>65577.290101252685</v>
      </c>
      <c r="K313" s="370">
        <f t="shared" si="34"/>
        <v>45073.061901452842</v>
      </c>
      <c r="L313" s="370">
        <f t="shared" si="34"/>
        <v>0</v>
      </c>
      <c r="M313" s="370">
        <f t="shared" si="34"/>
        <v>0</v>
      </c>
      <c r="N313" s="370">
        <f t="shared" si="34"/>
        <v>0</v>
      </c>
      <c r="O313" s="526">
        <f t="shared" si="34"/>
        <v>63002.890780319722</v>
      </c>
      <c r="P313" s="270">
        <f>SUM(H313:O313)</f>
        <v>200312.543291693</v>
      </c>
      <c r="Q313" s="65"/>
    </row>
    <row r="314" spans="1:17" ht="14.5" x14ac:dyDescent="0.35">
      <c r="A314" s="1278"/>
      <c r="B314" s="373"/>
      <c r="C314" s="1269" t="s">
        <v>240</v>
      </c>
      <c r="D314" s="1269"/>
      <c r="E314" s="254"/>
      <c r="F314" s="255"/>
      <c r="G314" s="255"/>
      <c r="H314" s="370">
        <f>H235*H311</f>
        <v>14827.719909011021</v>
      </c>
      <c r="I314" s="370">
        <f t="shared" ref="I314:O314" si="35">I235*I311</f>
        <v>4300.0761719242146</v>
      </c>
      <c r="J314" s="370">
        <f t="shared" si="35"/>
        <v>8420.5916733787872</v>
      </c>
      <c r="K314" s="370">
        <f t="shared" si="35"/>
        <v>4382.5245711391135</v>
      </c>
      <c r="L314" s="370">
        <f t="shared" si="35"/>
        <v>0</v>
      </c>
      <c r="M314" s="370">
        <f t="shared" si="35"/>
        <v>0</v>
      </c>
      <c r="N314" s="370">
        <f t="shared" si="35"/>
        <v>0</v>
      </c>
      <c r="O314" s="526">
        <f t="shared" si="35"/>
        <v>35239.841069038892</v>
      </c>
      <c r="P314" s="270">
        <f>SUM(H314:O314)</f>
        <v>67170.753394492029</v>
      </c>
      <c r="Q314" s="65"/>
    </row>
    <row r="315" spans="1:17" ht="14.5" x14ac:dyDescent="0.35">
      <c r="A315" s="1278"/>
      <c r="B315" s="373"/>
      <c r="C315" s="1269" t="s">
        <v>241</v>
      </c>
      <c r="D315" s="1269"/>
      <c r="E315" s="254"/>
      <c r="F315" s="255"/>
      <c r="G315" s="255"/>
      <c r="H315" s="370">
        <f>H307*H311</f>
        <v>37550.370602399998</v>
      </c>
      <c r="I315" s="370">
        <f>I307*I311</f>
        <v>20370.817291860003</v>
      </c>
      <c r="J315" s="370">
        <f>J309*J311</f>
        <v>5389.5419727882299</v>
      </c>
      <c r="K315" s="370">
        <f>K309*K311</f>
        <v>21967.102592894091</v>
      </c>
      <c r="L315" s="370">
        <f>L309*L311</f>
        <v>0</v>
      </c>
      <c r="M315" s="370">
        <f>M309*M311</f>
        <v>0</v>
      </c>
      <c r="N315" s="370">
        <f>N307*N311</f>
        <v>0</v>
      </c>
      <c r="O315" s="526">
        <f>O309*O311</f>
        <v>31615.032889411767</v>
      </c>
      <c r="P315" s="270">
        <f>SUM(H315:O315)</f>
        <v>116892.86534935409</v>
      </c>
      <c r="Q315" s="65"/>
    </row>
    <row r="316" spans="1:17" ht="14.5" x14ac:dyDescent="0.35">
      <c r="A316" s="1278"/>
      <c r="B316" s="268"/>
      <c r="C316" s="371" t="s">
        <v>206</v>
      </c>
      <c r="D316" s="254"/>
      <c r="E316" s="254"/>
      <c r="F316" s="252"/>
      <c r="G316" s="252"/>
      <c r="H316" s="257">
        <f>SUM(H312:H315)</f>
        <v>93425.287834659335</v>
      </c>
      <c r="I316" s="257">
        <f>SUM(I312:I315)</f>
        <v>47129.011577424884</v>
      </c>
      <c r="J316" s="257">
        <f>SUM(J312:J315)</f>
        <v>99788.135406822883</v>
      </c>
      <c r="K316" s="257">
        <f>SUM(K312:K315)</f>
        <v>111711.92940513942</v>
      </c>
      <c r="L316" s="257">
        <f t="shared" ref="L316:O316" si="36">SUM(L312:L315)</f>
        <v>0</v>
      </c>
      <c r="M316" s="257">
        <f t="shared" si="36"/>
        <v>0</v>
      </c>
      <c r="N316" s="257">
        <f t="shared" si="36"/>
        <v>0</v>
      </c>
      <c r="O316" s="522">
        <f t="shared" si="36"/>
        <v>148519.64698264128</v>
      </c>
      <c r="P316" s="271">
        <f>SUM(P312:P315)</f>
        <v>500574.01120668784</v>
      </c>
      <c r="Q316" s="65"/>
    </row>
    <row r="317" spans="1:17" x14ac:dyDescent="0.35">
      <c r="B317" s="394"/>
      <c r="C317" s="1269" t="s">
        <v>436</v>
      </c>
      <c r="D317" s="1269"/>
      <c r="E317" s="53"/>
      <c r="F317" s="43"/>
      <c r="G317" s="43"/>
      <c r="H317" s="245">
        <f>$H$307*'6.  Persistence Rates'!$H$28</f>
        <v>2135723.5347220059</v>
      </c>
      <c r="I317" s="245">
        <f>I307*'6.  Persistence Rates'!$H$28</f>
        <v>1562783.4283070099</v>
      </c>
      <c r="J317" s="245">
        <f>$J$309*'6.  Persistence Rates'!$T$28</f>
        <v>1059.5353708074617</v>
      </c>
      <c r="K317" s="245">
        <f>$K$309*'6.  Persistence Rates'!$T$28</f>
        <v>3229.7416299267379</v>
      </c>
      <c r="L317" s="524">
        <f>$L$309*'6.  Persistence Rates'!$T$28</f>
        <v>0</v>
      </c>
      <c r="M317" s="524">
        <f>$M$309*'6.  Persistence Rates'!$T$28</f>
        <v>0</v>
      </c>
      <c r="N317" s="524">
        <f>$N$307*'6.  Persistence Rates'!$H$28</f>
        <v>0</v>
      </c>
      <c r="O317" s="524">
        <f>$O$309*'6.  Persistence Rates'!$T$28</f>
        <v>6794.3374340872206</v>
      </c>
      <c r="P317" s="1138"/>
    </row>
    <row r="318" spans="1:17" x14ac:dyDescent="0.35">
      <c r="B318" s="394"/>
      <c r="C318" s="1269" t="s">
        <v>437</v>
      </c>
      <c r="D318" s="1269"/>
      <c r="E318" s="53"/>
      <c r="F318" s="43"/>
      <c r="G318" s="43"/>
      <c r="H318" s="245">
        <f>$H$307*'6.  Persistence Rates'!$I$28</f>
        <v>2120843.0134425638</v>
      </c>
      <c r="I318" s="245">
        <f>$I$307*'6.  Persistence Rates'!$I$28</f>
        <v>1551894.8316876402</v>
      </c>
      <c r="J318" s="245">
        <f>$J$309*'6.  Persistence Rates'!$U$28</f>
        <v>1057.2489585562287</v>
      </c>
      <c r="K318" s="245">
        <f>$K$309*'6.  Persistence Rates'!$U$28</f>
        <v>3222.7720458671197</v>
      </c>
      <c r="L318" s="524">
        <f>$L$309*'6.  Persistence Rates'!$U$28</f>
        <v>0</v>
      </c>
      <c r="M318" s="524">
        <f>$M$309*'6.  Persistence Rates'!$U$28</f>
        <v>0</v>
      </c>
      <c r="N318" s="524">
        <f>$N$307*'6.  Persistence Rates'!$I$28</f>
        <v>0</v>
      </c>
      <c r="O318" s="524">
        <f>$O$309*'6.  Persistence Rates'!$U$28</f>
        <v>6779.6756712274591</v>
      </c>
      <c r="P318" s="1138"/>
    </row>
    <row r="319" spans="1:17" x14ac:dyDescent="0.35">
      <c r="B319" s="394"/>
      <c r="C319" s="1269" t="s">
        <v>438</v>
      </c>
      <c r="D319" s="1269"/>
      <c r="E319" s="53"/>
      <c r="F319" s="43"/>
      <c r="G319" s="43"/>
      <c r="H319" s="245">
        <f>$H$307*'6.  Persistence Rates'!$J$28</f>
        <v>1435887.6079769346</v>
      </c>
      <c r="I319" s="245">
        <f>$I$307*'6.  Persistence Rates'!$J$28</f>
        <v>1050689.0625943451</v>
      </c>
      <c r="J319" s="245">
        <f>$J$309*'6.  Persistence Rates'!$V$28</f>
        <v>854.97544098690696</v>
      </c>
      <c r="K319" s="245">
        <f>$K$309*'6.  Persistence Rates'!$V$28</f>
        <v>2606.1893263799079</v>
      </c>
      <c r="L319" s="524">
        <f>$L$309*'6.  Persistence Rates'!$V$28</f>
        <v>0</v>
      </c>
      <c r="M319" s="524">
        <f>$M$309*'6.  Persistence Rates'!$V$28</f>
        <v>0</v>
      </c>
      <c r="N319" s="524">
        <f>$N$307*'6.  Persistence Rates'!$J$28</f>
        <v>0</v>
      </c>
      <c r="O319" s="524">
        <f>$O$309*'6.  Persistence Rates'!$V$28</f>
        <v>5482.5839740447691</v>
      </c>
      <c r="P319" s="1138"/>
    </row>
    <row r="320" spans="1:17" x14ac:dyDescent="0.35">
      <c r="B320" s="394"/>
      <c r="C320" s="1269" t="s">
        <v>439</v>
      </c>
      <c r="D320" s="1269"/>
      <c r="E320" s="53"/>
      <c r="F320" s="43"/>
      <c r="G320" s="43"/>
      <c r="H320" s="245">
        <f>$H$307*'6.  Persistence Rates'!$K$28</f>
        <v>1366650.6915304521</v>
      </c>
      <c r="I320" s="245">
        <f>$I$307*'6.  Persistence Rates'!$K$28</f>
        <v>1000025.9950715516</v>
      </c>
      <c r="J320" s="245">
        <f>$J$309*'6.  Persistence Rates'!$W$28</f>
        <v>829.76566502850028</v>
      </c>
      <c r="K320" s="245">
        <f>$K$309*'6.  Persistence Rates'!$W$28</f>
        <v>2529.343319028646</v>
      </c>
      <c r="L320" s="524">
        <f>$L$309*'6.  Persistence Rates'!$W$28</f>
        <v>0</v>
      </c>
      <c r="M320" s="524">
        <f>$M$309*'6.  Persistence Rates'!$W$28</f>
        <v>0</v>
      </c>
      <c r="N320" s="524">
        <f>$N$307*'6.  Persistence Rates'!$K$28</f>
        <v>0</v>
      </c>
      <c r="O320" s="524">
        <f>$O$309*'6.  Persistence Rates'!$W$28</f>
        <v>5320.924694686666</v>
      </c>
      <c r="P320" s="1138"/>
    </row>
    <row r="321" spans="2:16" x14ac:dyDescent="0.35">
      <c r="B321" s="394"/>
      <c r="C321" s="1269" t="s">
        <v>440</v>
      </c>
      <c r="D321" s="1269"/>
      <c r="E321" s="53"/>
      <c r="F321" s="43"/>
      <c r="G321" s="43"/>
      <c r="H321" s="245">
        <f>$H$307*'6.  Persistence Rates'!$L$28</f>
        <v>1360880.0186146337</v>
      </c>
      <c r="I321" s="245">
        <f>$I$307*'6.  Persistence Rates'!$L$28</f>
        <v>995803.39235336089</v>
      </c>
      <c r="J321" s="245">
        <f>$J$309*'6.  Persistence Rates'!$X$28</f>
        <v>828.42391515260169</v>
      </c>
      <c r="K321" s="245">
        <f>$K$309*'6.  Persistence Rates'!$X$28</f>
        <v>2525.2533135880199</v>
      </c>
      <c r="L321" s="524">
        <f>$L$309*'6.  Persistence Rates'!$X$28</f>
        <v>0</v>
      </c>
      <c r="M321" s="524">
        <f>$M$309*'6.  Persistence Rates'!$X$28</f>
        <v>0</v>
      </c>
      <c r="N321" s="524">
        <f>$N$307*'6.  Persistence Rates'!$L$28</f>
        <v>0</v>
      </c>
      <c r="O321" s="524">
        <f>$O$309*'6.  Persistence Rates'!$X$28</f>
        <v>5312.3206389277229</v>
      </c>
      <c r="P321" s="1138"/>
    </row>
    <row r="322" spans="2:16" x14ac:dyDescent="0.35">
      <c r="B322" s="395"/>
      <c r="C322" s="1283" t="s">
        <v>441</v>
      </c>
      <c r="D322" s="1283"/>
      <c r="E322" s="396"/>
      <c r="F322" s="108"/>
      <c r="G322" s="108"/>
      <c r="H322" s="491">
        <f>$H$307*'6.  Persistence Rates'!$M$28</f>
        <v>1349159.4360716827</v>
      </c>
      <c r="I322" s="491">
        <f>$I$307*'6.  Persistence Rates'!$M$28</f>
        <v>987227.03316152736</v>
      </c>
      <c r="J322" s="491">
        <f>$J$309*'6.  Persistence Rates'!$Y$28</f>
        <v>824.85169689383827</v>
      </c>
      <c r="K322" s="491">
        <f>$K$309*'6.  Persistence Rates'!$Y$28</f>
        <v>2514.3642556675463</v>
      </c>
      <c r="L322" s="525">
        <f>$L$309*'6.  Persistence Rates'!$Y$28</f>
        <v>0</v>
      </c>
      <c r="M322" s="525">
        <f>$M$309*'6.  Persistence Rates'!$Y$28</f>
        <v>0</v>
      </c>
      <c r="N322" s="525">
        <f>$N$307*'6.  Persistence Rates'!$M$28</f>
        <v>0</v>
      </c>
      <c r="O322" s="525">
        <f>$O$309*'6.  Persistence Rates'!$Y$28</f>
        <v>5289.4135638956268</v>
      </c>
      <c r="P322" s="1139"/>
    </row>
  </sheetData>
  <mergeCells count="158">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 ref="C241:D241"/>
    <mergeCell ref="C317:D317"/>
    <mergeCell ref="C318:D318"/>
    <mergeCell ref="C319:D319"/>
    <mergeCell ref="C320:D320"/>
    <mergeCell ref="C298:D298"/>
    <mergeCell ref="C299:D299"/>
    <mergeCell ref="C304:D304"/>
    <mergeCell ref="C305:D305"/>
    <mergeCell ref="C308:D308"/>
    <mergeCell ref="C311:D311"/>
    <mergeCell ref="C315:D315"/>
    <mergeCell ref="B244:P244"/>
    <mergeCell ref="H246:P246"/>
    <mergeCell ref="B246:B247"/>
    <mergeCell ref="C246:C247"/>
    <mergeCell ref="C193:D193"/>
    <mergeCell ref="C194:D194"/>
    <mergeCell ref="C236:D236"/>
    <mergeCell ref="C237:D237"/>
    <mergeCell ref="C238:D238"/>
    <mergeCell ref="C239:D239"/>
    <mergeCell ref="C240:D240"/>
    <mergeCell ref="C217:D217"/>
    <mergeCell ref="C218:D218"/>
    <mergeCell ref="C223:D223"/>
    <mergeCell ref="C224:D224"/>
    <mergeCell ref="C228:D228"/>
    <mergeCell ref="C137:D137"/>
    <mergeCell ref="C138:D138"/>
    <mergeCell ref="C143:D143"/>
    <mergeCell ref="C144:D144"/>
    <mergeCell ref="C179:D179"/>
    <mergeCell ref="C122:D122"/>
    <mergeCell ref="C123:D123"/>
    <mergeCell ref="C127:D127"/>
    <mergeCell ref="C128:D128"/>
    <mergeCell ref="C136:D136"/>
    <mergeCell ref="C121:D121"/>
    <mergeCell ref="C64:D64"/>
    <mergeCell ref="C65:D65"/>
    <mergeCell ref="C66:D66"/>
    <mergeCell ref="C100:D100"/>
    <mergeCell ref="C101:D101"/>
    <mergeCell ref="C102:D102"/>
    <mergeCell ref="C114:D114"/>
    <mergeCell ref="C74:D74"/>
    <mergeCell ref="A168:A235"/>
    <mergeCell ref="A248:A316"/>
    <mergeCell ref="C151:D151"/>
    <mergeCell ref="C154:D154"/>
    <mergeCell ref="C155:D155"/>
    <mergeCell ref="B164:P164"/>
    <mergeCell ref="B166:B167"/>
    <mergeCell ref="C166:C167"/>
    <mergeCell ref="C168:D168"/>
    <mergeCell ref="D166:D167"/>
    <mergeCell ref="H166:P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A90:A155"/>
    <mergeCell ref="A21:A76"/>
    <mergeCell ref="C314:D314"/>
    <mergeCell ref="C313:D313"/>
    <mergeCell ref="C312:D312"/>
    <mergeCell ref="C275:D275"/>
    <mergeCell ref="C285:D285"/>
    <mergeCell ref="C290:D290"/>
    <mergeCell ref="C300:D300"/>
    <mergeCell ref="C306:D306"/>
    <mergeCell ref="C248:D248"/>
    <mergeCell ref="C262:D262"/>
    <mergeCell ref="C233:D233"/>
    <mergeCell ref="C232:D232"/>
    <mergeCell ref="C231:D231"/>
    <mergeCell ref="C235:D235"/>
    <mergeCell ref="B85:P85"/>
    <mergeCell ref="C147:D147"/>
    <mergeCell ref="C148:D148"/>
    <mergeCell ref="C149:D149"/>
    <mergeCell ref="B87:B88"/>
    <mergeCell ref="C87:C88"/>
    <mergeCell ref="H87:P87"/>
    <mergeCell ref="C76:D76"/>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13:D113"/>
    <mergeCell ref="B19:B20"/>
    <mergeCell ref="D13:E13"/>
    <mergeCell ref="D14:E14"/>
    <mergeCell ref="B3:P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P19"/>
    <mergeCell ref="B17:P17"/>
    <mergeCell ref="C69:D69"/>
    <mergeCell ref="C71:D71"/>
    <mergeCell ref="C31:D31"/>
    <mergeCell ref="C32:D32"/>
    <mergeCell ref="C145:D145"/>
  </mergeCells>
  <pageMargins left="0.23622047244094491" right="0.23622047244094491" top="0.47244094488188981" bottom="0.47244094488188981" header="0.15748031496062992" footer="0.15748031496062992"/>
  <pageSetup paperSize="3" scale="65" orientation="landscape" cellComments="asDisplayed" r:id="rId1"/>
  <headerFooter>
    <oddHeader>&amp;L&amp;G</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30"/>
  <sheetViews>
    <sheetView topLeftCell="B13" zoomScale="64" zoomScaleNormal="64" workbookViewId="0">
      <pane ySplit="4" topLeftCell="A107" activePane="bottomLeft" state="frozen"/>
      <selection activeCell="B13" sqref="B13"/>
      <selection pane="bottomLeft" activeCell="H113" sqref="H113"/>
    </sheetView>
  </sheetViews>
  <sheetFormatPr defaultColWidth="9.1796875" defaultRowHeight="14.5" outlineLevelRow="1" x14ac:dyDescent="0.35"/>
  <cols>
    <col min="1" max="1" width="6.54296875" style="23" customWidth="1"/>
    <col min="2" max="2" width="5.1796875" style="23" customWidth="1"/>
    <col min="3" max="3" width="44.26953125" style="35" customWidth="1"/>
    <col min="4" max="4" width="12.26953125" style="40" customWidth="1"/>
    <col min="5" max="5" width="13.26953125" style="40" customWidth="1"/>
    <col min="6" max="7" width="19.453125" style="23" customWidth="1"/>
    <col min="8" max="14" width="12.7265625" style="23" customWidth="1"/>
    <col min="15" max="15" width="10" style="23" bestFit="1" customWidth="1"/>
    <col min="16" max="16" width="11.26953125" style="23" customWidth="1"/>
    <col min="17" max="17" width="13.1796875" style="23" customWidth="1"/>
    <col min="18" max="16384" width="9.1796875" style="23"/>
  </cols>
  <sheetData>
    <row r="1" spans="1:18" ht="167.25" customHeight="1" x14ac:dyDescent="0.45">
      <c r="A1" s="1285"/>
      <c r="B1" s="1285"/>
      <c r="C1" s="1285"/>
      <c r="D1" s="1285"/>
      <c r="E1" s="1285"/>
      <c r="F1" s="1285"/>
      <c r="G1" s="1285"/>
      <c r="H1" s="1285"/>
      <c r="I1" s="1285"/>
      <c r="J1" s="1285"/>
      <c r="K1" s="1285"/>
      <c r="L1" s="1285"/>
      <c r="M1" s="1285"/>
      <c r="N1" s="1285"/>
      <c r="O1" s="1285"/>
    </row>
    <row r="2" spans="1:18" ht="20" x14ac:dyDescent="0.4">
      <c r="B2" s="1299" t="s">
        <v>264</v>
      </c>
      <c r="C2" s="1299"/>
      <c r="D2" s="1299"/>
      <c r="E2" s="1299"/>
      <c r="F2" s="1299"/>
      <c r="G2" s="1299"/>
      <c r="H2" s="1299"/>
      <c r="I2" s="1299"/>
      <c r="J2" s="1299"/>
      <c r="K2" s="1299"/>
      <c r="L2" s="1299"/>
      <c r="M2" s="1299"/>
      <c r="N2" s="1299"/>
      <c r="O2" s="1299"/>
      <c r="P2" s="1299"/>
    </row>
    <row r="3" spans="1:18" ht="13.5" customHeight="1" outlineLevel="1" x14ac:dyDescent="0.45">
      <c r="B3" s="34"/>
      <c r="C3" s="171"/>
      <c r="D3" s="45"/>
      <c r="E3" s="34"/>
      <c r="F3" s="34"/>
      <c r="G3" s="34"/>
      <c r="H3" s="34"/>
      <c r="I3" s="34"/>
      <c r="J3" s="34"/>
      <c r="K3" s="34"/>
      <c r="L3" s="34"/>
      <c r="M3" s="34"/>
      <c r="N3" s="34"/>
      <c r="O3" s="34"/>
      <c r="P3" s="34"/>
    </row>
    <row r="4" spans="1:18" ht="24.75" customHeight="1" outlineLevel="1" x14ac:dyDescent="0.45">
      <c r="A4" s="64"/>
      <c r="B4" s="62"/>
      <c r="C4" s="361" t="s">
        <v>399</v>
      </c>
      <c r="D4" s="381"/>
      <c r="E4" s="1291" t="s">
        <v>495</v>
      </c>
      <c r="F4" s="1291"/>
      <c r="G4" s="1291"/>
      <c r="H4" s="1291"/>
      <c r="I4" s="1291"/>
      <c r="J4" s="1291"/>
      <c r="K4" s="1291"/>
      <c r="L4" s="1291"/>
      <c r="M4" s="1291"/>
      <c r="N4" s="1291"/>
      <c r="O4" s="1291"/>
      <c r="P4" s="1291"/>
    </row>
    <row r="5" spans="1:18" ht="36" customHeight="1" outlineLevel="1" x14ac:dyDescent="0.45">
      <c r="A5" s="64"/>
      <c r="B5" s="451"/>
      <c r="C5" s="361"/>
      <c r="D5" s="381"/>
      <c r="E5" s="1291" t="s">
        <v>496</v>
      </c>
      <c r="F5" s="1291"/>
      <c r="G5" s="1291"/>
      <c r="H5" s="1291"/>
      <c r="I5" s="1291"/>
      <c r="J5" s="1291"/>
      <c r="K5" s="1291"/>
      <c r="L5" s="1291"/>
      <c r="M5" s="1291"/>
      <c r="N5" s="1291"/>
      <c r="O5" s="1291"/>
      <c r="P5" s="1291"/>
    </row>
    <row r="6" spans="1:18" ht="18.5" outlineLevel="1" x14ac:dyDescent="0.45">
      <c r="B6" s="62"/>
      <c r="C6" s="382"/>
      <c r="D6" s="381"/>
      <c r="E6" s="1306" t="s">
        <v>356</v>
      </c>
      <c r="F6" s="1306"/>
      <c r="G6" s="1306"/>
      <c r="H6" s="1306"/>
      <c r="I6" s="1306"/>
      <c r="J6" s="1306"/>
      <c r="K6" s="1306"/>
      <c r="L6" s="1306"/>
      <c r="M6" s="1306"/>
      <c r="N6" s="1306"/>
      <c r="O6" s="1306"/>
      <c r="P6" s="1306"/>
    </row>
    <row r="7" spans="1:18" ht="18.5" outlineLevel="1" x14ac:dyDescent="0.45">
      <c r="B7" s="233"/>
      <c r="C7" s="382"/>
      <c r="D7" s="381"/>
      <c r="E7" s="1306" t="s">
        <v>357</v>
      </c>
      <c r="F7" s="1306"/>
      <c r="G7" s="1306"/>
      <c r="H7" s="1306"/>
      <c r="I7" s="1306"/>
      <c r="J7" s="1306"/>
      <c r="K7" s="1306"/>
      <c r="L7" s="1306"/>
      <c r="M7" s="1306"/>
      <c r="N7" s="1306"/>
      <c r="O7" s="1306"/>
      <c r="P7" s="1306"/>
    </row>
    <row r="8" spans="1:18" ht="18.5" outlineLevel="1" x14ac:dyDescent="0.45">
      <c r="B8" s="62"/>
      <c r="C8" s="382"/>
      <c r="D8" s="381"/>
      <c r="E8" s="1306" t="s">
        <v>485</v>
      </c>
      <c r="F8" s="1306"/>
      <c r="G8" s="1306"/>
      <c r="H8" s="1306"/>
      <c r="I8" s="1306"/>
      <c r="J8" s="1306"/>
      <c r="K8" s="1306"/>
      <c r="L8" s="1306"/>
      <c r="M8" s="1306"/>
      <c r="N8" s="1306"/>
      <c r="O8" s="1306"/>
      <c r="P8" s="1306"/>
      <c r="R8" s="81"/>
    </row>
    <row r="9" spans="1:18" ht="14.25" customHeight="1" outlineLevel="1" x14ac:dyDescent="0.45">
      <c r="B9" s="233"/>
      <c r="C9" s="382"/>
      <c r="D9" s="381"/>
      <c r="E9" s="46"/>
      <c r="F9" s="381"/>
      <c r="G9" s="381"/>
      <c r="H9" s="381"/>
      <c r="I9" s="381"/>
      <c r="J9" s="381"/>
      <c r="K9" s="381"/>
      <c r="L9" s="381"/>
      <c r="M9" s="381"/>
      <c r="N9" s="381"/>
      <c r="O9" s="381"/>
      <c r="P9" s="381"/>
      <c r="R9" s="81"/>
    </row>
    <row r="10" spans="1:18" ht="9" customHeight="1" outlineLevel="1" x14ac:dyDescent="0.45">
      <c r="B10" s="62"/>
      <c r="C10" s="171"/>
      <c r="D10" s="62"/>
      <c r="E10" s="165"/>
      <c r="F10" s="62"/>
      <c r="G10" s="62"/>
      <c r="H10" s="62"/>
      <c r="I10" s="62"/>
      <c r="J10" s="62"/>
      <c r="K10" s="62"/>
      <c r="L10" s="62"/>
      <c r="M10" s="62"/>
      <c r="N10" s="62"/>
      <c r="O10" s="62"/>
      <c r="P10" s="62"/>
      <c r="R10" s="81"/>
    </row>
    <row r="11" spans="1:18" ht="15.75" customHeight="1" outlineLevel="1" x14ac:dyDescent="0.45">
      <c r="B11" s="62"/>
      <c r="C11" s="83" t="s">
        <v>337</v>
      </c>
      <c r="D11" s="62"/>
      <c r="E11" s="1300" t="s">
        <v>363</v>
      </c>
      <c r="F11" s="1300"/>
      <c r="G11" s="62"/>
      <c r="H11" s="62"/>
      <c r="I11" s="62"/>
      <c r="J11" s="62"/>
      <c r="K11" s="62"/>
      <c r="L11" s="62"/>
      <c r="M11" s="62"/>
      <c r="N11" s="62"/>
      <c r="O11" s="62"/>
      <c r="P11" s="62"/>
      <c r="R11" s="81"/>
    </row>
    <row r="12" spans="1:18" ht="14.25" customHeight="1" outlineLevel="1" x14ac:dyDescent="0.45">
      <c r="B12" s="62"/>
      <c r="C12" s="62"/>
      <c r="D12" s="62"/>
      <c r="E12" s="1230" t="s">
        <v>338</v>
      </c>
      <c r="F12" s="1230"/>
      <c r="G12" s="62"/>
      <c r="H12" s="62"/>
      <c r="I12" s="62"/>
      <c r="J12" s="62"/>
      <c r="K12" s="62"/>
      <c r="L12" s="62"/>
      <c r="M12" s="62"/>
      <c r="N12" s="62"/>
      <c r="O12" s="62"/>
      <c r="P12" s="62"/>
    </row>
    <row r="13" spans="1:18" ht="12" customHeight="1" outlineLevel="1" x14ac:dyDescent="0.45">
      <c r="B13" s="62"/>
      <c r="C13" s="62"/>
      <c r="D13" s="62"/>
      <c r="E13" s="133"/>
      <c r="G13" s="62"/>
      <c r="H13" s="62"/>
      <c r="I13" s="62"/>
      <c r="J13" s="62"/>
      <c r="K13" s="62"/>
      <c r="L13" s="62"/>
      <c r="M13" s="62"/>
      <c r="N13" s="62"/>
      <c r="O13" s="62"/>
      <c r="P13" s="62"/>
    </row>
    <row r="14" spans="1:18" ht="18" customHeight="1" x14ac:dyDescent="0.35">
      <c r="A14" s="32"/>
      <c r="B14" s="185" t="s">
        <v>473</v>
      </c>
      <c r="C14" s="48"/>
      <c r="D14" s="50"/>
      <c r="E14" s="50"/>
    </row>
    <row r="15" spans="1:18" ht="42" x14ac:dyDescent="0.35">
      <c r="B15" s="1295" t="s">
        <v>59</v>
      </c>
      <c r="C15" s="1286" t="s">
        <v>0</v>
      </c>
      <c r="D15" s="1286" t="s">
        <v>45</v>
      </c>
      <c r="E15" s="1286" t="s">
        <v>205</v>
      </c>
      <c r="F15" s="412" t="s">
        <v>202</v>
      </c>
      <c r="G15" s="412" t="s">
        <v>46</v>
      </c>
      <c r="H15" s="1297" t="s">
        <v>60</v>
      </c>
      <c r="I15" s="1297"/>
      <c r="J15" s="1297"/>
      <c r="K15" s="1297"/>
      <c r="L15" s="1297"/>
      <c r="M15" s="1297"/>
      <c r="N15" s="1297"/>
      <c r="O15" s="1297"/>
      <c r="P15" s="1298"/>
    </row>
    <row r="16" spans="1:18" ht="56" x14ac:dyDescent="0.35">
      <c r="B16" s="1296"/>
      <c r="C16" s="1287"/>
      <c r="D16" s="1287"/>
      <c r="E16" s="1287"/>
      <c r="F16" s="172" t="s">
        <v>213</v>
      </c>
      <c r="G16" s="172" t="s">
        <v>214</v>
      </c>
      <c r="H16" s="135" t="s">
        <v>38</v>
      </c>
      <c r="I16" s="135" t="s">
        <v>40</v>
      </c>
      <c r="J16" s="135" t="s">
        <v>109</v>
      </c>
      <c r="K16" s="135" t="s">
        <v>110</v>
      </c>
      <c r="L16" s="135" t="s">
        <v>41</v>
      </c>
      <c r="M16" s="135" t="s">
        <v>42</v>
      </c>
      <c r="N16" s="135" t="s">
        <v>43</v>
      </c>
      <c r="O16" s="135" t="s">
        <v>508</v>
      </c>
      <c r="P16" s="413" t="s">
        <v>35</v>
      </c>
    </row>
    <row r="17" spans="1:16" ht="22.5" customHeight="1" x14ac:dyDescent="0.35">
      <c r="B17" s="1292" t="s">
        <v>141</v>
      </c>
      <c r="C17" s="1293"/>
      <c r="D17" s="1293"/>
      <c r="E17" s="1293"/>
      <c r="F17" s="1293"/>
      <c r="G17" s="1293"/>
      <c r="H17" s="1293"/>
      <c r="I17" s="1293"/>
      <c r="J17" s="1293"/>
      <c r="K17" s="1293"/>
      <c r="L17" s="1293"/>
      <c r="M17" s="1293"/>
      <c r="N17" s="1293"/>
      <c r="O17" s="1293"/>
      <c r="P17" s="1294"/>
    </row>
    <row r="18" spans="1:16" ht="26.25" customHeight="1" x14ac:dyDescent="0.35">
      <c r="A18" s="33"/>
      <c r="B18" s="1301" t="s">
        <v>142</v>
      </c>
      <c r="C18" s="1302"/>
      <c r="D18" s="1302"/>
      <c r="E18" s="1302"/>
      <c r="F18" s="1302"/>
      <c r="G18" s="1302"/>
      <c r="H18" s="1302"/>
      <c r="I18" s="1302"/>
      <c r="J18" s="1302"/>
      <c r="K18" s="1302"/>
      <c r="L18" s="1302"/>
      <c r="M18" s="1302"/>
      <c r="N18" s="1302"/>
      <c r="O18" s="1302"/>
      <c r="P18" s="1303"/>
    </row>
    <row r="19" spans="1:16" ht="15" customHeight="1" x14ac:dyDescent="0.35">
      <c r="A19" s="33"/>
      <c r="B19" s="1140">
        <v>1</v>
      </c>
      <c r="C19" s="1141" t="s">
        <v>143</v>
      </c>
      <c r="D19" s="245" t="s">
        <v>34</v>
      </c>
      <c r="E19" s="1083"/>
      <c r="F19" s="251">
        <v>223005</v>
      </c>
      <c r="G19" s="251">
        <v>14</v>
      </c>
      <c r="H19" s="1142">
        <v>1</v>
      </c>
      <c r="I19" s="251"/>
      <c r="J19" s="251"/>
      <c r="K19" s="251"/>
      <c r="L19" s="251"/>
      <c r="M19" s="251"/>
      <c r="N19" s="251"/>
      <c r="O19" s="251"/>
      <c r="P19" s="1143">
        <f>SUM(H19:O19)</f>
        <v>1</v>
      </c>
    </row>
    <row r="20" spans="1:16" x14ac:dyDescent="0.35">
      <c r="A20" s="8"/>
      <c r="B20" s="1140">
        <v>2</v>
      </c>
      <c r="C20" s="1141" t="s">
        <v>144</v>
      </c>
      <c r="D20" s="245" t="s">
        <v>34</v>
      </c>
      <c r="E20" s="1144"/>
      <c r="F20" s="251">
        <v>327422</v>
      </c>
      <c r="G20" s="251">
        <v>24</v>
      </c>
      <c r="H20" s="1142">
        <v>1</v>
      </c>
      <c r="I20" s="251"/>
      <c r="J20" s="251"/>
      <c r="K20" s="251"/>
      <c r="L20" s="251"/>
      <c r="M20" s="251"/>
      <c r="N20" s="251"/>
      <c r="O20" s="251"/>
      <c r="P20" s="1143">
        <f t="shared" ref="P20:P81" si="0">SUM(H20:O20)</f>
        <v>1</v>
      </c>
    </row>
    <row r="21" spans="1:16" x14ac:dyDescent="0.35">
      <c r="A21" s="33"/>
      <c r="B21" s="1140">
        <v>3</v>
      </c>
      <c r="C21" s="1141" t="s">
        <v>145</v>
      </c>
      <c r="D21" s="245" t="s">
        <v>34</v>
      </c>
      <c r="E21" s="1144"/>
      <c r="F21" s="251">
        <v>46864</v>
      </c>
      <c r="G21" s="251">
        <v>7</v>
      </c>
      <c r="H21" s="1142">
        <v>1</v>
      </c>
      <c r="I21" s="251"/>
      <c r="J21" s="251"/>
      <c r="K21" s="251"/>
      <c r="L21" s="251"/>
      <c r="M21" s="251"/>
      <c r="N21" s="251"/>
      <c r="O21" s="251"/>
      <c r="P21" s="1143">
        <f t="shared" si="0"/>
        <v>1</v>
      </c>
    </row>
    <row r="22" spans="1:16" x14ac:dyDescent="0.35">
      <c r="A22" s="33"/>
      <c r="B22" s="1140">
        <v>4</v>
      </c>
      <c r="C22" s="1141" t="s">
        <v>146</v>
      </c>
      <c r="D22" s="245" t="s">
        <v>34</v>
      </c>
      <c r="E22" s="1144"/>
      <c r="F22" s="251">
        <v>0</v>
      </c>
      <c r="G22" s="251">
        <v>0</v>
      </c>
      <c r="H22" s="1142">
        <v>1</v>
      </c>
      <c r="I22" s="251"/>
      <c r="J22" s="251"/>
      <c r="K22" s="251"/>
      <c r="L22" s="251"/>
      <c r="M22" s="251"/>
      <c r="N22" s="251"/>
      <c r="O22" s="251"/>
      <c r="P22" s="1143">
        <f t="shared" si="0"/>
        <v>1</v>
      </c>
    </row>
    <row r="23" spans="1:16" x14ac:dyDescent="0.35">
      <c r="A23" s="33"/>
      <c r="B23" s="1140">
        <v>5</v>
      </c>
      <c r="C23" s="1141" t="s">
        <v>147</v>
      </c>
      <c r="D23" s="245" t="s">
        <v>34</v>
      </c>
      <c r="E23" s="1144"/>
      <c r="F23" s="251">
        <v>515733</v>
      </c>
      <c r="G23" s="251">
        <v>273</v>
      </c>
      <c r="H23" s="1142">
        <v>1</v>
      </c>
      <c r="I23" s="251"/>
      <c r="J23" s="251"/>
      <c r="K23" s="251"/>
      <c r="L23" s="251"/>
      <c r="M23" s="251"/>
      <c r="N23" s="251"/>
      <c r="O23" s="251"/>
      <c r="P23" s="1143">
        <f t="shared" si="0"/>
        <v>1</v>
      </c>
    </row>
    <row r="24" spans="1:16" ht="28" x14ac:dyDescent="0.35">
      <c r="A24" s="33"/>
      <c r="B24" s="1140">
        <v>6</v>
      </c>
      <c r="C24" s="1141" t="s">
        <v>148</v>
      </c>
      <c r="D24" s="245" t="s">
        <v>34</v>
      </c>
      <c r="E24" s="1144"/>
      <c r="F24" s="251">
        <v>0</v>
      </c>
      <c r="G24" s="251">
        <v>0</v>
      </c>
      <c r="H24" s="1142">
        <v>1</v>
      </c>
      <c r="I24" s="251"/>
      <c r="J24" s="251"/>
      <c r="K24" s="251"/>
      <c r="L24" s="251"/>
      <c r="M24" s="251"/>
      <c r="N24" s="251"/>
      <c r="O24" s="251"/>
      <c r="P24" s="1143">
        <f t="shared" si="0"/>
        <v>1</v>
      </c>
    </row>
    <row r="25" spans="1:16" x14ac:dyDescent="0.35">
      <c r="A25" s="33"/>
      <c r="B25" s="1145" t="s">
        <v>258</v>
      </c>
      <c r="C25" s="1146"/>
      <c r="D25" s="245" t="s">
        <v>253</v>
      </c>
      <c r="E25" s="1144"/>
      <c r="F25" s="1116">
        <v>0</v>
      </c>
      <c r="G25" s="1116">
        <v>0</v>
      </c>
      <c r="H25" s="1142">
        <v>1</v>
      </c>
      <c r="I25" s="251"/>
      <c r="J25" s="251"/>
      <c r="K25" s="251"/>
      <c r="L25" s="251"/>
      <c r="M25" s="251"/>
      <c r="N25" s="251"/>
      <c r="O25" s="251"/>
      <c r="P25" s="1143"/>
    </row>
    <row r="26" spans="1:16" x14ac:dyDescent="0.35">
      <c r="A26" s="33"/>
      <c r="B26" s="1140"/>
      <c r="C26" s="1276" t="s">
        <v>786</v>
      </c>
      <c r="D26" s="1276"/>
      <c r="E26" s="1129"/>
      <c r="F26" s="1116">
        <f>SUM(F19:F24)</f>
        <v>1113024</v>
      </c>
      <c r="G26" s="1116">
        <f>SUM(G19:G24)</f>
        <v>318</v>
      </c>
      <c r="H26" s="1142"/>
      <c r="I26" s="251"/>
      <c r="J26" s="251"/>
      <c r="K26" s="251"/>
      <c r="L26" s="251"/>
      <c r="M26" s="251"/>
      <c r="N26" s="251"/>
      <c r="O26" s="251"/>
      <c r="P26" s="1143"/>
    </row>
    <row r="27" spans="1:16" x14ac:dyDescent="0.35">
      <c r="A27" s="33"/>
      <c r="B27" s="1140"/>
      <c r="C27" s="1267"/>
      <c r="D27" s="1267"/>
      <c r="E27" s="1087"/>
      <c r="F27" s="251"/>
      <c r="G27" s="251"/>
      <c r="H27" s="1142"/>
      <c r="I27" s="251"/>
      <c r="J27" s="251"/>
      <c r="K27" s="251"/>
      <c r="L27" s="251"/>
      <c r="M27" s="251"/>
      <c r="N27" s="251"/>
      <c r="O27" s="251"/>
      <c r="P27" s="1143"/>
    </row>
    <row r="28" spans="1:16" x14ac:dyDescent="0.35">
      <c r="A28" s="33"/>
      <c r="B28" s="1140"/>
      <c r="C28" s="1267"/>
      <c r="D28" s="1267"/>
      <c r="E28" s="1087"/>
      <c r="F28" s="251"/>
      <c r="G28" s="251"/>
      <c r="H28" s="1142"/>
      <c r="I28" s="251"/>
      <c r="J28" s="251"/>
      <c r="K28" s="251"/>
      <c r="L28" s="251"/>
      <c r="M28" s="251"/>
      <c r="N28" s="251"/>
      <c r="O28" s="251"/>
      <c r="P28" s="1143"/>
    </row>
    <row r="29" spans="1:16" ht="25.5" customHeight="1" x14ac:dyDescent="0.35">
      <c r="A29" s="33"/>
      <c r="B29" s="1301" t="s">
        <v>149</v>
      </c>
      <c r="C29" s="1302"/>
      <c r="D29" s="1302"/>
      <c r="E29" s="1302"/>
      <c r="F29" s="1302"/>
      <c r="G29" s="1302"/>
      <c r="H29" s="1302"/>
      <c r="I29" s="1302"/>
      <c r="J29" s="1302"/>
      <c r="K29" s="1302"/>
      <c r="L29" s="1302"/>
      <c r="M29" s="1302"/>
      <c r="N29" s="1302"/>
      <c r="O29" s="1302"/>
      <c r="P29" s="1303"/>
    </row>
    <row r="30" spans="1:16" x14ac:dyDescent="0.35">
      <c r="A30" s="33"/>
      <c r="B30" s="1140">
        <v>7</v>
      </c>
      <c r="C30" s="1141" t="s">
        <v>150</v>
      </c>
      <c r="D30" s="245" t="s">
        <v>34</v>
      </c>
      <c r="E30" s="1144">
        <v>12</v>
      </c>
      <c r="F30" s="289">
        <v>142541</v>
      </c>
      <c r="G30" s="289">
        <v>30</v>
      </c>
      <c r="H30" s="251"/>
      <c r="I30" s="1142">
        <v>0</v>
      </c>
      <c r="J30" s="1142">
        <v>1</v>
      </c>
      <c r="K30" s="1142">
        <v>0</v>
      </c>
      <c r="L30" s="251"/>
      <c r="M30" s="251"/>
      <c r="N30" s="251"/>
      <c r="O30" s="1142">
        <v>0</v>
      </c>
      <c r="P30" s="1143">
        <f t="shared" si="0"/>
        <v>1</v>
      </c>
    </row>
    <row r="31" spans="1:16" ht="28" x14ac:dyDescent="0.35">
      <c r="A31" s="33"/>
      <c r="B31" s="1140">
        <v>8</v>
      </c>
      <c r="C31" s="1141" t="s">
        <v>151</v>
      </c>
      <c r="D31" s="245" t="s">
        <v>34</v>
      </c>
      <c r="E31" s="1144">
        <v>12</v>
      </c>
      <c r="F31" s="289">
        <v>14020784</v>
      </c>
      <c r="G31" s="289">
        <v>6992</v>
      </c>
      <c r="H31" s="251"/>
      <c r="I31" s="1142">
        <v>0.09</v>
      </c>
      <c r="J31" s="1142">
        <v>0.11</v>
      </c>
      <c r="K31" s="1142">
        <v>0.1</v>
      </c>
      <c r="L31" s="251"/>
      <c r="M31" s="251"/>
      <c r="N31" s="251"/>
      <c r="O31" s="1142">
        <v>0.76</v>
      </c>
      <c r="P31" s="1143">
        <f t="shared" si="0"/>
        <v>1.06</v>
      </c>
    </row>
    <row r="32" spans="1:16" x14ac:dyDescent="0.35">
      <c r="A32" s="33"/>
      <c r="B32" s="1140">
        <v>9</v>
      </c>
      <c r="C32" s="1141" t="s">
        <v>152</v>
      </c>
      <c r="D32" s="245" t="s">
        <v>34</v>
      </c>
      <c r="E32" s="1144">
        <v>12</v>
      </c>
      <c r="F32" s="289">
        <v>102095</v>
      </c>
      <c r="G32" s="289">
        <v>23</v>
      </c>
      <c r="H32" s="251"/>
      <c r="I32" s="1142">
        <v>1</v>
      </c>
      <c r="J32" s="1142">
        <v>0</v>
      </c>
      <c r="K32" s="1142">
        <v>0</v>
      </c>
      <c r="L32" s="251"/>
      <c r="M32" s="251"/>
      <c r="N32" s="251"/>
      <c r="O32" s="1142">
        <v>0</v>
      </c>
      <c r="P32" s="1143">
        <f t="shared" si="0"/>
        <v>1</v>
      </c>
    </row>
    <row r="33" spans="1:16" ht="28" x14ac:dyDescent="0.35">
      <c r="A33" s="33"/>
      <c r="B33" s="1140">
        <v>10</v>
      </c>
      <c r="C33" s="1141" t="s">
        <v>153</v>
      </c>
      <c r="D33" s="245" t="s">
        <v>34</v>
      </c>
      <c r="E33" s="1144">
        <v>12</v>
      </c>
      <c r="F33" s="289">
        <v>0</v>
      </c>
      <c r="G33" s="289">
        <v>0</v>
      </c>
      <c r="H33" s="251"/>
      <c r="I33" s="1142">
        <v>0</v>
      </c>
      <c r="J33" s="1142">
        <v>0</v>
      </c>
      <c r="K33" s="1142">
        <v>0</v>
      </c>
      <c r="L33" s="251"/>
      <c r="M33" s="251"/>
      <c r="N33" s="251"/>
      <c r="O33" s="1142">
        <v>0</v>
      </c>
      <c r="P33" s="1143">
        <f t="shared" si="0"/>
        <v>0</v>
      </c>
    </row>
    <row r="34" spans="1:16" ht="28" x14ac:dyDescent="0.35">
      <c r="A34" s="33"/>
      <c r="B34" s="1140">
        <v>11</v>
      </c>
      <c r="C34" s="1141" t="s">
        <v>154</v>
      </c>
      <c r="D34" s="245" t="s">
        <v>34</v>
      </c>
      <c r="E34" s="1144">
        <v>3</v>
      </c>
      <c r="F34" s="289">
        <v>0</v>
      </c>
      <c r="G34" s="289">
        <v>0</v>
      </c>
      <c r="H34" s="251"/>
      <c r="I34" s="1142">
        <v>0</v>
      </c>
      <c r="J34" s="1142">
        <v>0</v>
      </c>
      <c r="K34" s="1142">
        <v>0</v>
      </c>
      <c r="L34" s="251"/>
      <c r="M34" s="251"/>
      <c r="N34" s="251"/>
      <c r="O34" s="1142">
        <v>0</v>
      </c>
      <c r="P34" s="1143">
        <f t="shared" si="0"/>
        <v>0</v>
      </c>
    </row>
    <row r="35" spans="1:16" x14ac:dyDescent="0.35">
      <c r="A35" s="33"/>
      <c r="B35" s="1145" t="s">
        <v>258</v>
      </c>
      <c r="C35" s="1141"/>
      <c r="D35" s="245" t="s">
        <v>253</v>
      </c>
      <c r="E35" s="1144"/>
      <c r="F35" s="1147">
        <v>0</v>
      </c>
      <c r="G35" s="1147">
        <v>0</v>
      </c>
      <c r="H35" s="251"/>
      <c r="I35" s="251"/>
      <c r="J35" s="251"/>
      <c r="K35" s="251"/>
      <c r="L35" s="251"/>
      <c r="M35" s="251"/>
      <c r="N35" s="251"/>
      <c r="O35" s="251"/>
      <c r="P35" s="1143"/>
    </row>
    <row r="36" spans="1:16" x14ac:dyDescent="0.35">
      <c r="A36" s="33"/>
      <c r="B36" s="1140"/>
      <c r="C36" s="1276" t="s">
        <v>787</v>
      </c>
      <c r="D36" s="1276"/>
      <c r="E36" s="1129"/>
      <c r="F36" s="1116">
        <f>SUM(F30:F34)</f>
        <v>14265420</v>
      </c>
      <c r="G36" s="1116">
        <f>SUM(G30:G34)</f>
        <v>7045</v>
      </c>
      <c r="H36" s="1142"/>
      <c r="I36" s="251"/>
      <c r="J36" s="251"/>
      <c r="K36" s="251"/>
      <c r="L36" s="251"/>
      <c r="M36" s="251"/>
      <c r="N36" s="251"/>
      <c r="O36" s="251"/>
      <c r="P36" s="1143"/>
    </row>
    <row r="37" spans="1:16" x14ac:dyDescent="0.35">
      <c r="A37" s="33"/>
      <c r="B37" s="1140"/>
      <c r="C37" s="1267"/>
      <c r="D37" s="1267"/>
      <c r="E37" s="1087"/>
      <c r="F37" s="289"/>
      <c r="G37" s="289"/>
      <c r="H37" s="251"/>
      <c r="I37" s="251"/>
      <c r="J37" s="251"/>
      <c r="K37" s="251"/>
      <c r="L37" s="251"/>
      <c r="M37" s="251"/>
      <c r="N37" s="251"/>
      <c r="O37" s="251"/>
      <c r="P37" s="1143"/>
    </row>
    <row r="38" spans="1:16" x14ac:dyDescent="0.35">
      <c r="A38" s="33"/>
      <c r="B38" s="1140"/>
      <c r="C38" s="1267"/>
      <c r="D38" s="1267"/>
      <c r="E38" s="1087"/>
      <c r="F38" s="289"/>
      <c r="G38" s="289"/>
      <c r="H38" s="251"/>
      <c r="I38" s="251"/>
      <c r="J38" s="251"/>
      <c r="K38" s="251"/>
      <c r="L38" s="251"/>
      <c r="M38" s="251"/>
      <c r="N38" s="251"/>
      <c r="O38" s="251"/>
      <c r="P38" s="1143"/>
    </row>
    <row r="39" spans="1:16" ht="26.25" customHeight="1" x14ac:dyDescent="0.35">
      <c r="A39" s="33"/>
      <c r="B39" s="1301" t="s">
        <v>11</v>
      </c>
      <c r="C39" s="1302"/>
      <c r="D39" s="1302"/>
      <c r="E39" s="1302"/>
      <c r="F39" s="1302"/>
      <c r="G39" s="1302"/>
      <c r="H39" s="1302"/>
      <c r="I39" s="1302"/>
      <c r="J39" s="1302"/>
      <c r="K39" s="1302"/>
      <c r="L39" s="1302"/>
      <c r="M39" s="1302"/>
      <c r="N39" s="1302"/>
      <c r="O39" s="1302"/>
      <c r="P39" s="1303"/>
    </row>
    <row r="40" spans="1:16" ht="28" x14ac:dyDescent="0.35">
      <c r="A40" s="33"/>
      <c r="B40" s="1140">
        <v>12</v>
      </c>
      <c r="C40" s="1141" t="s">
        <v>155</v>
      </c>
      <c r="D40" s="245" t="s">
        <v>34</v>
      </c>
      <c r="E40" s="1144">
        <v>12</v>
      </c>
      <c r="F40" s="289">
        <v>42147864</v>
      </c>
      <c r="G40" s="289">
        <v>4811</v>
      </c>
      <c r="H40" s="251"/>
      <c r="I40" s="251"/>
      <c r="J40" s="1142">
        <v>0</v>
      </c>
      <c r="K40" s="1142">
        <v>0</v>
      </c>
      <c r="L40" s="251"/>
      <c r="M40" s="251"/>
      <c r="N40" s="251"/>
      <c r="O40" s="1142">
        <v>1</v>
      </c>
      <c r="P40" s="1143">
        <f t="shared" si="0"/>
        <v>1</v>
      </c>
    </row>
    <row r="41" spans="1:16" ht="28" x14ac:dyDescent="0.35">
      <c r="A41" s="33"/>
      <c r="B41" s="1140">
        <v>13</v>
      </c>
      <c r="C41" s="1141" t="s">
        <v>156</v>
      </c>
      <c r="D41" s="245" t="s">
        <v>34</v>
      </c>
      <c r="E41" s="1144">
        <v>12</v>
      </c>
      <c r="F41" s="289">
        <v>0</v>
      </c>
      <c r="G41" s="289">
        <v>0</v>
      </c>
      <c r="H41" s="251"/>
      <c r="I41" s="251"/>
      <c r="J41" s="1142">
        <v>0</v>
      </c>
      <c r="K41" s="1142">
        <v>0</v>
      </c>
      <c r="L41" s="251"/>
      <c r="M41" s="251"/>
      <c r="N41" s="251"/>
      <c r="O41" s="1142">
        <v>0</v>
      </c>
      <c r="P41" s="1143">
        <f t="shared" si="0"/>
        <v>0</v>
      </c>
    </row>
    <row r="42" spans="1:16" ht="28" x14ac:dyDescent="0.35">
      <c r="A42" s="33"/>
      <c r="B42" s="1140">
        <v>14</v>
      </c>
      <c r="C42" s="1141" t="s">
        <v>157</v>
      </c>
      <c r="D42" s="245" t="s">
        <v>34</v>
      </c>
      <c r="E42" s="1144">
        <v>12</v>
      </c>
      <c r="F42" s="289">
        <v>17239</v>
      </c>
      <c r="G42" s="289">
        <v>5</v>
      </c>
      <c r="H42" s="251"/>
      <c r="I42" s="251"/>
      <c r="J42" s="1142">
        <v>1</v>
      </c>
      <c r="K42" s="1142">
        <v>0</v>
      </c>
      <c r="L42" s="251"/>
      <c r="M42" s="251"/>
      <c r="N42" s="251"/>
      <c r="O42" s="1142">
        <v>0</v>
      </c>
      <c r="P42" s="1143">
        <f t="shared" si="0"/>
        <v>1</v>
      </c>
    </row>
    <row r="43" spans="1:16" x14ac:dyDescent="0.35">
      <c r="A43" s="33"/>
      <c r="B43" s="1145" t="s">
        <v>258</v>
      </c>
      <c r="C43" s="1141"/>
      <c r="D43" s="245" t="s">
        <v>253</v>
      </c>
      <c r="E43" s="1144"/>
      <c r="F43" s="1147">
        <v>0</v>
      </c>
      <c r="G43" s="1147">
        <v>0</v>
      </c>
      <c r="H43" s="251"/>
      <c r="I43" s="251"/>
      <c r="J43" s="251"/>
      <c r="K43" s="251"/>
      <c r="L43" s="251"/>
      <c r="M43" s="251"/>
      <c r="N43" s="251"/>
      <c r="O43" s="251"/>
      <c r="P43" s="1143"/>
    </row>
    <row r="44" spans="1:16" x14ac:dyDescent="0.35">
      <c r="A44" s="33"/>
      <c r="B44" s="1140"/>
      <c r="C44" s="1276" t="s">
        <v>780</v>
      </c>
      <c r="D44" s="1276"/>
      <c r="E44" s="1129"/>
      <c r="F44" s="1116">
        <f>SUM(F40:F42)</f>
        <v>42165103</v>
      </c>
      <c r="G44" s="1116">
        <f>SUM(G40:G42)</f>
        <v>4816</v>
      </c>
      <c r="H44" s="1142"/>
      <c r="I44" s="251"/>
      <c r="J44" s="251"/>
      <c r="K44" s="251"/>
      <c r="L44" s="251"/>
      <c r="M44" s="251"/>
      <c r="N44" s="251"/>
      <c r="O44" s="251"/>
      <c r="P44" s="1143"/>
    </row>
    <row r="45" spans="1:16" x14ac:dyDescent="0.35">
      <c r="A45" s="33"/>
      <c r="B45" s="1140"/>
      <c r="C45" s="1267"/>
      <c r="D45" s="1267"/>
      <c r="E45" s="1087"/>
      <c r="F45" s="289"/>
      <c r="G45" s="289"/>
      <c r="H45" s="251"/>
      <c r="I45" s="251"/>
      <c r="J45" s="251"/>
      <c r="K45" s="251"/>
      <c r="L45" s="251"/>
      <c r="M45" s="251"/>
      <c r="N45" s="251"/>
      <c r="O45" s="251"/>
      <c r="P45" s="1143"/>
    </row>
    <row r="46" spans="1:16" x14ac:dyDescent="0.35">
      <c r="A46" s="33"/>
      <c r="B46" s="1140"/>
      <c r="C46" s="1267"/>
      <c r="D46" s="1267"/>
      <c r="E46" s="1087"/>
      <c r="F46" s="289"/>
      <c r="G46" s="289"/>
      <c r="H46" s="251"/>
      <c r="I46" s="251"/>
      <c r="J46" s="251"/>
      <c r="K46" s="251"/>
      <c r="L46" s="251"/>
      <c r="M46" s="251"/>
      <c r="N46" s="251"/>
      <c r="O46" s="251"/>
      <c r="P46" s="1143"/>
    </row>
    <row r="47" spans="1:16" ht="24" customHeight="1" x14ac:dyDescent="0.35">
      <c r="A47" s="33"/>
      <c r="B47" s="1301" t="s">
        <v>158</v>
      </c>
      <c r="C47" s="1302"/>
      <c r="D47" s="1302"/>
      <c r="E47" s="1302"/>
      <c r="F47" s="1302"/>
      <c r="G47" s="1302"/>
      <c r="H47" s="1302"/>
      <c r="I47" s="1302"/>
      <c r="J47" s="1302"/>
      <c r="K47" s="1302"/>
      <c r="L47" s="1302"/>
      <c r="M47" s="1302"/>
      <c r="N47" s="1302"/>
      <c r="O47" s="1302"/>
      <c r="P47" s="1303"/>
    </row>
    <row r="48" spans="1:16" x14ac:dyDescent="0.35">
      <c r="A48" s="33"/>
      <c r="B48" s="1140">
        <v>15</v>
      </c>
      <c r="C48" s="1141" t="s">
        <v>159</v>
      </c>
      <c r="D48" s="245" t="s">
        <v>34</v>
      </c>
      <c r="E48" s="1144"/>
      <c r="F48" s="289">
        <v>526869</v>
      </c>
      <c r="G48" s="289">
        <v>43</v>
      </c>
      <c r="H48" s="1142">
        <v>1</v>
      </c>
      <c r="I48" s="251"/>
      <c r="J48" s="251"/>
      <c r="K48" s="251"/>
      <c r="L48" s="251"/>
      <c r="M48" s="251"/>
      <c r="N48" s="251"/>
      <c r="O48" s="251"/>
      <c r="P48" s="1143">
        <f t="shared" si="0"/>
        <v>1</v>
      </c>
    </row>
    <row r="49" spans="1:16" x14ac:dyDescent="0.35">
      <c r="A49" s="33"/>
      <c r="B49" s="1145" t="s">
        <v>258</v>
      </c>
      <c r="C49" s="1141"/>
      <c r="D49" s="245" t="s">
        <v>253</v>
      </c>
      <c r="E49" s="1144"/>
      <c r="F49" s="1147">
        <v>0</v>
      </c>
      <c r="G49" s="1147">
        <v>0</v>
      </c>
      <c r="H49" s="1142"/>
      <c r="I49" s="251"/>
      <c r="J49" s="251"/>
      <c r="K49" s="251"/>
      <c r="L49" s="251"/>
      <c r="M49" s="251"/>
      <c r="N49" s="251"/>
      <c r="O49" s="251"/>
      <c r="P49" s="1143">
        <f t="shared" si="0"/>
        <v>0</v>
      </c>
    </row>
    <row r="50" spans="1:16" x14ac:dyDescent="0.35">
      <c r="A50" s="33"/>
      <c r="B50" s="1140"/>
      <c r="C50" s="1276" t="s">
        <v>781</v>
      </c>
      <c r="D50" s="1276"/>
      <c r="E50" s="1129"/>
      <c r="F50" s="1116">
        <f>SUM(F48)</f>
        <v>526869</v>
      </c>
      <c r="G50" s="1116">
        <f>SUM(G48)</f>
        <v>43</v>
      </c>
      <c r="H50" s="1142"/>
      <c r="I50" s="251"/>
      <c r="J50" s="251"/>
      <c r="K50" s="251"/>
      <c r="L50" s="251"/>
      <c r="M50" s="251"/>
      <c r="N50" s="251"/>
      <c r="O50" s="251"/>
      <c r="P50" s="1143"/>
    </row>
    <row r="51" spans="1:16" x14ac:dyDescent="0.35">
      <c r="A51" s="33"/>
      <c r="B51" s="1140"/>
      <c r="C51" s="1267"/>
      <c r="D51" s="1267"/>
      <c r="E51" s="1087"/>
      <c r="F51" s="289"/>
      <c r="G51" s="289"/>
      <c r="H51" s="1142"/>
      <c r="I51" s="251"/>
      <c r="J51" s="251"/>
      <c r="K51" s="251"/>
      <c r="L51" s="251"/>
      <c r="M51" s="251"/>
      <c r="N51" s="251"/>
      <c r="O51" s="251"/>
      <c r="P51" s="1143"/>
    </row>
    <row r="52" spans="1:16" x14ac:dyDescent="0.35">
      <c r="A52" s="33"/>
      <c r="B52" s="1140"/>
      <c r="C52" s="1267"/>
      <c r="D52" s="1267"/>
      <c r="E52" s="1087"/>
      <c r="F52" s="289"/>
      <c r="G52" s="289"/>
      <c r="H52" s="1142"/>
      <c r="I52" s="251"/>
      <c r="J52" s="251"/>
      <c r="K52" s="251"/>
      <c r="L52" s="251"/>
      <c r="M52" s="251"/>
      <c r="N52" s="251"/>
      <c r="O52" s="251"/>
      <c r="P52" s="1143">
        <f t="shared" si="0"/>
        <v>0</v>
      </c>
    </row>
    <row r="53" spans="1:16" ht="21" customHeight="1" x14ac:dyDescent="0.35">
      <c r="A53" s="32"/>
      <c r="B53" s="1301" t="s">
        <v>160</v>
      </c>
      <c r="C53" s="1302"/>
      <c r="D53" s="1302"/>
      <c r="E53" s="1302"/>
      <c r="F53" s="1302"/>
      <c r="G53" s="1302"/>
      <c r="H53" s="1302"/>
      <c r="I53" s="1302"/>
      <c r="J53" s="1302"/>
      <c r="K53" s="1302"/>
      <c r="L53" s="1302"/>
      <c r="M53" s="1302"/>
      <c r="N53" s="1302"/>
      <c r="O53" s="1302"/>
      <c r="P53" s="1303"/>
    </row>
    <row r="54" spans="1:16" x14ac:dyDescent="0.35">
      <c r="A54" s="33"/>
      <c r="B54" s="1140">
        <v>16</v>
      </c>
      <c r="C54" s="1141" t="s">
        <v>161</v>
      </c>
      <c r="D54" s="245" t="s">
        <v>34</v>
      </c>
      <c r="E54" s="1144"/>
      <c r="F54" s="289">
        <v>0</v>
      </c>
      <c r="G54" s="289">
        <v>0</v>
      </c>
      <c r="H54" s="251"/>
      <c r="I54" s="251"/>
      <c r="J54" s="251"/>
      <c r="K54" s="251"/>
      <c r="L54" s="251"/>
      <c r="M54" s="251"/>
      <c r="N54" s="251"/>
      <c r="O54" s="251"/>
      <c r="P54" s="1143">
        <f t="shared" si="0"/>
        <v>0</v>
      </c>
    </row>
    <row r="55" spans="1:16" x14ac:dyDescent="0.35">
      <c r="A55" s="33"/>
      <c r="B55" s="1140">
        <v>17</v>
      </c>
      <c r="C55" s="1141" t="s">
        <v>162</v>
      </c>
      <c r="D55" s="245" t="s">
        <v>34</v>
      </c>
      <c r="E55" s="1144"/>
      <c r="F55" s="289">
        <v>0</v>
      </c>
      <c r="G55" s="289">
        <v>0</v>
      </c>
      <c r="H55" s="251"/>
      <c r="I55" s="251"/>
      <c r="J55" s="251"/>
      <c r="K55" s="251"/>
      <c r="L55" s="251"/>
      <c r="M55" s="251"/>
      <c r="N55" s="251"/>
      <c r="O55" s="251"/>
      <c r="P55" s="1143">
        <f t="shared" si="0"/>
        <v>0</v>
      </c>
    </row>
    <row r="56" spans="1:16" x14ac:dyDescent="0.35">
      <c r="A56" s="33"/>
      <c r="B56" s="1140">
        <v>18</v>
      </c>
      <c r="C56" s="1141" t="s">
        <v>163</v>
      </c>
      <c r="D56" s="245" t="s">
        <v>34</v>
      </c>
      <c r="E56" s="1144"/>
      <c r="F56" s="289">
        <v>0</v>
      </c>
      <c r="G56" s="289">
        <v>0</v>
      </c>
      <c r="H56" s="251"/>
      <c r="I56" s="251"/>
      <c r="J56" s="251"/>
      <c r="K56" s="251"/>
      <c r="L56" s="251"/>
      <c r="M56" s="251"/>
      <c r="N56" s="251"/>
      <c r="O56" s="251"/>
      <c r="P56" s="1143">
        <f t="shared" si="0"/>
        <v>0</v>
      </c>
    </row>
    <row r="57" spans="1:16" x14ac:dyDescent="0.35">
      <c r="A57" s="33"/>
      <c r="B57" s="1140">
        <v>19</v>
      </c>
      <c r="C57" s="1141" t="s">
        <v>164</v>
      </c>
      <c r="D57" s="245" t="s">
        <v>34</v>
      </c>
      <c r="E57" s="1144"/>
      <c r="F57" s="289">
        <v>0</v>
      </c>
      <c r="G57" s="289">
        <v>0</v>
      </c>
      <c r="H57" s="251"/>
      <c r="I57" s="251"/>
      <c r="J57" s="251"/>
      <c r="K57" s="251"/>
      <c r="L57" s="251"/>
      <c r="M57" s="251"/>
      <c r="N57" s="251"/>
      <c r="O57" s="251"/>
      <c r="P57" s="1143">
        <f t="shared" si="0"/>
        <v>0</v>
      </c>
    </row>
    <row r="58" spans="1:16" x14ac:dyDescent="0.35">
      <c r="A58" s="33"/>
      <c r="B58" s="1145" t="s">
        <v>258</v>
      </c>
      <c r="C58" s="1141"/>
      <c r="D58" s="245" t="s">
        <v>253</v>
      </c>
      <c r="E58" s="1144"/>
      <c r="F58" s="1147">
        <v>0</v>
      </c>
      <c r="G58" s="1147">
        <v>0</v>
      </c>
      <c r="H58" s="251"/>
      <c r="I58" s="251"/>
      <c r="J58" s="251"/>
      <c r="K58" s="251"/>
      <c r="L58" s="251"/>
      <c r="M58" s="251"/>
      <c r="N58" s="251"/>
      <c r="O58" s="251"/>
      <c r="P58" s="1143">
        <f t="shared" si="0"/>
        <v>0</v>
      </c>
    </row>
    <row r="59" spans="1:16" x14ac:dyDescent="0.35">
      <c r="A59" s="33"/>
      <c r="B59" s="1145"/>
      <c r="C59" s="1276" t="s">
        <v>788</v>
      </c>
      <c r="D59" s="1276"/>
      <c r="E59" s="1129"/>
      <c r="F59" s="1116">
        <f>SUM(F54:F57)</f>
        <v>0</v>
      </c>
      <c r="G59" s="1116">
        <f>SUM(G54:G57)</f>
        <v>0</v>
      </c>
      <c r="H59" s="251"/>
      <c r="I59" s="251"/>
      <c r="J59" s="251"/>
      <c r="K59" s="251"/>
      <c r="L59" s="251"/>
      <c r="M59" s="251"/>
      <c r="N59" s="251"/>
      <c r="O59" s="251"/>
      <c r="P59" s="1143"/>
    </row>
    <row r="60" spans="1:16" x14ac:dyDescent="0.35">
      <c r="A60" s="33"/>
      <c r="B60" s="1145"/>
      <c r="C60" s="1267"/>
      <c r="D60" s="1267"/>
      <c r="E60" s="1087"/>
      <c r="F60" s="289"/>
      <c r="G60" s="289"/>
      <c r="H60" s="251"/>
      <c r="I60" s="251"/>
      <c r="J60" s="251"/>
      <c r="K60" s="251"/>
      <c r="L60" s="251"/>
      <c r="M60" s="251"/>
      <c r="N60" s="251"/>
      <c r="O60" s="251"/>
      <c r="P60" s="1143"/>
    </row>
    <row r="61" spans="1:16" x14ac:dyDescent="0.35">
      <c r="A61" s="32"/>
      <c r="B61" s="1148"/>
      <c r="C61" s="1267"/>
      <c r="D61" s="1267"/>
      <c r="E61" s="1087"/>
      <c r="F61" s="289"/>
      <c r="G61" s="289"/>
      <c r="H61" s="1149"/>
      <c r="I61" s="1149"/>
      <c r="J61" s="1149"/>
      <c r="K61" s="1149"/>
      <c r="L61" s="1149"/>
      <c r="M61" s="1149"/>
      <c r="N61" s="1149"/>
      <c r="O61" s="1149"/>
      <c r="P61" s="1143"/>
    </row>
    <row r="62" spans="1:16" ht="27" customHeight="1" x14ac:dyDescent="0.35">
      <c r="B62" s="1288" t="s">
        <v>165</v>
      </c>
      <c r="C62" s="1289"/>
      <c r="D62" s="1289"/>
      <c r="E62" s="1289"/>
      <c r="F62" s="1289"/>
      <c r="G62" s="1289"/>
      <c r="H62" s="1289"/>
      <c r="I62" s="1289"/>
      <c r="J62" s="1289"/>
      <c r="K62" s="1289"/>
      <c r="L62" s="1289"/>
      <c r="M62" s="1289"/>
      <c r="N62" s="1289"/>
      <c r="O62" s="1289"/>
      <c r="P62" s="1290"/>
    </row>
    <row r="63" spans="1:16" ht="16.5" x14ac:dyDescent="0.35">
      <c r="B63" s="1150"/>
      <c r="C63" s="1141"/>
      <c r="D63" s="1144"/>
      <c r="E63" s="1144"/>
      <c r="F63" s="167"/>
      <c r="G63" s="167"/>
      <c r="H63" s="167"/>
      <c r="I63" s="167"/>
      <c r="J63" s="167"/>
      <c r="K63" s="167"/>
      <c r="L63" s="167"/>
      <c r="M63" s="167"/>
      <c r="N63" s="167"/>
      <c r="O63" s="167"/>
      <c r="P63" s="1151"/>
    </row>
    <row r="64" spans="1:16" ht="25.5" customHeight="1" x14ac:dyDescent="0.35">
      <c r="A64" s="33"/>
      <c r="B64" s="1304" t="s">
        <v>166</v>
      </c>
      <c r="C64" s="1279"/>
      <c r="D64" s="1279"/>
      <c r="E64" s="1279"/>
      <c r="F64" s="1279"/>
      <c r="G64" s="1279"/>
      <c r="H64" s="1279"/>
      <c r="I64" s="1279"/>
      <c r="J64" s="1279"/>
      <c r="K64" s="1279"/>
      <c r="L64" s="1279"/>
      <c r="M64" s="1279"/>
      <c r="N64" s="1279"/>
      <c r="O64" s="1279"/>
      <c r="P64" s="1305"/>
    </row>
    <row r="65" spans="1:16" x14ac:dyDescent="0.35">
      <c r="A65" s="33"/>
      <c r="B65" s="1140">
        <v>21</v>
      </c>
      <c r="C65" s="1141" t="s">
        <v>167</v>
      </c>
      <c r="D65" s="245" t="s">
        <v>34</v>
      </c>
      <c r="E65" s="1144"/>
      <c r="F65" s="289">
        <v>734476</v>
      </c>
      <c r="G65" s="289">
        <v>47</v>
      </c>
      <c r="H65" s="1142">
        <v>1</v>
      </c>
      <c r="I65" s="251"/>
      <c r="J65" s="251"/>
      <c r="K65" s="251"/>
      <c r="L65" s="251"/>
      <c r="M65" s="251"/>
      <c r="N65" s="251"/>
      <c r="O65" s="251"/>
      <c r="P65" s="1143">
        <f t="shared" si="0"/>
        <v>1</v>
      </c>
    </row>
    <row r="66" spans="1:16" x14ac:dyDescent="0.35">
      <c r="A66" s="33"/>
      <c r="B66" s="1140">
        <v>22</v>
      </c>
      <c r="C66" s="1141" t="s">
        <v>168</v>
      </c>
      <c r="D66" s="245" t="s">
        <v>34</v>
      </c>
      <c r="E66" s="1144"/>
      <c r="F66" s="289">
        <v>240796</v>
      </c>
      <c r="G66" s="289">
        <v>124</v>
      </c>
      <c r="H66" s="1142">
        <v>1</v>
      </c>
      <c r="I66" s="251"/>
      <c r="J66" s="251"/>
      <c r="K66" s="251"/>
      <c r="L66" s="251"/>
      <c r="M66" s="251"/>
      <c r="N66" s="251"/>
      <c r="O66" s="251"/>
      <c r="P66" s="1143">
        <f t="shared" si="0"/>
        <v>1</v>
      </c>
    </row>
    <row r="67" spans="1:16" x14ac:dyDescent="0.35">
      <c r="A67" s="33"/>
      <c r="B67" s="1140">
        <v>23</v>
      </c>
      <c r="C67" s="1141" t="s">
        <v>169</v>
      </c>
      <c r="D67" s="245" t="s">
        <v>34</v>
      </c>
      <c r="E67" s="1144"/>
      <c r="F67" s="289">
        <v>0</v>
      </c>
      <c r="G67" s="289">
        <v>0</v>
      </c>
      <c r="H67" s="1142">
        <v>1</v>
      </c>
      <c r="I67" s="251"/>
      <c r="J67" s="251"/>
      <c r="K67" s="251"/>
      <c r="L67" s="251"/>
      <c r="M67" s="251"/>
      <c r="N67" s="251"/>
      <c r="O67" s="251"/>
      <c r="P67" s="1143">
        <f t="shared" si="0"/>
        <v>1</v>
      </c>
    </row>
    <row r="68" spans="1:16" x14ac:dyDescent="0.35">
      <c r="A68" s="33"/>
      <c r="B68" s="1140">
        <v>24</v>
      </c>
      <c r="C68" s="1141" t="s">
        <v>170</v>
      </c>
      <c r="D68" s="245" t="s">
        <v>34</v>
      </c>
      <c r="E68" s="1144"/>
      <c r="F68" s="289">
        <v>0</v>
      </c>
      <c r="G68" s="289">
        <v>0</v>
      </c>
      <c r="H68" s="1142">
        <v>1</v>
      </c>
      <c r="I68" s="251"/>
      <c r="J68" s="251"/>
      <c r="K68" s="251"/>
      <c r="L68" s="251"/>
      <c r="M68" s="251"/>
      <c r="N68" s="251"/>
      <c r="O68" s="251"/>
      <c r="P68" s="1143">
        <f t="shared" si="0"/>
        <v>1</v>
      </c>
    </row>
    <row r="69" spans="1:16" x14ac:dyDescent="0.35">
      <c r="A69" s="33"/>
      <c r="B69" s="1145" t="s">
        <v>258</v>
      </c>
      <c r="C69" s="1141"/>
      <c r="D69" s="245" t="s">
        <v>253</v>
      </c>
      <c r="E69" s="1144"/>
      <c r="F69" s="1147">
        <v>0</v>
      </c>
      <c r="G69" s="1147">
        <v>0</v>
      </c>
      <c r="H69" s="1142"/>
      <c r="I69" s="251"/>
      <c r="J69" s="251"/>
      <c r="K69" s="251"/>
      <c r="L69" s="251"/>
      <c r="M69" s="251"/>
      <c r="N69" s="251"/>
      <c r="O69" s="251"/>
      <c r="P69" s="1143"/>
    </row>
    <row r="70" spans="1:16" x14ac:dyDescent="0.35">
      <c r="A70" s="33"/>
      <c r="B70" s="1140"/>
      <c r="C70" s="1276" t="s">
        <v>789</v>
      </c>
      <c r="D70" s="1276"/>
      <c r="E70" s="1129"/>
      <c r="F70" s="1116">
        <f>SUM(F65:F68)</f>
        <v>975272</v>
      </c>
      <c r="G70" s="1116">
        <f>SUM(G65:G68)</f>
        <v>171</v>
      </c>
      <c r="H70" s="1142"/>
      <c r="I70" s="251"/>
      <c r="J70" s="251"/>
      <c r="K70" s="251"/>
      <c r="L70" s="251"/>
      <c r="M70" s="251"/>
      <c r="N70" s="251"/>
      <c r="O70" s="251"/>
      <c r="P70" s="1143"/>
    </row>
    <row r="71" spans="1:16" x14ac:dyDescent="0.35">
      <c r="A71" s="33"/>
      <c r="B71" s="1140"/>
      <c r="C71" s="1267"/>
      <c r="D71" s="1267"/>
      <c r="E71" s="1087"/>
      <c r="F71" s="289"/>
      <c r="G71" s="289"/>
      <c r="H71" s="1142"/>
      <c r="I71" s="251"/>
      <c r="J71" s="251"/>
      <c r="K71" s="251"/>
      <c r="L71" s="251"/>
      <c r="M71" s="251"/>
      <c r="N71" s="251"/>
      <c r="O71" s="251"/>
      <c r="P71" s="1143"/>
    </row>
    <row r="72" spans="1:16" x14ac:dyDescent="0.35">
      <c r="A72" s="33"/>
      <c r="B72" s="1140"/>
      <c r="C72" s="1267"/>
      <c r="D72" s="1267"/>
      <c r="E72" s="1087"/>
      <c r="F72" s="289"/>
      <c r="G72" s="289"/>
      <c r="H72" s="251"/>
      <c r="I72" s="251"/>
      <c r="J72" s="251"/>
      <c r="K72" s="251"/>
      <c r="L72" s="251"/>
      <c r="M72" s="251"/>
      <c r="N72" s="251"/>
      <c r="O72" s="251"/>
      <c r="P72" s="1143"/>
    </row>
    <row r="73" spans="1:16" ht="28.5" customHeight="1" x14ac:dyDescent="0.35">
      <c r="A73" s="33"/>
      <c r="B73" s="1304" t="s">
        <v>171</v>
      </c>
      <c r="C73" s="1279"/>
      <c r="D73" s="1279"/>
      <c r="E73" s="1279"/>
      <c r="F73" s="1279"/>
      <c r="G73" s="1279"/>
      <c r="H73" s="1279"/>
      <c r="I73" s="1279"/>
      <c r="J73" s="1279"/>
      <c r="K73" s="1279"/>
      <c r="L73" s="1279"/>
      <c r="M73" s="1279"/>
      <c r="N73" s="1279"/>
      <c r="O73" s="1279"/>
      <c r="P73" s="1305"/>
    </row>
    <row r="74" spans="1:16" x14ac:dyDescent="0.35">
      <c r="A74" s="33"/>
      <c r="B74" s="1140">
        <v>25</v>
      </c>
      <c r="C74" s="1141" t="s">
        <v>172</v>
      </c>
      <c r="D74" s="245" t="s">
        <v>34</v>
      </c>
      <c r="E74" s="1144">
        <v>12</v>
      </c>
      <c r="F74" s="289">
        <v>0</v>
      </c>
      <c r="G74" s="289">
        <v>0</v>
      </c>
      <c r="H74" s="251"/>
      <c r="I74" s="1142">
        <v>0</v>
      </c>
      <c r="J74" s="1142">
        <v>0</v>
      </c>
      <c r="K74" s="1142">
        <v>0</v>
      </c>
      <c r="L74" s="251"/>
      <c r="M74" s="251"/>
      <c r="N74" s="251"/>
      <c r="O74" s="251"/>
      <c r="P74" s="1143">
        <f t="shared" si="0"/>
        <v>0</v>
      </c>
    </row>
    <row r="75" spans="1:16" x14ac:dyDescent="0.35">
      <c r="A75" s="33"/>
      <c r="B75" s="1140">
        <v>26</v>
      </c>
      <c r="C75" s="1141" t="s">
        <v>173</v>
      </c>
      <c r="D75" s="245" t="s">
        <v>34</v>
      </c>
      <c r="E75" s="1144">
        <v>12</v>
      </c>
      <c r="F75" s="289">
        <v>0</v>
      </c>
      <c r="G75" s="289">
        <v>0</v>
      </c>
      <c r="H75" s="251"/>
      <c r="I75" s="1142">
        <v>0</v>
      </c>
      <c r="J75" s="1142">
        <v>0</v>
      </c>
      <c r="K75" s="1142">
        <v>0</v>
      </c>
      <c r="L75" s="251"/>
      <c r="M75" s="251"/>
      <c r="N75" s="251"/>
      <c r="O75" s="251"/>
      <c r="P75" s="1143">
        <f t="shared" si="0"/>
        <v>0</v>
      </c>
    </row>
    <row r="76" spans="1:16" ht="28" x14ac:dyDescent="0.35">
      <c r="A76" s="33"/>
      <c r="B76" s="1140">
        <v>27</v>
      </c>
      <c r="C76" s="1141" t="s">
        <v>174</v>
      </c>
      <c r="D76" s="245" t="s">
        <v>34</v>
      </c>
      <c r="E76" s="1144">
        <v>12</v>
      </c>
      <c r="F76" s="289">
        <v>0</v>
      </c>
      <c r="G76" s="289">
        <v>0</v>
      </c>
      <c r="H76" s="251"/>
      <c r="I76" s="1142">
        <v>0</v>
      </c>
      <c r="J76" s="1142">
        <v>0</v>
      </c>
      <c r="K76" s="1142">
        <v>0</v>
      </c>
      <c r="L76" s="251"/>
      <c r="M76" s="251"/>
      <c r="N76" s="251"/>
      <c r="O76" s="251"/>
      <c r="P76" s="1143">
        <f t="shared" si="0"/>
        <v>0</v>
      </c>
    </row>
    <row r="77" spans="1:16" ht="28" x14ac:dyDescent="0.35">
      <c r="A77" s="33"/>
      <c r="B77" s="1140">
        <v>28</v>
      </c>
      <c r="C77" s="1141" t="s">
        <v>175</v>
      </c>
      <c r="D77" s="245" t="s">
        <v>34</v>
      </c>
      <c r="E77" s="1144">
        <v>12</v>
      </c>
      <c r="F77" s="289">
        <v>0</v>
      </c>
      <c r="G77" s="289">
        <v>0</v>
      </c>
      <c r="H77" s="251"/>
      <c r="I77" s="1142">
        <v>0</v>
      </c>
      <c r="J77" s="1142">
        <v>0</v>
      </c>
      <c r="K77" s="1142">
        <v>0</v>
      </c>
      <c r="L77" s="251"/>
      <c r="M77" s="251"/>
      <c r="N77" s="251"/>
      <c r="O77" s="251"/>
      <c r="P77" s="1143">
        <f t="shared" si="0"/>
        <v>0</v>
      </c>
    </row>
    <row r="78" spans="1:16" ht="28" x14ac:dyDescent="0.35">
      <c r="A78" s="33"/>
      <c r="B78" s="1140">
        <v>29</v>
      </c>
      <c r="C78" s="1141" t="s">
        <v>176</v>
      </c>
      <c r="D78" s="245" t="s">
        <v>34</v>
      </c>
      <c r="E78" s="1144">
        <v>3</v>
      </c>
      <c r="F78" s="289">
        <v>0</v>
      </c>
      <c r="G78" s="289">
        <v>0</v>
      </c>
      <c r="H78" s="251"/>
      <c r="I78" s="1142">
        <v>0</v>
      </c>
      <c r="J78" s="1142">
        <v>0</v>
      </c>
      <c r="K78" s="1142">
        <v>0</v>
      </c>
      <c r="L78" s="251"/>
      <c r="M78" s="251"/>
      <c r="N78" s="251"/>
      <c r="O78" s="251"/>
      <c r="P78" s="1143">
        <f t="shared" si="0"/>
        <v>0</v>
      </c>
    </row>
    <row r="79" spans="1:16" ht="28" x14ac:dyDescent="0.35">
      <c r="A79" s="33"/>
      <c r="B79" s="1140">
        <v>30</v>
      </c>
      <c r="C79" s="1141" t="s">
        <v>177</v>
      </c>
      <c r="D79" s="245" t="s">
        <v>34</v>
      </c>
      <c r="E79" s="1144">
        <v>12</v>
      </c>
      <c r="F79" s="289">
        <v>0</v>
      </c>
      <c r="G79" s="289">
        <v>0</v>
      </c>
      <c r="H79" s="251"/>
      <c r="I79" s="1142">
        <v>0</v>
      </c>
      <c r="J79" s="1142">
        <v>0</v>
      </c>
      <c r="K79" s="1142">
        <v>0</v>
      </c>
      <c r="L79" s="251"/>
      <c r="M79" s="251"/>
      <c r="N79" s="251"/>
      <c r="O79" s="251"/>
      <c r="P79" s="1143">
        <f t="shared" si="0"/>
        <v>0</v>
      </c>
    </row>
    <row r="80" spans="1:16" x14ac:dyDescent="0.35">
      <c r="A80" s="33"/>
      <c r="B80" s="1140">
        <v>31</v>
      </c>
      <c r="C80" s="1141" t="s">
        <v>178</v>
      </c>
      <c r="D80" s="245" t="s">
        <v>34</v>
      </c>
      <c r="E80" s="1144">
        <v>12</v>
      </c>
      <c r="F80" s="289">
        <v>0</v>
      </c>
      <c r="G80" s="289">
        <v>0</v>
      </c>
      <c r="H80" s="251"/>
      <c r="I80" s="1142">
        <v>0</v>
      </c>
      <c r="J80" s="1142">
        <v>0</v>
      </c>
      <c r="K80" s="1142">
        <v>0</v>
      </c>
      <c r="L80" s="251"/>
      <c r="M80" s="251"/>
      <c r="N80" s="251"/>
      <c r="O80" s="251"/>
      <c r="P80" s="1143">
        <f t="shared" si="0"/>
        <v>0</v>
      </c>
    </row>
    <row r="81" spans="1:16" x14ac:dyDescent="0.35">
      <c r="A81" s="33"/>
      <c r="B81" s="1140">
        <v>32</v>
      </c>
      <c r="C81" s="1141" t="s">
        <v>179</v>
      </c>
      <c r="D81" s="245" t="s">
        <v>34</v>
      </c>
      <c r="E81" s="1144">
        <v>12</v>
      </c>
      <c r="F81" s="289">
        <v>0</v>
      </c>
      <c r="G81" s="289">
        <v>0</v>
      </c>
      <c r="H81" s="251"/>
      <c r="I81" s="1142">
        <v>0</v>
      </c>
      <c r="J81" s="1142">
        <v>0</v>
      </c>
      <c r="K81" s="1142">
        <v>0</v>
      </c>
      <c r="L81" s="251"/>
      <c r="M81" s="251"/>
      <c r="N81" s="251"/>
      <c r="O81" s="251"/>
      <c r="P81" s="1143">
        <f t="shared" si="0"/>
        <v>0</v>
      </c>
    </row>
    <row r="82" spans="1:16" x14ac:dyDescent="0.35">
      <c r="A82" s="33"/>
      <c r="B82" s="1145" t="s">
        <v>258</v>
      </c>
      <c r="C82" s="1141"/>
      <c r="D82" s="245" t="s">
        <v>253</v>
      </c>
      <c r="E82" s="1144"/>
      <c r="F82" s="1147">
        <v>0</v>
      </c>
      <c r="G82" s="1147">
        <v>0</v>
      </c>
      <c r="H82" s="251"/>
      <c r="I82" s="251"/>
      <c r="J82" s="251"/>
      <c r="K82" s="251"/>
      <c r="L82" s="251"/>
      <c r="M82" s="251"/>
      <c r="N82" s="251"/>
      <c r="O82" s="251"/>
      <c r="P82" s="1143"/>
    </row>
    <row r="83" spans="1:16" x14ac:dyDescent="0.35">
      <c r="A83" s="33"/>
      <c r="B83" s="1140"/>
      <c r="C83" s="1276" t="s">
        <v>790</v>
      </c>
      <c r="D83" s="1276"/>
      <c r="E83" s="1129"/>
      <c r="F83" s="1116">
        <f>SUM(F74:F81)</f>
        <v>0</v>
      </c>
      <c r="G83" s="1116">
        <f>SUM(G74:G81)</f>
        <v>0</v>
      </c>
      <c r="H83" s="251"/>
      <c r="I83" s="251"/>
      <c r="J83" s="251"/>
      <c r="K83" s="251"/>
      <c r="L83" s="251"/>
      <c r="M83" s="251"/>
      <c r="N83" s="251"/>
      <c r="O83" s="251"/>
      <c r="P83" s="1143"/>
    </row>
    <row r="84" spans="1:16" x14ac:dyDescent="0.35">
      <c r="A84" s="33"/>
      <c r="B84" s="1140"/>
      <c r="C84" s="1267"/>
      <c r="D84" s="1267"/>
      <c r="E84" s="1087"/>
      <c r="F84" s="289"/>
      <c r="G84" s="289"/>
      <c r="H84" s="251"/>
      <c r="I84" s="251"/>
      <c r="J84" s="251"/>
      <c r="K84" s="251"/>
      <c r="L84" s="251"/>
      <c r="M84" s="251"/>
      <c r="N84" s="251"/>
      <c r="O84" s="251"/>
      <c r="P84" s="1143"/>
    </row>
    <row r="85" spans="1:16" x14ac:dyDescent="0.35">
      <c r="A85" s="33"/>
      <c r="B85" s="1140"/>
      <c r="C85" s="1267"/>
      <c r="D85" s="1267"/>
      <c r="E85" s="1087"/>
      <c r="F85" s="289"/>
      <c r="G85" s="289"/>
      <c r="H85" s="251"/>
      <c r="I85" s="251"/>
      <c r="J85" s="251"/>
      <c r="K85" s="251"/>
      <c r="L85" s="251"/>
      <c r="M85" s="251"/>
      <c r="N85" s="251"/>
      <c r="O85" s="251"/>
      <c r="P85" s="1143"/>
    </row>
    <row r="86" spans="1:16" ht="25.5" customHeight="1" x14ac:dyDescent="0.35">
      <c r="A86" s="33"/>
      <c r="B86" s="1304" t="s">
        <v>180</v>
      </c>
      <c r="C86" s="1279"/>
      <c r="D86" s="1279"/>
      <c r="E86" s="1279"/>
      <c r="F86" s="1279"/>
      <c r="G86" s="1279"/>
      <c r="H86" s="1279"/>
      <c r="I86" s="1279"/>
      <c r="J86" s="1279"/>
      <c r="K86" s="1279"/>
      <c r="L86" s="1279"/>
      <c r="M86" s="1279"/>
      <c r="N86" s="1279"/>
      <c r="O86" s="1279"/>
      <c r="P86" s="1305"/>
    </row>
    <row r="87" spans="1:16" x14ac:dyDescent="0.35">
      <c r="A87" s="33"/>
      <c r="B87" s="1140">
        <v>33</v>
      </c>
      <c r="C87" s="1141" t="s">
        <v>181</v>
      </c>
      <c r="D87" s="245" t="s">
        <v>34</v>
      </c>
      <c r="E87" s="1144">
        <v>12</v>
      </c>
      <c r="F87" s="289">
        <v>0</v>
      </c>
      <c r="G87" s="289">
        <v>0</v>
      </c>
      <c r="H87" s="251"/>
      <c r="I87" s="251"/>
      <c r="J87" s="251"/>
      <c r="K87" s="251"/>
      <c r="L87" s="251"/>
      <c r="M87" s="251"/>
      <c r="N87" s="251"/>
      <c r="O87" s="251"/>
      <c r="P87" s="1143">
        <f t="shared" ref="P87:P108" si="1">SUM(H87:O87)</f>
        <v>0</v>
      </c>
    </row>
    <row r="88" spans="1:16" x14ac:dyDescent="0.35">
      <c r="A88" s="33"/>
      <c r="B88" s="1140">
        <v>34</v>
      </c>
      <c r="C88" s="1141" t="s">
        <v>182</v>
      </c>
      <c r="D88" s="245" t="s">
        <v>34</v>
      </c>
      <c r="E88" s="1144"/>
      <c r="F88" s="289">
        <v>0</v>
      </c>
      <c r="G88" s="289">
        <v>0</v>
      </c>
      <c r="H88" s="251"/>
      <c r="I88" s="251"/>
      <c r="J88" s="251"/>
      <c r="K88" s="251"/>
      <c r="L88" s="251"/>
      <c r="M88" s="251"/>
      <c r="N88" s="251"/>
      <c r="O88" s="251"/>
      <c r="P88" s="1143">
        <f t="shared" si="1"/>
        <v>0</v>
      </c>
    </row>
    <row r="89" spans="1:16" x14ac:dyDescent="0.35">
      <c r="A89" s="33"/>
      <c r="B89" s="1140">
        <v>35</v>
      </c>
      <c r="C89" s="1141" t="s">
        <v>183</v>
      </c>
      <c r="D89" s="245" t="s">
        <v>34</v>
      </c>
      <c r="E89" s="1144"/>
      <c r="F89" s="289">
        <v>0</v>
      </c>
      <c r="G89" s="289">
        <v>0</v>
      </c>
      <c r="H89" s="251"/>
      <c r="I89" s="251"/>
      <c r="J89" s="251"/>
      <c r="K89" s="251"/>
      <c r="L89" s="251"/>
      <c r="M89" s="251"/>
      <c r="N89" s="251"/>
      <c r="O89" s="251"/>
      <c r="P89" s="1143">
        <f t="shared" si="1"/>
        <v>0</v>
      </c>
    </row>
    <row r="90" spans="1:16" x14ac:dyDescent="0.35">
      <c r="A90" s="33"/>
      <c r="B90" s="1145" t="s">
        <v>258</v>
      </c>
      <c r="C90" s="1141"/>
      <c r="D90" s="245" t="s">
        <v>253</v>
      </c>
      <c r="E90" s="1144"/>
      <c r="F90" s="289">
        <v>0</v>
      </c>
      <c r="G90" s="289">
        <v>0</v>
      </c>
      <c r="H90" s="251"/>
      <c r="I90" s="251"/>
      <c r="J90" s="251"/>
      <c r="K90" s="251"/>
      <c r="L90" s="251"/>
      <c r="M90" s="251"/>
      <c r="N90" s="251"/>
      <c r="O90" s="251"/>
      <c r="P90" s="1143"/>
    </row>
    <row r="91" spans="1:16" x14ac:dyDescent="0.35">
      <c r="A91" s="33"/>
      <c r="B91" s="1140"/>
      <c r="C91" s="1276" t="s">
        <v>791</v>
      </c>
      <c r="D91" s="1276"/>
      <c r="E91" s="1129"/>
      <c r="F91" s="1116">
        <f>SUM(F87:F89)</f>
        <v>0</v>
      </c>
      <c r="G91" s="1116">
        <f>SUM(G87:G89)</f>
        <v>0</v>
      </c>
      <c r="H91" s="251"/>
      <c r="I91" s="251"/>
      <c r="J91" s="251"/>
      <c r="K91" s="251"/>
      <c r="L91" s="251"/>
      <c r="M91" s="251"/>
      <c r="N91" s="251"/>
      <c r="O91" s="251"/>
      <c r="P91" s="1143"/>
    </row>
    <row r="92" spans="1:16" x14ac:dyDescent="0.35">
      <c r="A92" s="33"/>
      <c r="B92" s="1140"/>
      <c r="C92" s="1267"/>
      <c r="D92" s="1267"/>
      <c r="E92" s="1087"/>
      <c r="F92" s="289"/>
      <c r="G92" s="289"/>
      <c r="H92" s="251"/>
      <c r="I92" s="251"/>
      <c r="J92" s="251"/>
      <c r="K92" s="251"/>
      <c r="L92" s="251"/>
      <c r="M92" s="251"/>
      <c r="N92" s="251"/>
      <c r="O92" s="251"/>
      <c r="P92" s="1143"/>
    </row>
    <row r="93" spans="1:16" x14ac:dyDescent="0.35">
      <c r="A93" s="33"/>
      <c r="B93" s="1140"/>
      <c r="C93" s="1267"/>
      <c r="D93" s="1267"/>
      <c r="E93" s="1087"/>
      <c r="F93" s="289"/>
      <c r="G93" s="289"/>
      <c r="H93" s="251"/>
      <c r="I93" s="251"/>
      <c r="J93" s="251"/>
      <c r="K93" s="251"/>
      <c r="L93" s="251"/>
      <c r="M93" s="251"/>
      <c r="N93" s="251"/>
      <c r="O93" s="251"/>
      <c r="P93" s="1143"/>
    </row>
    <row r="94" spans="1:16" ht="24" customHeight="1" x14ac:dyDescent="0.35">
      <c r="A94" s="33"/>
      <c r="B94" s="1304" t="s">
        <v>184</v>
      </c>
      <c r="C94" s="1279"/>
      <c r="D94" s="1279"/>
      <c r="E94" s="1279"/>
      <c r="F94" s="1279"/>
      <c r="G94" s="1279"/>
      <c r="H94" s="1279"/>
      <c r="I94" s="1279"/>
      <c r="J94" s="1279"/>
      <c r="K94" s="1279"/>
      <c r="L94" s="1279"/>
      <c r="M94" s="1279"/>
      <c r="N94" s="1279"/>
      <c r="O94" s="1279"/>
      <c r="P94" s="1305"/>
    </row>
    <row r="95" spans="1:16" ht="42" x14ac:dyDescent="0.35">
      <c r="A95" s="33"/>
      <c r="B95" s="1140">
        <v>36</v>
      </c>
      <c r="C95" s="1141" t="s">
        <v>185</v>
      </c>
      <c r="D95" s="245" t="s">
        <v>34</v>
      </c>
      <c r="E95" s="1144"/>
      <c r="F95" s="289">
        <v>0</v>
      </c>
      <c r="G95" s="289">
        <v>0</v>
      </c>
      <c r="H95" s="251"/>
      <c r="I95" s="251"/>
      <c r="J95" s="251"/>
      <c r="K95" s="251"/>
      <c r="L95" s="251"/>
      <c r="M95" s="251"/>
      <c r="N95" s="251"/>
      <c r="O95" s="251"/>
      <c r="P95" s="1143">
        <f t="shared" si="1"/>
        <v>0</v>
      </c>
    </row>
    <row r="96" spans="1:16" x14ac:dyDescent="0.35">
      <c r="A96" s="33"/>
      <c r="B96" s="1140">
        <v>37</v>
      </c>
      <c r="C96" s="1141" t="s">
        <v>186</v>
      </c>
      <c r="D96" s="245" t="s">
        <v>34</v>
      </c>
      <c r="E96" s="1144"/>
      <c r="F96" s="289">
        <v>0</v>
      </c>
      <c r="G96" s="289">
        <v>0</v>
      </c>
      <c r="H96" s="251"/>
      <c r="I96" s="251"/>
      <c r="J96" s="251"/>
      <c r="K96" s="251"/>
      <c r="L96" s="251"/>
      <c r="M96" s="251"/>
      <c r="N96" s="251"/>
      <c r="O96" s="251"/>
      <c r="P96" s="1143">
        <f t="shared" si="1"/>
        <v>0</v>
      </c>
    </row>
    <row r="97" spans="1:16" x14ac:dyDescent="0.35">
      <c r="A97" s="33"/>
      <c r="B97" s="1140">
        <v>38</v>
      </c>
      <c r="C97" s="1141" t="s">
        <v>187</v>
      </c>
      <c r="D97" s="245" t="s">
        <v>34</v>
      </c>
      <c r="E97" s="1144"/>
      <c r="F97" s="289">
        <v>0</v>
      </c>
      <c r="G97" s="289">
        <v>0</v>
      </c>
      <c r="H97" s="251"/>
      <c r="I97" s="251"/>
      <c r="J97" s="251"/>
      <c r="K97" s="251"/>
      <c r="L97" s="251"/>
      <c r="M97" s="251"/>
      <c r="N97" s="251"/>
      <c r="O97" s="251"/>
      <c r="P97" s="1143">
        <f t="shared" si="1"/>
        <v>0</v>
      </c>
    </row>
    <row r="98" spans="1:16" ht="28" x14ac:dyDescent="0.35">
      <c r="A98" s="33"/>
      <c r="B98" s="1140">
        <v>39</v>
      </c>
      <c r="C98" s="1141" t="s">
        <v>188</v>
      </c>
      <c r="D98" s="245" t="s">
        <v>34</v>
      </c>
      <c r="E98" s="1144"/>
      <c r="F98" s="289">
        <v>0</v>
      </c>
      <c r="G98" s="289">
        <v>0</v>
      </c>
      <c r="H98" s="251"/>
      <c r="I98" s="251"/>
      <c r="J98" s="251"/>
      <c r="K98" s="251"/>
      <c r="L98" s="251"/>
      <c r="M98" s="251"/>
      <c r="N98" s="251"/>
      <c r="O98" s="251"/>
      <c r="P98" s="1143">
        <f t="shared" si="1"/>
        <v>0</v>
      </c>
    </row>
    <row r="99" spans="1:16" ht="28" x14ac:dyDescent="0.35">
      <c r="A99" s="33"/>
      <c r="B99" s="1140">
        <v>40</v>
      </c>
      <c r="C99" s="1141" t="s">
        <v>189</v>
      </c>
      <c r="D99" s="245" t="s">
        <v>34</v>
      </c>
      <c r="E99" s="1144"/>
      <c r="F99" s="289">
        <v>0</v>
      </c>
      <c r="G99" s="289">
        <v>0</v>
      </c>
      <c r="H99" s="251"/>
      <c r="I99" s="251"/>
      <c r="J99" s="251"/>
      <c r="K99" s="251"/>
      <c r="L99" s="251"/>
      <c r="M99" s="251"/>
      <c r="N99" s="251"/>
      <c r="O99" s="251"/>
      <c r="P99" s="1143">
        <f t="shared" si="1"/>
        <v>0</v>
      </c>
    </row>
    <row r="100" spans="1:16" ht="28" x14ac:dyDescent="0.35">
      <c r="A100" s="33"/>
      <c r="B100" s="1140">
        <v>41</v>
      </c>
      <c r="C100" s="1141" t="s">
        <v>190</v>
      </c>
      <c r="D100" s="245" t="s">
        <v>34</v>
      </c>
      <c r="E100" s="1144"/>
      <c r="F100" s="289">
        <v>0</v>
      </c>
      <c r="G100" s="289">
        <v>0</v>
      </c>
      <c r="H100" s="251"/>
      <c r="I100" s="251"/>
      <c r="J100" s="251"/>
      <c r="K100" s="251"/>
      <c r="L100" s="251"/>
      <c r="M100" s="251"/>
      <c r="N100" s="251"/>
      <c r="O100" s="251"/>
      <c r="P100" s="1143">
        <f t="shared" si="1"/>
        <v>0</v>
      </c>
    </row>
    <row r="101" spans="1:16" ht="28" x14ac:dyDescent="0.35">
      <c r="A101" s="33"/>
      <c r="B101" s="1140">
        <v>42</v>
      </c>
      <c r="C101" s="1141" t="s">
        <v>191</v>
      </c>
      <c r="D101" s="245" t="s">
        <v>34</v>
      </c>
      <c r="E101" s="1144"/>
      <c r="F101" s="289">
        <v>0</v>
      </c>
      <c r="G101" s="289">
        <v>0</v>
      </c>
      <c r="H101" s="251"/>
      <c r="I101" s="251"/>
      <c r="J101" s="251"/>
      <c r="K101" s="251"/>
      <c r="L101" s="251"/>
      <c r="M101" s="251"/>
      <c r="N101" s="251"/>
      <c r="O101" s="251"/>
      <c r="P101" s="1143">
        <f t="shared" si="1"/>
        <v>0</v>
      </c>
    </row>
    <row r="102" spans="1:16" x14ac:dyDescent="0.35">
      <c r="A102" s="33"/>
      <c r="B102" s="1140">
        <v>43</v>
      </c>
      <c r="C102" s="1141" t="s">
        <v>192</v>
      </c>
      <c r="D102" s="245" t="s">
        <v>34</v>
      </c>
      <c r="E102" s="1144"/>
      <c r="F102" s="289">
        <v>0</v>
      </c>
      <c r="G102" s="289">
        <v>0</v>
      </c>
      <c r="H102" s="251"/>
      <c r="I102" s="251"/>
      <c r="J102" s="251"/>
      <c r="K102" s="251"/>
      <c r="L102" s="251"/>
      <c r="M102" s="251"/>
      <c r="N102" s="251"/>
      <c r="O102" s="251"/>
      <c r="P102" s="1143">
        <f t="shared" si="1"/>
        <v>0</v>
      </c>
    </row>
    <row r="103" spans="1:16" ht="42" x14ac:dyDescent="0.35">
      <c r="A103" s="33"/>
      <c r="B103" s="1140">
        <v>44</v>
      </c>
      <c r="C103" s="1141" t="s">
        <v>193</v>
      </c>
      <c r="D103" s="245" t="s">
        <v>34</v>
      </c>
      <c r="E103" s="1144"/>
      <c r="F103" s="289">
        <v>0</v>
      </c>
      <c r="G103" s="289">
        <v>0</v>
      </c>
      <c r="H103" s="251"/>
      <c r="I103" s="251"/>
      <c r="J103" s="251"/>
      <c r="K103" s="251"/>
      <c r="L103" s="251"/>
      <c r="M103" s="251"/>
      <c r="N103" s="251"/>
      <c r="O103" s="251"/>
      <c r="P103" s="1143">
        <f t="shared" si="1"/>
        <v>0</v>
      </c>
    </row>
    <row r="104" spans="1:16" ht="28" x14ac:dyDescent="0.35">
      <c r="A104" s="33"/>
      <c r="B104" s="1140">
        <v>45</v>
      </c>
      <c r="C104" s="1141" t="s">
        <v>194</v>
      </c>
      <c r="D104" s="245" t="s">
        <v>34</v>
      </c>
      <c r="E104" s="1144"/>
      <c r="F104" s="289">
        <v>0</v>
      </c>
      <c r="G104" s="289">
        <v>0</v>
      </c>
      <c r="H104" s="251"/>
      <c r="I104" s="251"/>
      <c r="J104" s="251"/>
      <c r="K104" s="251"/>
      <c r="L104" s="251"/>
      <c r="M104" s="251"/>
      <c r="N104" s="251"/>
      <c r="O104" s="251"/>
      <c r="P104" s="1143">
        <f t="shared" si="1"/>
        <v>0</v>
      </c>
    </row>
    <row r="105" spans="1:16" ht="28" x14ac:dyDescent="0.35">
      <c r="A105" s="33"/>
      <c r="B105" s="1140">
        <v>46</v>
      </c>
      <c r="C105" s="1141" t="s">
        <v>195</v>
      </c>
      <c r="D105" s="245" t="s">
        <v>34</v>
      </c>
      <c r="E105" s="1144"/>
      <c r="F105" s="289">
        <v>0</v>
      </c>
      <c r="G105" s="289">
        <v>0</v>
      </c>
      <c r="H105" s="251"/>
      <c r="I105" s="251"/>
      <c r="J105" s="251"/>
      <c r="K105" s="251"/>
      <c r="L105" s="251"/>
      <c r="M105" s="251"/>
      <c r="N105" s="251"/>
      <c r="O105" s="251"/>
      <c r="P105" s="1143">
        <f t="shared" si="1"/>
        <v>0</v>
      </c>
    </row>
    <row r="106" spans="1:16" ht="28" x14ac:dyDescent="0.35">
      <c r="A106" s="33"/>
      <c r="B106" s="1140">
        <v>47</v>
      </c>
      <c r="C106" s="1141" t="s">
        <v>196</v>
      </c>
      <c r="D106" s="245" t="s">
        <v>34</v>
      </c>
      <c r="E106" s="1144"/>
      <c r="F106" s="289">
        <v>0</v>
      </c>
      <c r="G106" s="289">
        <v>0</v>
      </c>
      <c r="H106" s="251"/>
      <c r="I106" s="251"/>
      <c r="J106" s="251"/>
      <c r="K106" s="251"/>
      <c r="L106" s="251"/>
      <c r="M106" s="251"/>
      <c r="N106" s="251"/>
      <c r="O106" s="251"/>
      <c r="P106" s="1143">
        <f t="shared" si="1"/>
        <v>0</v>
      </c>
    </row>
    <row r="107" spans="1:16" ht="28" x14ac:dyDescent="0.35">
      <c r="A107" s="33"/>
      <c r="B107" s="1140">
        <v>48</v>
      </c>
      <c r="C107" s="1141" t="s">
        <v>197</v>
      </c>
      <c r="D107" s="245" t="s">
        <v>34</v>
      </c>
      <c r="E107" s="1144"/>
      <c r="F107" s="289">
        <v>0</v>
      </c>
      <c r="G107" s="289">
        <v>0</v>
      </c>
      <c r="H107" s="251"/>
      <c r="I107" s="251"/>
      <c r="J107" s="251"/>
      <c r="K107" s="251"/>
      <c r="L107" s="251"/>
      <c r="M107" s="251"/>
      <c r="N107" s="251"/>
      <c r="O107" s="251"/>
      <c r="P107" s="1143">
        <f t="shared" si="1"/>
        <v>0</v>
      </c>
    </row>
    <row r="108" spans="1:16" ht="28" x14ac:dyDescent="0.35">
      <c r="A108" s="33"/>
      <c r="B108" s="1140">
        <v>49</v>
      </c>
      <c r="C108" s="1141" t="s">
        <v>198</v>
      </c>
      <c r="D108" s="245" t="s">
        <v>34</v>
      </c>
      <c r="E108" s="1144"/>
      <c r="F108" s="289">
        <v>0</v>
      </c>
      <c r="G108" s="289">
        <v>0</v>
      </c>
      <c r="H108" s="251"/>
      <c r="I108" s="251"/>
      <c r="J108" s="251"/>
      <c r="K108" s="251"/>
      <c r="L108" s="251"/>
      <c r="M108" s="251"/>
      <c r="N108" s="251"/>
      <c r="O108" s="251"/>
      <c r="P108" s="1143">
        <f t="shared" si="1"/>
        <v>0</v>
      </c>
    </row>
    <row r="109" spans="1:16" x14ac:dyDescent="0.35">
      <c r="A109" s="33"/>
      <c r="B109" s="1145" t="s">
        <v>258</v>
      </c>
      <c r="C109" s="1141"/>
      <c r="D109" s="245" t="s">
        <v>253</v>
      </c>
      <c r="E109" s="1144"/>
      <c r="F109" s="1147">
        <v>0</v>
      </c>
      <c r="G109" s="1147">
        <v>0</v>
      </c>
      <c r="H109" s="251"/>
      <c r="I109" s="251"/>
      <c r="J109" s="251"/>
      <c r="K109" s="251"/>
      <c r="L109" s="251"/>
      <c r="M109" s="251"/>
      <c r="N109" s="251"/>
      <c r="O109" s="251"/>
      <c r="P109" s="1143"/>
    </row>
    <row r="110" spans="1:16" x14ac:dyDescent="0.35">
      <c r="A110" s="33"/>
      <c r="B110" s="1140"/>
      <c r="C110" s="1267"/>
      <c r="D110" s="1267"/>
      <c r="E110" s="1087"/>
      <c r="F110" s="289"/>
      <c r="G110" s="289"/>
      <c r="H110" s="251"/>
      <c r="I110" s="251"/>
      <c r="J110" s="251"/>
      <c r="K110" s="251"/>
      <c r="L110" s="251"/>
      <c r="M110" s="251"/>
      <c r="N110" s="251"/>
      <c r="O110" s="251"/>
      <c r="P110" s="1143"/>
    </row>
    <row r="111" spans="1:16" x14ac:dyDescent="0.35">
      <c r="A111" s="33"/>
      <c r="B111" s="1140"/>
      <c r="C111" s="1267"/>
      <c r="D111" s="1267"/>
      <c r="E111" s="1087"/>
      <c r="F111" s="289"/>
      <c r="G111" s="289"/>
      <c r="H111" s="251"/>
      <c r="I111" s="251"/>
      <c r="J111" s="251"/>
      <c r="K111" s="251"/>
      <c r="L111" s="251"/>
      <c r="M111" s="251"/>
      <c r="N111" s="251"/>
      <c r="O111" s="251"/>
      <c r="P111" s="1143"/>
    </row>
    <row r="112" spans="1:16" x14ac:dyDescent="0.35">
      <c r="A112" s="33"/>
      <c r="B112" s="1152"/>
      <c r="C112" s="1267"/>
      <c r="D112" s="1267"/>
      <c r="E112" s="1087"/>
      <c r="F112" s="393"/>
      <c r="G112" s="393"/>
      <c r="H112" s="1153"/>
      <c r="I112" s="1153"/>
      <c r="J112" s="1153"/>
      <c r="K112" s="1153"/>
      <c r="L112" s="1153"/>
      <c r="M112" s="1153"/>
      <c r="N112" s="1153"/>
      <c r="O112" s="1153"/>
      <c r="P112" s="1154"/>
    </row>
    <row r="113" spans="2:17" x14ac:dyDescent="0.35">
      <c r="B113" s="345"/>
      <c r="C113" s="1266" t="s">
        <v>221</v>
      </c>
      <c r="D113" s="1266"/>
      <c r="E113" s="346"/>
      <c r="F113" s="347"/>
      <c r="G113" s="347"/>
      <c r="H113" s="1121">
        <f>SUM(F19*H19,F20*H20,F21*H21,F22*H22,F23*H23,F24*H24,F48*H48,F65*H65,F66*H66,F67*H67,F68*H68)</f>
        <v>2615165</v>
      </c>
      <c r="I113" s="1121">
        <f>SUM(F30*I30,F31*I31,F32*I32,F33*I33,F34*I34,F74*I74,F75*I75,F76*I76,F77*I77,F78*I78,F79*I79,F80*I80,F81*I81,F87*I87,F88*I88,F89*I89)</f>
        <v>1363965.56</v>
      </c>
      <c r="J113" s="349"/>
      <c r="K113" s="346"/>
      <c r="L113" s="346"/>
      <c r="M113" s="346"/>
      <c r="N113" s="1121">
        <v>0</v>
      </c>
      <c r="O113" s="346"/>
      <c r="P113" s="350">
        <f>SUM(H113:O113)</f>
        <v>3979130.56</v>
      </c>
    </row>
    <row r="114" spans="2:17" x14ac:dyDescent="0.35">
      <c r="B114" s="266"/>
      <c r="C114" s="1267" t="s">
        <v>260</v>
      </c>
      <c r="D114" s="1267"/>
      <c r="E114" s="260"/>
      <c r="F114" s="258"/>
      <c r="G114" s="258"/>
      <c r="H114" s="260"/>
      <c r="I114" s="260"/>
      <c r="J114" s="1123">
        <f>SUM($E$30*$G$30*J30,$E$31*$G$31*J31,$E$32*$G$32*J32,$E$33*$G$33*J33,$E$34*$G$34*J34,$E$40*$G$40*J40,$E$41*$G$41*J41,$E$42*$G$42*$J$42,$E$74*$G$74*J74,$E$75*$G$75*J75,$E$76*$G$76*J76,$E$77*$G$77*J77,$E$78*$G$78*J78,$E$79*$G$79*J79,$E$80*$G$80*J80,$E$81*$G$81*J81)</f>
        <v>9649.44</v>
      </c>
      <c r="K114" s="1123">
        <f>SUM($E$30*$G$30*K30,$E$31*$G$31*K31,$E$32*$G$32*K32,$E$33*$G$33*K33,$E$34*$G$34*K34,$E$40*$G$40*K40,$E$41*$G$41*K41,$E$42*$G$42*K42,$E$74*$G$74*K74,$E$75*$G$75*K75,$E$76*$G$76*K76,$E$77*$G$77*K77,$E$78*$G$78*K78,$E$79*$G$79*K79,$E$80*$G$80*K80,$E$81*$G$81*K81)</f>
        <v>8390.4</v>
      </c>
      <c r="L114" s="1123">
        <v>0</v>
      </c>
      <c r="M114" s="1123">
        <v>0</v>
      </c>
      <c r="N114" s="1123"/>
      <c r="O114" s="1123">
        <f>SUM($E$30*$G$30*O30,$E$31*$G$31*O31,$E$32*$G$32*O32,$E$33*$G$33*O33,$E$34*$G$34*O34,$E$40*$G$40*O40,$E$41*$G$41*O41,$E$42*$G$42*O42,$E$74*$G$74*O74,$E$75*$G$75*O75,$E$76*$G$76*O76,$E$77*$G$77*O77,$E$78*$G$78*O78,$E$79*$G$79*O79,$E$80*$G$80*O80,$E$81*$G$81*O81)</f>
        <v>121499.04000000001</v>
      </c>
      <c r="P114" s="267">
        <f>SUM(H114:O114)</f>
        <v>139538.88</v>
      </c>
    </row>
    <row r="115" spans="2:17" x14ac:dyDescent="0.35">
      <c r="B115" s="266"/>
      <c r="C115" s="1267" t="s">
        <v>499</v>
      </c>
      <c r="D115" s="1267"/>
      <c r="E115" s="260"/>
      <c r="F115" s="258"/>
      <c r="G115" s="258"/>
      <c r="H115" s="260"/>
      <c r="I115" s="260"/>
      <c r="J115" s="1123">
        <f>J114-SUM($E$34*$G$34*J34,$E$78*$G$78*J78)</f>
        <v>9649.44</v>
      </c>
      <c r="K115" s="1123">
        <f>K114-SUM($E$34*$G$34*K34,$E$78*$G$78*K78)</f>
        <v>8390.4</v>
      </c>
      <c r="L115" s="1123">
        <v>0</v>
      </c>
      <c r="M115" s="1123">
        <v>0</v>
      </c>
      <c r="N115" s="1123"/>
      <c r="O115" s="1123">
        <f>O114-SUM($E$34*$G$34*O34,$E$78*$G$78*O78)</f>
        <v>121499.04000000001</v>
      </c>
      <c r="P115" s="267">
        <f>SUM(H115:O115)</f>
        <v>139538.88</v>
      </c>
    </row>
    <row r="116" spans="2:17" x14ac:dyDescent="0.35">
      <c r="B116" s="268"/>
      <c r="C116" s="1268"/>
      <c r="D116" s="1268"/>
      <c r="E116" s="254"/>
      <c r="F116" s="252"/>
      <c r="G116" s="252"/>
      <c r="H116" s="254"/>
      <c r="I116" s="254"/>
      <c r="J116" s="254"/>
      <c r="K116" s="254"/>
      <c r="L116" s="254"/>
      <c r="M116" s="254"/>
      <c r="N116" s="254"/>
      <c r="O116" s="254"/>
      <c r="P116" s="269"/>
    </row>
    <row r="117" spans="2:17" x14ac:dyDescent="0.35">
      <c r="B117" s="268"/>
      <c r="C117" s="1089"/>
      <c r="D117" s="254"/>
      <c r="E117" s="254"/>
      <c r="F117" s="252"/>
      <c r="G117" s="252"/>
      <c r="H117" s="254"/>
      <c r="I117" s="254"/>
      <c r="J117" s="254"/>
      <c r="K117" s="254"/>
      <c r="L117" s="254"/>
      <c r="M117" s="254"/>
      <c r="N117" s="254"/>
      <c r="O117" s="254"/>
      <c r="P117" s="269"/>
    </row>
    <row r="118" spans="2:17" x14ac:dyDescent="0.35">
      <c r="B118" s="373"/>
      <c r="C118" s="1269" t="s">
        <v>324</v>
      </c>
      <c r="D118" s="1269"/>
      <c r="E118" s="245"/>
      <c r="F118" s="255"/>
      <c r="G118" s="245"/>
      <c r="H118" s="256">
        <f>'3.  Distribution Rates'!I33</f>
        <v>1.7600000000000001E-2</v>
      </c>
      <c r="I118" s="256">
        <f>'3.  Distribution Rates'!I34</f>
        <v>1.3100000000000001E-2</v>
      </c>
      <c r="J118" s="256">
        <f>'3.  Distribution Rates'!I35</f>
        <v>2.5719000000000003</v>
      </c>
      <c r="K118" s="256">
        <f>'3.  Distribution Rates'!I36</f>
        <v>3.4390000000000001</v>
      </c>
      <c r="L118" s="256">
        <f>'3.  Distribution Rates'!I37</f>
        <v>7.7897999999999996</v>
      </c>
      <c r="M118" s="256">
        <f>'3.  Distribution Rates'!I38</f>
        <v>9.5576000000000008</v>
      </c>
      <c r="N118" s="256">
        <f>'3.  Distribution Rates'!I39</f>
        <v>2.7E-2</v>
      </c>
      <c r="O118" s="521">
        <f>'3.  Distribution Rates'!I40</f>
        <v>2.3527</v>
      </c>
      <c r="P118" s="374"/>
    </row>
    <row r="119" spans="2:17" x14ac:dyDescent="0.35">
      <c r="B119" s="373"/>
      <c r="C119" s="1269" t="s">
        <v>228</v>
      </c>
      <c r="D119" s="1269"/>
      <c r="E119" s="254"/>
      <c r="F119" s="255"/>
      <c r="G119" s="255"/>
      <c r="H119" s="526">
        <f>'4.  2011-14 LRAM'!H$77*H118</f>
        <v>25862.820102129182</v>
      </c>
      <c r="I119" s="526">
        <f>'4.  2011-14 LRAM'!I$77*I118</f>
        <v>11111.906454235503</v>
      </c>
      <c r="J119" s="526">
        <f>'4.  2011-14 LRAM'!J$77*J118</f>
        <v>23287.253130282112</v>
      </c>
      <c r="K119" s="526">
        <f>'4.  2011-14 LRAM'!K$77*K118</f>
        <v>45990.859349637685</v>
      </c>
      <c r="L119" s="526">
        <f>'4.  2011-14 LRAM'!L$77*L118</f>
        <v>0</v>
      </c>
      <c r="M119" s="526">
        <f>'4.  2011-14 LRAM'!M$77*M118</f>
        <v>0</v>
      </c>
      <c r="N119" s="526">
        <f>'4.  2011-14 LRAM'!N$77*N118</f>
        <v>0</v>
      </c>
      <c r="O119" s="526">
        <f>'4.  2011-14 LRAM'!O$77*O118</f>
        <v>21302.508044486458</v>
      </c>
      <c r="P119" s="1155">
        <f>SUM(H119:O119)</f>
        <v>127555.34708077094</v>
      </c>
      <c r="Q119" s="17"/>
    </row>
    <row r="120" spans="2:17" x14ac:dyDescent="0.35">
      <c r="B120" s="373"/>
      <c r="C120" s="1269" t="s">
        <v>229</v>
      </c>
      <c r="D120" s="1269"/>
      <c r="E120" s="254"/>
      <c r="F120" s="255"/>
      <c r="G120" s="255"/>
      <c r="H120" s="526">
        <f>'4.  2011-14 LRAM'!H$156*H118</f>
        <v>14337.743662587944</v>
      </c>
      <c r="I120" s="526">
        <f>'4.  2011-14 LRAM'!I$156*I118</f>
        <v>10779.569516499534</v>
      </c>
      <c r="J120" s="526">
        <f>'4.  2011-14 LRAM'!J$156*J118</f>
        <v>28448.117514504866</v>
      </c>
      <c r="K120" s="526">
        <f>'4.  2011-14 LRAM'!K$156*K118</f>
        <v>19553.595566033116</v>
      </c>
      <c r="L120" s="526">
        <f>'4.  2011-14 LRAM'!L$156*L118</f>
        <v>0</v>
      </c>
      <c r="M120" s="526">
        <f>'4.  2011-14 LRAM'!M$156*M118</f>
        <v>0</v>
      </c>
      <c r="N120" s="526">
        <f>'4.  2011-14 LRAM'!N$156*N118</f>
        <v>0</v>
      </c>
      <c r="O120" s="526">
        <f>'4.  2011-14 LRAM'!O$156*O118</f>
        <v>27331.463739269733</v>
      </c>
      <c r="P120" s="1155">
        <f>SUM(H120:O120)</f>
        <v>100450.48999889518</v>
      </c>
    </row>
    <row r="121" spans="2:17" x14ac:dyDescent="0.35">
      <c r="B121" s="373"/>
      <c r="C121" s="1269" t="s">
        <v>230</v>
      </c>
      <c r="D121" s="1269"/>
      <c r="E121" s="254"/>
      <c r="F121" s="255"/>
      <c r="G121" s="255"/>
      <c r="H121" s="526">
        <f>'4.  2011-14 LRAM'!H$236*H118</f>
        <v>14951.101686280323</v>
      </c>
      <c r="I121" s="526">
        <f>'4.  2011-14 LRAM'!I$236*I118</f>
        <v>4353.0447931274957</v>
      </c>
      <c r="J121" s="526">
        <f>'4.  2011-14 LRAM'!J$236*J118</f>
        <v>8502.9972012501676</v>
      </c>
      <c r="K121" s="526">
        <f>'4.  2011-14 LRAM'!K$236*K118</f>
        <v>4425.5095981232971</v>
      </c>
      <c r="L121" s="526">
        <f>'4.  2011-14 LRAM'!L$236*L118</f>
        <v>0</v>
      </c>
      <c r="M121" s="526">
        <f>'4.  2011-14 LRAM'!M$236*M118</f>
        <v>0</v>
      </c>
      <c r="N121" s="526">
        <f>'4.  2011-14 LRAM'!N$236*N118</f>
        <v>0</v>
      </c>
      <c r="O121" s="526">
        <f>'4.  2011-14 LRAM'!O$236*O118</f>
        <v>35584.897227441725</v>
      </c>
      <c r="P121" s="1155">
        <f t="shared" ref="P121" si="2">SUM(H121:O121)</f>
        <v>67817.550506223008</v>
      </c>
    </row>
    <row r="122" spans="2:17" x14ac:dyDescent="0.35">
      <c r="B122" s="373"/>
      <c r="C122" s="1269" t="s">
        <v>231</v>
      </c>
      <c r="D122" s="1269"/>
      <c r="E122" s="254"/>
      <c r="F122" s="255"/>
      <c r="G122" s="255"/>
      <c r="H122" s="526">
        <f>'4.  2011-14 LRAM'!H$317*H118</f>
        <v>37588.734211107309</v>
      </c>
      <c r="I122" s="526">
        <f>'4.  2011-14 LRAM'!I$317*I118</f>
        <v>20472.462910821829</v>
      </c>
      <c r="J122" s="526">
        <f>'4.  2011-14 LRAM'!J$317*J118</f>
        <v>2725.0190201797113</v>
      </c>
      <c r="K122" s="526">
        <f>'4.  2011-14 LRAM'!K$317*K118</f>
        <v>11107.081465318051</v>
      </c>
      <c r="L122" s="526">
        <f>'4.  2011-14 LRAM'!L$317*L118</f>
        <v>0</v>
      </c>
      <c r="M122" s="526">
        <f>'4.  2011-14 LRAM'!M$317*M118</f>
        <v>0</v>
      </c>
      <c r="N122" s="526">
        <f>'4.  2011-14 LRAM'!N$317*N118</f>
        <v>0</v>
      </c>
      <c r="O122" s="526">
        <f>'4.  2011-14 LRAM'!O$317*O118</f>
        <v>15985.037681177004</v>
      </c>
      <c r="P122" s="1155">
        <f>SUM(H122:O122)</f>
        <v>87878.335288603907</v>
      </c>
    </row>
    <row r="123" spans="2:17" x14ac:dyDescent="0.35">
      <c r="B123" s="373"/>
      <c r="C123" s="1269" t="s">
        <v>232</v>
      </c>
      <c r="D123" s="1269"/>
      <c r="E123" s="254"/>
      <c r="F123" s="255"/>
      <c r="G123" s="255"/>
      <c r="H123" s="526">
        <f>H113*H118</f>
        <v>46026.904000000002</v>
      </c>
      <c r="I123" s="526">
        <f>I113*I118</f>
        <v>17867.948836000003</v>
      </c>
      <c r="J123" s="526">
        <f>J115*J118</f>
        <v>24817.394736000006</v>
      </c>
      <c r="K123" s="526">
        <f>K115*K118</f>
        <v>28854.585599999999</v>
      </c>
      <c r="L123" s="526">
        <f>L115*L118</f>
        <v>0</v>
      </c>
      <c r="M123" s="526">
        <f>M115*M118</f>
        <v>0</v>
      </c>
      <c r="N123" s="526">
        <f>N113*N118</f>
        <v>0</v>
      </c>
      <c r="O123" s="526">
        <f>O115*O118</f>
        <v>285850.79140800005</v>
      </c>
      <c r="P123" s="1155">
        <f>SUM(H123:O123)</f>
        <v>403417.62458000006</v>
      </c>
    </row>
    <row r="124" spans="2:17" x14ac:dyDescent="0.35">
      <c r="B124" s="268"/>
      <c r="C124" s="371" t="s">
        <v>222</v>
      </c>
      <c r="D124" s="254"/>
      <c r="E124" s="254"/>
      <c r="F124" s="252"/>
      <c r="G124" s="252"/>
      <c r="H124" s="522">
        <f>SUM(H119:H123)</f>
        <v>138767.30366210476</v>
      </c>
      <c r="I124" s="522">
        <f>SUM(I119:I123)</f>
        <v>64584.932510684368</v>
      </c>
      <c r="J124" s="522">
        <f t="shared" ref="J124:O124" si="3">SUM(J119:J123)</f>
        <v>87780.781602216855</v>
      </c>
      <c r="K124" s="522">
        <f t="shared" si="3"/>
        <v>109931.63157911215</v>
      </c>
      <c r="L124" s="522">
        <f t="shared" si="3"/>
        <v>0</v>
      </c>
      <c r="M124" s="522">
        <f t="shared" si="3"/>
        <v>0</v>
      </c>
      <c r="N124" s="522">
        <f t="shared" si="3"/>
        <v>0</v>
      </c>
      <c r="O124" s="522">
        <f t="shared" si="3"/>
        <v>386054.69810037495</v>
      </c>
      <c r="P124" s="1156">
        <f>SUM(P119:P123)</f>
        <v>787119.34745449317</v>
      </c>
    </row>
    <row r="125" spans="2:17" x14ac:dyDescent="0.35">
      <c r="B125" s="272"/>
      <c r="C125" s="435"/>
      <c r="D125" s="273"/>
      <c r="E125" s="273"/>
      <c r="F125" s="274"/>
      <c r="G125" s="274"/>
      <c r="H125" s="436"/>
      <c r="I125" s="436"/>
      <c r="J125" s="436"/>
      <c r="K125" s="436"/>
      <c r="L125" s="436"/>
      <c r="M125" s="436"/>
      <c r="N125" s="436"/>
      <c r="O125" s="273"/>
      <c r="P125" s="437"/>
    </row>
    <row r="126" spans="2:17" hidden="1" x14ac:dyDescent="0.35">
      <c r="B126" s="408"/>
      <c r="C126" s="1269" t="s">
        <v>223</v>
      </c>
      <c r="D126" s="1269"/>
      <c r="E126" s="400"/>
      <c r="F126" s="154"/>
      <c r="G126" s="154"/>
      <c r="H126" s="479">
        <f>$H$113*'6.  Persistence Rates'!$E$44</f>
        <v>2609148.4411092815</v>
      </c>
      <c r="I126" s="479">
        <f>I113*'6.  Persistence Rates'!$E$44</f>
        <v>1360827.5633089109</v>
      </c>
      <c r="J126" s="479">
        <f>$J$115*'6.  Persistence Rates'!$R$44</f>
        <v>9643.2110384894713</v>
      </c>
      <c r="K126" s="479">
        <f>$K$115*'6.  Persistence Rates'!$R$44</f>
        <v>8384.9837811667876</v>
      </c>
      <c r="L126" s="479">
        <f>$L$114*'6.  Persistence Rates'!$R$44</f>
        <v>0</v>
      </c>
      <c r="M126" s="479">
        <f>$M$114*'6.  Persistence Rates'!$R$44</f>
        <v>0</v>
      </c>
      <c r="N126" s="479">
        <f>$N$113*'6.  Persistence Rates'!$E$44</f>
        <v>0</v>
      </c>
      <c r="O126" s="154"/>
      <c r="P126" s="343"/>
      <c r="Q126" s="17"/>
    </row>
    <row r="127" spans="2:17" hidden="1" x14ac:dyDescent="0.35">
      <c r="B127" s="408"/>
      <c r="C127" s="1269" t="s">
        <v>224</v>
      </c>
      <c r="D127" s="1269"/>
      <c r="E127" s="400"/>
      <c r="F127" s="154"/>
      <c r="G127" s="154"/>
      <c r="H127" s="479">
        <f>H113*'6.  Persistence Rates'!F$44</f>
        <v>2604484.3379379371</v>
      </c>
      <c r="I127" s="479">
        <f>I113*'6.  Persistence Rates'!F$44</f>
        <v>1358394.9534758793</v>
      </c>
      <c r="J127" s="479">
        <f>$J$115*'6.  Persistence Rates'!$S$44</f>
        <v>9624.5241539578801</v>
      </c>
      <c r="K127" s="479">
        <f>$K$115*'6.  Persistence Rates'!$S$44</f>
        <v>8368.7351246671496</v>
      </c>
      <c r="L127" s="479">
        <f>$L$114*'6.  Persistence Rates'!$S$44</f>
        <v>0</v>
      </c>
      <c r="M127" s="479">
        <f>$M$114*'6.  Persistence Rates'!$S$44</f>
        <v>0</v>
      </c>
      <c r="N127" s="479">
        <f>$N$113*'6.  Persistence Rates'!$F$44</f>
        <v>0</v>
      </c>
      <c r="O127" s="154"/>
      <c r="P127" s="343"/>
    </row>
    <row r="128" spans="2:17" hidden="1" x14ac:dyDescent="0.35">
      <c r="B128" s="408"/>
      <c r="C128" s="1269" t="s">
        <v>225</v>
      </c>
      <c r="D128" s="1269"/>
      <c r="E128" s="400"/>
      <c r="F128" s="154"/>
      <c r="G128" s="154"/>
      <c r="H128" s="479">
        <f>H113*'6.  Persistence Rates'!G$44</f>
        <v>2603563.4048827579</v>
      </c>
      <c r="I128" s="479">
        <f>I113*'6.  Persistence Rates'!G$44</f>
        <v>1357914.6315954893</v>
      </c>
      <c r="J128" s="479">
        <f>$J$115*'6.  Persistence Rates'!$T$44</f>
        <v>9623.7455337690644</v>
      </c>
      <c r="K128" s="479">
        <f>$K$115*'6.  Persistence Rates'!$T$44</f>
        <v>8368.058097313</v>
      </c>
      <c r="L128" s="479">
        <f>$L$114*'6.  Persistence Rates'!$T$44</f>
        <v>0</v>
      </c>
      <c r="M128" s="479">
        <f>$M$114*'6.  Persistence Rates'!$T$44</f>
        <v>0</v>
      </c>
      <c r="N128" s="479">
        <f>$N$113*'6.  Persistence Rates'!$G$44</f>
        <v>0</v>
      </c>
      <c r="O128" s="154"/>
      <c r="P128" s="343"/>
    </row>
    <row r="129" spans="2:16" hidden="1" x14ac:dyDescent="0.35">
      <c r="B129" s="408"/>
      <c r="C129" s="1269" t="s">
        <v>226</v>
      </c>
      <c r="D129" s="1269"/>
      <c r="E129" s="400"/>
      <c r="F129" s="154"/>
      <c r="G129" s="154"/>
      <c r="H129" s="479">
        <f>H113*'6.  Persistence Rates'!H$44</f>
        <v>2596337.3601135784</v>
      </c>
      <c r="I129" s="479">
        <f>I113*'6.  Persistence Rates'!H$44</f>
        <v>1354145.8154021788</v>
      </c>
      <c r="J129" s="479">
        <f>$J$115*'6.  Persistence Rates'!$U$44</f>
        <v>9598.0510675381265</v>
      </c>
      <c r="K129" s="479">
        <f>$K$115*'6.  Persistence Rates'!$U$44</f>
        <v>8345.7161946259985</v>
      </c>
      <c r="L129" s="479">
        <f>$L$114*'6.  Persistence Rates'!$U$44</f>
        <v>0</v>
      </c>
      <c r="M129" s="479">
        <f>$M$114*'6.  Persistence Rates'!$U$44</f>
        <v>0</v>
      </c>
      <c r="N129" s="479">
        <f>$N$113*'6.  Persistence Rates'!$H$44</f>
        <v>0</v>
      </c>
      <c r="O129" s="154"/>
      <c r="P129" s="343"/>
    </row>
    <row r="130" spans="2:16" hidden="1" x14ac:dyDescent="0.35">
      <c r="B130" s="409"/>
      <c r="C130" s="1283" t="s">
        <v>227</v>
      </c>
      <c r="D130" s="1283"/>
      <c r="E130" s="410"/>
      <c r="F130" s="323"/>
      <c r="G130" s="323"/>
      <c r="H130" s="479">
        <f>H113*'6.  Persistence Rates'!I$44</f>
        <v>2595183.7688879161</v>
      </c>
      <c r="I130" s="479">
        <f>I113*'6.  Persistence Rates'!I$44</f>
        <v>1353544.1483172637</v>
      </c>
      <c r="J130" s="479">
        <f>$J$115*'6.  Persistence Rates'!$V$44</f>
        <v>9594.9365867828619</v>
      </c>
      <c r="K130" s="479">
        <f>$K$115*'6.  Persistence Rates'!$V$44</f>
        <v>8343.0080852093924</v>
      </c>
      <c r="L130" s="479">
        <f>$L$114*'6.  Persistence Rates'!$V$44</f>
        <v>0</v>
      </c>
      <c r="M130" s="479">
        <f>$M$114*'6.  Persistence Rates'!$V$44</f>
        <v>0</v>
      </c>
      <c r="N130" s="479">
        <f>$N$113*'6.  Persistence Rates'!$I$44</f>
        <v>0</v>
      </c>
      <c r="O130" s="323"/>
      <c r="P130" s="390"/>
    </row>
  </sheetData>
  <mergeCells count="67">
    <mergeCell ref="E5:P5"/>
    <mergeCell ref="E6:P6"/>
    <mergeCell ref="E7:P7"/>
    <mergeCell ref="E8:P8"/>
    <mergeCell ref="C26:D26"/>
    <mergeCell ref="C27:D27"/>
    <mergeCell ref="C28:D28"/>
    <mergeCell ref="C52:D52"/>
    <mergeCell ref="C44:D44"/>
    <mergeCell ref="C45:D45"/>
    <mergeCell ref="C46:D46"/>
    <mergeCell ref="C36:D36"/>
    <mergeCell ref="C37:D37"/>
    <mergeCell ref="C38:D38"/>
    <mergeCell ref="B47:P47"/>
    <mergeCell ref="C50:D50"/>
    <mergeCell ref="C51:D51"/>
    <mergeCell ref="B94:P94"/>
    <mergeCell ref="C110:D110"/>
    <mergeCell ref="C111:D111"/>
    <mergeCell ref="C61:D61"/>
    <mergeCell ref="C112:D112"/>
    <mergeCell ref="C91:D91"/>
    <mergeCell ref="C92:D92"/>
    <mergeCell ref="C93:D93"/>
    <mergeCell ref="B53:P53"/>
    <mergeCell ref="B64:P64"/>
    <mergeCell ref="B73:P73"/>
    <mergeCell ref="B86:P86"/>
    <mergeCell ref="C83:D83"/>
    <mergeCell ref="C84:D84"/>
    <mergeCell ref="C85:D85"/>
    <mergeCell ref="C70:D70"/>
    <mergeCell ref="C71:D71"/>
    <mergeCell ref="C72:D72"/>
    <mergeCell ref="C59:D59"/>
    <mergeCell ref="C60:D60"/>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B39:P39"/>
  </mergeCells>
  <pageMargins left="0.70866141732283472" right="0.70866141732283472" top="0.74803149606299213" bottom="0.74803149606299213" header="0.31496062992125984" footer="0.31496062992125984"/>
  <pageSetup paperSize="3" scale="80" fitToHeight="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workbookViewId="0">
      <pane ySplit="16" topLeftCell="A17" activePane="bottomLeft" state="frozen"/>
      <selection pane="bottomLeft" activeCell="B13" sqref="B13:B14"/>
    </sheetView>
  </sheetViews>
  <sheetFormatPr defaultColWidth="9.1796875" defaultRowHeight="14.5" outlineLevelRow="1" x14ac:dyDescent="0.35"/>
  <cols>
    <col min="1" max="1" width="6.54296875" style="23" customWidth="1"/>
    <col min="2" max="2" width="5.1796875" style="23" customWidth="1"/>
    <col min="3" max="3" width="44.26953125" style="35" customWidth="1"/>
    <col min="4" max="4" width="12.26953125" style="40" customWidth="1"/>
    <col min="5" max="5" width="13.26953125" style="40" customWidth="1"/>
    <col min="6" max="7" width="19.453125" style="23" customWidth="1"/>
    <col min="8" max="14" width="12.7265625" style="23" customWidth="1"/>
    <col min="15" max="15" width="8.1796875" style="23" customWidth="1"/>
    <col min="16" max="16" width="11.26953125" style="23" customWidth="1"/>
    <col min="17" max="17" width="13.1796875" style="23" customWidth="1"/>
    <col min="18" max="16384" width="9.1796875" style="23"/>
  </cols>
  <sheetData>
    <row r="1" spans="1:18" ht="19.5" customHeight="1" x14ac:dyDescent="0.35"/>
    <row r="2" spans="1:18" ht="18.75" customHeight="1" x14ac:dyDescent="0.4">
      <c r="B2" s="1299" t="s">
        <v>265</v>
      </c>
      <c r="C2" s="1299"/>
      <c r="D2" s="1299"/>
      <c r="E2" s="1299"/>
      <c r="F2" s="1299"/>
      <c r="G2" s="1299"/>
      <c r="H2" s="1299"/>
      <c r="I2" s="1299"/>
      <c r="J2" s="1299"/>
      <c r="K2" s="1299"/>
      <c r="L2" s="1299"/>
      <c r="M2" s="1299"/>
      <c r="N2" s="1299"/>
      <c r="O2" s="1299"/>
      <c r="P2" s="1299"/>
    </row>
    <row r="3" spans="1:18" ht="18.75" customHeight="1" outlineLevel="1" x14ac:dyDescent="0.45">
      <c r="B3" s="62"/>
      <c r="C3" s="171"/>
      <c r="D3" s="62"/>
      <c r="E3" s="62"/>
      <c r="F3" s="62"/>
      <c r="G3" s="62"/>
      <c r="H3" s="62"/>
      <c r="I3" s="62"/>
      <c r="J3" s="62"/>
      <c r="K3" s="62"/>
      <c r="L3" s="62"/>
      <c r="M3" s="62"/>
      <c r="N3" s="62"/>
      <c r="O3" s="62"/>
      <c r="P3" s="62"/>
    </row>
    <row r="4" spans="1:18" ht="35.25" customHeight="1" outlineLevel="1" x14ac:dyDescent="0.45">
      <c r="A4" s="236"/>
      <c r="B4" s="381"/>
      <c r="C4" s="361" t="s">
        <v>399</v>
      </c>
      <c r="D4" s="381"/>
      <c r="E4" s="1248" t="s">
        <v>362</v>
      </c>
      <c r="F4" s="1248"/>
      <c r="G4" s="1248"/>
      <c r="H4" s="1248"/>
      <c r="I4" s="1248"/>
      <c r="J4" s="1248"/>
      <c r="K4" s="1248"/>
      <c r="L4" s="1248"/>
      <c r="M4" s="1248"/>
      <c r="N4" s="1248"/>
      <c r="O4" s="1248"/>
      <c r="P4" s="1248"/>
    </row>
    <row r="5" spans="1:18" ht="18.75" customHeight="1" outlineLevel="1" x14ac:dyDescent="0.45">
      <c r="A5" s="46"/>
      <c r="B5" s="381"/>
      <c r="C5" s="382"/>
      <c r="D5" s="381"/>
      <c r="E5" s="364" t="s">
        <v>356</v>
      </c>
      <c r="F5" s="381"/>
      <c r="G5" s="381"/>
      <c r="H5" s="381"/>
      <c r="I5" s="381"/>
      <c r="J5" s="381"/>
      <c r="K5" s="381"/>
      <c r="L5" s="381"/>
      <c r="M5" s="381"/>
      <c r="N5" s="381"/>
      <c r="O5" s="381"/>
      <c r="P5" s="381"/>
    </row>
    <row r="6" spans="1:18" ht="18.75" customHeight="1" outlineLevel="1" x14ac:dyDescent="0.45">
      <c r="A6" s="46"/>
      <c r="B6" s="381"/>
      <c r="C6" s="382"/>
      <c r="D6" s="381"/>
      <c r="E6" s="364" t="s">
        <v>357</v>
      </c>
      <c r="F6" s="381"/>
      <c r="G6" s="381"/>
      <c r="H6" s="381"/>
      <c r="I6" s="381"/>
      <c r="J6" s="381"/>
      <c r="K6" s="381"/>
      <c r="L6" s="381"/>
      <c r="M6" s="381"/>
      <c r="N6" s="381"/>
      <c r="O6" s="381"/>
      <c r="P6" s="381"/>
    </row>
    <row r="7" spans="1:18" ht="18.75" customHeight="1" outlineLevel="1" x14ac:dyDescent="0.45">
      <c r="A7" s="46"/>
      <c r="B7" s="381"/>
      <c r="C7" s="382"/>
      <c r="D7" s="381"/>
      <c r="E7" s="364" t="s">
        <v>417</v>
      </c>
      <c r="F7" s="381"/>
      <c r="G7" s="381"/>
      <c r="H7" s="381"/>
      <c r="I7" s="381"/>
      <c r="J7" s="381"/>
      <c r="K7" s="381"/>
      <c r="L7" s="381"/>
      <c r="M7" s="381"/>
      <c r="N7" s="381"/>
      <c r="O7" s="381"/>
      <c r="P7" s="381"/>
    </row>
    <row r="8" spans="1:18" ht="18.75" customHeight="1" outlineLevel="1" x14ac:dyDescent="0.45">
      <c r="A8" s="46"/>
      <c r="B8" s="381"/>
      <c r="C8" s="382"/>
      <c r="D8" s="381"/>
      <c r="E8" s="364"/>
      <c r="F8" s="381"/>
      <c r="G8" s="381"/>
      <c r="H8" s="381"/>
      <c r="I8" s="381"/>
      <c r="J8" s="381"/>
      <c r="K8" s="381"/>
      <c r="L8" s="381"/>
      <c r="M8" s="381"/>
      <c r="N8" s="381"/>
      <c r="O8" s="381"/>
      <c r="P8" s="381"/>
    </row>
    <row r="9" spans="1:18" ht="18.75" customHeight="1" outlineLevel="1" x14ac:dyDescent="0.45">
      <c r="A9" s="46"/>
      <c r="B9" s="381"/>
      <c r="C9" s="383" t="s">
        <v>337</v>
      </c>
      <c r="D9" s="381"/>
      <c r="E9" s="1313" t="s">
        <v>363</v>
      </c>
      <c r="F9" s="1313"/>
      <c r="G9" s="381"/>
      <c r="H9" s="381"/>
      <c r="I9" s="381"/>
      <c r="J9" s="381"/>
      <c r="K9" s="381"/>
      <c r="L9" s="381"/>
      <c r="M9" s="381"/>
      <c r="N9" s="381"/>
      <c r="O9" s="381"/>
      <c r="P9" s="381"/>
      <c r="R9" s="81"/>
    </row>
    <row r="10" spans="1:18" ht="18.75" customHeight="1" outlineLevel="1" x14ac:dyDescent="0.45">
      <c r="A10" s="46"/>
      <c r="B10" s="381"/>
      <c r="C10" s="382"/>
      <c r="D10" s="381"/>
      <c r="E10" s="1314" t="s">
        <v>338</v>
      </c>
      <c r="F10" s="1314"/>
      <c r="G10" s="381"/>
      <c r="H10" s="381"/>
      <c r="I10" s="381"/>
      <c r="J10" s="381"/>
      <c r="K10" s="381"/>
      <c r="L10" s="381"/>
      <c r="M10" s="381"/>
      <c r="N10" s="381"/>
      <c r="O10" s="381"/>
      <c r="P10" s="381"/>
    </row>
    <row r="11" spans="1:18" ht="18.75" customHeight="1" x14ac:dyDescent="0.45">
      <c r="B11" s="62"/>
      <c r="C11" s="62"/>
      <c r="D11" s="62"/>
      <c r="E11" s="133"/>
      <c r="G11" s="62"/>
      <c r="H11" s="62"/>
      <c r="I11" s="62"/>
      <c r="J11" s="62"/>
      <c r="K11" s="62"/>
      <c r="L11" s="62"/>
      <c r="M11" s="62"/>
      <c r="N11" s="62"/>
      <c r="O11" s="62"/>
      <c r="P11" s="62"/>
    </row>
    <row r="12" spans="1:18" ht="18.75" customHeight="1" x14ac:dyDescent="0.45">
      <c r="B12" s="185" t="s">
        <v>474</v>
      </c>
      <c r="C12" s="62"/>
      <c r="D12" s="62"/>
      <c r="E12" s="165"/>
      <c r="F12" s="62"/>
      <c r="G12" s="62"/>
      <c r="H12" s="62"/>
      <c r="I12" s="62"/>
      <c r="J12" s="62"/>
      <c r="K12" s="62"/>
      <c r="L12" s="62"/>
      <c r="M12" s="62"/>
      <c r="N12" s="62"/>
      <c r="O12" s="62"/>
      <c r="P12" s="62"/>
    </row>
    <row r="13" spans="1:18" ht="42" x14ac:dyDescent="0.35">
      <c r="B13" s="1307" t="s">
        <v>59</v>
      </c>
      <c r="C13" s="1309" t="s">
        <v>0</v>
      </c>
      <c r="D13" s="1309" t="s">
        <v>45</v>
      </c>
      <c r="E13" s="1309" t="s">
        <v>205</v>
      </c>
      <c r="F13" s="231" t="s">
        <v>202</v>
      </c>
      <c r="G13" s="231" t="s">
        <v>46</v>
      </c>
      <c r="H13" s="1311" t="s">
        <v>60</v>
      </c>
      <c r="I13" s="1311"/>
      <c r="J13" s="1311"/>
      <c r="K13" s="1311"/>
      <c r="L13" s="1311"/>
      <c r="M13" s="1311"/>
      <c r="N13" s="1311"/>
      <c r="O13" s="1311"/>
      <c r="P13" s="1312"/>
    </row>
    <row r="14" spans="1:18" ht="56" x14ac:dyDescent="0.35">
      <c r="B14" s="1308"/>
      <c r="C14" s="1310"/>
      <c r="D14" s="1310"/>
      <c r="E14" s="1310"/>
      <c r="F14" s="420" t="s">
        <v>213</v>
      </c>
      <c r="G14" s="420" t="s">
        <v>214</v>
      </c>
      <c r="H14" s="421" t="s">
        <v>38</v>
      </c>
      <c r="I14" s="421" t="s">
        <v>40</v>
      </c>
      <c r="J14" s="421" t="s">
        <v>109</v>
      </c>
      <c r="K14" s="421" t="s">
        <v>110</v>
      </c>
      <c r="L14" s="421" t="s">
        <v>41</v>
      </c>
      <c r="M14" s="421" t="s">
        <v>42</v>
      </c>
      <c r="N14" s="421" t="s">
        <v>43</v>
      </c>
      <c r="O14" s="421" t="s">
        <v>106</v>
      </c>
      <c r="P14" s="424" t="s">
        <v>35</v>
      </c>
    </row>
    <row r="15" spans="1:18" ht="29.25" customHeight="1" x14ac:dyDescent="0.35">
      <c r="B15" s="1288" t="s">
        <v>141</v>
      </c>
      <c r="C15" s="1289"/>
      <c r="D15" s="1289"/>
      <c r="E15" s="1289"/>
      <c r="F15" s="1289"/>
      <c r="G15" s="1289"/>
      <c r="H15" s="1289"/>
      <c r="I15" s="1289"/>
      <c r="J15" s="1289"/>
      <c r="K15" s="1289"/>
      <c r="L15" s="1289"/>
      <c r="M15" s="1289"/>
      <c r="N15" s="1289"/>
      <c r="O15" s="1289"/>
      <c r="P15" s="1290"/>
    </row>
    <row r="16" spans="1:18" ht="26.25" customHeight="1" x14ac:dyDescent="0.35">
      <c r="A16" s="49"/>
      <c r="B16" s="1301" t="s">
        <v>142</v>
      </c>
      <c r="C16" s="1302"/>
      <c r="D16" s="1302"/>
      <c r="E16" s="1302"/>
      <c r="F16" s="1302"/>
      <c r="G16" s="1302"/>
      <c r="H16" s="1302"/>
      <c r="I16" s="1302"/>
      <c r="J16" s="1302"/>
      <c r="K16" s="1302"/>
      <c r="L16" s="1302"/>
      <c r="M16" s="1302"/>
      <c r="N16" s="1302"/>
      <c r="O16" s="1302"/>
      <c r="P16" s="1303"/>
    </row>
    <row r="17" spans="1:16" x14ac:dyDescent="0.35">
      <c r="A17" s="33"/>
      <c r="B17" s="414">
        <v>1</v>
      </c>
      <c r="C17" s="399" t="s">
        <v>143</v>
      </c>
      <c r="D17" s="245" t="s">
        <v>34</v>
      </c>
      <c r="E17" s="400"/>
      <c r="F17" s="289"/>
      <c r="G17" s="289"/>
      <c r="H17" s="411">
        <v>1</v>
      </c>
      <c r="I17" s="401"/>
      <c r="J17" s="401"/>
      <c r="K17" s="401"/>
      <c r="L17" s="401"/>
      <c r="M17" s="401"/>
      <c r="N17" s="401"/>
      <c r="O17" s="401"/>
      <c r="P17" s="415">
        <f>SUM(H17:O17)</f>
        <v>1</v>
      </c>
    </row>
    <row r="18" spans="1:16" x14ac:dyDescent="0.35">
      <c r="A18" s="8"/>
      <c r="B18" s="414">
        <v>2</v>
      </c>
      <c r="C18" s="399" t="s">
        <v>144</v>
      </c>
      <c r="D18" s="245" t="s">
        <v>34</v>
      </c>
      <c r="E18" s="402"/>
      <c r="F18" s="289"/>
      <c r="G18" s="289"/>
      <c r="H18" s="411">
        <v>1</v>
      </c>
      <c r="I18" s="401"/>
      <c r="J18" s="401"/>
      <c r="K18" s="401"/>
      <c r="L18" s="401"/>
      <c r="M18" s="401"/>
      <c r="N18" s="401"/>
      <c r="O18" s="401"/>
      <c r="P18" s="415">
        <f t="shared" ref="P18:P79" si="0">SUM(H18:O18)</f>
        <v>1</v>
      </c>
    </row>
    <row r="19" spans="1:16" x14ac:dyDescent="0.35">
      <c r="A19" s="33"/>
      <c r="B19" s="414">
        <v>3</v>
      </c>
      <c r="C19" s="399" t="s">
        <v>145</v>
      </c>
      <c r="D19" s="245" t="s">
        <v>34</v>
      </c>
      <c r="E19" s="402"/>
      <c r="F19" s="289"/>
      <c r="G19" s="289"/>
      <c r="H19" s="411">
        <v>1</v>
      </c>
      <c r="I19" s="401"/>
      <c r="J19" s="401"/>
      <c r="K19" s="401"/>
      <c r="L19" s="401"/>
      <c r="M19" s="401"/>
      <c r="N19" s="401"/>
      <c r="O19" s="401"/>
      <c r="P19" s="415">
        <f t="shared" si="0"/>
        <v>1</v>
      </c>
    </row>
    <row r="20" spans="1:16" x14ac:dyDescent="0.35">
      <c r="A20" s="33"/>
      <c r="B20" s="414">
        <v>4</v>
      </c>
      <c r="C20" s="399" t="s">
        <v>146</v>
      </c>
      <c r="D20" s="245" t="s">
        <v>34</v>
      </c>
      <c r="E20" s="402"/>
      <c r="F20" s="289"/>
      <c r="G20" s="289"/>
      <c r="H20" s="411">
        <v>1</v>
      </c>
      <c r="I20" s="401"/>
      <c r="J20" s="401"/>
      <c r="K20" s="401"/>
      <c r="L20" s="401"/>
      <c r="M20" s="401"/>
      <c r="N20" s="401"/>
      <c r="O20" s="401"/>
      <c r="P20" s="415">
        <f t="shared" si="0"/>
        <v>1</v>
      </c>
    </row>
    <row r="21" spans="1:16" x14ac:dyDescent="0.35">
      <c r="A21" s="33"/>
      <c r="B21" s="414">
        <v>5</v>
      </c>
      <c r="C21" s="399" t="s">
        <v>147</v>
      </c>
      <c r="D21" s="245" t="s">
        <v>34</v>
      </c>
      <c r="E21" s="402"/>
      <c r="F21" s="289"/>
      <c r="G21" s="289"/>
      <c r="H21" s="411">
        <v>1</v>
      </c>
      <c r="I21" s="401"/>
      <c r="J21" s="401"/>
      <c r="K21" s="401"/>
      <c r="L21" s="401"/>
      <c r="M21" s="401"/>
      <c r="N21" s="401"/>
      <c r="O21" s="401"/>
      <c r="P21" s="415">
        <f t="shared" si="0"/>
        <v>1</v>
      </c>
    </row>
    <row r="22" spans="1:16" ht="28" x14ac:dyDescent="0.35">
      <c r="A22" s="33"/>
      <c r="B22" s="414">
        <v>6</v>
      </c>
      <c r="C22" s="399" t="s">
        <v>148</v>
      </c>
      <c r="D22" s="245" t="s">
        <v>34</v>
      </c>
      <c r="E22" s="402"/>
      <c r="F22" s="289"/>
      <c r="G22" s="289"/>
      <c r="H22" s="411">
        <v>1</v>
      </c>
      <c r="I22" s="401"/>
      <c r="J22" s="401"/>
      <c r="K22" s="401"/>
      <c r="L22" s="401"/>
      <c r="M22" s="401"/>
      <c r="N22" s="401"/>
      <c r="O22" s="401"/>
      <c r="P22" s="415">
        <f t="shared" si="0"/>
        <v>1</v>
      </c>
    </row>
    <row r="23" spans="1:16" x14ac:dyDescent="0.35">
      <c r="A23" s="33"/>
      <c r="B23" s="416" t="s">
        <v>263</v>
      </c>
      <c r="C23" s="399"/>
      <c r="D23" s="245" t="s">
        <v>253</v>
      </c>
      <c r="E23" s="402"/>
      <c r="F23" s="289"/>
      <c r="G23" s="289"/>
      <c r="H23" s="411"/>
      <c r="I23" s="401"/>
      <c r="J23" s="401"/>
      <c r="K23" s="401"/>
      <c r="L23" s="401"/>
      <c r="M23" s="401"/>
      <c r="N23" s="401"/>
      <c r="O23" s="401"/>
      <c r="P23" s="415">
        <f t="shared" si="0"/>
        <v>0</v>
      </c>
    </row>
    <row r="24" spans="1:16" x14ac:dyDescent="0.35">
      <c r="A24" s="33"/>
      <c r="B24" s="414"/>
      <c r="C24" s="1267"/>
      <c r="D24" s="1267"/>
      <c r="E24" s="259"/>
      <c r="F24" s="289"/>
      <c r="G24" s="289"/>
      <c r="H24" s="411"/>
      <c r="I24" s="401"/>
      <c r="J24" s="401"/>
      <c r="K24" s="401"/>
      <c r="L24" s="401"/>
      <c r="M24" s="401"/>
      <c r="N24" s="401"/>
      <c r="O24" s="401"/>
      <c r="P24" s="415">
        <f t="shared" si="0"/>
        <v>0</v>
      </c>
    </row>
    <row r="25" spans="1:16" x14ac:dyDescent="0.35">
      <c r="A25" s="33"/>
      <c r="B25" s="414"/>
      <c r="C25" s="1267"/>
      <c r="D25" s="1267"/>
      <c r="E25" s="259"/>
      <c r="F25" s="289"/>
      <c r="G25" s="289"/>
      <c r="H25" s="411"/>
      <c r="I25" s="401"/>
      <c r="J25" s="401"/>
      <c r="K25" s="401"/>
      <c r="L25" s="401"/>
      <c r="M25" s="401"/>
      <c r="N25" s="401"/>
      <c r="O25" s="401"/>
      <c r="P25" s="415">
        <f t="shared" si="0"/>
        <v>0</v>
      </c>
    </row>
    <row r="26" spans="1:16" x14ac:dyDescent="0.35">
      <c r="A26" s="33"/>
      <c r="B26" s="414"/>
      <c r="C26" s="1267"/>
      <c r="D26" s="1267"/>
      <c r="E26" s="259"/>
      <c r="F26" s="289"/>
      <c r="G26" s="289"/>
      <c r="H26" s="411"/>
      <c r="I26" s="401"/>
      <c r="J26" s="401"/>
      <c r="K26" s="401"/>
      <c r="L26" s="401"/>
      <c r="M26" s="401"/>
      <c r="N26" s="401"/>
      <c r="O26" s="401"/>
      <c r="P26" s="415">
        <f t="shared" si="0"/>
        <v>0</v>
      </c>
    </row>
    <row r="27" spans="1:16" ht="25.5" customHeight="1" x14ac:dyDescent="0.35">
      <c r="A27" s="49"/>
      <c r="B27" s="1301" t="s">
        <v>149</v>
      </c>
      <c r="C27" s="1302"/>
      <c r="D27" s="1302"/>
      <c r="E27" s="1302"/>
      <c r="F27" s="1302"/>
      <c r="G27" s="1302"/>
      <c r="H27" s="1302"/>
      <c r="I27" s="1302"/>
      <c r="J27" s="1302"/>
      <c r="K27" s="1302"/>
      <c r="L27" s="1302"/>
      <c r="M27" s="1302"/>
      <c r="N27" s="1302"/>
      <c r="O27" s="1302"/>
      <c r="P27" s="1303"/>
    </row>
    <row r="28" spans="1:16" x14ac:dyDescent="0.35">
      <c r="A28" s="33"/>
      <c r="B28" s="414">
        <v>7</v>
      </c>
      <c r="C28" s="399" t="s">
        <v>150</v>
      </c>
      <c r="D28" s="245" t="s">
        <v>34</v>
      </c>
      <c r="E28" s="402">
        <v>12</v>
      </c>
      <c r="F28" s="289"/>
      <c r="G28" s="289">
        <v>50</v>
      </c>
      <c r="H28" s="401"/>
      <c r="I28" s="411">
        <v>0.2</v>
      </c>
      <c r="J28" s="411">
        <v>0.5</v>
      </c>
      <c r="K28" s="411">
        <v>0.3</v>
      </c>
      <c r="L28" s="401"/>
      <c r="M28" s="401"/>
      <c r="N28" s="401"/>
      <c r="O28" s="401"/>
      <c r="P28" s="415">
        <f t="shared" si="0"/>
        <v>1</v>
      </c>
    </row>
    <row r="29" spans="1:16" ht="28" x14ac:dyDescent="0.35">
      <c r="A29" s="33"/>
      <c r="B29" s="414">
        <v>8</v>
      </c>
      <c r="C29" s="399" t="s">
        <v>151</v>
      </c>
      <c r="D29" s="245" t="s">
        <v>34</v>
      </c>
      <c r="E29" s="402">
        <v>12</v>
      </c>
      <c r="F29" s="289"/>
      <c r="G29" s="289"/>
      <c r="H29" s="401"/>
      <c r="I29" s="411">
        <v>0.8</v>
      </c>
      <c r="J29" s="411">
        <v>0.2</v>
      </c>
      <c r="K29" s="401"/>
      <c r="L29" s="401"/>
      <c r="M29" s="401"/>
      <c r="N29" s="401"/>
      <c r="O29" s="401"/>
      <c r="P29" s="415">
        <f t="shared" si="0"/>
        <v>1</v>
      </c>
    </row>
    <row r="30" spans="1:16" x14ac:dyDescent="0.35">
      <c r="A30" s="33"/>
      <c r="B30" s="414">
        <v>9</v>
      </c>
      <c r="C30" s="399" t="s">
        <v>152</v>
      </c>
      <c r="D30" s="245" t="s">
        <v>34</v>
      </c>
      <c r="E30" s="402">
        <v>12</v>
      </c>
      <c r="F30" s="289"/>
      <c r="G30" s="289"/>
      <c r="H30" s="401"/>
      <c r="I30" s="411">
        <v>0.5</v>
      </c>
      <c r="J30" s="411">
        <v>0.5</v>
      </c>
      <c r="K30" s="401"/>
      <c r="L30" s="401"/>
      <c r="M30" s="401"/>
      <c r="N30" s="401"/>
      <c r="O30" s="401"/>
      <c r="P30" s="415">
        <f t="shared" si="0"/>
        <v>1</v>
      </c>
    </row>
    <row r="31" spans="1:16" ht="28" x14ac:dyDescent="0.35">
      <c r="A31" s="33"/>
      <c r="B31" s="414">
        <v>10</v>
      </c>
      <c r="C31" s="399" t="s">
        <v>153</v>
      </c>
      <c r="D31" s="245" t="s">
        <v>34</v>
      </c>
      <c r="E31" s="402">
        <v>12</v>
      </c>
      <c r="F31" s="289"/>
      <c r="G31" s="289"/>
      <c r="H31" s="401"/>
      <c r="I31" s="411">
        <v>1</v>
      </c>
      <c r="J31" s="401"/>
      <c r="K31" s="401"/>
      <c r="L31" s="401"/>
      <c r="M31" s="401"/>
      <c r="N31" s="401"/>
      <c r="O31" s="401"/>
      <c r="P31" s="415">
        <f t="shared" si="0"/>
        <v>1</v>
      </c>
    </row>
    <row r="32" spans="1:16" ht="28" x14ac:dyDescent="0.35">
      <c r="A32" s="33"/>
      <c r="B32" s="414">
        <v>11</v>
      </c>
      <c r="C32" s="399" t="s">
        <v>154</v>
      </c>
      <c r="D32" s="245" t="s">
        <v>34</v>
      </c>
      <c r="E32" s="402">
        <v>3</v>
      </c>
      <c r="F32" s="289"/>
      <c r="G32" s="289"/>
      <c r="H32" s="401"/>
      <c r="I32" s="401"/>
      <c r="J32" s="411">
        <v>0.9</v>
      </c>
      <c r="K32" s="411">
        <v>0.1</v>
      </c>
      <c r="L32" s="401"/>
      <c r="M32" s="401"/>
      <c r="N32" s="401"/>
      <c r="O32" s="401"/>
      <c r="P32" s="415">
        <f t="shared" si="0"/>
        <v>1</v>
      </c>
    </row>
    <row r="33" spans="1:16" x14ac:dyDescent="0.35">
      <c r="A33" s="33"/>
      <c r="B33" s="416" t="s">
        <v>263</v>
      </c>
      <c r="C33" s="399"/>
      <c r="D33" s="245" t="s">
        <v>253</v>
      </c>
      <c r="E33" s="402"/>
      <c r="F33" s="289"/>
      <c r="G33" s="289"/>
      <c r="H33" s="401"/>
      <c r="I33" s="401"/>
      <c r="J33" s="401"/>
      <c r="K33" s="401"/>
      <c r="L33" s="401"/>
      <c r="M33" s="401"/>
      <c r="N33" s="401"/>
      <c r="O33" s="401"/>
      <c r="P33" s="415">
        <f t="shared" si="0"/>
        <v>0</v>
      </c>
    </row>
    <row r="34" spans="1:16" x14ac:dyDescent="0.35">
      <c r="A34" s="33"/>
      <c r="B34" s="414"/>
      <c r="C34" s="1267"/>
      <c r="D34" s="1267"/>
      <c r="E34" s="259"/>
      <c r="F34" s="289"/>
      <c r="G34" s="289"/>
      <c r="H34" s="401"/>
      <c r="I34" s="401"/>
      <c r="J34" s="401"/>
      <c r="K34" s="401"/>
      <c r="L34" s="401"/>
      <c r="M34" s="401"/>
      <c r="N34" s="401"/>
      <c r="O34" s="401"/>
      <c r="P34" s="415">
        <f t="shared" si="0"/>
        <v>0</v>
      </c>
    </row>
    <row r="35" spans="1:16" x14ac:dyDescent="0.35">
      <c r="A35" s="33"/>
      <c r="B35" s="414"/>
      <c r="C35" s="1267"/>
      <c r="D35" s="1267"/>
      <c r="E35" s="259"/>
      <c r="F35" s="289"/>
      <c r="G35" s="289"/>
      <c r="H35" s="401"/>
      <c r="I35" s="401"/>
      <c r="J35" s="401"/>
      <c r="K35" s="401"/>
      <c r="L35" s="401"/>
      <c r="M35" s="401"/>
      <c r="N35" s="401"/>
      <c r="O35" s="401"/>
      <c r="P35" s="415">
        <f t="shared" si="0"/>
        <v>0</v>
      </c>
    </row>
    <row r="36" spans="1:16" x14ac:dyDescent="0.35">
      <c r="A36" s="33"/>
      <c r="B36" s="414"/>
      <c r="C36" s="1267"/>
      <c r="D36" s="1267"/>
      <c r="E36" s="259"/>
      <c r="F36" s="289"/>
      <c r="G36" s="289"/>
      <c r="H36" s="401"/>
      <c r="I36" s="401"/>
      <c r="J36" s="401"/>
      <c r="K36" s="401"/>
      <c r="L36" s="401"/>
      <c r="M36" s="401"/>
      <c r="N36" s="401"/>
      <c r="O36" s="401"/>
      <c r="P36" s="415">
        <f t="shared" si="0"/>
        <v>0</v>
      </c>
    </row>
    <row r="37" spans="1:16" ht="26.25" customHeight="1" x14ac:dyDescent="0.35">
      <c r="A37" s="49"/>
      <c r="B37" s="1301" t="s">
        <v>11</v>
      </c>
      <c r="C37" s="1302"/>
      <c r="D37" s="1302"/>
      <c r="E37" s="1302"/>
      <c r="F37" s="1302"/>
      <c r="G37" s="1302"/>
      <c r="H37" s="1302"/>
      <c r="I37" s="1302"/>
      <c r="J37" s="1302"/>
      <c r="K37" s="1302"/>
      <c r="L37" s="1302"/>
      <c r="M37" s="1302"/>
      <c r="N37" s="1302"/>
      <c r="O37" s="1302"/>
      <c r="P37" s="1303"/>
    </row>
    <row r="38" spans="1:16" ht="28" x14ac:dyDescent="0.35">
      <c r="A38" s="33"/>
      <c r="B38" s="414">
        <v>12</v>
      </c>
      <c r="C38" s="399" t="s">
        <v>155</v>
      </c>
      <c r="D38" s="245" t="s">
        <v>34</v>
      </c>
      <c r="E38" s="402">
        <v>12</v>
      </c>
      <c r="F38" s="289"/>
      <c r="G38" s="289"/>
      <c r="H38" s="401"/>
      <c r="I38" s="401"/>
      <c r="J38" s="411">
        <v>1</v>
      </c>
      <c r="K38" s="401"/>
      <c r="L38" s="401"/>
      <c r="M38" s="401"/>
      <c r="N38" s="401"/>
      <c r="O38" s="401"/>
      <c r="P38" s="415">
        <f t="shared" si="0"/>
        <v>1</v>
      </c>
    </row>
    <row r="39" spans="1:16" ht="28" x14ac:dyDescent="0.35">
      <c r="A39" s="33"/>
      <c r="B39" s="414">
        <v>13</v>
      </c>
      <c r="C39" s="399" t="s">
        <v>156</v>
      </c>
      <c r="D39" s="245" t="s">
        <v>34</v>
      </c>
      <c r="E39" s="402">
        <v>12</v>
      </c>
      <c r="F39" s="289"/>
      <c r="G39" s="289"/>
      <c r="H39" s="401"/>
      <c r="I39" s="401"/>
      <c r="J39" s="411">
        <v>1</v>
      </c>
      <c r="K39" s="401"/>
      <c r="L39" s="401"/>
      <c r="M39" s="401"/>
      <c r="N39" s="401"/>
      <c r="O39" s="401"/>
      <c r="P39" s="415">
        <f t="shared" si="0"/>
        <v>1</v>
      </c>
    </row>
    <row r="40" spans="1:16" ht="28" x14ac:dyDescent="0.35">
      <c r="A40" s="33"/>
      <c r="B40" s="414">
        <v>14</v>
      </c>
      <c r="C40" s="399" t="s">
        <v>157</v>
      </c>
      <c r="D40" s="245" t="s">
        <v>34</v>
      </c>
      <c r="E40" s="402">
        <v>12</v>
      </c>
      <c r="F40" s="289"/>
      <c r="G40" s="289"/>
      <c r="H40" s="401"/>
      <c r="I40" s="401"/>
      <c r="J40" s="411">
        <v>1</v>
      </c>
      <c r="K40" s="401"/>
      <c r="L40" s="401"/>
      <c r="M40" s="401"/>
      <c r="N40" s="401"/>
      <c r="O40" s="401"/>
      <c r="P40" s="415">
        <f t="shared" si="0"/>
        <v>1</v>
      </c>
    </row>
    <row r="41" spans="1:16" x14ac:dyDescent="0.35">
      <c r="A41" s="33"/>
      <c r="B41" s="416" t="s">
        <v>263</v>
      </c>
      <c r="C41" s="399"/>
      <c r="D41" s="245" t="s">
        <v>253</v>
      </c>
      <c r="E41" s="402"/>
      <c r="F41" s="289"/>
      <c r="G41" s="289"/>
      <c r="H41" s="401"/>
      <c r="I41" s="401"/>
      <c r="J41" s="401"/>
      <c r="K41" s="401"/>
      <c r="L41" s="401"/>
      <c r="M41" s="401"/>
      <c r="N41" s="401"/>
      <c r="O41" s="401"/>
      <c r="P41" s="415">
        <f t="shared" si="0"/>
        <v>0</v>
      </c>
    </row>
    <row r="42" spans="1:16" x14ac:dyDescent="0.35">
      <c r="A42" s="33"/>
      <c r="B42" s="414"/>
      <c r="C42" s="1267"/>
      <c r="D42" s="1267"/>
      <c r="E42" s="259"/>
      <c r="F42" s="289"/>
      <c r="G42" s="289"/>
      <c r="H42" s="401"/>
      <c r="I42" s="401"/>
      <c r="J42" s="401"/>
      <c r="K42" s="401"/>
      <c r="L42" s="401"/>
      <c r="M42" s="401"/>
      <c r="N42" s="401"/>
      <c r="O42" s="401"/>
      <c r="P42" s="415">
        <f t="shared" si="0"/>
        <v>0</v>
      </c>
    </row>
    <row r="43" spans="1:16" x14ac:dyDescent="0.35">
      <c r="A43" s="33"/>
      <c r="B43" s="414"/>
      <c r="C43" s="1267"/>
      <c r="D43" s="1267"/>
      <c r="E43" s="259"/>
      <c r="F43" s="289"/>
      <c r="G43" s="289"/>
      <c r="H43" s="401"/>
      <c r="I43" s="401"/>
      <c r="J43" s="401"/>
      <c r="K43" s="401"/>
      <c r="L43" s="401"/>
      <c r="M43" s="401"/>
      <c r="N43" s="401"/>
      <c r="O43" s="401"/>
      <c r="P43" s="415">
        <f t="shared" si="0"/>
        <v>0</v>
      </c>
    </row>
    <row r="44" spans="1:16" x14ac:dyDescent="0.35">
      <c r="A44" s="33"/>
      <c r="B44" s="414"/>
      <c r="C44" s="1267"/>
      <c r="D44" s="1267"/>
      <c r="E44" s="259"/>
      <c r="F44" s="289"/>
      <c r="G44" s="289"/>
      <c r="H44" s="401"/>
      <c r="I44" s="401"/>
      <c r="J44" s="401"/>
      <c r="K44" s="401"/>
      <c r="L44" s="401"/>
      <c r="M44" s="401"/>
      <c r="N44" s="401"/>
      <c r="O44" s="401"/>
      <c r="P44" s="415">
        <f t="shared" si="0"/>
        <v>0</v>
      </c>
    </row>
    <row r="45" spans="1:16" ht="24" customHeight="1" x14ac:dyDescent="0.35">
      <c r="A45" s="49"/>
      <c r="B45" s="1301" t="s">
        <v>158</v>
      </c>
      <c r="C45" s="1302"/>
      <c r="D45" s="1302"/>
      <c r="E45" s="1302"/>
      <c r="F45" s="1302"/>
      <c r="G45" s="1302"/>
      <c r="H45" s="1302"/>
      <c r="I45" s="1302"/>
      <c r="J45" s="1302"/>
      <c r="K45" s="1302"/>
      <c r="L45" s="1302"/>
      <c r="M45" s="1302"/>
      <c r="N45" s="1302"/>
      <c r="O45" s="1302"/>
      <c r="P45" s="1303"/>
    </row>
    <row r="46" spans="1:16" x14ac:dyDescent="0.35">
      <c r="A46" s="33"/>
      <c r="B46" s="414">
        <v>15</v>
      </c>
      <c r="C46" s="399" t="s">
        <v>159</v>
      </c>
      <c r="D46" s="245" t="s">
        <v>34</v>
      </c>
      <c r="E46" s="402"/>
      <c r="F46" s="289"/>
      <c r="G46" s="289"/>
      <c r="H46" s="411">
        <v>1</v>
      </c>
      <c r="I46" s="401"/>
      <c r="J46" s="401"/>
      <c r="K46" s="401"/>
      <c r="L46" s="401"/>
      <c r="M46" s="401"/>
      <c r="N46" s="401"/>
      <c r="O46" s="401"/>
      <c r="P46" s="415">
        <f t="shared" si="0"/>
        <v>1</v>
      </c>
    </row>
    <row r="47" spans="1:16" x14ac:dyDescent="0.35">
      <c r="A47" s="33"/>
      <c r="B47" s="416" t="s">
        <v>263</v>
      </c>
      <c r="C47" s="399"/>
      <c r="D47" s="245" t="s">
        <v>253</v>
      </c>
      <c r="E47" s="402"/>
      <c r="F47" s="289"/>
      <c r="G47" s="289"/>
      <c r="H47" s="411"/>
      <c r="I47" s="401"/>
      <c r="J47" s="401"/>
      <c r="K47" s="401"/>
      <c r="L47" s="401"/>
      <c r="M47" s="401"/>
      <c r="N47" s="401"/>
      <c r="O47" s="401"/>
      <c r="P47" s="415">
        <f t="shared" si="0"/>
        <v>0</v>
      </c>
    </row>
    <row r="48" spans="1:16" x14ac:dyDescent="0.35">
      <c r="A48" s="33"/>
      <c r="B48" s="414"/>
      <c r="C48" s="1267"/>
      <c r="D48" s="1267"/>
      <c r="E48" s="259"/>
      <c r="F48" s="289"/>
      <c r="G48" s="289"/>
      <c r="H48" s="411"/>
      <c r="I48" s="401"/>
      <c r="J48" s="401"/>
      <c r="K48" s="401"/>
      <c r="L48" s="401"/>
      <c r="M48" s="401"/>
      <c r="N48" s="401"/>
      <c r="O48" s="401"/>
      <c r="P48" s="415">
        <f t="shared" si="0"/>
        <v>0</v>
      </c>
    </row>
    <row r="49" spans="1:16" x14ac:dyDescent="0.35">
      <c r="A49" s="33"/>
      <c r="B49" s="414"/>
      <c r="C49" s="1267"/>
      <c r="D49" s="1267"/>
      <c r="E49" s="259"/>
      <c r="F49" s="289"/>
      <c r="G49" s="289"/>
      <c r="H49" s="411"/>
      <c r="I49" s="401"/>
      <c r="J49" s="401"/>
      <c r="K49" s="401"/>
      <c r="L49" s="401"/>
      <c r="M49" s="401"/>
      <c r="N49" s="401"/>
      <c r="O49" s="401"/>
      <c r="P49" s="415"/>
    </row>
    <row r="50" spans="1:16" x14ac:dyDescent="0.35">
      <c r="A50" s="33"/>
      <c r="B50" s="414"/>
      <c r="C50" s="1267"/>
      <c r="D50" s="1267"/>
      <c r="E50" s="259"/>
      <c r="F50" s="289"/>
      <c r="G50" s="289"/>
      <c r="H50" s="411"/>
      <c r="I50" s="401"/>
      <c r="J50" s="401"/>
      <c r="K50" s="401"/>
      <c r="L50" s="401"/>
      <c r="M50" s="401"/>
      <c r="N50" s="401"/>
      <c r="O50" s="401"/>
      <c r="P50" s="415">
        <f t="shared" si="0"/>
        <v>0</v>
      </c>
    </row>
    <row r="51" spans="1:16" ht="21" customHeight="1" x14ac:dyDescent="0.35">
      <c r="A51" s="47"/>
      <c r="B51" s="1301" t="s">
        <v>160</v>
      </c>
      <c r="C51" s="1302"/>
      <c r="D51" s="1302"/>
      <c r="E51" s="1302"/>
      <c r="F51" s="1302"/>
      <c r="G51" s="1302"/>
      <c r="H51" s="1302"/>
      <c r="I51" s="1302"/>
      <c r="J51" s="1302"/>
      <c r="K51" s="1302"/>
      <c r="L51" s="1302"/>
      <c r="M51" s="1302"/>
      <c r="N51" s="1302"/>
      <c r="O51" s="1302"/>
      <c r="P51" s="1303"/>
    </row>
    <row r="52" spans="1:16" x14ac:dyDescent="0.35">
      <c r="A52" s="33"/>
      <c r="B52" s="414">
        <v>16</v>
      </c>
      <c r="C52" s="399" t="s">
        <v>161</v>
      </c>
      <c r="D52" s="245" t="s">
        <v>34</v>
      </c>
      <c r="E52" s="402"/>
      <c r="F52" s="289"/>
      <c r="G52" s="289"/>
      <c r="H52" s="401"/>
      <c r="I52" s="401"/>
      <c r="J52" s="401"/>
      <c r="K52" s="401"/>
      <c r="L52" s="401"/>
      <c r="M52" s="401"/>
      <c r="N52" s="401"/>
      <c r="O52" s="401"/>
      <c r="P52" s="415">
        <f t="shared" si="0"/>
        <v>0</v>
      </c>
    </row>
    <row r="53" spans="1:16" x14ac:dyDescent="0.35">
      <c r="A53" s="33"/>
      <c r="B53" s="414">
        <v>17</v>
      </c>
      <c r="C53" s="399" t="s">
        <v>162</v>
      </c>
      <c r="D53" s="245" t="s">
        <v>34</v>
      </c>
      <c r="E53" s="402"/>
      <c r="F53" s="289"/>
      <c r="G53" s="289"/>
      <c r="H53" s="401"/>
      <c r="I53" s="401"/>
      <c r="J53" s="401"/>
      <c r="K53" s="401"/>
      <c r="L53" s="401"/>
      <c r="M53" s="401"/>
      <c r="N53" s="401"/>
      <c r="O53" s="401"/>
      <c r="P53" s="415">
        <f t="shared" si="0"/>
        <v>0</v>
      </c>
    </row>
    <row r="54" spans="1:16" x14ac:dyDescent="0.35">
      <c r="A54" s="33"/>
      <c r="B54" s="414">
        <v>18</v>
      </c>
      <c r="C54" s="399" t="s">
        <v>163</v>
      </c>
      <c r="D54" s="245" t="s">
        <v>34</v>
      </c>
      <c r="E54" s="402"/>
      <c r="F54" s="289"/>
      <c r="G54" s="289"/>
      <c r="H54" s="401"/>
      <c r="I54" s="401"/>
      <c r="J54" s="401"/>
      <c r="K54" s="401"/>
      <c r="L54" s="401"/>
      <c r="M54" s="401"/>
      <c r="N54" s="401"/>
      <c r="O54" s="401"/>
      <c r="P54" s="415">
        <f t="shared" si="0"/>
        <v>0</v>
      </c>
    </row>
    <row r="55" spans="1:16" x14ac:dyDescent="0.35">
      <c r="A55" s="33"/>
      <c r="B55" s="414">
        <v>19</v>
      </c>
      <c r="C55" s="399" t="s">
        <v>164</v>
      </c>
      <c r="D55" s="245" t="s">
        <v>34</v>
      </c>
      <c r="E55" s="402"/>
      <c r="F55" s="289"/>
      <c r="G55" s="289"/>
      <c r="H55" s="401"/>
      <c r="I55" s="401"/>
      <c r="J55" s="401"/>
      <c r="K55" s="401"/>
      <c r="L55" s="401"/>
      <c r="M55" s="401"/>
      <c r="N55" s="401"/>
      <c r="O55" s="401"/>
      <c r="P55" s="415">
        <f t="shared" si="0"/>
        <v>0</v>
      </c>
    </row>
    <row r="56" spans="1:16" x14ac:dyDescent="0.35">
      <c r="A56" s="33"/>
      <c r="B56" s="416" t="s">
        <v>263</v>
      </c>
      <c r="C56" s="399"/>
      <c r="D56" s="245" t="s">
        <v>253</v>
      </c>
      <c r="E56" s="402"/>
      <c r="F56" s="289"/>
      <c r="G56" s="289"/>
      <c r="H56" s="401"/>
      <c r="I56" s="401"/>
      <c r="J56" s="401"/>
      <c r="K56" s="401"/>
      <c r="L56" s="401"/>
      <c r="M56" s="401"/>
      <c r="N56" s="401"/>
      <c r="O56" s="401"/>
      <c r="P56" s="415">
        <f t="shared" si="0"/>
        <v>0</v>
      </c>
    </row>
    <row r="57" spans="1:16" x14ac:dyDescent="0.35">
      <c r="A57" s="33"/>
      <c r="B57" s="416"/>
      <c r="C57" s="1267"/>
      <c r="D57" s="1267"/>
      <c r="E57" s="259"/>
      <c r="F57" s="289"/>
      <c r="G57" s="289"/>
      <c r="H57" s="401"/>
      <c r="I57" s="401"/>
      <c r="J57" s="401"/>
      <c r="K57" s="401"/>
      <c r="L57" s="401"/>
      <c r="M57" s="401"/>
      <c r="N57" s="401"/>
      <c r="O57" s="401"/>
      <c r="P57" s="415"/>
    </row>
    <row r="58" spans="1:16" x14ac:dyDescent="0.35">
      <c r="A58" s="33"/>
      <c r="B58" s="416"/>
      <c r="C58" s="1267"/>
      <c r="D58" s="1267"/>
      <c r="E58" s="259"/>
      <c r="F58" s="289"/>
      <c r="G58" s="289"/>
      <c r="H58" s="401"/>
      <c r="I58" s="401"/>
      <c r="J58" s="401"/>
      <c r="K58" s="401"/>
      <c r="L58" s="401"/>
      <c r="M58" s="401"/>
      <c r="N58" s="401"/>
      <c r="O58" s="401"/>
      <c r="P58" s="415"/>
    </row>
    <row r="59" spans="1:16" x14ac:dyDescent="0.35">
      <c r="A59" s="32"/>
      <c r="B59" s="417"/>
      <c r="C59" s="1267"/>
      <c r="D59" s="1267"/>
      <c r="E59" s="259"/>
      <c r="F59" s="289"/>
      <c r="G59" s="289"/>
      <c r="H59" s="405"/>
      <c r="I59" s="405"/>
      <c r="J59" s="405"/>
      <c r="K59" s="405"/>
      <c r="L59" s="405"/>
      <c r="M59" s="405"/>
      <c r="N59" s="405"/>
      <c r="O59" s="405"/>
      <c r="P59" s="415"/>
    </row>
    <row r="60" spans="1:16" ht="27" customHeight="1" x14ac:dyDescent="0.35">
      <c r="B60" s="1288" t="s">
        <v>165</v>
      </c>
      <c r="C60" s="1289"/>
      <c r="D60" s="1289"/>
      <c r="E60" s="1289"/>
      <c r="F60" s="1289"/>
      <c r="G60" s="1289"/>
      <c r="H60" s="1289"/>
      <c r="I60" s="1289"/>
      <c r="J60" s="1289"/>
      <c r="K60" s="1289"/>
      <c r="L60" s="1289"/>
      <c r="M60" s="1289"/>
      <c r="N60" s="1289"/>
      <c r="O60" s="1289"/>
      <c r="P60" s="1290"/>
    </row>
    <row r="61" spans="1:16" ht="16.5" x14ac:dyDescent="0.35">
      <c r="B61" s="418"/>
      <c r="C61" s="399"/>
      <c r="D61" s="402"/>
      <c r="E61" s="402"/>
      <c r="F61" s="398"/>
      <c r="G61" s="398"/>
      <c r="H61" s="398"/>
      <c r="I61" s="398"/>
      <c r="J61" s="398"/>
      <c r="K61" s="398"/>
      <c r="L61" s="398"/>
      <c r="M61" s="398"/>
      <c r="N61" s="398"/>
      <c r="O61" s="398"/>
      <c r="P61" s="419"/>
    </row>
    <row r="62" spans="1:16" ht="25.5" customHeight="1" x14ac:dyDescent="0.35">
      <c r="A62" s="49"/>
      <c r="B62" s="1304" t="s">
        <v>166</v>
      </c>
      <c r="C62" s="1279"/>
      <c r="D62" s="1279"/>
      <c r="E62" s="1279"/>
      <c r="F62" s="1279"/>
      <c r="G62" s="1279"/>
      <c r="H62" s="1279"/>
      <c r="I62" s="1279"/>
      <c r="J62" s="1279"/>
      <c r="K62" s="1279"/>
      <c r="L62" s="1279"/>
      <c r="M62" s="1279"/>
      <c r="N62" s="1279"/>
      <c r="O62" s="1279"/>
      <c r="P62" s="1305"/>
    </row>
    <row r="63" spans="1:16" x14ac:dyDescent="0.35">
      <c r="A63" s="33"/>
      <c r="B63" s="414">
        <v>21</v>
      </c>
      <c r="C63" s="399" t="s">
        <v>167</v>
      </c>
      <c r="D63" s="245" t="s">
        <v>34</v>
      </c>
      <c r="E63" s="402"/>
      <c r="F63" s="289"/>
      <c r="G63" s="289"/>
      <c r="H63" s="411">
        <v>1</v>
      </c>
      <c r="I63" s="401"/>
      <c r="J63" s="401"/>
      <c r="K63" s="401"/>
      <c r="L63" s="401"/>
      <c r="M63" s="401"/>
      <c r="N63" s="401"/>
      <c r="O63" s="401"/>
      <c r="P63" s="415">
        <f t="shared" si="0"/>
        <v>1</v>
      </c>
    </row>
    <row r="64" spans="1:16" x14ac:dyDescent="0.35">
      <c r="A64" s="33"/>
      <c r="B64" s="414">
        <v>22</v>
      </c>
      <c r="C64" s="399" t="s">
        <v>168</v>
      </c>
      <c r="D64" s="245" t="s">
        <v>34</v>
      </c>
      <c r="E64" s="402"/>
      <c r="F64" s="289"/>
      <c r="G64" s="289"/>
      <c r="H64" s="411">
        <v>1</v>
      </c>
      <c r="I64" s="401"/>
      <c r="J64" s="401"/>
      <c r="K64" s="401"/>
      <c r="L64" s="401"/>
      <c r="M64" s="401"/>
      <c r="N64" s="401"/>
      <c r="O64" s="401"/>
      <c r="P64" s="415">
        <f t="shared" si="0"/>
        <v>1</v>
      </c>
    </row>
    <row r="65" spans="1:16" x14ac:dyDescent="0.35">
      <c r="A65" s="33"/>
      <c r="B65" s="414">
        <v>23</v>
      </c>
      <c r="C65" s="399" t="s">
        <v>169</v>
      </c>
      <c r="D65" s="245" t="s">
        <v>34</v>
      </c>
      <c r="E65" s="402"/>
      <c r="F65" s="289"/>
      <c r="G65" s="289"/>
      <c r="H65" s="411">
        <v>1</v>
      </c>
      <c r="I65" s="401"/>
      <c r="J65" s="401"/>
      <c r="K65" s="401"/>
      <c r="L65" s="401"/>
      <c r="M65" s="401"/>
      <c r="N65" s="401"/>
      <c r="O65" s="401"/>
      <c r="P65" s="415">
        <f t="shared" si="0"/>
        <v>1</v>
      </c>
    </row>
    <row r="66" spans="1:16" x14ac:dyDescent="0.35">
      <c r="A66" s="33"/>
      <c r="B66" s="414">
        <v>24</v>
      </c>
      <c r="C66" s="399" t="s">
        <v>170</v>
      </c>
      <c r="D66" s="245" t="s">
        <v>34</v>
      </c>
      <c r="E66" s="402"/>
      <c r="F66" s="289"/>
      <c r="G66" s="289"/>
      <c r="H66" s="411">
        <v>1</v>
      </c>
      <c r="I66" s="401"/>
      <c r="J66" s="401"/>
      <c r="K66" s="401"/>
      <c r="L66" s="401"/>
      <c r="M66" s="401"/>
      <c r="N66" s="401"/>
      <c r="O66" s="401"/>
      <c r="P66" s="415">
        <f t="shared" si="0"/>
        <v>1</v>
      </c>
    </row>
    <row r="67" spans="1:16" x14ac:dyDescent="0.35">
      <c r="A67" s="33"/>
      <c r="B67" s="416" t="s">
        <v>263</v>
      </c>
      <c r="C67" s="399"/>
      <c r="D67" s="245" t="s">
        <v>253</v>
      </c>
      <c r="E67" s="402"/>
      <c r="F67" s="289"/>
      <c r="G67" s="289"/>
      <c r="H67" s="411"/>
      <c r="I67" s="401"/>
      <c r="J67" s="401"/>
      <c r="K67" s="401"/>
      <c r="L67" s="401"/>
      <c r="M67" s="401"/>
      <c r="N67" s="401"/>
      <c r="O67" s="401"/>
      <c r="P67" s="415"/>
    </row>
    <row r="68" spans="1:16" x14ac:dyDescent="0.35">
      <c r="A68" s="33"/>
      <c r="B68" s="414"/>
      <c r="C68" s="1267"/>
      <c r="D68" s="1267"/>
      <c r="E68" s="259"/>
      <c r="F68" s="289"/>
      <c r="G68" s="289"/>
      <c r="H68" s="411"/>
      <c r="I68" s="401"/>
      <c r="J68" s="401"/>
      <c r="K68" s="401"/>
      <c r="L68" s="401"/>
      <c r="M68" s="401"/>
      <c r="N68" s="401"/>
      <c r="O68" s="401"/>
      <c r="P68" s="415"/>
    </row>
    <row r="69" spans="1:16" x14ac:dyDescent="0.35">
      <c r="A69" s="33"/>
      <c r="B69" s="414"/>
      <c r="C69" s="1267"/>
      <c r="D69" s="1267"/>
      <c r="E69" s="259"/>
      <c r="F69" s="289"/>
      <c r="G69" s="289"/>
      <c r="H69" s="411"/>
      <c r="I69" s="401"/>
      <c r="J69" s="401"/>
      <c r="K69" s="401"/>
      <c r="L69" s="401"/>
      <c r="M69" s="401"/>
      <c r="N69" s="401"/>
      <c r="O69" s="401"/>
      <c r="P69" s="415"/>
    </row>
    <row r="70" spans="1:16" x14ac:dyDescent="0.35">
      <c r="A70" s="33"/>
      <c r="B70" s="414"/>
      <c r="C70" s="1267"/>
      <c r="D70" s="1267"/>
      <c r="E70" s="259"/>
      <c r="F70" s="289"/>
      <c r="G70" s="289"/>
      <c r="H70" s="401"/>
      <c r="I70" s="401"/>
      <c r="J70" s="401"/>
      <c r="K70" s="401"/>
      <c r="L70" s="401"/>
      <c r="M70" s="401"/>
      <c r="N70" s="401"/>
      <c r="O70" s="401"/>
      <c r="P70" s="415">
        <f t="shared" si="0"/>
        <v>0</v>
      </c>
    </row>
    <row r="71" spans="1:16" ht="28.5" customHeight="1" x14ac:dyDescent="0.35">
      <c r="A71" s="49"/>
      <c r="B71" s="1304" t="s">
        <v>171</v>
      </c>
      <c r="C71" s="1279"/>
      <c r="D71" s="1279"/>
      <c r="E71" s="1279"/>
      <c r="F71" s="1279"/>
      <c r="G71" s="1279"/>
      <c r="H71" s="1279"/>
      <c r="I71" s="1279"/>
      <c r="J71" s="1279"/>
      <c r="K71" s="1279"/>
      <c r="L71" s="1279"/>
      <c r="M71" s="1279"/>
      <c r="N71" s="1279"/>
      <c r="O71" s="1279"/>
      <c r="P71" s="1305"/>
    </row>
    <row r="72" spans="1:16" x14ac:dyDescent="0.35">
      <c r="A72" s="33"/>
      <c r="B72" s="414">
        <v>25</v>
      </c>
      <c r="C72" s="399" t="s">
        <v>172</v>
      </c>
      <c r="D72" s="245" t="s">
        <v>34</v>
      </c>
      <c r="E72" s="402"/>
      <c r="F72" s="289"/>
      <c r="G72" s="289"/>
      <c r="H72" s="401"/>
      <c r="I72" s="411">
        <v>1</v>
      </c>
      <c r="J72" s="401"/>
      <c r="K72" s="401"/>
      <c r="L72" s="401"/>
      <c r="M72" s="401"/>
      <c r="N72" s="401"/>
      <c r="O72" s="401"/>
      <c r="P72" s="415">
        <f t="shared" si="0"/>
        <v>1</v>
      </c>
    </row>
    <row r="73" spans="1:16" x14ac:dyDescent="0.35">
      <c r="A73" s="33"/>
      <c r="B73" s="414">
        <v>26</v>
      </c>
      <c r="C73" s="399" t="s">
        <v>173</v>
      </c>
      <c r="D73" s="245" t="s">
        <v>34</v>
      </c>
      <c r="E73" s="402"/>
      <c r="F73" s="289"/>
      <c r="G73" s="289"/>
      <c r="H73" s="401"/>
      <c r="I73" s="411">
        <v>1</v>
      </c>
      <c r="J73" s="401"/>
      <c r="K73" s="401"/>
      <c r="L73" s="401"/>
      <c r="M73" s="401"/>
      <c r="N73" s="401"/>
      <c r="O73" s="401"/>
      <c r="P73" s="415">
        <f t="shared" si="0"/>
        <v>1</v>
      </c>
    </row>
    <row r="74" spans="1:16" ht="28" x14ac:dyDescent="0.35">
      <c r="A74" s="33"/>
      <c r="B74" s="414">
        <v>27</v>
      </c>
      <c r="C74" s="399" t="s">
        <v>174</v>
      </c>
      <c r="D74" s="245" t="s">
        <v>34</v>
      </c>
      <c r="E74" s="402"/>
      <c r="F74" s="289"/>
      <c r="G74" s="289"/>
      <c r="H74" s="401"/>
      <c r="I74" s="411">
        <v>0.8</v>
      </c>
      <c r="J74" s="411">
        <v>0.2</v>
      </c>
      <c r="K74" s="401"/>
      <c r="L74" s="401"/>
      <c r="M74" s="401"/>
      <c r="N74" s="401"/>
      <c r="O74" s="401"/>
      <c r="P74" s="415">
        <f t="shared" si="0"/>
        <v>1</v>
      </c>
    </row>
    <row r="75" spans="1:16" ht="28" x14ac:dyDescent="0.35">
      <c r="A75" s="33"/>
      <c r="B75" s="414">
        <v>28</v>
      </c>
      <c r="C75" s="399" t="s">
        <v>175</v>
      </c>
      <c r="D75" s="245" t="s">
        <v>34</v>
      </c>
      <c r="E75" s="402"/>
      <c r="F75" s="289"/>
      <c r="G75" s="289"/>
      <c r="H75" s="401"/>
      <c r="I75" s="401"/>
      <c r="J75" s="401"/>
      <c r="K75" s="401"/>
      <c r="L75" s="401"/>
      <c r="M75" s="401"/>
      <c r="N75" s="401"/>
      <c r="O75" s="401"/>
      <c r="P75" s="415">
        <f t="shared" si="0"/>
        <v>0</v>
      </c>
    </row>
    <row r="76" spans="1:16" ht="28" x14ac:dyDescent="0.35">
      <c r="A76" s="33"/>
      <c r="B76" s="414">
        <v>29</v>
      </c>
      <c r="C76" s="399" t="s">
        <v>176</v>
      </c>
      <c r="D76" s="245" t="s">
        <v>34</v>
      </c>
      <c r="E76" s="402"/>
      <c r="F76" s="289"/>
      <c r="G76" s="289"/>
      <c r="H76" s="401"/>
      <c r="I76" s="401"/>
      <c r="J76" s="401"/>
      <c r="K76" s="401"/>
      <c r="L76" s="401"/>
      <c r="M76" s="401"/>
      <c r="N76" s="401"/>
      <c r="O76" s="401"/>
      <c r="P76" s="415">
        <f t="shared" si="0"/>
        <v>0</v>
      </c>
    </row>
    <row r="77" spans="1:16" ht="28" x14ac:dyDescent="0.35">
      <c r="A77" s="33"/>
      <c r="B77" s="414">
        <v>30</v>
      </c>
      <c r="C77" s="399" t="s">
        <v>177</v>
      </c>
      <c r="D77" s="245" t="s">
        <v>34</v>
      </c>
      <c r="E77" s="402"/>
      <c r="F77" s="289"/>
      <c r="G77" s="289"/>
      <c r="H77" s="401"/>
      <c r="I77" s="401"/>
      <c r="J77" s="401"/>
      <c r="K77" s="401"/>
      <c r="L77" s="401"/>
      <c r="M77" s="401"/>
      <c r="N77" s="401"/>
      <c r="O77" s="401"/>
      <c r="P77" s="415">
        <f t="shared" si="0"/>
        <v>0</v>
      </c>
    </row>
    <row r="78" spans="1:16" x14ac:dyDescent="0.35">
      <c r="A78" s="33"/>
      <c r="B78" s="414">
        <v>31</v>
      </c>
      <c r="C78" s="399" t="s">
        <v>178</v>
      </c>
      <c r="D78" s="245" t="s">
        <v>34</v>
      </c>
      <c r="E78" s="402"/>
      <c r="F78" s="289"/>
      <c r="G78" s="289"/>
      <c r="H78" s="401"/>
      <c r="I78" s="401"/>
      <c r="J78" s="401"/>
      <c r="K78" s="401"/>
      <c r="L78" s="401"/>
      <c r="M78" s="401"/>
      <c r="N78" s="401"/>
      <c r="O78" s="401"/>
      <c r="P78" s="415">
        <f t="shared" si="0"/>
        <v>0</v>
      </c>
    </row>
    <row r="79" spans="1:16" x14ac:dyDescent="0.35">
      <c r="A79" s="33"/>
      <c r="B79" s="414">
        <v>32</v>
      </c>
      <c r="C79" s="399" t="s">
        <v>179</v>
      </c>
      <c r="D79" s="245" t="s">
        <v>34</v>
      </c>
      <c r="E79" s="402"/>
      <c r="F79" s="289"/>
      <c r="G79" s="289"/>
      <c r="H79" s="401"/>
      <c r="I79" s="401"/>
      <c r="J79" s="401"/>
      <c r="K79" s="401"/>
      <c r="L79" s="401"/>
      <c r="M79" s="401"/>
      <c r="N79" s="401"/>
      <c r="O79" s="401"/>
      <c r="P79" s="415">
        <f t="shared" si="0"/>
        <v>0</v>
      </c>
    </row>
    <row r="80" spans="1:16" x14ac:dyDescent="0.35">
      <c r="A80" s="33"/>
      <c r="B80" s="416" t="s">
        <v>263</v>
      </c>
      <c r="C80" s="399"/>
      <c r="D80" s="245" t="s">
        <v>253</v>
      </c>
      <c r="E80" s="402"/>
      <c r="F80" s="289"/>
      <c r="G80" s="289"/>
      <c r="H80" s="401"/>
      <c r="I80" s="401"/>
      <c r="J80" s="401"/>
      <c r="K80" s="401"/>
      <c r="L80" s="401"/>
      <c r="M80" s="401"/>
      <c r="N80" s="401"/>
      <c r="O80" s="401"/>
      <c r="P80" s="415"/>
    </row>
    <row r="81" spans="1:16" x14ac:dyDescent="0.35">
      <c r="A81" s="33"/>
      <c r="B81" s="414"/>
      <c r="C81" s="1267"/>
      <c r="D81" s="1267"/>
      <c r="E81" s="259"/>
      <c r="F81" s="289"/>
      <c r="G81" s="289"/>
      <c r="H81" s="401"/>
      <c r="I81" s="401"/>
      <c r="J81" s="401"/>
      <c r="K81" s="401"/>
      <c r="L81" s="401"/>
      <c r="M81" s="401"/>
      <c r="N81" s="401"/>
      <c r="O81" s="401"/>
      <c r="P81" s="415"/>
    </row>
    <row r="82" spans="1:16" x14ac:dyDescent="0.35">
      <c r="A82" s="33"/>
      <c r="B82" s="414"/>
      <c r="C82" s="1267"/>
      <c r="D82" s="1267"/>
      <c r="E82" s="259"/>
      <c r="F82" s="289"/>
      <c r="G82" s="289"/>
      <c r="H82" s="401"/>
      <c r="I82" s="401"/>
      <c r="J82" s="401"/>
      <c r="K82" s="401"/>
      <c r="L82" s="401"/>
      <c r="M82" s="401"/>
      <c r="N82" s="401"/>
      <c r="O82" s="401"/>
      <c r="P82" s="415"/>
    </row>
    <row r="83" spans="1:16" x14ac:dyDescent="0.35">
      <c r="A83" s="33"/>
      <c r="B83" s="414"/>
      <c r="C83" s="1267"/>
      <c r="D83" s="1267"/>
      <c r="E83" s="259"/>
      <c r="F83" s="289"/>
      <c r="G83" s="289"/>
      <c r="H83" s="401"/>
      <c r="I83" s="401"/>
      <c r="J83" s="401"/>
      <c r="K83" s="401"/>
      <c r="L83" s="401"/>
      <c r="M83" s="401"/>
      <c r="N83" s="401"/>
      <c r="O83" s="401"/>
      <c r="P83" s="415">
        <f t="shared" ref="P83:P106" si="1">SUM(H83:O83)</f>
        <v>0</v>
      </c>
    </row>
    <row r="84" spans="1:16" ht="25.5" customHeight="1" x14ac:dyDescent="0.35">
      <c r="A84" s="49"/>
      <c r="B84" s="1304" t="s">
        <v>180</v>
      </c>
      <c r="C84" s="1279"/>
      <c r="D84" s="1279"/>
      <c r="E84" s="1279"/>
      <c r="F84" s="1279"/>
      <c r="G84" s="1279"/>
      <c r="H84" s="1279"/>
      <c r="I84" s="1279"/>
      <c r="J84" s="1279"/>
      <c r="K84" s="1279"/>
      <c r="L84" s="1279"/>
      <c r="M84" s="1279"/>
      <c r="N84" s="1279"/>
      <c r="O84" s="1279"/>
      <c r="P84" s="1305"/>
    </row>
    <row r="85" spans="1:16" x14ac:dyDescent="0.35">
      <c r="A85" s="33"/>
      <c r="B85" s="414">
        <v>33</v>
      </c>
      <c r="C85" s="399" t="s">
        <v>181</v>
      </c>
      <c r="D85" s="245" t="s">
        <v>34</v>
      </c>
      <c r="E85" s="402"/>
      <c r="F85" s="289"/>
      <c r="G85" s="289"/>
      <c r="H85" s="407"/>
      <c r="I85" s="407"/>
      <c r="J85" s="407"/>
      <c r="K85" s="407"/>
      <c r="L85" s="407"/>
      <c r="M85" s="407"/>
      <c r="N85" s="407"/>
      <c r="O85" s="407"/>
      <c r="P85" s="415">
        <f t="shared" si="1"/>
        <v>0</v>
      </c>
    </row>
    <row r="86" spans="1:16" x14ac:dyDescent="0.35">
      <c r="A86" s="33"/>
      <c r="B86" s="414">
        <v>34</v>
      </c>
      <c r="C86" s="399" t="s">
        <v>182</v>
      </c>
      <c r="D86" s="245" t="s">
        <v>34</v>
      </c>
      <c r="E86" s="402"/>
      <c r="F86" s="289"/>
      <c r="G86" s="289"/>
      <c r="H86" s="407"/>
      <c r="I86" s="407"/>
      <c r="J86" s="407"/>
      <c r="K86" s="407"/>
      <c r="L86" s="407"/>
      <c r="M86" s="407"/>
      <c r="N86" s="407"/>
      <c r="O86" s="407"/>
      <c r="P86" s="415">
        <f t="shared" si="1"/>
        <v>0</v>
      </c>
    </row>
    <row r="87" spans="1:16" x14ac:dyDescent="0.35">
      <c r="A87" s="33"/>
      <c r="B87" s="414">
        <v>35</v>
      </c>
      <c r="C87" s="399" t="s">
        <v>183</v>
      </c>
      <c r="D87" s="245" t="s">
        <v>34</v>
      </c>
      <c r="E87" s="402"/>
      <c r="F87" s="289"/>
      <c r="G87" s="289"/>
      <c r="H87" s="407"/>
      <c r="I87" s="407"/>
      <c r="J87" s="407"/>
      <c r="K87" s="407"/>
      <c r="L87" s="407"/>
      <c r="M87" s="407"/>
      <c r="N87" s="407"/>
      <c r="O87" s="407"/>
      <c r="P87" s="415">
        <f t="shared" si="1"/>
        <v>0</v>
      </c>
    </row>
    <row r="88" spans="1:16" x14ac:dyDescent="0.35">
      <c r="A88" s="33"/>
      <c r="B88" s="416" t="s">
        <v>263</v>
      </c>
      <c r="C88" s="399"/>
      <c r="D88" s="245" t="s">
        <v>253</v>
      </c>
      <c r="E88" s="402"/>
      <c r="F88" s="289"/>
      <c r="G88" s="289"/>
      <c r="H88" s="407"/>
      <c r="I88" s="407"/>
      <c r="J88" s="407"/>
      <c r="K88" s="407"/>
      <c r="L88" s="407"/>
      <c r="M88" s="407"/>
      <c r="N88" s="407"/>
      <c r="O88" s="407"/>
      <c r="P88" s="415"/>
    </row>
    <row r="89" spans="1:16" x14ac:dyDescent="0.35">
      <c r="A89" s="33"/>
      <c r="B89" s="414"/>
      <c r="C89" s="1267"/>
      <c r="D89" s="1267"/>
      <c r="E89" s="259"/>
      <c r="F89" s="289"/>
      <c r="G89" s="289"/>
      <c r="H89" s="407"/>
      <c r="I89" s="407"/>
      <c r="J89" s="407"/>
      <c r="K89" s="407"/>
      <c r="L89" s="407"/>
      <c r="M89" s="407"/>
      <c r="N89" s="407"/>
      <c r="O89" s="407"/>
      <c r="P89" s="415"/>
    </row>
    <row r="90" spans="1:16" x14ac:dyDescent="0.35">
      <c r="A90" s="33"/>
      <c r="B90" s="414"/>
      <c r="C90" s="1267"/>
      <c r="D90" s="1267"/>
      <c r="E90" s="259"/>
      <c r="F90" s="289"/>
      <c r="G90" s="289"/>
      <c r="H90" s="407"/>
      <c r="I90" s="407"/>
      <c r="J90" s="407"/>
      <c r="K90" s="407"/>
      <c r="L90" s="407"/>
      <c r="M90" s="407"/>
      <c r="N90" s="407"/>
      <c r="O90" s="407"/>
      <c r="P90" s="415"/>
    </row>
    <row r="91" spans="1:16" x14ac:dyDescent="0.35">
      <c r="A91" s="33"/>
      <c r="B91" s="414"/>
      <c r="C91" s="1267"/>
      <c r="D91" s="1267"/>
      <c r="E91" s="259"/>
      <c r="F91" s="289"/>
      <c r="G91" s="289"/>
      <c r="H91" s="407"/>
      <c r="I91" s="407"/>
      <c r="J91" s="407"/>
      <c r="K91" s="407"/>
      <c r="L91" s="407"/>
      <c r="M91" s="407"/>
      <c r="N91" s="407"/>
      <c r="O91" s="407"/>
      <c r="P91" s="415">
        <f t="shared" si="1"/>
        <v>0</v>
      </c>
    </row>
    <row r="92" spans="1:16" ht="24" customHeight="1" x14ac:dyDescent="0.35">
      <c r="A92" s="49"/>
      <c r="B92" s="1304" t="s">
        <v>184</v>
      </c>
      <c r="C92" s="1279"/>
      <c r="D92" s="1279"/>
      <c r="E92" s="1279"/>
      <c r="F92" s="1279"/>
      <c r="G92" s="1279"/>
      <c r="H92" s="1279"/>
      <c r="I92" s="1279"/>
      <c r="J92" s="1279"/>
      <c r="K92" s="1279"/>
      <c r="L92" s="1279"/>
      <c r="M92" s="1279"/>
      <c r="N92" s="1279"/>
      <c r="O92" s="1279"/>
      <c r="P92" s="1305"/>
    </row>
    <row r="93" spans="1:16" ht="42" x14ac:dyDescent="0.35">
      <c r="A93" s="33"/>
      <c r="B93" s="414">
        <v>36</v>
      </c>
      <c r="C93" s="399" t="s">
        <v>185</v>
      </c>
      <c r="D93" s="245" t="s">
        <v>34</v>
      </c>
      <c r="E93" s="402"/>
      <c r="F93" s="289"/>
      <c r="G93" s="289"/>
      <c r="H93" s="407"/>
      <c r="I93" s="407"/>
      <c r="J93" s="407"/>
      <c r="K93" s="407"/>
      <c r="L93" s="407"/>
      <c r="M93" s="407"/>
      <c r="N93" s="407"/>
      <c r="O93" s="407"/>
      <c r="P93" s="415">
        <f t="shared" si="1"/>
        <v>0</v>
      </c>
    </row>
    <row r="94" spans="1:16" x14ac:dyDescent="0.35">
      <c r="A94" s="33"/>
      <c r="B94" s="414">
        <v>37</v>
      </c>
      <c r="C94" s="399" t="s">
        <v>186</v>
      </c>
      <c r="D94" s="245" t="s">
        <v>34</v>
      </c>
      <c r="E94" s="402"/>
      <c r="F94" s="289"/>
      <c r="G94" s="289"/>
      <c r="H94" s="407"/>
      <c r="I94" s="407"/>
      <c r="J94" s="407"/>
      <c r="K94" s="407"/>
      <c r="L94" s="407"/>
      <c r="M94" s="407"/>
      <c r="N94" s="407"/>
      <c r="O94" s="407"/>
      <c r="P94" s="415">
        <f t="shared" si="1"/>
        <v>0</v>
      </c>
    </row>
    <row r="95" spans="1:16" x14ac:dyDescent="0.35">
      <c r="A95" s="33"/>
      <c r="B95" s="414">
        <v>38</v>
      </c>
      <c r="C95" s="399" t="s">
        <v>187</v>
      </c>
      <c r="D95" s="245" t="s">
        <v>34</v>
      </c>
      <c r="E95" s="402"/>
      <c r="F95" s="289"/>
      <c r="G95" s="289"/>
      <c r="H95" s="407"/>
      <c r="I95" s="407"/>
      <c r="J95" s="407"/>
      <c r="K95" s="407"/>
      <c r="L95" s="407"/>
      <c r="M95" s="407"/>
      <c r="N95" s="407"/>
      <c r="O95" s="407"/>
      <c r="P95" s="415">
        <f t="shared" si="1"/>
        <v>0</v>
      </c>
    </row>
    <row r="96" spans="1:16" ht="28" x14ac:dyDescent="0.35">
      <c r="A96" s="33"/>
      <c r="B96" s="414">
        <v>39</v>
      </c>
      <c r="C96" s="399" t="s">
        <v>188</v>
      </c>
      <c r="D96" s="245" t="s">
        <v>34</v>
      </c>
      <c r="E96" s="402"/>
      <c r="F96" s="289"/>
      <c r="G96" s="289"/>
      <c r="H96" s="407"/>
      <c r="I96" s="407"/>
      <c r="J96" s="407"/>
      <c r="K96" s="407"/>
      <c r="L96" s="407"/>
      <c r="M96" s="407"/>
      <c r="N96" s="407"/>
      <c r="O96" s="407"/>
      <c r="P96" s="415">
        <f t="shared" si="1"/>
        <v>0</v>
      </c>
    </row>
    <row r="97" spans="1:16" ht="28" x14ac:dyDescent="0.35">
      <c r="A97" s="33"/>
      <c r="B97" s="414">
        <v>40</v>
      </c>
      <c r="C97" s="399" t="s">
        <v>189</v>
      </c>
      <c r="D97" s="245" t="s">
        <v>34</v>
      </c>
      <c r="E97" s="402"/>
      <c r="F97" s="289"/>
      <c r="G97" s="289"/>
      <c r="H97" s="407"/>
      <c r="I97" s="407"/>
      <c r="J97" s="407"/>
      <c r="K97" s="407"/>
      <c r="L97" s="407"/>
      <c r="M97" s="407"/>
      <c r="N97" s="407"/>
      <c r="O97" s="407"/>
      <c r="P97" s="415">
        <f t="shared" si="1"/>
        <v>0</v>
      </c>
    </row>
    <row r="98" spans="1:16" ht="28" x14ac:dyDescent="0.35">
      <c r="A98" s="33"/>
      <c r="B98" s="414">
        <v>41</v>
      </c>
      <c r="C98" s="399" t="s">
        <v>190</v>
      </c>
      <c r="D98" s="245" t="s">
        <v>34</v>
      </c>
      <c r="E98" s="402"/>
      <c r="F98" s="289"/>
      <c r="G98" s="289"/>
      <c r="H98" s="407"/>
      <c r="I98" s="407"/>
      <c r="J98" s="407"/>
      <c r="K98" s="407"/>
      <c r="L98" s="407"/>
      <c r="M98" s="407"/>
      <c r="N98" s="407"/>
      <c r="O98" s="407"/>
      <c r="P98" s="415">
        <f t="shared" si="1"/>
        <v>0</v>
      </c>
    </row>
    <row r="99" spans="1:16" ht="28" x14ac:dyDescent="0.35">
      <c r="A99" s="33"/>
      <c r="B99" s="414">
        <v>42</v>
      </c>
      <c r="C99" s="399" t="s">
        <v>191</v>
      </c>
      <c r="D99" s="245" t="s">
        <v>34</v>
      </c>
      <c r="E99" s="402"/>
      <c r="F99" s="289"/>
      <c r="G99" s="289"/>
      <c r="H99" s="407"/>
      <c r="I99" s="407"/>
      <c r="J99" s="407"/>
      <c r="K99" s="407"/>
      <c r="L99" s="407"/>
      <c r="M99" s="407"/>
      <c r="N99" s="407"/>
      <c r="O99" s="407"/>
      <c r="P99" s="415">
        <f t="shared" si="1"/>
        <v>0</v>
      </c>
    </row>
    <row r="100" spans="1:16" x14ac:dyDescent="0.35">
      <c r="A100" s="33"/>
      <c r="B100" s="414">
        <v>43</v>
      </c>
      <c r="C100" s="399" t="s">
        <v>192</v>
      </c>
      <c r="D100" s="245" t="s">
        <v>34</v>
      </c>
      <c r="E100" s="402"/>
      <c r="F100" s="289"/>
      <c r="G100" s="289"/>
      <c r="H100" s="407"/>
      <c r="I100" s="407"/>
      <c r="J100" s="407"/>
      <c r="K100" s="407"/>
      <c r="L100" s="407"/>
      <c r="M100" s="407"/>
      <c r="N100" s="407"/>
      <c r="O100" s="407"/>
      <c r="P100" s="415">
        <f t="shared" si="1"/>
        <v>0</v>
      </c>
    </row>
    <row r="101" spans="1:16" ht="42" x14ac:dyDescent="0.35">
      <c r="A101" s="33"/>
      <c r="B101" s="414">
        <v>44</v>
      </c>
      <c r="C101" s="399" t="s">
        <v>193</v>
      </c>
      <c r="D101" s="245" t="s">
        <v>34</v>
      </c>
      <c r="E101" s="402"/>
      <c r="F101" s="289"/>
      <c r="G101" s="289"/>
      <c r="H101" s="407"/>
      <c r="I101" s="407"/>
      <c r="J101" s="407"/>
      <c r="K101" s="407"/>
      <c r="L101" s="407"/>
      <c r="M101" s="407"/>
      <c r="N101" s="407"/>
      <c r="O101" s="407"/>
      <c r="P101" s="415">
        <f t="shared" si="1"/>
        <v>0</v>
      </c>
    </row>
    <row r="102" spans="1:16" ht="28" x14ac:dyDescent="0.35">
      <c r="A102" s="33"/>
      <c r="B102" s="414">
        <v>45</v>
      </c>
      <c r="C102" s="399" t="s">
        <v>194</v>
      </c>
      <c r="D102" s="245" t="s">
        <v>34</v>
      </c>
      <c r="E102" s="402"/>
      <c r="F102" s="289"/>
      <c r="G102" s="289"/>
      <c r="H102" s="407"/>
      <c r="I102" s="407"/>
      <c r="J102" s="407"/>
      <c r="K102" s="407"/>
      <c r="L102" s="407"/>
      <c r="M102" s="407"/>
      <c r="N102" s="407"/>
      <c r="O102" s="407"/>
      <c r="P102" s="415">
        <f t="shared" si="1"/>
        <v>0</v>
      </c>
    </row>
    <row r="103" spans="1:16" ht="28" x14ac:dyDescent="0.35">
      <c r="A103" s="33"/>
      <c r="B103" s="414">
        <v>46</v>
      </c>
      <c r="C103" s="399" t="s">
        <v>195</v>
      </c>
      <c r="D103" s="245" t="s">
        <v>34</v>
      </c>
      <c r="E103" s="402"/>
      <c r="F103" s="289"/>
      <c r="G103" s="289"/>
      <c r="H103" s="407"/>
      <c r="I103" s="407"/>
      <c r="J103" s="407"/>
      <c r="K103" s="407"/>
      <c r="L103" s="407"/>
      <c r="M103" s="407"/>
      <c r="N103" s="407"/>
      <c r="O103" s="407"/>
      <c r="P103" s="415">
        <f t="shared" si="1"/>
        <v>0</v>
      </c>
    </row>
    <row r="104" spans="1:16" ht="28" x14ac:dyDescent="0.35">
      <c r="A104" s="33"/>
      <c r="B104" s="414">
        <v>47</v>
      </c>
      <c r="C104" s="399" t="s">
        <v>196</v>
      </c>
      <c r="D104" s="245" t="s">
        <v>34</v>
      </c>
      <c r="E104" s="402"/>
      <c r="F104" s="289"/>
      <c r="G104" s="289"/>
      <c r="H104" s="407"/>
      <c r="I104" s="407"/>
      <c r="J104" s="407"/>
      <c r="K104" s="407"/>
      <c r="L104" s="407"/>
      <c r="M104" s="407"/>
      <c r="N104" s="407"/>
      <c r="O104" s="407"/>
      <c r="P104" s="415">
        <f t="shared" si="1"/>
        <v>0</v>
      </c>
    </row>
    <row r="105" spans="1:16" ht="28" x14ac:dyDescent="0.35">
      <c r="A105" s="33"/>
      <c r="B105" s="414">
        <v>48</v>
      </c>
      <c r="C105" s="399" t="s">
        <v>197</v>
      </c>
      <c r="D105" s="245" t="s">
        <v>34</v>
      </c>
      <c r="E105" s="402"/>
      <c r="F105" s="289"/>
      <c r="G105" s="289"/>
      <c r="H105" s="407"/>
      <c r="I105" s="407"/>
      <c r="J105" s="407"/>
      <c r="K105" s="407"/>
      <c r="L105" s="407"/>
      <c r="M105" s="407"/>
      <c r="N105" s="407"/>
      <c r="O105" s="407"/>
      <c r="P105" s="415">
        <f t="shared" si="1"/>
        <v>0</v>
      </c>
    </row>
    <row r="106" spans="1:16" ht="28" x14ac:dyDescent="0.35">
      <c r="A106" s="33"/>
      <c r="B106" s="414">
        <v>49</v>
      </c>
      <c r="C106" s="399" t="s">
        <v>198</v>
      </c>
      <c r="D106" s="245" t="s">
        <v>34</v>
      </c>
      <c r="E106" s="402"/>
      <c r="F106" s="289"/>
      <c r="G106" s="289"/>
      <c r="H106" s="407"/>
      <c r="I106" s="407"/>
      <c r="J106" s="407"/>
      <c r="K106" s="407"/>
      <c r="L106" s="407"/>
      <c r="M106" s="407"/>
      <c r="N106" s="407"/>
      <c r="O106" s="407"/>
      <c r="P106" s="415">
        <f t="shared" si="1"/>
        <v>0</v>
      </c>
    </row>
    <row r="107" spans="1:16" x14ac:dyDescent="0.35">
      <c r="A107" s="33"/>
      <c r="B107" s="416" t="s">
        <v>263</v>
      </c>
      <c r="C107" s="399"/>
      <c r="D107" s="245" t="s">
        <v>253</v>
      </c>
      <c r="E107" s="402"/>
      <c r="F107" s="289"/>
      <c r="G107" s="289"/>
      <c r="H107" s="407"/>
      <c r="I107" s="407"/>
      <c r="J107" s="407"/>
      <c r="K107" s="407"/>
      <c r="L107" s="407"/>
      <c r="M107" s="407"/>
      <c r="N107" s="407"/>
      <c r="O107" s="407"/>
      <c r="P107" s="415"/>
    </row>
    <row r="108" spans="1:16" x14ac:dyDescent="0.35">
      <c r="A108" s="33"/>
      <c r="B108" s="414"/>
      <c r="C108" s="1267"/>
      <c r="D108" s="1267"/>
      <c r="E108" s="259"/>
      <c r="F108" s="289"/>
      <c r="G108" s="289"/>
      <c r="H108" s="407"/>
      <c r="I108" s="407"/>
      <c r="J108" s="407"/>
      <c r="K108" s="407"/>
      <c r="L108" s="407"/>
      <c r="M108" s="407"/>
      <c r="N108" s="407"/>
      <c r="O108" s="407"/>
      <c r="P108" s="415"/>
    </row>
    <row r="109" spans="1:16" x14ac:dyDescent="0.35">
      <c r="A109" s="33"/>
      <c r="B109" s="414"/>
      <c r="C109" s="1267"/>
      <c r="D109" s="1267"/>
      <c r="E109" s="259"/>
      <c r="F109" s="289"/>
      <c r="G109" s="289"/>
      <c r="H109" s="407"/>
      <c r="I109" s="407"/>
      <c r="J109" s="407"/>
      <c r="K109" s="407"/>
      <c r="L109" s="407"/>
      <c r="M109" s="407"/>
      <c r="N109" s="407"/>
      <c r="O109" s="407"/>
      <c r="P109" s="415"/>
    </row>
    <row r="110" spans="1:16" x14ac:dyDescent="0.35">
      <c r="A110" s="33"/>
      <c r="B110" s="414"/>
      <c r="C110" s="1267"/>
      <c r="D110" s="1267"/>
      <c r="E110" s="259"/>
      <c r="F110" s="289"/>
      <c r="G110" s="289"/>
      <c r="H110" s="407"/>
      <c r="I110" s="407"/>
      <c r="J110" s="407"/>
      <c r="K110" s="407"/>
      <c r="L110" s="407"/>
      <c r="M110" s="407"/>
      <c r="N110" s="407"/>
      <c r="O110" s="407"/>
      <c r="P110" s="415"/>
    </row>
    <row r="111" spans="1:16" x14ac:dyDescent="0.35">
      <c r="B111" s="345"/>
      <c r="C111" s="1266" t="s">
        <v>221</v>
      </c>
      <c r="D111" s="1266"/>
      <c r="E111" s="346"/>
      <c r="F111" s="347"/>
      <c r="G111" s="347"/>
      <c r="H111" s="348">
        <f>SUM(F17*H17,F18*H18,F19*H19,F20*H20,F21*H21,F22*H22,F46*H46,F63*H63,F64*H64,F65*H65,F66*H66)</f>
        <v>0</v>
      </c>
      <c r="I111" s="348">
        <f>SUM(F28*I28,F29*I29,F30*I30,F31*I31,F32*I32,F72*I72,F73*I73,F74*I74,F75*I75,F76*I76,F77*I77,F78*I78,F79*I79,F85*I85,F86*I86,F87*I87)</f>
        <v>0</v>
      </c>
      <c r="J111" s="349"/>
      <c r="K111" s="346"/>
      <c r="L111" s="346"/>
      <c r="M111" s="346"/>
      <c r="N111" s="348"/>
      <c r="O111" s="346"/>
      <c r="P111" s="350">
        <f>SUM(H111:O111)</f>
        <v>0</v>
      </c>
    </row>
    <row r="112" spans="1:16" x14ac:dyDescent="0.35">
      <c r="B112" s="266"/>
      <c r="C112" s="1267" t="s">
        <v>260</v>
      </c>
      <c r="D112" s="1267"/>
      <c r="E112" s="260"/>
      <c r="F112" s="258"/>
      <c r="G112" s="258"/>
      <c r="H112" s="260"/>
      <c r="I112" s="260"/>
      <c r="J112" s="261">
        <f>SUM(E28*G28*J28,E29*G29*J29,E30*G30*J30,E31*G31,J31*E32*G32*J32,E38*G38*J38,E39*G39*J39,E40*G40*J40)</f>
        <v>300</v>
      </c>
      <c r="K112" s="261">
        <f>SUM(E28*G28*K28,E29*G29*K29,E30*G30*K30,E31*G31*K31,E32*G32*K32,E38*G38*K38,E39*G39*K39,E40*G40*K40)</f>
        <v>180</v>
      </c>
      <c r="L112" s="261"/>
      <c r="M112" s="261"/>
      <c r="N112" s="260"/>
      <c r="O112" s="260"/>
      <c r="P112" s="267">
        <f>SUM(H112:O112)</f>
        <v>480</v>
      </c>
    </row>
    <row r="113" spans="2:16" x14ac:dyDescent="0.35">
      <c r="B113" s="266"/>
      <c r="C113" s="1267" t="s">
        <v>261</v>
      </c>
      <c r="D113" s="1267"/>
      <c r="E113" s="260"/>
      <c r="F113" s="258"/>
      <c r="G113" s="258"/>
      <c r="H113" s="260"/>
      <c r="I113" s="260"/>
      <c r="J113" s="261">
        <f>J112-(E32*G32*J32)</f>
        <v>300</v>
      </c>
      <c r="K113" s="260">
        <f>K112-(E32*G32*K32)</f>
        <v>180</v>
      </c>
      <c r="L113" s="260"/>
      <c r="M113" s="260"/>
      <c r="N113" s="260"/>
      <c r="O113" s="260"/>
      <c r="P113" s="267"/>
    </row>
    <row r="114" spans="2:16" x14ac:dyDescent="0.35">
      <c r="B114" s="268"/>
      <c r="C114" s="1268"/>
      <c r="D114" s="1268"/>
      <c r="E114" s="254"/>
      <c r="F114" s="252"/>
      <c r="G114" s="252"/>
      <c r="H114" s="254"/>
      <c r="I114" s="254"/>
      <c r="J114" s="254"/>
      <c r="K114" s="254"/>
      <c r="L114" s="254"/>
      <c r="M114" s="254"/>
      <c r="N114" s="254"/>
      <c r="O114" s="254"/>
      <c r="P114" s="269"/>
    </row>
    <row r="115" spans="2:16" x14ac:dyDescent="0.35">
      <c r="B115" s="268"/>
      <c r="C115" s="253"/>
      <c r="D115" s="254"/>
      <c r="E115" s="254"/>
      <c r="F115" s="252"/>
      <c r="G115" s="252"/>
      <c r="H115" s="254"/>
      <c r="I115" s="254"/>
      <c r="J115" s="254"/>
      <c r="K115" s="254"/>
      <c r="L115" s="254"/>
      <c r="M115" s="254"/>
      <c r="N115" s="254"/>
      <c r="O115" s="254"/>
      <c r="P115" s="269"/>
    </row>
    <row r="116" spans="2:16" x14ac:dyDescent="0.35">
      <c r="B116" s="373"/>
      <c r="C116" s="1269" t="s">
        <v>325</v>
      </c>
      <c r="D116" s="1269"/>
      <c r="E116" s="245"/>
      <c r="F116" s="255"/>
      <c r="G116" s="245"/>
      <c r="H116" s="256">
        <f>'3.  Distribution Rates'!$J33</f>
        <v>0</v>
      </c>
      <c r="I116" s="256">
        <f>'3.  Distribution Rates'!J34</f>
        <v>0</v>
      </c>
      <c r="J116" s="256">
        <f>'3.  Distribution Rates'!J35</f>
        <v>0</v>
      </c>
      <c r="K116" s="256">
        <f>'3.  Distribution Rates'!J36</f>
        <v>0</v>
      </c>
      <c r="L116" s="256">
        <f>'3.  Distribution Rates'!J37</f>
        <v>0</v>
      </c>
      <c r="M116" s="256">
        <f>'3.  Distribution Rates'!J38</f>
        <v>0</v>
      </c>
      <c r="N116" s="256">
        <f>'3.  Distribution Rates'!J39</f>
        <v>0</v>
      </c>
      <c r="O116" s="256"/>
      <c r="P116" s="374"/>
    </row>
    <row r="117" spans="2:16" x14ac:dyDescent="0.35">
      <c r="B117" s="373"/>
      <c r="C117" s="1269" t="s">
        <v>242</v>
      </c>
      <c r="D117" s="1269"/>
      <c r="E117" s="254"/>
      <c r="F117" s="255"/>
      <c r="G117" s="255"/>
      <c r="H117" s="289"/>
      <c r="I117" s="289"/>
      <c r="J117" s="289"/>
      <c r="K117" s="289"/>
      <c r="L117" s="289"/>
      <c r="M117" s="289"/>
      <c r="N117" s="289"/>
      <c r="O117" s="245"/>
      <c r="P117" s="270">
        <f>SUM(H117:O117)</f>
        <v>0</v>
      </c>
    </row>
    <row r="118" spans="2:16" x14ac:dyDescent="0.35">
      <c r="B118" s="373"/>
      <c r="C118" s="1269" t="s">
        <v>243</v>
      </c>
      <c r="D118" s="1269"/>
      <c r="E118" s="254"/>
      <c r="F118" s="255"/>
      <c r="G118" s="255"/>
      <c r="H118" s="289"/>
      <c r="I118" s="289"/>
      <c r="J118" s="289"/>
      <c r="K118" s="289"/>
      <c r="L118" s="289"/>
      <c r="M118" s="289"/>
      <c r="N118" s="289"/>
      <c r="O118" s="245"/>
      <c r="P118" s="270">
        <f>SUM(H118:O118)</f>
        <v>0</v>
      </c>
    </row>
    <row r="119" spans="2:16" x14ac:dyDescent="0.35">
      <c r="B119" s="373"/>
      <c r="C119" s="1269" t="s">
        <v>244</v>
      </c>
      <c r="D119" s="1269"/>
      <c r="E119" s="254"/>
      <c r="F119" s="255"/>
      <c r="G119" s="255"/>
      <c r="H119" s="289"/>
      <c r="I119" s="289"/>
      <c r="J119" s="289"/>
      <c r="K119" s="289"/>
      <c r="L119" s="289"/>
      <c r="M119" s="289"/>
      <c r="N119" s="289"/>
      <c r="O119" s="245"/>
      <c r="P119" s="270">
        <f>SUM(H119:O119)</f>
        <v>0</v>
      </c>
    </row>
    <row r="120" spans="2:16" x14ac:dyDescent="0.35">
      <c r="B120" s="373"/>
      <c r="C120" s="1269" t="s">
        <v>245</v>
      </c>
      <c r="D120" s="1269"/>
      <c r="E120" s="254"/>
      <c r="F120" s="255"/>
      <c r="G120" s="255"/>
      <c r="H120" s="289"/>
      <c r="I120" s="289"/>
      <c r="J120" s="289"/>
      <c r="K120" s="289"/>
      <c r="L120" s="289"/>
      <c r="M120" s="289"/>
      <c r="N120" s="289"/>
      <c r="O120" s="245"/>
      <c r="P120" s="270">
        <f>SUM(H120:O120)</f>
        <v>0</v>
      </c>
    </row>
    <row r="121" spans="2:16" x14ac:dyDescent="0.35">
      <c r="B121" s="373"/>
      <c r="C121" s="1269" t="s">
        <v>246</v>
      </c>
      <c r="D121" s="1269"/>
      <c r="E121" s="254"/>
      <c r="F121" s="255"/>
      <c r="G121" s="255"/>
      <c r="H121" s="370">
        <f>'5.  2015 LRAM'!H126*H116</f>
        <v>0</v>
      </c>
      <c r="I121" s="370">
        <f>'5.  2015 LRAM'!I126*I116</f>
        <v>0</v>
      </c>
      <c r="J121" s="370">
        <f>'5.  2015 LRAM'!J126*J116</f>
        <v>0</v>
      </c>
      <c r="K121" s="370">
        <f>'5.  2015 LRAM'!K126*K116</f>
        <v>0</v>
      </c>
      <c r="L121" s="370">
        <f>'5.  2015 LRAM'!L126*L116</f>
        <v>0</v>
      </c>
      <c r="M121" s="370">
        <f>'5.  2015 LRAM'!M126*M116</f>
        <v>0</v>
      </c>
      <c r="N121" s="370">
        <f>'5.  2015 LRAM'!N126*N116</f>
        <v>0</v>
      </c>
      <c r="O121" s="245"/>
      <c r="P121" s="270">
        <f t="shared" ref="P121:P122" si="2">SUM(H121:O121)</f>
        <v>0</v>
      </c>
    </row>
    <row r="122" spans="2:16" x14ac:dyDescent="0.35">
      <c r="B122" s="373"/>
      <c r="C122" s="1269" t="s">
        <v>252</v>
      </c>
      <c r="D122" s="1269"/>
      <c r="E122" s="254"/>
      <c r="F122" s="255"/>
      <c r="G122" s="255"/>
      <c r="H122" s="370">
        <f>H111*H116</f>
        <v>0</v>
      </c>
      <c r="I122" s="370">
        <f>I111*I116</f>
        <v>0</v>
      </c>
      <c r="J122" s="370">
        <f>J112*J116</f>
        <v>0</v>
      </c>
      <c r="K122" s="370">
        <f>K112*K116</f>
        <v>0</v>
      </c>
      <c r="L122" s="370">
        <f>L112*L116</f>
        <v>0</v>
      </c>
      <c r="M122" s="370">
        <f>M112*M116</f>
        <v>0</v>
      </c>
      <c r="N122" s="370">
        <f>N111*N116</f>
        <v>0</v>
      </c>
      <c r="O122" s="245"/>
      <c r="P122" s="270">
        <f t="shared" si="2"/>
        <v>0</v>
      </c>
    </row>
    <row r="123" spans="2:16" x14ac:dyDescent="0.35">
      <c r="B123" s="268"/>
      <c r="C123" s="371" t="s">
        <v>247</v>
      </c>
      <c r="D123" s="254"/>
      <c r="E123" s="254"/>
      <c r="F123" s="252"/>
      <c r="G123" s="252"/>
      <c r="H123" s="257">
        <f t="shared" ref="H123:N123" si="3">SUM(H117:H122)</f>
        <v>0</v>
      </c>
      <c r="I123" s="257">
        <f t="shared" si="3"/>
        <v>0</v>
      </c>
      <c r="J123" s="257">
        <f t="shared" si="3"/>
        <v>0</v>
      </c>
      <c r="K123" s="257">
        <f t="shared" si="3"/>
        <v>0</v>
      </c>
      <c r="L123" s="257">
        <f t="shared" si="3"/>
        <v>0</v>
      </c>
      <c r="M123" s="257">
        <f t="shared" si="3"/>
        <v>0</v>
      </c>
      <c r="N123" s="257">
        <f t="shared" si="3"/>
        <v>0</v>
      </c>
      <c r="O123" s="254"/>
      <c r="P123" s="271">
        <f>SUM(P117:P122)</f>
        <v>0</v>
      </c>
    </row>
    <row r="124" spans="2:16" x14ac:dyDescent="0.35">
      <c r="B124" s="268"/>
      <c r="C124" s="371"/>
      <c r="D124" s="254"/>
      <c r="E124" s="254"/>
      <c r="F124" s="252"/>
      <c r="G124" s="252"/>
      <c r="H124" s="257"/>
      <c r="I124" s="257"/>
      <c r="J124" s="257"/>
      <c r="K124" s="257"/>
      <c r="L124" s="257"/>
      <c r="M124" s="257"/>
      <c r="N124" s="257"/>
      <c r="O124" s="254"/>
      <c r="P124" s="271"/>
    </row>
    <row r="125" spans="2:16" x14ac:dyDescent="0.35">
      <c r="B125" s="408"/>
      <c r="C125" s="1269" t="s">
        <v>248</v>
      </c>
      <c r="D125" s="1269"/>
      <c r="E125" s="400"/>
      <c r="F125" s="154"/>
      <c r="G125" s="154"/>
      <c r="H125" s="289" t="e">
        <f>H111*'6.  Persistence Rates'!$F$45</f>
        <v>#DIV/0!</v>
      </c>
      <c r="I125" s="289" t="e">
        <f>I111*'6.  Persistence Rates'!$F$45</f>
        <v>#DIV/0!</v>
      </c>
      <c r="J125" s="289" t="e">
        <f>J112*'6.  Persistence Rates'!S$45</f>
        <v>#DIV/0!</v>
      </c>
      <c r="K125" s="289" t="e">
        <f>K112*'6.  Persistence Rates'!$S$45</f>
        <v>#DIV/0!</v>
      </c>
      <c r="L125" s="289">
        <f>L112*'6.  Persistence Rates'!$R$44</f>
        <v>0</v>
      </c>
      <c r="M125" s="289">
        <f>M112*'6.  Persistence Rates'!$R$44</f>
        <v>0</v>
      </c>
      <c r="N125" s="289" t="e">
        <f>N111*'6.  Persistence Rates'!$F$45</f>
        <v>#DIV/0!</v>
      </c>
      <c r="O125" s="154"/>
      <c r="P125" s="343"/>
    </row>
    <row r="126" spans="2:16" x14ac:dyDescent="0.35">
      <c r="B126" s="408"/>
      <c r="C126" s="1269" t="s">
        <v>249</v>
      </c>
      <c r="D126" s="1269"/>
      <c r="E126" s="400"/>
      <c r="F126" s="154"/>
      <c r="G126" s="154"/>
      <c r="H126" s="289" t="e">
        <f>H111*'6.  Persistence Rates'!$G$45</f>
        <v>#DIV/0!</v>
      </c>
      <c r="I126" s="289" t="e">
        <f>I111*'6.  Persistence Rates'!$G$45</f>
        <v>#DIV/0!</v>
      </c>
      <c r="J126" s="289" t="e">
        <f>$J$113*'6.  Persistence Rates'!$T$45</f>
        <v>#DIV/0!</v>
      </c>
      <c r="K126" s="289" t="e">
        <f>$K$113*'6.  Persistence Rates'!$T$45</f>
        <v>#DIV/0!</v>
      </c>
      <c r="L126" s="289"/>
      <c r="M126" s="289"/>
      <c r="N126" s="289"/>
      <c r="O126" s="154"/>
      <c r="P126" s="343"/>
    </row>
    <row r="127" spans="2:16" x14ac:dyDescent="0.35">
      <c r="B127" s="408"/>
      <c r="C127" s="1269" t="s">
        <v>250</v>
      </c>
      <c r="D127" s="1269"/>
      <c r="E127" s="400"/>
      <c r="F127" s="154"/>
      <c r="G127" s="154"/>
      <c r="H127" s="289" t="e">
        <f>H111*'6.  Persistence Rates'!$H$45</f>
        <v>#DIV/0!</v>
      </c>
      <c r="I127" s="289" t="e">
        <f>I111*'6.  Persistence Rates'!$H$45</f>
        <v>#DIV/0!</v>
      </c>
      <c r="J127" s="289" t="e">
        <f>$J$113*'6.  Persistence Rates'!$U$45</f>
        <v>#DIV/0!</v>
      </c>
      <c r="K127" s="289" t="e">
        <f>$K$113*'6.  Persistence Rates'!$U$45</f>
        <v>#DIV/0!</v>
      </c>
      <c r="L127" s="289"/>
      <c r="M127" s="289"/>
      <c r="N127" s="289"/>
      <c r="O127" s="154"/>
      <c r="P127" s="343"/>
    </row>
    <row r="128" spans="2:16" x14ac:dyDescent="0.35">
      <c r="B128" s="409"/>
      <c r="C128" s="1283" t="s">
        <v>251</v>
      </c>
      <c r="D128" s="1283"/>
      <c r="E128" s="410"/>
      <c r="F128" s="323"/>
      <c r="G128" s="323"/>
      <c r="H128" s="289" t="e">
        <f>H111*'6.  Persistence Rates'!$I$45</f>
        <v>#DIV/0!</v>
      </c>
      <c r="I128" s="289" t="e">
        <f>I111*'6.  Persistence Rates'!$I$45</f>
        <v>#DIV/0!</v>
      </c>
      <c r="J128" s="289" t="e">
        <f>$J$113*'6.  Persistence Rates'!$V$45</f>
        <v>#DIV/0!</v>
      </c>
      <c r="K128" s="289" t="e">
        <f>$K$113*'6.  Persistence Rates'!$V$45</f>
        <v>#DIV/0!</v>
      </c>
      <c r="L128" s="289"/>
      <c r="M128" s="289"/>
      <c r="N128" s="289"/>
      <c r="O128" s="323"/>
      <c r="P128" s="390"/>
    </row>
    <row r="129" spans="2:16" x14ac:dyDescent="0.35">
      <c r="B129" s="67"/>
      <c r="C129" s="422"/>
      <c r="D129" s="423"/>
      <c r="E129" s="423"/>
      <c r="F129" s="67"/>
      <c r="G129" s="67"/>
      <c r="H129" s="67"/>
      <c r="I129" s="67"/>
      <c r="J129" s="67"/>
      <c r="K129" s="67"/>
      <c r="L129" s="67"/>
      <c r="M129" s="67"/>
      <c r="N129" s="67"/>
      <c r="O129" s="67"/>
      <c r="P129" s="67"/>
    </row>
  </sheetData>
  <mergeCells count="62">
    <mergeCell ref="C91:D91"/>
    <mergeCell ref="C108:D108"/>
    <mergeCell ref="C109:D109"/>
    <mergeCell ref="C110:D110"/>
    <mergeCell ref="C81:D81"/>
    <mergeCell ref="C82:D82"/>
    <mergeCell ref="C83:D83"/>
    <mergeCell ref="C89:D89"/>
    <mergeCell ref="C90:D90"/>
    <mergeCell ref="B84:P84"/>
    <mergeCell ref="B92:P92"/>
    <mergeCell ref="C24:D24"/>
    <mergeCell ref="C25:D25"/>
    <mergeCell ref="C26:D26"/>
    <mergeCell ref="C34:D34"/>
    <mergeCell ref="C35:D35"/>
    <mergeCell ref="C36:D36"/>
    <mergeCell ref="C42:D42"/>
    <mergeCell ref="C43:D43"/>
    <mergeCell ref="C44:D44"/>
    <mergeCell ref="C48:D48"/>
    <mergeCell ref="C49:D49"/>
    <mergeCell ref="C50:D50"/>
    <mergeCell ref="C57:D57"/>
    <mergeCell ref="B45:P45"/>
    <mergeCell ref="B51:P51"/>
    <mergeCell ref="B71:P71"/>
    <mergeCell ref="C58:D58"/>
    <mergeCell ref="C59:D59"/>
    <mergeCell ref="C68:D68"/>
    <mergeCell ref="C69:D69"/>
    <mergeCell ref="C70:D70"/>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workbookViewId="0">
      <pane ySplit="14" topLeftCell="A15" activePane="bottomLeft" state="frozen"/>
      <selection pane="bottomLeft" activeCell="B13" sqref="B13:B14"/>
    </sheetView>
  </sheetViews>
  <sheetFormatPr defaultColWidth="9.1796875" defaultRowHeight="14.5" outlineLevelRow="1" x14ac:dyDescent="0.35"/>
  <cols>
    <col min="1" max="1" width="6.453125" style="23" customWidth="1"/>
    <col min="2" max="2" width="5.1796875" style="23" customWidth="1"/>
    <col min="3" max="3" width="44.26953125" style="35" customWidth="1"/>
    <col min="4" max="4" width="12.26953125" style="40" customWidth="1"/>
    <col min="5" max="5" width="13.26953125" style="40" customWidth="1"/>
    <col min="6" max="7" width="19.453125" style="23" customWidth="1"/>
    <col min="8" max="14" width="12.7265625" style="23" customWidth="1"/>
    <col min="15" max="15" width="8.1796875" style="23" customWidth="1"/>
    <col min="16" max="16" width="11.26953125" style="23" customWidth="1"/>
    <col min="17" max="17" width="13.1796875" style="23" customWidth="1"/>
    <col min="18" max="16384" width="9.1796875" style="23"/>
  </cols>
  <sheetData>
    <row r="2" spans="1:18" ht="20" x14ac:dyDescent="0.4">
      <c r="B2" s="1299" t="s">
        <v>266</v>
      </c>
      <c r="C2" s="1299"/>
      <c r="D2" s="1299"/>
      <c r="E2" s="1299"/>
      <c r="F2" s="1299"/>
      <c r="G2" s="1299"/>
      <c r="H2" s="1299"/>
      <c r="I2" s="1299"/>
      <c r="J2" s="1299"/>
      <c r="K2" s="1299"/>
      <c r="L2" s="1299"/>
      <c r="M2" s="1299"/>
      <c r="N2" s="1299"/>
      <c r="O2" s="1299"/>
      <c r="P2" s="1299"/>
    </row>
    <row r="3" spans="1:18" ht="18.5" outlineLevel="1" x14ac:dyDescent="0.45">
      <c r="B3" s="381"/>
      <c r="C3" s="381"/>
      <c r="D3" s="381"/>
      <c r="E3" s="381"/>
      <c r="F3" s="381"/>
      <c r="G3" s="381"/>
      <c r="H3" s="381"/>
      <c r="I3" s="381"/>
      <c r="J3" s="381"/>
      <c r="K3" s="381"/>
      <c r="L3" s="381"/>
      <c r="M3" s="381"/>
      <c r="N3" s="381"/>
      <c r="O3" s="381"/>
      <c r="P3" s="381"/>
    </row>
    <row r="4" spans="1:18" ht="35.25" customHeight="1" outlineLevel="1" x14ac:dyDescent="0.45">
      <c r="A4" s="64"/>
      <c r="B4" s="381"/>
      <c r="C4" s="361" t="s">
        <v>399</v>
      </c>
      <c r="D4" s="381"/>
      <c r="E4" s="1248" t="s">
        <v>362</v>
      </c>
      <c r="F4" s="1248"/>
      <c r="G4" s="1248"/>
      <c r="H4" s="1248"/>
      <c r="I4" s="1248"/>
      <c r="J4" s="1248"/>
      <c r="K4" s="1248"/>
      <c r="L4" s="1248"/>
      <c r="M4" s="1248"/>
      <c r="N4" s="1248"/>
      <c r="O4" s="1248"/>
      <c r="P4" s="1248"/>
    </row>
    <row r="5" spans="1:18" ht="18.75" customHeight="1" outlineLevel="1" x14ac:dyDescent="0.45">
      <c r="B5" s="381"/>
      <c r="C5" s="382"/>
      <c r="D5" s="381"/>
      <c r="E5" s="364" t="s">
        <v>356</v>
      </c>
      <c r="F5" s="381"/>
      <c r="G5" s="381"/>
      <c r="H5" s="381"/>
      <c r="I5" s="381"/>
      <c r="J5" s="381"/>
      <c r="K5" s="381"/>
      <c r="L5" s="381"/>
      <c r="M5" s="381"/>
      <c r="N5" s="381"/>
      <c r="O5" s="381"/>
      <c r="P5" s="381"/>
    </row>
    <row r="6" spans="1:18" ht="18.75" customHeight="1" outlineLevel="1" x14ac:dyDescent="0.45">
      <c r="B6" s="381"/>
      <c r="C6" s="382"/>
      <c r="D6" s="381"/>
      <c r="E6" s="364" t="s">
        <v>357</v>
      </c>
      <c r="F6" s="381"/>
      <c r="G6" s="381"/>
      <c r="H6" s="381"/>
      <c r="I6" s="381"/>
      <c r="J6" s="381"/>
      <c r="K6" s="381"/>
      <c r="L6" s="381"/>
      <c r="M6" s="381"/>
      <c r="N6" s="381"/>
      <c r="O6" s="381"/>
      <c r="P6" s="381"/>
    </row>
    <row r="7" spans="1:18" ht="18.75" customHeight="1" outlineLevel="1" x14ac:dyDescent="0.45">
      <c r="B7" s="381"/>
      <c r="C7" s="382"/>
      <c r="D7" s="381"/>
      <c r="E7" s="364" t="s">
        <v>417</v>
      </c>
      <c r="F7" s="381"/>
      <c r="G7" s="381"/>
      <c r="H7" s="381"/>
      <c r="I7" s="381"/>
      <c r="J7" s="381"/>
      <c r="K7" s="381"/>
      <c r="L7" s="381"/>
      <c r="M7" s="381"/>
      <c r="N7" s="381"/>
      <c r="O7" s="381"/>
      <c r="P7" s="381"/>
    </row>
    <row r="8" spans="1:18" ht="18.75" customHeight="1" outlineLevel="1" x14ac:dyDescent="0.45">
      <c r="B8" s="381"/>
      <c r="C8" s="382"/>
      <c r="D8" s="381"/>
      <c r="E8" s="364"/>
      <c r="F8" s="381"/>
      <c r="G8" s="381"/>
      <c r="H8" s="381"/>
      <c r="I8" s="381"/>
      <c r="J8" s="381"/>
      <c r="K8" s="381"/>
      <c r="L8" s="381"/>
      <c r="M8" s="381"/>
      <c r="N8" s="381"/>
      <c r="O8" s="381"/>
      <c r="P8" s="381"/>
    </row>
    <row r="9" spans="1:18" ht="18.75" customHeight="1" outlineLevel="1" x14ac:dyDescent="0.45">
      <c r="B9" s="62"/>
      <c r="C9" s="83" t="s">
        <v>337</v>
      </c>
      <c r="D9" s="62"/>
      <c r="E9" s="1300" t="s">
        <v>363</v>
      </c>
      <c r="F9" s="1300"/>
      <c r="G9" s="62"/>
      <c r="H9" s="62"/>
      <c r="I9" s="62"/>
      <c r="J9" s="62"/>
      <c r="K9" s="62"/>
      <c r="L9" s="62"/>
      <c r="M9" s="62"/>
      <c r="N9" s="62"/>
      <c r="O9" s="62"/>
      <c r="P9" s="62"/>
      <c r="R9" s="81"/>
    </row>
    <row r="10" spans="1:18" ht="18.75" customHeight="1" outlineLevel="1" x14ac:dyDescent="0.45">
      <c r="B10" s="62"/>
      <c r="C10" s="62"/>
      <c r="D10" s="62"/>
      <c r="E10" s="1230" t="s">
        <v>338</v>
      </c>
      <c r="F10" s="1230"/>
      <c r="G10" s="62"/>
      <c r="H10" s="62"/>
      <c r="I10" s="62"/>
      <c r="J10" s="62"/>
      <c r="K10" s="62"/>
      <c r="L10" s="62"/>
      <c r="M10" s="62"/>
      <c r="N10" s="62"/>
      <c r="O10" s="62"/>
      <c r="P10" s="62"/>
    </row>
    <row r="11" spans="1:18" ht="18.75" customHeight="1" x14ac:dyDescent="0.45">
      <c r="B11" s="62"/>
      <c r="C11" s="62"/>
      <c r="D11" s="62"/>
      <c r="E11" s="133"/>
      <c r="G11" s="62"/>
      <c r="H11" s="62"/>
      <c r="I11" s="62"/>
      <c r="J11" s="62"/>
      <c r="K11" s="62"/>
      <c r="L11" s="62"/>
      <c r="M11" s="62"/>
      <c r="N11" s="62"/>
      <c r="O11" s="62"/>
      <c r="P11" s="62"/>
    </row>
    <row r="12" spans="1:18" ht="18.5" x14ac:dyDescent="0.45">
      <c r="B12" s="185" t="s">
        <v>475</v>
      </c>
      <c r="C12" s="45"/>
      <c r="D12" s="45"/>
      <c r="E12" s="45"/>
      <c r="F12" s="45"/>
      <c r="G12" s="45"/>
      <c r="H12" s="45"/>
      <c r="I12" s="45"/>
      <c r="J12" s="45"/>
      <c r="K12" s="45"/>
      <c r="L12" s="45"/>
      <c r="M12" s="45"/>
      <c r="N12" s="45"/>
      <c r="O12" s="45"/>
      <c r="P12" s="45"/>
    </row>
    <row r="13" spans="1:18" ht="42" x14ac:dyDescent="0.35">
      <c r="B13" s="1307" t="s">
        <v>59</v>
      </c>
      <c r="C13" s="1309" t="s">
        <v>0</v>
      </c>
      <c r="D13" s="1309" t="s">
        <v>45</v>
      </c>
      <c r="E13" s="1309" t="s">
        <v>205</v>
      </c>
      <c r="F13" s="231" t="s">
        <v>202</v>
      </c>
      <c r="G13" s="231" t="s">
        <v>46</v>
      </c>
      <c r="H13" s="1311" t="s">
        <v>60</v>
      </c>
      <c r="I13" s="1311"/>
      <c r="J13" s="1311"/>
      <c r="K13" s="1311"/>
      <c r="L13" s="1311"/>
      <c r="M13" s="1311"/>
      <c r="N13" s="1311"/>
      <c r="O13" s="1311"/>
      <c r="P13" s="1312"/>
    </row>
    <row r="14" spans="1:18" ht="56" x14ac:dyDescent="0.35">
      <c r="B14" s="1308"/>
      <c r="C14" s="1310"/>
      <c r="D14" s="1310"/>
      <c r="E14" s="1310"/>
      <c r="F14" s="420" t="s">
        <v>213</v>
      </c>
      <c r="G14" s="420" t="s">
        <v>214</v>
      </c>
      <c r="H14" s="421" t="s">
        <v>38</v>
      </c>
      <c r="I14" s="421" t="s">
        <v>40</v>
      </c>
      <c r="J14" s="421" t="s">
        <v>109</v>
      </c>
      <c r="K14" s="421" t="s">
        <v>110</v>
      </c>
      <c r="L14" s="421" t="s">
        <v>41</v>
      </c>
      <c r="M14" s="421" t="s">
        <v>42</v>
      </c>
      <c r="N14" s="421" t="s">
        <v>43</v>
      </c>
      <c r="O14" s="421" t="s">
        <v>106</v>
      </c>
      <c r="P14" s="424" t="s">
        <v>35</v>
      </c>
    </row>
    <row r="15" spans="1:18" ht="29.25" customHeight="1" x14ac:dyDescent="0.35">
      <c r="B15" s="1288" t="s">
        <v>141</v>
      </c>
      <c r="C15" s="1289"/>
      <c r="D15" s="1289"/>
      <c r="E15" s="1289"/>
      <c r="F15" s="1289"/>
      <c r="G15" s="1289"/>
      <c r="H15" s="1289"/>
      <c r="I15" s="1289"/>
      <c r="J15" s="1289"/>
      <c r="K15" s="1289"/>
      <c r="L15" s="1289"/>
      <c r="M15" s="1289"/>
      <c r="N15" s="1289"/>
      <c r="O15" s="1289"/>
      <c r="P15" s="1290"/>
    </row>
    <row r="16" spans="1:18" ht="26.25" customHeight="1" x14ac:dyDescent="0.35">
      <c r="A16" s="49"/>
      <c r="B16" s="1301" t="s">
        <v>142</v>
      </c>
      <c r="C16" s="1302"/>
      <c r="D16" s="1302"/>
      <c r="E16" s="1302"/>
      <c r="F16" s="1302"/>
      <c r="G16" s="1302"/>
      <c r="H16" s="1302"/>
      <c r="I16" s="1302"/>
      <c r="J16" s="1302"/>
      <c r="K16" s="1302"/>
      <c r="L16" s="1302"/>
      <c r="M16" s="1302"/>
      <c r="N16" s="1302"/>
      <c r="O16" s="1302"/>
      <c r="P16" s="1303"/>
    </row>
    <row r="17" spans="1:16" x14ac:dyDescent="0.35">
      <c r="A17" s="49"/>
      <c r="B17" s="414">
        <v>1</v>
      </c>
      <c r="C17" s="399" t="s">
        <v>143</v>
      </c>
      <c r="D17" s="245" t="s">
        <v>34</v>
      </c>
      <c r="E17" s="400"/>
      <c r="F17" s="289"/>
      <c r="G17" s="289"/>
      <c r="H17" s="411">
        <v>1</v>
      </c>
      <c r="I17" s="401"/>
      <c r="J17" s="401"/>
      <c r="K17" s="401"/>
      <c r="L17" s="401"/>
      <c r="M17" s="401"/>
      <c r="N17" s="401"/>
      <c r="O17" s="401"/>
      <c r="P17" s="415">
        <f>SUM(H17:O17)</f>
        <v>1</v>
      </c>
    </row>
    <row r="18" spans="1:16" x14ac:dyDescent="0.35">
      <c r="A18" s="46"/>
      <c r="B18" s="414">
        <v>2</v>
      </c>
      <c r="C18" s="399" t="s">
        <v>144</v>
      </c>
      <c r="D18" s="245" t="s">
        <v>34</v>
      </c>
      <c r="E18" s="402"/>
      <c r="F18" s="289"/>
      <c r="G18" s="289"/>
      <c r="H18" s="411">
        <v>1</v>
      </c>
      <c r="I18" s="401"/>
      <c r="J18" s="401"/>
      <c r="K18" s="401"/>
      <c r="L18" s="401"/>
      <c r="M18" s="401"/>
      <c r="N18" s="401"/>
      <c r="O18" s="401"/>
      <c r="P18" s="415">
        <f t="shared" ref="P18:P80" si="0">SUM(H18:O18)</f>
        <v>1</v>
      </c>
    </row>
    <row r="19" spans="1:16" x14ac:dyDescent="0.35">
      <c r="A19" s="49"/>
      <c r="B19" s="414">
        <v>3</v>
      </c>
      <c r="C19" s="399" t="s">
        <v>145</v>
      </c>
      <c r="D19" s="245" t="s">
        <v>34</v>
      </c>
      <c r="E19" s="402"/>
      <c r="F19" s="289"/>
      <c r="G19" s="289"/>
      <c r="H19" s="411">
        <v>1</v>
      </c>
      <c r="I19" s="401"/>
      <c r="J19" s="401"/>
      <c r="K19" s="401"/>
      <c r="L19" s="401"/>
      <c r="M19" s="401"/>
      <c r="N19" s="401"/>
      <c r="O19" s="401"/>
      <c r="P19" s="415">
        <f t="shared" si="0"/>
        <v>1</v>
      </c>
    </row>
    <row r="20" spans="1:16" x14ac:dyDescent="0.35">
      <c r="A20" s="49"/>
      <c r="B20" s="414">
        <v>4</v>
      </c>
      <c r="C20" s="399" t="s">
        <v>146</v>
      </c>
      <c r="D20" s="245" t="s">
        <v>34</v>
      </c>
      <c r="E20" s="402"/>
      <c r="F20" s="289"/>
      <c r="G20" s="289"/>
      <c r="H20" s="411">
        <v>1</v>
      </c>
      <c r="I20" s="401"/>
      <c r="J20" s="401"/>
      <c r="K20" s="401"/>
      <c r="L20" s="401"/>
      <c r="M20" s="401"/>
      <c r="N20" s="401"/>
      <c r="O20" s="401"/>
      <c r="P20" s="415">
        <f t="shared" si="0"/>
        <v>1</v>
      </c>
    </row>
    <row r="21" spans="1:16" x14ac:dyDescent="0.35">
      <c r="A21" s="49"/>
      <c r="B21" s="414">
        <v>5</v>
      </c>
      <c r="C21" s="399" t="s">
        <v>147</v>
      </c>
      <c r="D21" s="245" t="s">
        <v>34</v>
      </c>
      <c r="E21" s="402"/>
      <c r="F21" s="289"/>
      <c r="G21" s="289"/>
      <c r="H21" s="411">
        <v>1</v>
      </c>
      <c r="I21" s="401"/>
      <c r="J21" s="401"/>
      <c r="K21" s="401"/>
      <c r="L21" s="401"/>
      <c r="M21" s="401"/>
      <c r="N21" s="401"/>
      <c r="O21" s="401"/>
      <c r="P21" s="415">
        <f t="shared" si="0"/>
        <v>1</v>
      </c>
    </row>
    <row r="22" spans="1:16" ht="28" x14ac:dyDescent="0.35">
      <c r="A22" s="49"/>
      <c r="B22" s="414">
        <v>6</v>
      </c>
      <c r="C22" s="399" t="s">
        <v>148</v>
      </c>
      <c r="D22" s="245" t="s">
        <v>34</v>
      </c>
      <c r="E22" s="402"/>
      <c r="F22" s="289"/>
      <c r="G22" s="289"/>
      <c r="H22" s="411">
        <v>1</v>
      </c>
      <c r="I22" s="401"/>
      <c r="J22" s="401"/>
      <c r="K22" s="401"/>
      <c r="L22" s="401"/>
      <c r="M22" s="401"/>
      <c r="N22" s="401"/>
      <c r="O22" s="401"/>
      <c r="P22" s="415">
        <f t="shared" si="0"/>
        <v>1</v>
      </c>
    </row>
    <row r="23" spans="1:16" x14ac:dyDescent="0.35">
      <c r="A23" s="49"/>
      <c r="B23" s="416" t="s">
        <v>267</v>
      </c>
      <c r="C23" s="399"/>
      <c r="D23" s="245" t="s">
        <v>253</v>
      </c>
      <c r="E23" s="402"/>
      <c r="F23" s="289"/>
      <c r="G23" s="289"/>
      <c r="H23" s="411"/>
      <c r="I23" s="401"/>
      <c r="J23" s="401"/>
      <c r="K23" s="401"/>
      <c r="L23" s="401"/>
      <c r="M23" s="401"/>
      <c r="N23" s="401"/>
      <c r="O23" s="401"/>
      <c r="P23" s="415">
        <f t="shared" si="0"/>
        <v>0</v>
      </c>
    </row>
    <row r="24" spans="1:16" x14ac:dyDescent="0.35">
      <c r="A24" s="49"/>
      <c r="B24" s="414"/>
      <c r="C24" s="1267"/>
      <c r="D24" s="1267"/>
      <c r="E24" s="259"/>
      <c r="F24" s="289"/>
      <c r="G24" s="289"/>
      <c r="H24" s="411"/>
      <c r="I24" s="401"/>
      <c r="J24" s="401"/>
      <c r="K24" s="401"/>
      <c r="L24" s="401"/>
      <c r="M24" s="401"/>
      <c r="N24" s="401"/>
      <c r="O24" s="401"/>
      <c r="P24" s="415">
        <f t="shared" si="0"/>
        <v>0</v>
      </c>
    </row>
    <row r="25" spans="1:16" x14ac:dyDescent="0.35">
      <c r="A25" s="49"/>
      <c r="B25" s="414"/>
      <c r="C25" s="1267"/>
      <c r="D25" s="1267"/>
      <c r="E25" s="259"/>
      <c r="F25" s="289"/>
      <c r="G25" s="289"/>
      <c r="H25" s="411"/>
      <c r="I25" s="401"/>
      <c r="J25" s="401"/>
      <c r="K25" s="401"/>
      <c r="L25" s="401"/>
      <c r="M25" s="401"/>
      <c r="N25" s="401"/>
      <c r="O25" s="401"/>
      <c r="P25" s="415">
        <f t="shared" si="0"/>
        <v>0</v>
      </c>
    </row>
    <row r="26" spans="1:16" x14ac:dyDescent="0.35">
      <c r="A26" s="49"/>
      <c r="B26" s="414"/>
      <c r="C26" s="1267"/>
      <c r="D26" s="1267"/>
      <c r="E26" s="259"/>
      <c r="F26" s="289"/>
      <c r="G26" s="289"/>
      <c r="H26" s="411"/>
      <c r="I26" s="401"/>
      <c r="J26" s="401"/>
      <c r="K26" s="401"/>
      <c r="L26" s="401"/>
      <c r="M26" s="401"/>
      <c r="N26" s="401"/>
      <c r="O26" s="401"/>
      <c r="P26" s="415">
        <f t="shared" si="0"/>
        <v>0</v>
      </c>
    </row>
    <row r="27" spans="1:16" ht="25.5" customHeight="1" x14ac:dyDescent="0.35">
      <c r="A27" s="49"/>
      <c r="B27" s="1301" t="s">
        <v>149</v>
      </c>
      <c r="C27" s="1302"/>
      <c r="D27" s="1302"/>
      <c r="E27" s="1302"/>
      <c r="F27" s="1302"/>
      <c r="G27" s="1302"/>
      <c r="H27" s="1302"/>
      <c r="I27" s="1302"/>
      <c r="J27" s="1302"/>
      <c r="K27" s="1302"/>
      <c r="L27" s="1302"/>
      <c r="M27" s="1302"/>
      <c r="N27" s="1302"/>
      <c r="O27" s="1302"/>
      <c r="P27" s="1303"/>
    </row>
    <row r="28" spans="1:16" x14ac:dyDescent="0.35">
      <c r="A28" s="49"/>
      <c r="B28" s="414">
        <v>7</v>
      </c>
      <c r="C28" s="399" t="s">
        <v>150</v>
      </c>
      <c r="D28" s="245" t="s">
        <v>34</v>
      </c>
      <c r="E28" s="402">
        <v>12</v>
      </c>
      <c r="F28" s="289"/>
      <c r="G28" s="289">
        <v>50</v>
      </c>
      <c r="H28" s="401"/>
      <c r="I28" s="411">
        <v>0.2</v>
      </c>
      <c r="J28" s="411">
        <v>0.5</v>
      </c>
      <c r="K28" s="411">
        <v>0.3</v>
      </c>
      <c r="L28" s="401"/>
      <c r="M28" s="401"/>
      <c r="N28" s="401"/>
      <c r="O28" s="401"/>
      <c r="P28" s="415">
        <f t="shared" si="0"/>
        <v>1</v>
      </c>
    </row>
    <row r="29" spans="1:16" ht="28" x14ac:dyDescent="0.35">
      <c r="A29" s="49"/>
      <c r="B29" s="414">
        <v>8</v>
      </c>
      <c r="C29" s="399" t="s">
        <v>151</v>
      </c>
      <c r="D29" s="245" t="s">
        <v>34</v>
      </c>
      <c r="E29" s="402">
        <v>12</v>
      </c>
      <c r="F29" s="289"/>
      <c r="G29" s="289"/>
      <c r="H29" s="401"/>
      <c r="I29" s="411">
        <v>0.8</v>
      </c>
      <c r="J29" s="411">
        <v>0.2</v>
      </c>
      <c r="K29" s="401"/>
      <c r="L29" s="401"/>
      <c r="M29" s="401"/>
      <c r="N29" s="401"/>
      <c r="O29" s="401"/>
      <c r="P29" s="415">
        <f t="shared" si="0"/>
        <v>1</v>
      </c>
    </row>
    <row r="30" spans="1:16" x14ac:dyDescent="0.35">
      <c r="A30" s="49"/>
      <c r="B30" s="414">
        <v>9</v>
      </c>
      <c r="C30" s="399" t="s">
        <v>152</v>
      </c>
      <c r="D30" s="245" t="s">
        <v>34</v>
      </c>
      <c r="E30" s="402">
        <v>12</v>
      </c>
      <c r="F30" s="289"/>
      <c r="G30" s="289"/>
      <c r="H30" s="401"/>
      <c r="I30" s="411">
        <v>0.5</v>
      </c>
      <c r="J30" s="411">
        <v>0.5</v>
      </c>
      <c r="K30" s="401"/>
      <c r="L30" s="401"/>
      <c r="M30" s="401"/>
      <c r="N30" s="401"/>
      <c r="O30" s="401"/>
      <c r="P30" s="415">
        <f t="shared" si="0"/>
        <v>1</v>
      </c>
    </row>
    <row r="31" spans="1:16" ht="28" x14ac:dyDescent="0.35">
      <c r="A31" s="49"/>
      <c r="B31" s="414">
        <v>10</v>
      </c>
      <c r="C31" s="399" t="s">
        <v>153</v>
      </c>
      <c r="D31" s="245" t="s">
        <v>34</v>
      </c>
      <c r="E31" s="402">
        <v>12</v>
      </c>
      <c r="F31" s="289"/>
      <c r="G31" s="289"/>
      <c r="H31" s="401"/>
      <c r="I31" s="411">
        <v>1</v>
      </c>
      <c r="J31" s="401"/>
      <c r="K31" s="401"/>
      <c r="L31" s="401"/>
      <c r="M31" s="401"/>
      <c r="N31" s="401"/>
      <c r="O31" s="401"/>
      <c r="P31" s="415">
        <f t="shared" si="0"/>
        <v>1</v>
      </c>
    </row>
    <row r="32" spans="1:16" ht="28" x14ac:dyDescent="0.35">
      <c r="A32" s="49"/>
      <c r="B32" s="414">
        <v>11</v>
      </c>
      <c r="C32" s="399" t="s">
        <v>154</v>
      </c>
      <c r="D32" s="245" t="s">
        <v>34</v>
      </c>
      <c r="E32" s="402">
        <v>3</v>
      </c>
      <c r="F32" s="289"/>
      <c r="G32" s="289"/>
      <c r="H32" s="401"/>
      <c r="I32" s="401"/>
      <c r="J32" s="411">
        <v>1</v>
      </c>
      <c r="K32" s="401"/>
      <c r="L32" s="401"/>
      <c r="M32" s="401"/>
      <c r="N32" s="401"/>
      <c r="O32" s="401"/>
      <c r="P32" s="415">
        <f t="shared" si="0"/>
        <v>1</v>
      </c>
    </row>
    <row r="33" spans="1:16" x14ac:dyDescent="0.35">
      <c r="A33" s="49"/>
      <c r="B33" s="416" t="s">
        <v>267</v>
      </c>
      <c r="C33" s="399"/>
      <c r="D33" s="245" t="s">
        <v>253</v>
      </c>
      <c r="E33" s="402"/>
      <c r="F33" s="289"/>
      <c r="G33" s="289"/>
      <c r="H33" s="401"/>
      <c r="I33" s="401"/>
      <c r="J33" s="401"/>
      <c r="K33" s="401"/>
      <c r="L33" s="401"/>
      <c r="M33" s="401"/>
      <c r="N33" s="401"/>
      <c r="O33" s="401"/>
      <c r="P33" s="415">
        <f t="shared" si="0"/>
        <v>0</v>
      </c>
    </row>
    <row r="34" spans="1:16" x14ac:dyDescent="0.35">
      <c r="A34" s="49"/>
      <c r="B34" s="414"/>
      <c r="C34" s="1267"/>
      <c r="D34" s="1267"/>
      <c r="E34" s="259"/>
      <c r="F34" s="289"/>
      <c r="G34" s="289"/>
      <c r="H34" s="401"/>
      <c r="I34" s="401"/>
      <c r="J34" s="401"/>
      <c r="K34" s="401"/>
      <c r="L34" s="401"/>
      <c r="M34" s="401"/>
      <c r="N34" s="401"/>
      <c r="O34" s="401"/>
      <c r="P34" s="415">
        <f t="shared" si="0"/>
        <v>0</v>
      </c>
    </row>
    <row r="35" spans="1:16" x14ac:dyDescent="0.35">
      <c r="A35" s="49"/>
      <c r="B35" s="414"/>
      <c r="C35" s="1267"/>
      <c r="D35" s="1267"/>
      <c r="E35" s="259"/>
      <c r="F35" s="289"/>
      <c r="G35" s="289"/>
      <c r="H35" s="401"/>
      <c r="I35" s="401"/>
      <c r="J35" s="401"/>
      <c r="K35" s="401"/>
      <c r="L35" s="401"/>
      <c r="M35" s="401"/>
      <c r="N35" s="401"/>
      <c r="O35" s="401"/>
      <c r="P35" s="415">
        <f t="shared" si="0"/>
        <v>0</v>
      </c>
    </row>
    <row r="36" spans="1:16" x14ac:dyDescent="0.35">
      <c r="A36" s="49"/>
      <c r="B36" s="414"/>
      <c r="C36" s="1267"/>
      <c r="D36" s="1267"/>
      <c r="E36" s="259"/>
      <c r="F36" s="289"/>
      <c r="G36" s="289"/>
      <c r="H36" s="401"/>
      <c r="I36" s="401"/>
      <c r="J36" s="401"/>
      <c r="K36" s="401"/>
      <c r="L36" s="401"/>
      <c r="M36" s="401"/>
      <c r="N36" s="401"/>
      <c r="O36" s="401"/>
      <c r="P36" s="415">
        <f t="shared" si="0"/>
        <v>0</v>
      </c>
    </row>
    <row r="37" spans="1:16" ht="26.25" customHeight="1" x14ac:dyDescent="0.35">
      <c r="A37" s="49"/>
      <c r="B37" s="1301" t="s">
        <v>11</v>
      </c>
      <c r="C37" s="1302"/>
      <c r="D37" s="1302"/>
      <c r="E37" s="1302"/>
      <c r="F37" s="1302"/>
      <c r="G37" s="1302"/>
      <c r="H37" s="1302"/>
      <c r="I37" s="1302"/>
      <c r="J37" s="1302"/>
      <c r="K37" s="1302"/>
      <c r="L37" s="1302"/>
      <c r="M37" s="1302"/>
      <c r="N37" s="1302"/>
      <c r="O37" s="1302"/>
      <c r="P37" s="1303"/>
    </row>
    <row r="38" spans="1:16" x14ac:dyDescent="0.35">
      <c r="A38" s="49"/>
      <c r="B38" s="416" t="s">
        <v>11</v>
      </c>
      <c r="C38" s="399"/>
      <c r="D38" s="402"/>
      <c r="E38" s="402"/>
      <c r="F38" s="289"/>
      <c r="G38" s="289"/>
      <c r="H38" s="406"/>
      <c r="I38" s="406"/>
      <c r="J38" s="406"/>
      <c r="K38" s="406"/>
      <c r="L38" s="406"/>
      <c r="M38" s="406"/>
      <c r="N38" s="406"/>
      <c r="O38" s="406"/>
      <c r="P38" s="415">
        <f t="shared" si="0"/>
        <v>0</v>
      </c>
    </row>
    <row r="39" spans="1:16" ht="28" x14ac:dyDescent="0.35">
      <c r="A39" s="49"/>
      <c r="B39" s="414">
        <v>12</v>
      </c>
      <c r="C39" s="399" t="s">
        <v>155</v>
      </c>
      <c r="D39" s="245" t="s">
        <v>34</v>
      </c>
      <c r="E39" s="402">
        <v>12</v>
      </c>
      <c r="F39" s="289"/>
      <c r="G39" s="289"/>
      <c r="H39" s="401"/>
      <c r="I39" s="401"/>
      <c r="J39" s="411">
        <v>1</v>
      </c>
      <c r="K39" s="401"/>
      <c r="L39" s="401"/>
      <c r="M39" s="401"/>
      <c r="N39" s="401"/>
      <c r="O39" s="401"/>
      <c r="P39" s="415">
        <f t="shared" si="0"/>
        <v>1</v>
      </c>
    </row>
    <row r="40" spans="1:16" ht="28" x14ac:dyDescent="0.35">
      <c r="A40" s="49"/>
      <c r="B40" s="414">
        <v>13</v>
      </c>
      <c r="C40" s="399" t="s">
        <v>156</v>
      </c>
      <c r="D40" s="245" t="s">
        <v>34</v>
      </c>
      <c r="E40" s="402">
        <v>12</v>
      </c>
      <c r="F40" s="289"/>
      <c r="G40" s="289"/>
      <c r="H40" s="401"/>
      <c r="I40" s="401"/>
      <c r="J40" s="411">
        <v>1</v>
      </c>
      <c r="K40" s="401"/>
      <c r="L40" s="401"/>
      <c r="M40" s="401"/>
      <c r="N40" s="401"/>
      <c r="O40" s="401"/>
      <c r="P40" s="415">
        <f t="shared" si="0"/>
        <v>1</v>
      </c>
    </row>
    <row r="41" spans="1:16" ht="28" x14ac:dyDescent="0.35">
      <c r="A41" s="49"/>
      <c r="B41" s="414">
        <v>14</v>
      </c>
      <c r="C41" s="399" t="s">
        <v>157</v>
      </c>
      <c r="D41" s="245" t="s">
        <v>34</v>
      </c>
      <c r="E41" s="402">
        <v>12</v>
      </c>
      <c r="F41" s="289"/>
      <c r="G41" s="289"/>
      <c r="H41" s="401"/>
      <c r="I41" s="401"/>
      <c r="J41" s="411">
        <v>1</v>
      </c>
      <c r="K41" s="401"/>
      <c r="L41" s="401"/>
      <c r="M41" s="401"/>
      <c r="N41" s="401"/>
      <c r="O41" s="401"/>
      <c r="P41" s="415">
        <f t="shared" si="0"/>
        <v>1</v>
      </c>
    </row>
    <row r="42" spans="1:16" x14ac:dyDescent="0.35">
      <c r="A42" s="49"/>
      <c r="B42" s="416" t="s">
        <v>267</v>
      </c>
      <c r="C42" s="399"/>
      <c r="D42" s="245" t="s">
        <v>253</v>
      </c>
      <c r="E42" s="402"/>
      <c r="F42" s="289"/>
      <c r="G42" s="289"/>
      <c r="H42" s="401"/>
      <c r="I42" s="401"/>
      <c r="J42" s="401"/>
      <c r="K42" s="401"/>
      <c r="L42" s="401"/>
      <c r="M42" s="401"/>
      <c r="N42" s="401"/>
      <c r="O42" s="401"/>
      <c r="P42" s="415">
        <f t="shared" si="0"/>
        <v>0</v>
      </c>
    </row>
    <row r="43" spans="1:16" x14ac:dyDescent="0.35">
      <c r="A43" s="49"/>
      <c r="B43" s="414"/>
      <c r="C43" s="1267"/>
      <c r="D43" s="1267"/>
      <c r="E43" s="259"/>
      <c r="F43" s="289"/>
      <c r="G43" s="289"/>
      <c r="H43" s="401"/>
      <c r="I43" s="401"/>
      <c r="J43" s="401"/>
      <c r="K43" s="401"/>
      <c r="L43" s="401"/>
      <c r="M43" s="401"/>
      <c r="N43" s="401"/>
      <c r="O43" s="401"/>
      <c r="P43" s="415">
        <f t="shared" si="0"/>
        <v>0</v>
      </c>
    </row>
    <row r="44" spans="1:16" x14ac:dyDescent="0.35">
      <c r="A44" s="49"/>
      <c r="B44" s="414"/>
      <c r="C44" s="1267"/>
      <c r="D44" s="1267"/>
      <c r="E44" s="259"/>
      <c r="F44" s="289"/>
      <c r="G44" s="289"/>
      <c r="H44" s="401"/>
      <c r="I44" s="401"/>
      <c r="J44" s="401"/>
      <c r="K44" s="401"/>
      <c r="L44" s="401"/>
      <c r="M44" s="401"/>
      <c r="N44" s="401"/>
      <c r="O44" s="401"/>
      <c r="P44" s="415">
        <f t="shared" si="0"/>
        <v>0</v>
      </c>
    </row>
    <row r="45" spans="1:16" x14ac:dyDescent="0.35">
      <c r="A45" s="49"/>
      <c r="B45" s="414"/>
      <c r="C45" s="1267"/>
      <c r="D45" s="1267"/>
      <c r="E45" s="259"/>
      <c r="F45" s="289"/>
      <c r="G45" s="289"/>
      <c r="H45" s="401"/>
      <c r="I45" s="401"/>
      <c r="J45" s="401"/>
      <c r="K45" s="401"/>
      <c r="L45" s="401"/>
      <c r="M45" s="401"/>
      <c r="N45" s="401"/>
      <c r="O45" s="401"/>
      <c r="P45" s="415">
        <f t="shared" si="0"/>
        <v>0</v>
      </c>
    </row>
    <row r="46" spans="1:16" ht="24" customHeight="1" x14ac:dyDescent="0.35">
      <c r="A46" s="49"/>
      <c r="B46" s="1301" t="s">
        <v>158</v>
      </c>
      <c r="C46" s="1302"/>
      <c r="D46" s="1302"/>
      <c r="E46" s="1302"/>
      <c r="F46" s="1302"/>
      <c r="G46" s="1302"/>
      <c r="H46" s="1302"/>
      <c r="I46" s="1302"/>
      <c r="J46" s="1302"/>
      <c r="K46" s="1302"/>
      <c r="L46" s="1302"/>
      <c r="M46" s="1302"/>
      <c r="N46" s="1302"/>
      <c r="O46" s="1302"/>
      <c r="P46" s="1303"/>
    </row>
    <row r="47" spans="1:16" x14ac:dyDescent="0.35">
      <c r="A47" s="49"/>
      <c r="B47" s="414">
        <v>15</v>
      </c>
      <c r="C47" s="399" t="s">
        <v>159</v>
      </c>
      <c r="D47" s="245" t="s">
        <v>34</v>
      </c>
      <c r="E47" s="402"/>
      <c r="F47" s="289"/>
      <c r="G47" s="289"/>
      <c r="H47" s="411">
        <v>1</v>
      </c>
      <c r="I47" s="401"/>
      <c r="J47" s="401"/>
      <c r="K47" s="401"/>
      <c r="L47" s="401"/>
      <c r="M47" s="401"/>
      <c r="N47" s="401"/>
      <c r="O47" s="401"/>
      <c r="P47" s="415">
        <f t="shared" si="0"/>
        <v>1</v>
      </c>
    </row>
    <row r="48" spans="1:16" x14ac:dyDescent="0.35">
      <c r="A48" s="49"/>
      <c r="B48" s="416" t="s">
        <v>267</v>
      </c>
      <c r="C48" s="399"/>
      <c r="D48" s="245" t="s">
        <v>253</v>
      </c>
      <c r="E48" s="402"/>
      <c r="F48" s="289"/>
      <c r="G48" s="289"/>
      <c r="H48" s="411"/>
      <c r="I48" s="401"/>
      <c r="J48" s="401"/>
      <c r="K48" s="401"/>
      <c r="L48" s="401"/>
      <c r="M48" s="401"/>
      <c r="N48" s="401"/>
      <c r="O48" s="401"/>
      <c r="P48" s="415">
        <f t="shared" si="0"/>
        <v>0</v>
      </c>
    </row>
    <row r="49" spans="1:16" x14ac:dyDescent="0.35">
      <c r="A49" s="49"/>
      <c r="B49" s="414"/>
      <c r="C49" s="1267"/>
      <c r="D49" s="1267"/>
      <c r="E49" s="259"/>
      <c r="F49" s="289"/>
      <c r="G49" s="289"/>
      <c r="H49" s="411"/>
      <c r="I49" s="401"/>
      <c r="J49" s="401"/>
      <c r="K49" s="401"/>
      <c r="L49" s="401"/>
      <c r="M49" s="401"/>
      <c r="N49" s="401"/>
      <c r="O49" s="401"/>
      <c r="P49" s="415">
        <f t="shared" si="0"/>
        <v>0</v>
      </c>
    </row>
    <row r="50" spans="1:16" x14ac:dyDescent="0.35">
      <c r="A50" s="49"/>
      <c r="B50" s="414"/>
      <c r="C50" s="1267"/>
      <c r="D50" s="1267"/>
      <c r="E50" s="259"/>
      <c r="F50" s="289"/>
      <c r="G50" s="289"/>
      <c r="H50" s="411"/>
      <c r="I50" s="401"/>
      <c r="J50" s="401"/>
      <c r="K50" s="401"/>
      <c r="L50" s="401"/>
      <c r="M50" s="401"/>
      <c r="N50" s="401"/>
      <c r="O50" s="401"/>
      <c r="P50" s="415"/>
    </row>
    <row r="51" spans="1:16" x14ac:dyDescent="0.35">
      <c r="A51" s="49"/>
      <c r="B51" s="414"/>
      <c r="C51" s="1267"/>
      <c r="D51" s="1267"/>
      <c r="E51" s="259"/>
      <c r="F51" s="289"/>
      <c r="G51" s="289"/>
      <c r="H51" s="411"/>
      <c r="I51" s="401"/>
      <c r="J51" s="401"/>
      <c r="K51" s="401"/>
      <c r="L51" s="401"/>
      <c r="M51" s="401"/>
      <c r="N51" s="401"/>
      <c r="O51" s="401"/>
      <c r="P51" s="415">
        <f t="shared" si="0"/>
        <v>0</v>
      </c>
    </row>
    <row r="52" spans="1:16" ht="21" customHeight="1" x14ac:dyDescent="0.35">
      <c r="A52" s="47"/>
      <c r="B52" s="1301" t="s">
        <v>160</v>
      </c>
      <c r="C52" s="1302"/>
      <c r="D52" s="1302"/>
      <c r="E52" s="1302"/>
      <c r="F52" s="1302"/>
      <c r="G52" s="1302"/>
      <c r="H52" s="1302"/>
      <c r="I52" s="1302"/>
      <c r="J52" s="1302"/>
      <c r="K52" s="1302"/>
      <c r="L52" s="1302"/>
      <c r="M52" s="1302"/>
      <c r="N52" s="1302"/>
      <c r="O52" s="1302"/>
      <c r="P52" s="1303"/>
    </row>
    <row r="53" spans="1:16" x14ac:dyDescent="0.35">
      <c r="A53" s="49"/>
      <c r="B53" s="414">
        <v>16</v>
      </c>
      <c r="C53" s="399" t="s">
        <v>161</v>
      </c>
      <c r="D53" s="245" t="s">
        <v>34</v>
      </c>
      <c r="E53" s="402"/>
      <c r="F53" s="289"/>
      <c r="G53" s="289"/>
      <c r="H53" s="401"/>
      <c r="I53" s="401"/>
      <c r="J53" s="401"/>
      <c r="K53" s="401"/>
      <c r="L53" s="401"/>
      <c r="M53" s="401"/>
      <c r="N53" s="401"/>
      <c r="O53" s="401"/>
      <c r="P53" s="415">
        <f t="shared" si="0"/>
        <v>0</v>
      </c>
    </row>
    <row r="54" spans="1:16" x14ac:dyDescent="0.35">
      <c r="A54" s="49"/>
      <c r="B54" s="414">
        <v>17</v>
      </c>
      <c r="C54" s="399" t="s">
        <v>162</v>
      </c>
      <c r="D54" s="245" t="s">
        <v>34</v>
      </c>
      <c r="E54" s="402"/>
      <c r="F54" s="289"/>
      <c r="G54" s="289"/>
      <c r="H54" s="401"/>
      <c r="I54" s="401"/>
      <c r="J54" s="401"/>
      <c r="K54" s="401"/>
      <c r="L54" s="401"/>
      <c r="M54" s="401"/>
      <c r="N54" s="401"/>
      <c r="O54" s="401"/>
      <c r="P54" s="415">
        <f t="shared" si="0"/>
        <v>0</v>
      </c>
    </row>
    <row r="55" spans="1:16" x14ac:dyDescent="0.35">
      <c r="A55" s="49"/>
      <c r="B55" s="414">
        <v>18</v>
      </c>
      <c r="C55" s="399" t="s">
        <v>163</v>
      </c>
      <c r="D55" s="245" t="s">
        <v>34</v>
      </c>
      <c r="E55" s="402"/>
      <c r="F55" s="289"/>
      <c r="G55" s="289"/>
      <c r="H55" s="401"/>
      <c r="I55" s="401"/>
      <c r="J55" s="401"/>
      <c r="K55" s="401"/>
      <c r="L55" s="401"/>
      <c r="M55" s="401"/>
      <c r="N55" s="401"/>
      <c r="O55" s="401"/>
      <c r="P55" s="415">
        <f t="shared" si="0"/>
        <v>0</v>
      </c>
    </row>
    <row r="56" spans="1:16" x14ac:dyDescent="0.35">
      <c r="A56" s="49"/>
      <c r="B56" s="414">
        <v>19</v>
      </c>
      <c r="C56" s="399" t="s">
        <v>164</v>
      </c>
      <c r="D56" s="245" t="s">
        <v>34</v>
      </c>
      <c r="E56" s="402"/>
      <c r="F56" s="289"/>
      <c r="G56" s="289"/>
      <c r="H56" s="401"/>
      <c r="I56" s="401"/>
      <c r="J56" s="401"/>
      <c r="K56" s="401"/>
      <c r="L56" s="401"/>
      <c r="M56" s="401"/>
      <c r="N56" s="401"/>
      <c r="O56" s="401"/>
      <c r="P56" s="415">
        <f t="shared" si="0"/>
        <v>0</v>
      </c>
    </row>
    <row r="57" spans="1:16" x14ac:dyDescent="0.35">
      <c r="A57" s="49"/>
      <c r="B57" s="416" t="s">
        <v>267</v>
      </c>
      <c r="C57" s="399"/>
      <c r="D57" s="245" t="s">
        <v>253</v>
      </c>
      <c r="E57" s="402"/>
      <c r="F57" s="289"/>
      <c r="G57" s="289"/>
      <c r="H57" s="401"/>
      <c r="I57" s="401"/>
      <c r="J57" s="401"/>
      <c r="K57" s="401"/>
      <c r="L57" s="401"/>
      <c r="M57" s="401"/>
      <c r="N57" s="401"/>
      <c r="O57" s="401"/>
      <c r="P57" s="415">
        <f t="shared" si="0"/>
        <v>0</v>
      </c>
    </row>
    <row r="58" spans="1:16" x14ac:dyDescent="0.35">
      <c r="A58" s="49"/>
      <c r="B58" s="416"/>
      <c r="C58" s="1267"/>
      <c r="D58" s="1267"/>
      <c r="E58" s="259"/>
      <c r="F58" s="289"/>
      <c r="G58" s="289"/>
      <c r="H58" s="401"/>
      <c r="I58" s="401"/>
      <c r="J58" s="401"/>
      <c r="K58" s="401"/>
      <c r="L58" s="401"/>
      <c r="M58" s="401"/>
      <c r="N58" s="401"/>
      <c r="O58" s="401"/>
      <c r="P58" s="415"/>
    </row>
    <row r="59" spans="1:16" x14ac:dyDescent="0.35">
      <c r="A59" s="49"/>
      <c r="B59" s="416"/>
      <c r="C59" s="1267"/>
      <c r="D59" s="1267"/>
      <c r="E59" s="259"/>
      <c r="F59" s="289"/>
      <c r="G59" s="289"/>
      <c r="H59" s="401"/>
      <c r="I59" s="401"/>
      <c r="J59" s="401"/>
      <c r="K59" s="401"/>
      <c r="L59" s="401"/>
      <c r="M59" s="401"/>
      <c r="N59" s="401"/>
      <c r="O59" s="401"/>
      <c r="P59" s="415"/>
    </row>
    <row r="60" spans="1:16" x14ac:dyDescent="0.35">
      <c r="A60" s="47"/>
      <c r="B60" s="417"/>
      <c r="C60" s="1267"/>
      <c r="D60" s="1267"/>
      <c r="E60" s="259"/>
      <c r="F60" s="289"/>
      <c r="G60" s="289"/>
      <c r="H60" s="405"/>
      <c r="I60" s="405"/>
      <c r="J60" s="405"/>
      <c r="K60" s="405"/>
      <c r="L60" s="405"/>
      <c r="M60" s="405"/>
      <c r="N60" s="405"/>
      <c r="O60" s="405"/>
      <c r="P60" s="415"/>
    </row>
    <row r="61" spans="1:16" ht="27" customHeight="1" x14ac:dyDescent="0.35">
      <c r="B61" s="1288" t="s">
        <v>165</v>
      </c>
      <c r="C61" s="1289"/>
      <c r="D61" s="1289"/>
      <c r="E61" s="1289"/>
      <c r="F61" s="1289"/>
      <c r="G61" s="1289"/>
      <c r="H61" s="1289"/>
      <c r="I61" s="1289"/>
      <c r="J61" s="1289"/>
      <c r="K61" s="1289"/>
      <c r="L61" s="1289"/>
      <c r="M61" s="1289"/>
      <c r="N61" s="1289"/>
      <c r="O61" s="1289"/>
      <c r="P61" s="1290"/>
    </row>
    <row r="62" spans="1:16" ht="16.5" x14ac:dyDescent="0.35">
      <c r="B62" s="418"/>
      <c r="C62" s="399"/>
      <c r="D62" s="402"/>
      <c r="E62" s="402"/>
      <c r="F62" s="398"/>
      <c r="G62" s="398"/>
      <c r="H62" s="398"/>
      <c r="I62" s="398"/>
      <c r="J62" s="398"/>
      <c r="K62" s="398"/>
      <c r="L62" s="398"/>
      <c r="M62" s="398"/>
      <c r="N62" s="398"/>
      <c r="O62" s="398"/>
      <c r="P62" s="419"/>
    </row>
    <row r="63" spans="1:16" ht="25.5" customHeight="1" x14ac:dyDescent="0.35">
      <c r="A63" s="49"/>
      <c r="B63" s="1304" t="s">
        <v>166</v>
      </c>
      <c r="C63" s="1279"/>
      <c r="D63" s="1279"/>
      <c r="E63" s="1279"/>
      <c r="F63" s="1279"/>
      <c r="G63" s="1279"/>
      <c r="H63" s="1279"/>
      <c r="I63" s="1279"/>
      <c r="J63" s="1279"/>
      <c r="K63" s="1279"/>
      <c r="L63" s="1279"/>
      <c r="M63" s="1279"/>
      <c r="N63" s="1279"/>
      <c r="O63" s="1279"/>
      <c r="P63" s="1305"/>
    </row>
    <row r="64" spans="1:16" x14ac:dyDescent="0.35">
      <c r="A64" s="49"/>
      <c r="B64" s="414">
        <v>21</v>
      </c>
      <c r="C64" s="399" t="s">
        <v>167</v>
      </c>
      <c r="D64" s="245" t="s">
        <v>34</v>
      </c>
      <c r="E64" s="402"/>
      <c r="F64" s="289"/>
      <c r="G64" s="289"/>
      <c r="H64" s="411">
        <v>1</v>
      </c>
      <c r="I64" s="401"/>
      <c r="J64" s="401"/>
      <c r="K64" s="401"/>
      <c r="L64" s="401"/>
      <c r="M64" s="401"/>
      <c r="N64" s="401"/>
      <c r="O64" s="401"/>
      <c r="P64" s="415">
        <f t="shared" si="0"/>
        <v>1</v>
      </c>
    </row>
    <row r="65" spans="1:16" x14ac:dyDescent="0.35">
      <c r="A65" s="49"/>
      <c r="B65" s="414">
        <v>22</v>
      </c>
      <c r="C65" s="399" t="s">
        <v>168</v>
      </c>
      <c r="D65" s="245" t="s">
        <v>34</v>
      </c>
      <c r="E65" s="402"/>
      <c r="F65" s="289"/>
      <c r="G65" s="289"/>
      <c r="H65" s="411">
        <v>1</v>
      </c>
      <c r="I65" s="401"/>
      <c r="J65" s="401"/>
      <c r="K65" s="401"/>
      <c r="L65" s="401"/>
      <c r="M65" s="401"/>
      <c r="N65" s="401"/>
      <c r="O65" s="401"/>
      <c r="P65" s="415">
        <f t="shared" si="0"/>
        <v>1</v>
      </c>
    </row>
    <row r="66" spans="1:16" x14ac:dyDescent="0.35">
      <c r="A66" s="49"/>
      <c r="B66" s="414">
        <v>23</v>
      </c>
      <c r="C66" s="399" t="s">
        <v>169</v>
      </c>
      <c r="D66" s="245" t="s">
        <v>34</v>
      </c>
      <c r="E66" s="402"/>
      <c r="F66" s="289"/>
      <c r="G66" s="289"/>
      <c r="H66" s="411">
        <v>1</v>
      </c>
      <c r="I66" s="401"/>
      <c r="J66" s="401"/>
      <c r="K66" s="401"/>
      <c r="L66" s="401"/>
      <c r="M66" s="401"/>
      <c r="N66" s="401"/>
      <c r="O66" s="401"/>
      <c r="P66" s="415">
        <f t="shared" si="0"/>
        <v>1</v>
      </c>
    </row>
    <row r="67" spans="1:16" x14ac:dyDescent="0.35">
      <c r="A67" s="49"/>
      <c r="B67" s="414">
        <v>24</v>
      </c>
      <c r="C67" s="399" t="s">
        <v>170</v>
      </c>
      <c r="D67" s="245" t="s">
        <v>34</v>
      </c>
      <c r="E67" s="402"/>
      <c r="F67" s="289"/>
      <c r="G67" s="289"/>
      <c r="H67" s="411">
        <v>1</v>
      </c>
      <c r="I67" s="401"/>
      <c r="J67" s="401"/>
      <c r="K67" s="401"/>
      <c r="L67" s="401"/>
      <c r="M67" s="401"/>
      <c r="N67" s="401"/>
      <c r="O67" s="401"/>
      <c r="P67" s="415">
        <f t="shared" si="0"/>
        <v>1</v>
      </c>
    </row>
    <row r="68" spans="1:16" x14ac:dyDescent="0.35">
      <c r="A68" s="49"/>
      <c r="B68" s="416" t="s">
        <v>267</v>
      </c>
      <c r="C68" s="399"/>
      <c r="D68" s="245" t="s">
        <v>253</v>
      </c>
      <c r="E68" s="402"/>
      <c r="F68" s="289"/>
      <c r="G68" s="289"/>
      <c r="H68" s="411"/>
      <c r="I68" s="401"/>
      <c r="J68" s="401"/>
      <c r="K68" s="401"/>
      <c r="L68" s="401"/>
      <c r="M68" s="401"/>
      <c r="N68" s="401"/>
      <c r="O68" s="401"/>
      <c r="P68" s="415"/>
    </row>
    <row r="69" spans="1:16" x14ac:dyDescent="0.35">
      <c r="A69" s="49"/>
      <c r="B69" s="414"/>
      <c r="C69" s="1267"/>
      <c r="D69" s="1267"/>
      <c r="E69" s="259"/>
      <c r="F69" s="289"/>
      <c r="G69" s="289"/>
      <c r="H69" s="411"/>
      <c r="I69" s="401"/>
      <c r="J69" s="401"/>
      <c r="K69" s="401"/>
      <c r="L69" s="401"/>
      <c r="M69" s="401"/>
      <c r="N69" s="401"/>
      <c r="O69" s="401"/>
      <c r="P69" s="415"/>
    </row>
    <row r="70" spans="1:16" x14ac:dyDescent="0.35">
      <c r="A70" s="49"/>
      <c r="B70" s="414"/>
      <c r="C70" s="1267"/>
      <c r="D70" s="1267"/>
      <c r="E70" s="259"/>
      <c r="F70" s="289"/>
      <c r="G70" s="289"/>
      <c r="H70" s="411"/>
      <c r="I70" s="401"/>
      <c r="J70" s="401"/>
      <c r="K70" s="401"/>
      <c r="L70" s="401"/>
      <c r="M70" s="401"/>
      <c r="N70" s="401"/>
      <c r="O70" s="401"/>
      <c r="P70" s="415"/>
    </row>
    <row r="71" spans="1:16" x14ac:dyDescent="0.35">
      <c r="A71" s="49"/>
      <c r="B71" s="414"/>
      <c r="C71" s="1267"/>
      <c r="D71" s="1267"/>
      <c r="E71" s="259"/>
      <c r="F71" s="289"/>
      <c r="G71" s="289"/>
      <c r="H71" s="401"/>
      <c r="I71" s="401"/>
      <c r="J71" s="401"/>
      <c r="K71" s="401"/>
      <c r="L71" s="401"/>
      <c r="M71" s="401"/>
      <c r="N71" s="401"/>
      <c r="O71" s="401"/>
      <c r="P71" s="415">
        <f t="shared" si="0"/>
        <v>0</v>
      </c>
    </row>
    <row r="72" spans="1:16" ht="28.5" customHeight="1" x14ac:dyDescent="0.35">
      <c r="A72" s="49"/>
      <c r="B72" s="1304" t="s">
        <v>171</v>
      </c>
      <c r="C72" s="1279"/>
      <c r="D72" s="1279"/>
      <c r="E72" s="1279"/>
      <c r="F72" s="1279"/>
      <c r="G72" s="1279"/>
      <c r="H72" s="1279"/>
      <c r="I72" s="1279"/>
      <c r="J72" s="1279"/>
      <c r="K72" s="1279"/>
      <c r="L72" s="1279"/>
      <c r="M72" s="1279"/>
      <c r="N72" s="1279"/>
      <c r="O72" s="1279"/>
      <c r="P72" s="1305"/>
    </row>
    <row r="73" spans="1:16" x14ac:dyDescent="0.35">
      <c r="A73" s="49"/>
      <c r="B73" s="414">
        <v>25</v>
      </c>
      <c r="C73" s="399" t="s">
        <v>172</v>
      </c>
      <c r="D73" s="245" t="s">
        <v>34</v>
      </c>
      <c r="E73" s="402"/>
      <c r="F73" s="289"/>
      <c r="G73" s="289"/>
      <c r="H73" s="401"/>
      <c r="I73" s="411">
        <v>1</v>
      </c>
      <c r="J73" s="401"/>
      <c r="K73" s="401"/>
      <c r="L73" s="401"/>
      <c r="M73" s="401"/>
      <c r="N73" s="401"/>
      <c r="O73" s="401"/>
      <c r="P73" s="415">
        <f t="shared" si="0"/>
        <v>1</v>
      </c>
    </row>
    <row r="74" spans="1:16" x14ac:dyDescent="0.35">
      <c r="A74" s="49"/>
      <c r="B74" s="414">
        <v>26</v>
      </c>
      <c r="C74" s="399" t="s">
        <v>173</v>
      </c>
      <c r="D74" s="245" t="s">
        <v>34</v>
      </c>
      <c r="E74" s="402"/>
      <c r="F74" s="289"/>
      <c r="G74" s="289"/>
      <c r="H74" s="401"/>
      <c r="I74" s="411">
        <v>1</v>
      </c>
      <c r="J74" s="401"/>
      <c r="K74" s="401"/>
      <c r="L74" s="401"/>
      <c r="M74" s="401"/>
      <c r="N74" s="401"/>
      <c r="O74" s="401"/>
      <c r="P74" s="415">
        <f t="shared" si="0"/>
        <v>1</v>
      </c>
    </row>
    <row r="75" spans="1:16" ht="28" x14ac:dyDescent="0.35">
      <c r="A75" s="49"/>
      <c r="B75" s="414">
        <v>27</v>
      </c>
      <c r="C75" s="399" t="s">
        <v>174</v>
      </c>
      <c r="D75" s="245" t="s">
        <v>34</v>
      </c>
      <c r="E75" s="402"/>
      <c r="F75" s="289"/>
      <c r="G75" s="289"/>
      <c r="H75" s="401"/>
      <c r="I75" s="411">
        <v>0.8</v>
      </c>
      <c r="J75" s="411">
        <v>0.2</v>
      </c>
      <c r="K75" s="401"/>
      <c r="L75" s="401"/>
      <c r="M75" s="401"/>
      <c r="N75" s="401"/>
      <c r="O75" s="401"/>
      <c r="P75" s="415">
        <f t="shared" si="0"/>
        <v>1</v>
      </c>
    </row>
    <row r="76" spans="1:16" ht="28" x14ac:dyDescent="0.35">
      <c r="A76" s="49"/>
      <c r="B76" s="414">
        <v>28</v>
      </c>
      <c r="C76" s="399" t="s">
        <v>175</v>
      </c>
      <c r="D76" s="245" t="s">
        <v>34</v>
      </c>
      <c r="E76" s="402"/>
      <c r="F76" s="289"/>
      <c r="G76" s="289"/>
      <c r="H76" s="401"/>
      <c r="I76" s="401"/>
      <c r="J76" s="401"/>
      <c r="K76" s="401"/>
      <c r="L76" s="401"/>
      <c r="M76" s="401"/>
      <c r="N76" s="401"/>
      <c r="O76" s="401"/>
      <c r="P76" s="415">
        <f t="shared" si="0"/>
        <v>0</v>
      </c>
    </row>
    <row r="77" spans="1:16" ht="28" x14ac:dyDescent="0.35">
      <c r="A77" s="49"/>
      <c r="B77" s="414">
        <v>29</v>
      </c>
      <c r="C77" s="399" t="s">
        <v>176</v>
      </c>
      <c r="D77" s="245" t="s">
        <v>34</v>
      </c>
      <c r="E77" s="402"/>
      <c r="F77" s="289"/>
      <c r="G77" s="289"/>
      <c r="H77" s="401"/>
      <c r="I77" s="401"/>
      <c r="J77" s="401"/>
      <c r="K77" s="401"/>
      <c r="L77" s="401"/>
      <c r="M77" s="401"/>
      <c r="N77" s="401"/>
      <c r="O77" s="401"/>
      <c r="P77" s="415">
        <f t="shared" si="0"/>
        <v>0</v>
      </c>
    </row>
    <row r="78" spans="1:16" ht="28" x14ac:dyDescent="0.35">
      <c r="A78" s="49"/>
      <c r="B78" s="414">
        <v>30</v>
      </c>
      <c r="C78" s="399" t="s">
        <v>177</v>
      </c>
      <c r="D78" s="245" t="s">
        <v>34</v>
      </c>
      <c r="E78" s="402"/>
      <c r="F78" s="289"/>
      <c r="G78" s="289"/>
      <c r="H78" s="401"/>
      <c r="I78" s="401"/>
      <c r="J78" s="401"/>
      <c r="K78" s="401"/>
      <c r="L78" s="401"/>
      <c r="M78" s="401"/>
      <c r="N78" s="401"/>
      <c r="O78" s="401"/>
      <c r="P78" s="415">
        <f t="shared" si="0"/>
        <v>0</v>
      </c>
    </row>
    <row r="79" spans="1:16" x14ac:dyDescent="0.35">
      <c r="A79" s="49"/>
      <c r="B79" s="414">
        <v>31</v>
      </c>
      <c r="C79" s="399" t="s">
        <v>178</v>
      </c>
      <c r="D79" s="245" t="s">
        <v>34</v>
      </c>
      <c r="E79" s="402"/>
      <c r="F79" s="289"/>
      <c r="G79" s="289"/>
      <c r="H79" s="401"/>
      <c r="I79" s="401"/>
      <c r="J79" s="401"/>
      <c r="K79" s="401"/>
      <c r="L79" s="401"/>
      <c r="M79" s="401"/>
      <c r="N79" s="401"/>
      <c r="O79" s="401"/>
      <c r="P79" s="415">
        <f t="shared" si="0"/>
        <v>0</v>
      </c>
    </row>
    <row r="80" spans="1:16" x14ac:dyDescent="0.35">
      <c r="A80" s="49"/>
      <c r="B80" s="414">
        <v>32</v>
      </c>
      <c r="C80" s="399" t="s">
        <v>179</v>
      </c>
      <c r="D80" s="245" t="s">
        <v>34</v>
      </c>
      <c r="E80" s="402"/>
      <c r="F80" s="289"/>
      <c r="G80" s="289"/>
      <c r="H80" s="401"/>
      <c r="I80" s="401"/>
      <c r="J80" s="401"/>
      <c r="K80" s="401"/>
      <c r="L80" s="401"/>
      <c r="M80" s="401"/>
      <c r="N80" s="401"/>
      <c r="O80" s="401"/>
      <c r="P80" s="415">
        <f t="shared" si="0"/>
        <v>0</v>
      </c>
    </row>
    <row r="81" spans="1:16" x14ac:dyDescent="0.35">
      <c r="A81" s="49"/>
      <c r="B81" s="416" t="s">
        <v>267</v>
      </c>
      <c r="C81" s="399"/>
      <c r="D81" s="245" t="s">
        <v>253</v>
      </c>
      <c r="E81" s="402"/>
      <c r="F81" s="289"/>
      <c r="G81" s="289"/>
      <c r="H81" s="401"/>
      <c r="I81" s="401"/>
      <c r="J81" s="401"/>
      <c r="K81" s="401"/>
      <c r="L81" s="401"/>
      <c r="M81" s="401"/>
      <c r="N81" s="401"/>
      <c r="O81" s="401"/>
      <c r="P81" s="415"/>
    </row>
    <row r="82" spans="1:16" x14ac:dyDescent="0.35">
      <c r="A82" s="49"/>
      <c r="B82" s="414"/>
      <c r="C82" s="1267"/>
      <c r="D82" s="1267"/>
      <c r="E82" s="259"/>
      <c r="F82" s="289"/>
      <c r="G82" s="289"/>
      <c r="H82" s="401"/>
      <c r="I82" s="401"/>
      <c r="J82" s="401"/>
      <c r="K82" s="401"/>
      <c r="L82" s="401"/>
      <c r="M82" s="401"/>
      <c r="N82" s="401"/>
      <c r="O82" s="401"/>
      <c r="P82" s="415"/>
    </row>
    <row r="83" spans="1:16" x14ac:dyDescent="0.35">
      <c r="A83" s="49"/>
      <c r="B83" s="414"/>
      <c r="C83" s="1267"/>
      <c r="D83" s="1267"/>
      <c r="E83" s="259"/>
      <c r="F83" s="289"/>
      <c r="G83" s="289"/>
      <c r="H83" s="401"/>
      <c r="I83" s="401"/>
      <c r="J83" s="401"/>
      <c r="K83" s="401"/>
      <c r="L83" s="401"/>
      <c r="M83" s="401"/>
      <c r="N83" s="401"/>
      <c r="O83" s="401"/>
      <c r="P83" s="415"/>
    </row>
    <row r="84" spans="1:16" x14ac:dyDescent="0.35">
      <c r="A84" s="49"/>
      <c r="B84" s="414"/>
      <c r="C84" s="1267"/>
      <c r="D84" s="1267"/>
      <c r="E84" s="259"/>
      <c r="F84" s="289"/>
      <c r="G84" s="289"/>
      <c r="H84" s="401"/>
      <c r="I84" s="401"/>
      <c r="J84" s="401"/>
      <c r="K84" s="401"/>
      <c r="L84" s="401"/>
      <c r="M84" s="401"/>
      <c r="N84" s="401"/>
      <c r="O84" s="401"/>
      <c r="P84" s="415">
        <f t="shared" ref="P84:P107" si="1">SUM(H84:O84)</f>
        <v>0</v>
      </c>
    </row>
    <row r="85" spans="1:16" ht="25.5" customHeight="1" x14ac:dyDescent="0.35">
      <c r="A85" s="49"/>
      <c r="B85" s="1304" t="s">
        <v>180</v>
      </c>
      <c r="C85" s="1279"/>
      <c r="D85" s="1279"/>
      <c r="E85" s="1279"/>
      <c r="F85" s="1279"/>
      <c r="G85" s="1279"/>
      <c r="H85" s="1279"/>
      <c r="I85" s="1279"/>
      <c r="J85" s="1279"/>
      <c r="K85" s="1279"/>
      <c r="L85" s="1279"/>
      <c r="M85" s="1279"/>
      <c r="N85" s="1279"/>
      <c r="O85" s="1279"/>
      <c r="P85" s="1305"/>
    </row>
    <row r="86" spans="1:16" x14ac:dyDescent="0.35">
      <c r="A86" s="49"/>
      <c r="B86" s="414">
        <v>33</v>
      </c>
      <c r="C86" s="399" t="s">
        <v>181</v>
      </c>
      <c r="D86" s="245" t="s">
        <v>34</v>
      </c>
      <c r="E86" s="402"/>
      <c r="F86" s="289"/>
      <c r="G86" s="289"/>
      <c r="H86" s="407"/>
      <c r="I86" s="407"/>
      <c r="J86" s="407"/>
      <c r="K86" s="407"/>
      <c r="L86" s="407"/>
      <c r="M86" s="407"/>
      <c r="N86" s="407"/>
      <c r="O86" s="407"/>
      <c r="P86" s="415">
        <f t="shared" si="1"/>
        <v>0</v>
      </c>
    </row>
    <row r="87" spans="1:16" x14ac:dyDescent="0.35">
      <c r="A87" s="49"/>
      <c r="B87" s="414">
        <v>34</v>
      </c>
      <c r="C87" s="399" t="s">
        <v>182</v>
      </c>
      <c r="D87" s="245" t="s">
        <v>34</v>
      </c>
      <c r="E87" s="402"/>
      <c r="F87" s="289"/>
      <c r="G87" s="289"/>
      <c r="H87" s="407"/>
      <c r="I87" s="407"/>
      <c r="J87" s="407"/>
      <c r="K87" s="407"/>
      <c r="L87" s="407"/>
      <c r="M87" s="407"/>
      <c r="N87" s="407"/>
      <c r="O87" s="407"/>
      <c r="P87" s="415">
        <f t="shared" si="1"/>
        <v>0</v>
      </c>
    </row>
    <row r="88" spans="1:16" x14ac:dyDescent="0.35">
      <c r="A88" s="49"/>
      <c r="B88" s="414">
        <v>35</v>
      </c>
      <c r="C88" s="399" t="s">
        <v>183</v>
      </c>
      <c r="D88" s="245" t="s">
        <v>34</v>
      </c>
      <c r="E88" s="402"/>
      <c r="F88" s="289"/>
      <c r="G88" s="289"/>
      <c r="H88" s="407"/>
      <c r="I88" s="407"/>
      <c r="J88" s="407"/>
      <c r="K88" s="407"/>
      <c r="L88" s="407"/>
      <c r="M88" s="407"/>
      <c r="N88" s="407"/>
      <c r="O88" s="407"/>
      <c r="P88" s="415">
        <f t="shared" si="1"/>
        <v>0</v>
      </c>
    </row>
    <row r="89" spans="1:16" x14ac:dyDescent="0.35">
      <c r="A89" s="49"/>
      <c r="B89" s="416" t="s">
        <v>267</v>
      </c>
      <c r="C89" s="399"/>
      <c r="D89" s="245" t="s">
        <v>253</v>
      </c>
      <c r="E89" s="402"/>
      <c r="F89" s="289"/>
      <c r="G89" s="289"/>
      <c r="H89" s="407"/>
      <c r="I89" s="407"/>
      <c r="J89" s="407"/>
      <c r="K89" s="407"/>
      <c r="L89" s="407"/>
      <c r="M89" s="407"/>
      <c r="N89" s="407"/>
      <c r="O89" s="407"/>
      <c r="P89" s="415"/>
    </row>
    <row r="90" spans="1:16" x14ac:dyDescent="0.35">
      <c r="A90" s="49"/>
      <c r="B90" s="414"/>
      <c r="C90" s="1267"/>
      <c r="D90" s="1267"/>
      <c r="E90" s="259"/>
      <c r="F90" s="289"/>
      <c r="G90" s="289"/>
      <c r="H90" s="407"/>
      <c r="I90" s="407"/>
      <c r="J90" s="407"/>
      <c r="K90" s="407"/>
      <c r="L90" s="407"/>
      <c r="M90" s="407"/>
      <c r="N90" s="407"/>
      <c r="O90" s="407"/>
      <c r="P90" s="415"/>
    </row>
    <row r="91" spans="1:16" x14ac:dyDescent="0.35">
      <c r="A91" s="49"/>
      <c r="B91" s="414"/>
      <c r="C91" s="1267"/>
      <c r="D91" s="1267"/>
      <c r="E91" s="259"/>
      <c r="F91" s="289"/>
      <c r="G91" s="289"/>
      <c r="H91" s="407"/>
      <c r="I91" s="407"/>
      <c r="J91" s="407"/>
      <c r="K91" s="407"/>
      <c r="L91" s="407"/>
      <c r="M91" s="407"/>
      <c r="N91" s="407"/>
      <c r="O91" s="407"/>
      <c r="P91" s="415"/>
    </row>
    <row r="92" spans="1:16" x14ac:dyDescent="0.35">
      <c r="A92" s="49"/>
      <c r="B92" s="414"/>
      <c r="C92" s="1267"/>
      <c r="D92" s="1267"/>
      <c r="E92" s="259"/>
      <c r="F92" s="289"/>
      <c r="G92" s="289"/>
      <c r="H92" s="407"/>
      <c r="I92" s="407"/>
      <c r="J92" s="407"/>
      <c r="K92" s="407"/>
      <c r="L92" s="407"/>
      <c r="M92" s="407"/>
      <c r="N92" s="407"/>
      <c r="O92" s="407"/>
      <c r="P92" s="415">
        <f t="shared" si="1"/>
        <v>0</v>
      </c>
    </row>
    <row r="93" spans="1:16" ht="24" customHeight="1" x14ac:dyDescent="0.35">
      <c r="A93" s="49"/>
      <c r="B93" s="1304" t="s">
        <v>184</v>
      </c>
      <c r="C93" s="1279"/>
      <c r="D93" s="1279"/>
      <c r="E93" s="1279"/>
      <c r="F93" s="1279"/>
      <c r="G93" s="1279"/>
      <c r="H93" s="1279"/>
      <c r="I93" s="1279"/>
      <c r="J93" s="1279"/>
      <c r="K93" s="1279"/>
      <c r="L93" s="1279"/>
      <c r="M93" s="1279"/>
      <c r="N93" s="1279"/>
      <c r="O93" s="1279"/>
      <c r="P93" s="1305"/>
    </row>
    <row r="94" spans="1:16" ht="42" x14ac:dyDescent="0.35">
      <c r="A94" s="49"/>
      <c r="B94" s="414">
        <v>36</v>
      </c>
      <c r="C94" s="399" t="s">
        <v>185</v>
      </c>
      <c r="D94" s="245" t="s">
        <v>34</v>
      </c>
      <c r="E94" s="402"/>
      <c r="F94" s="289"/>
      <c r="G94" s="289"/>
      <c r="H94" s="407"/>
      <c r="I94" s="407"/>
      <c r="J94" s="407"/>
      <c r="K94" s="407"/>
      <c r="L94" s="407"/>
      <c r="M94" s="407"/>
      <c r="N94" s="407"/>
      <c r="O94" s="407"/>
      <c r="P94" s="415">
        <f t="shared" si="1"/>
        <v>0</v>
      </c>
    </row>
    <row r="95" spans="1:16" x14ac:dyDescent="0.35">
      <c r="A95" s="49"/>
      <c r="B95" s="414">
        <v>37</v>
      </c>
      <c r="C95" s="399" t="s">
        <v>186</v>
      </c>
      <c r="D95" s="245" t="s">
        <v>34</v>
      </c>
      <c r="E95" s="402"/>
      <c r="F95" s="289"/>
      <c r="G95" s="289"/>
      <c r="H95" s="407"/>
      <c r="I95" s="407"/>
      <c r="J95" s="407"/>
      <c r="K95" s="407"/>
      <c r="L95" s="407"/>
      <c r="M95" s="407"/>
      <c r="N95" s="407"/>
      <c r="O95" s="407"/>
      <c r="P95" s="415">
        <f t="shared" si="1"/>
        <v>0</v>
      </c>
    </row>
    <row r="96" spans="1:16" x14ac:dyDescent="0.35">
      <c r="A96" s="49"/>
      <c r="B96" s="414">
        <v>38</v>
      </c>
      <c r="C96" s="399" t="s">
        <v>187</v>
      </c>
      <c r="D96" s="245" t="s">
        <v>34</v>
      </c>
      <c r="E96" s="402"/>
      <c r="F96" s="289"/>
      <c r="G96" s="289"/>
      <c r="H96" s="407"/>
      <c r="I96" s="407"/>
      <c r="J96" s="407"/>
      <c r="K96" s="407"/>
      <c r="L96" s="407"/>
      <c r="M96" s="407"/>
      <c r="N96" s="407"/>
      <c r="O96" s="407"/>
      <c r="P96" s="415">
        <f t="shared" si="1"/>
        <v>0</v>
      </c>
    </row>
    <row r="97" spans="1:16" ht="28" x14ac:dyDescent="0.35">
      <c r="A97" s="49"/>
      <c r="B97" s="414">
        <v>39</v>
      </c>
      <c r="C97" s="399" t="s">
        <v>188</v>
      </c>
      <c r="D97" s="245" t="s">
        <v>34</v>
      </c>
      <c r="E97" s="402"/>
      <c r="F97" s="289"/>
      <c r="G97" s="289"/>
      <c r="H97" s="407"/>
      <c r="I97" s="407"/>
      <c r="J97" s="407"/>
      <c r="K97" s="407"/>
      <c r="L97" s="407"/>
      <c r="M97" s="407"/>
      <c r="N97" s="407"/>
      <c r="O97" s="407"/>
      <c r="P97" s="415">
        <f t="shared" si="1"/>
        <v>0</v>
      </c>
    </row>
    <row r="98" spans="1:16" ht="28" x14ac:dyDescent="0.35">
      <c r="A98" s="49"/>
      <c r="B98" s="414">
        <v>40</v>
      </c>
      <c r="C98" s="399" t="s">
        <v>189</v>
      </c>
      <c r="D98" s="245" t="s">
        <v>34</v>
      </c>
      <c r="E98" s="402"/>
      <c r="F98" s="289"/>
      <c r="G98" s="289"/>
      <c r="H98" s="407"/>
      <c r="I98" s="407"/>
      <c r="J98" s="407"/>
      <c r="K98" s="407"/>
      <c r="L98" s="407"/>
      <c r="M98" s="407"/>
      <c r="N98" s="407"/>
      <c r="O98" s="407"/>
      <c r="P98" s="415">
        <f t="shared" si="1"/>
        <v>0</v>
      </c>
    </row>
    <row r="99" spans="1:16" ht="28" x14ac:dyDescent="0.35">
      <c r="A99" s="49"/>
      <c r="B99" s="414">
        <v>41</v>
      </c>
      <c r="C99" s="399" t="s">
        <v>190</v>
      </c>
      <c r="D99" s="245" t="s">
        <v>34</v>
      </c>
      <c r="E99" s="402"/>
      <c r="F99" s="289"/>
      <c r="G99" s="289"/>
      <c r="H99" s="407"/>
      <c r="I99" s="407"/>
      <c r="J99" s="407"/>
      <c r="K99" s="407"/>
      <c r="L99" s="407"/>
      <c r="M99" s="407"/>
      <c r="N99" s="407"/>
      <c r="O99" s="407"/>
      <c r="P99" s="415">
        <f t="shared" si="1"/>
        <v>0</v>
      </c>
    </row>
    <row r="100" spans="1:16" ht="28" x14ac:dyDescent="0.35">
      <c r="A100" s="49"/>
      <c r="B100" s="414">
        <v>42</v>
      </c>
      <c r="C100" s="399" t="s">
        <v>191</v>
      </c>
      <c r="D100" s="245" t="s">
        <v>34</v>
      </c>
      <c r="E100" s="402"/>
      <c r="F100" s="289"/>
      <c r="G100" s="289"/>
      <c r="H100" s="407"/>
      <c r="I100" s="407"/>
      <c r="J100" s="407"/>
      <c r="K100" s="407"/>
      <c r="L100" s="407"/>
      <c r="M100" s="407"/>
      <c r="N100" s="407"/>
      <c r="O100" s="407"/>
      <c r="P100" s="415">
        <f t="shared" si="1"/>
        <v>0</v>
      </c>
    </row>
    <row r="101" spans="1:16" x14ac:dyDescent="0.35">
      <c r="A101" s="49"/>
      <c r="B101" s="414">
        <v>43</v>
      </c>
      <c r="C101" s="399" t="s">
        <v>192</v>
      </c>
      <c r="D101" s="245" t="s">
        <v>34</v>
      </c>
      <c r="E101" s="402"/>
      <c r="F101" s="289"/>
      <c r="G101" s="289"/>
      <c r="H101" s="407"/>
      <c r="I101" s="407"/>
      <c r="J101" s="407"/>
      <c r="K101" s="407"/>
      <c r="L101" s="407"/>
      <c r="M101" s="407"/>
      <c r="N101" s="407"/>
      <c r="O101" s="407"/>
      <c r="P101" s="415">
        <f t="shared" si="1"/>
        <v>0</v>
      </c>
    </row>
    <row r="102" spans="1:16" ht="42" x14ac:dyDescent="0.35">
      <c r="A102" s="49"/>
      <c r="B102" s="414">
        <v>44</v>
      </c>
      <c r="C102" s="399" t="s">
        <v>193</v>
      </c>
      <c r="D102" s="245" t="s">
        <v>34</v>
      </c>
      <c r="E102" s="402"/>
      <c r="F102" s="289"/>
      <c r="G102" s="289"/>
      <c r="H102" s="407"/>
      <c r="I102" s="407"/>
      <c r="J102" s="407"/>
      <c r="K102" s="407"/>
      <c r="L102" s="407"/>
      <c r="M102" s="407"/>
      <c r="N102" s="407"/>
      <c r="O102" s="407"/>
      <c r="P102" s="415">
        <f t="shared" si="1"/>
        <v>0</v>
      </c>
    </row>
    <row r="103" spans="1:16" ht="28" x14ac:dyDescent="0.35">
      <c r="A103" s="49"/>
      <c r="B103" s="414">
        <v>45</v>
      </c>
      <c r="C103" s="399" t="s">
        <v>194</v>
      </c>
      <c r="D103" s="245" t="s">
        <v>34</v>
      </c>
      <c r="E103" s="402"/>
      <c r="F103" s="289"/>
      <c r="G103" s="289"/>
      <c r="H103" s="407"/>
      <c r="I103" s="407"/>
      <c r="J103" s="407"/>
      <c r="K103" s="407"/>
      <c r="L103" s="407"/>
      <c r="M103" s="407"/>
      <c r="N103" s="407"/>
      <c r="O103" s="407"/>
      <c r="P103" s="415">
        <f t="shared" si="1"/>
        <v>0</v>
      </c>
    </row>
    <row r="104" spans="1:16" ht="28" x14ac:dyDescent="0.35">
      <c r="A104" s="49"/>
      <c r="B104" s="414">
        <v>46</v>
      </c>
      <c r="C104" s="399" t="s">
        <v>195</v>
      </c>
      <c r="D104" s="245" t="s">
        <v>34</v>
      </c>
      <c r="E104" s="402"/>
      <c r="F104" s="289"/>
      <c r="G104" s="289"/>
      <c r="H104" s="407"/>
      <c r="I104" s="407"/>
      <c r="J104" s="407"/>
      <c r="K104" s="407"/>
      <c r="L104" s="407"/>
      <c r="M104" s="407"/>
      <c r="N104" s="407"/>
      <c r="O104" s="407"/>
      <c r="P104" s="415">
        <f t="shared" si="1"/>
        <v>0</v>
      </c>
    </row>
    <row r="105" spans="1:16" ht="28" x14ac:dyDescent="0.35">
      <c r="A105" s="49"/>
      <c r="B105" s="414">
        <v>47</v>
      </c>
      <c r="C105" s="399" t="s">
        <v>196</v>
      </c>
      <c r="D105" s="245" t="s">
        <v>34</v>
      </c>
      <c r="E105" s="402"/>
      <c r="F105" s="289"/>
      <c r="G105" s="289"/>
      <c r="H105" s="407"/>
      <c r="I105" s="407"/>
      <c r="J105" s="407"/>
      <c r="K105" s="407"/>
      <c r="L105" s="407"/>
      <c r="M105" s="407"/>
      <c r="N105" s="407"/>
      <c r="O105" s="407"/>
      <c r="P105" s="415">
        <f t="shared" si="1"/>
        <v>0</v>
      </c>
    </row>
    <row r="106" spans="1:16" ht="28" x14ac:dyDescent="0.35">
      <c r="A106" s="49"/>
      <c r="B106" s="414">
        <v>48</v>
      </c>
      <c r="C106" s="399" t="s">
        <v>197</v>
      </c>
      <c r="D106" s="245" t="s">
        <v>34</v>
      </c>
      <c r="E106" s="402"/>
      <c r="F106" s="289"/>
      <c r="G106" s="289"/>
      <c r="H106" s="407"/>
      <c r="I106" s="407"/>
      <c r="J106" s="407"/>
      <c r="K106" s="407"/>
      <c r="L106" s="407"/>
      <c r="M106" s="407"/>
      <c r="N106" s="407"/>
      <c r="O106" s="407"/>
      <c r="P106" s="415">
        <f t="shared" si="1"/>
        <v>0</v>
      </c>
    </row>
    <row r="107" spans="1:16" ht="28" x14ac:dyDescent="0.35">
      <c r="A107" s="49"/>
      <c r="B107" s="414">
        <v>49</v>
      </c>
      <c r="C107" s="399" t="s">
        <v>198</v>
      </c>
      <c r="D107" s="245" t="s">
        <v>34</v>
      </c>
      <c r="E107" s="402"/>
      <c r="F107" s="289"/>
      <c r="G107" s="289"/>
      <c r="H107" s="407"/>
      <c r="I107" s="407"/>
      <c r="J107" s="407"/>
      <c r="K107" s="407"/>
      <c r="L107" s="407"/>
      <c r="M107" s="407"/>
      <c r="N107" s="407"/>
      <c r="O107" s="407"/>
      <c r="P107" s="415">
        <f t="shared" si="1"/>
        <v>0</v>
      </c>
    </row>
    <row r="108" spans="1:16" x14ac:dyDescent="0.35">
      <c r="A108" s="49"/>
      <c r="B108" s="416" t="s">
        <v>267</v>
      </c>
      <c r="C108" s="399"/>
      <c r="D108" s="245" t="s">
        <v>253</v>
      </c>
      <c r="E108" s="402"/>
      <c r="F108" s="289"/>
      <c r="G108" s="289"/>
      <c r="H108" s="407"/>
      <c r="I108" s="407"/>
      <c r="J108" s="407"/>
      <c r="K108" s="407"/>
      <c r="L108" s="407"/>
      <c r="M108" s="407"/>
      <c r="N108" s="407"/>
      <c r="O108" s="407"/>
      <c r="P108" s="415"/>
    </row>
    <row r="109" spans="1:16" x14ac:dyDescent="0.35">
      <c r="A109" s="49"/>
      <c r="B109" s="414"/>
      <c r="C109" s="1267"/>
      <c r="D109" s="1267"/>
      <c r="E109" s="259"/>
      <c r="F109" s="289"/>
      <c r="G109" s="289"/>
      <c r="H109" s="407"/>
      <c r="I109" s="407"/>
      <c r="J109" s="407"/>
      <c r="K109" s="407"/>
      <c r="L109" s="407"/>
      <c r="M109" s="407"/>
      <c r="N109" s="407"/>
      <c r="O109" s="407"/>
      <c r="P109" s="415"/>
    </row>
    <row r="110" spans="1:16" x14ac:dyDescent="0.35">
      <c r="A110" s="49"/>
      <c r="B110" s="414"/>
      <c r="C110" s="1267"/>
      <c r="D110" s="1267"/>
      <c r="E110" s="259"/>
      <c r="F110" s="289"/>
      <c r="G110" s="289"/>
      <c r="H110" s="407"/>
      <c r="I110" s="407"/>
      <c r="J110" s="407"/>
      <c r="K110" s="407"/>
      <c r="L110" s="407"/>
      <c r="M110" s="407"/>
      <c r="N110" s="407"/>
      <c r="O110" s="407"/>
      <c r="P110" s="415"/>
    </row>
    <row r="111" spans="1:16" x14ac:dyDescent="0.35">
      <c r="A111" s="49"/>
      <c r="B111" s="414"/>
      <c r="C111" s="1267"/>
      <c r="D111" s="1267"/>
      <c r="E111" s="259"/>
      <c r="F111" s="289"/>
      <c r="G111" s="289"/>
      <c r="H111" s="407"/>
      <c r="I111" s="407"/>
      <c r="J111" s="407"/>
      <c r="K111" s="407"/>
      <c r="L111" s="407"/>
      <c r="M111" s="407"/>
      <c r="N111" s="407"/>
      <c r="O111" s="407"/>
      <c r="P111" s="415"/>
    </row>
    <row r="112" spans="1:16" x14ac:dyDescent="0.35">
      <c r="B112" s="345"/>
      <c r="C112" s="1266" t="s">
        <v>221</v>
      </c>
      <c r="D112" s="1266"/>
      <c r="E112" s="346"/>
      <c r="F112" s="347"/>
      <c r="G112" s="347"/>
      <c r="H112" s="348">
        <f>SUM(F17*H17,F18*H18,F19*H19,F20*H20,F21*H21,F22*H22,F47*H47,F64*H64,F65*H65,F66*H66,F67*H67)</f>
        <v>0</v>
      </c>
      <c r="I112" s="348">
        <f>SUM(F28*I28,F29*I29,F30*I30,F31*I31,F32*I32,F73*I73,F74*I74,F75*I75,F76*I76,F77*I77,F78*I78,F79*I79,F80*I80,F86*I86,F87*I87,F88*I88)</f>
        <v>0</v>
      </c>
      <c r="J112" s="349"/>
      <c r="K112" s="346"/>
      <c r="L112" s="346"/>
      <c r="M112" s="346"/>
      <c r="N112" s="348"/>
      <c r="O112" s="346"/>
      <c r="P112" s="350">
        <f>SUM(H112:O112)</f>
        <v>0</v>
      </c>
    </row>
    <row r="113" spans="2:16" x14ac:dyDescent="0.35">
      <c r="B113" s="266"/>
      <c r="C113" s="1267" t="s">
        <v>260</v>
      </c>
      <c r="D113" s="1267"/>
      <c r="E113" s="260"/>
      <c r="F113" s="258"/>
      <c r="G113" s="258"/>
      <c r="H113" s="260"/>
      <c r="I113" s="260"/>
      <c r="J113" s="261">
        <f>SUM(E28*G28*J28,E29*G29*J29,E30*G30*J30,E31*G31,J31*E32*G32*J32,E39*G39*J39,E40*G40*J40,E41*G41*J41)</f>
        <v>300</v>
      </c>
      <c r="K113" s="261">
        <f>SUM(E28*G28*K28,E29*G29*K29,E30*G30*K30,E31*G31*K31,E32*G32*K32,E39*G39*K39,E40*G40*K40,E41*G41*K41)</f>
        <v>180</v>
      </c>
      <c r="L113" s="261"/>
      <c r="M113" s="261"/>
      <c r="N113" s="260"/>
      <c r="O113" s="260"/>
      <c r="P113" s="267">
        <f>SUM(H113:O113)</f>
        <v>480</v>
      </c>
    </row>
    <row r="114" spans="2:16" x14ac:dyDescent="0.35">
      <c r="B114" s="266"/>
      <c r="C114" s="1267" t="s">
        <v>261</v>
      </c>
      <c r="D114" s="1267"/>
      <c r="E114" s="260"/>
      <c r="F114" s="258"/>
      <c r="G114" s="258"/>
      <c r="H114" s="260"/>
      <c r="I114" s="260"/>
      <c r="J114" s="261">
        <f>J113-(E32*G32*J32)</f>
        <v>300</v>
      </c>
      <c r="K114" s="260">
        <f>K113-(E32*G32*K32)</f>
        <v>180</v>
      </c>
      <c r="L114" s="260"/>
      <c r="M114" s="260"/>
      <c r="N114" s="260"/>
      <c r="O114" s="260"/>
      <c r="P114" s="267"/>
    </row>
    <row r="115" spans="2:16" x14ac:dyDescent="0.35">
      <c r="B115" s="268"/>
      <c r="C115" s="1268"/>
      <c r="D115" s="1268"/>
      <c r="E115" s="254"/>
      <c r="F115" s="252"/>
      <c r="G115" s="252"/>
      <c r="H115" s="254"/>
      <c r="I115" s="254"/>
      <c r="J115" s="254"/>
      <c r="K115" s="254"/>
      <c r="L115" s="254"/>
      <c r="M115" s="254"/>
      <c r="N115" s="254"/>
      <c r="O115" s="254"/>
      <c r="P115" s="269"/>
    </row>
    <row r="116" spans="2:16" x14ac:dyDescent="0.35">
      <c r="B116" s="268"/>
      <c r="C116" s="253"/>
      <c r="D116" s="254"/>
      <c r="E116" s="254"/>
      <c r="F116" s="252"/>
      <c r="G116" s="252"/>
      <c r="H116" s="254"/>
      <c r="I116" s="254"/>
      <c r="J116" s="254"/>
      <c r="K116" s="254"/>
      <c r="L116" s="254"/>
      <c r="M116" s="254"/>
      <c r="N116" s="254"/>
      <c r="O116" s="254"/>
      <c r="P116" s="269"/>
    </row>
    <row r="117" spans="2:16" x14ac:dyDescent="0.35">
      <c r="B117" s="373"/>
      <c r="C117" s="1269" t="s">
        <v>326</v>
      </c>
      <c r="D117" s="1269"/>
      <c r="E117" s="245"/>
      <c r="F117" s="255"/>
      <c r="G117" s="245"/>
      <c r="H117" s="256">
        <f>'3.  Distribution Rates'!$K33</f>
        <v>0</v>
      </c>
      <c r="I117" s="256">
        <f>'3.  Distribution Rates'!K34</f>
        <v>0</v>
      </c>
      <c r="J117" s="256">
        <f>'3.  Distribution Rates'!K35</f>
        <v>0</v>
      </c>
      <c r="K117" s="256">
        <f>'3.  Distribution Rates'!K36</f>
        <v>0</v>
      </c>
      <c r="L117" s="256">
        <f>'3.  Distribution Rates'!K37</f>
        <v>0</v>
      </c>
      <c r="M117" s="256">
        <f>'3.  Distribution Rates'!K38</f>
        <v>0</v>
      </c>
      <c r="N117" s="256">
        <f>'3.  Distribution Rates'!K39</f>
        <v>0</v>
      </c>
      <c r="O117" s="256"/>
      <c r="P117" s="374"/>
    </row>
    <row r="118" spans="2:16" x14ac:dyDescent="0.35">
      <c r="B118" s="373"/>
      <c r="C118" s="1269" t="s">
        <v>268</v>
      </c>
      <c r="D118" s="1269"/>
      <c r="E118" s="254"/>
      <c r="F118" s="255"/>
      <c r="G118" s="255"/>
      <c r="H118" s="289"/>
      <c r="I118" s="289"/>
      <c r="J118" s="289"/>
      <c r="K118" s="289"/>
      <c r="L118" s="289"/>
      <c r="M118" s="289"/>
      <c r="N118" s="289"/>
      <c r="O118" s="245"/>
      <c r="P118" s="270">
        <f>SUM(H118:O118)</f>
        <v>0</v>
      </c>
    </row>
    <row r="119" spans="2:16" x14ac:dyDescent="0.35">
      <c r="B119" s="373"/>
      <c r="C119" s="1269" t="s">
        <v>269</v>
      </c>
      <c r="D119" s="1269"/>
      <c r="E119" s="254"/>
      <c r="F119" s="255"/>
      <c r="G119" s="255"/>
      <c r="H119" s="289"/>
      <c r="I119" s="289"/>
      <c r="J119" s="289"/>
      <c r="K119" s="289"/>
      <c r="L119" s="289"/>
      <c r="M119" s="289"/>
      <c r="N119" s="289"/>
      <c r="O119" s="245"/>
      <c r="P119" s="270">
        <f>SUM(H119:O119)</f>
        <v>0</v>
      </c>
    </row>
    <row r="120" spans="2:16" x14ac:dyDescent="0.35">
      <c r="B120" s="373"/>
      <c r="C120" s="1269" t="s">
        <v>270</v>
      </c>
      <c r="D120" s="1269"/>
      <c r="E120" s="254"/>
      <c r="F120" s="255"/>
      <c r="G120" s="255"/>
      <c r="H120" s="289"/>
      <c r="I120" s="289"/>
      <c r="J120" s="289"/>
      <c r="K120" s="289"/>
      <c r="L120" s="289"/>
      <c r="M120" s="289"/>
      <c r="N120" s="289"/>
      <c r="O120" s="245"/>
      <c r="P120" s="270">
        <f t="shared" ref="P120" si="2">SUM(H120:O120)</f>
        <v>0</v>
      </c>
    </row>
    <row r="121" spans="2:16" x14ac:dyDescent="0.35">
      <c r="B121" s="373"/>
      <c r="C121" s="1269" t="s">
        <v>271</v>
      </c>
      <c r="D121" s="1269"/>
      <c r="E121" s="254"/>
      <c r="F121" s="255"/>
      <c r="G121" s="255"/>
      <c r="H121" s="289"/>
      <c r="I121" s="289"/>
      <c r="J121" s="289"/>
      <c r="K121" s="289"/>
      <c r="L121" s="289"/>
      <c r="M121" s="289"/>
      <c r="N121" s="289"/>
      <c r="O121" s="245"/>
      <c r="P121" s="270">
        <f>SUM(H121:O121)</f>
        <v>0</v>
      </c>
    </row>
    <row r="122" spans="2:16" x14ac:dyDescent="0.35">
      <c r="B122" s="373"/>
      <c r="C122" s="1269" t="s">
        <v>272</v>
      </c>
      <c r="D122" s="1269"/>
      <c r="E122" s="254"/>
      <c r="F122" s="255"/>
      <c r="G122" s="255"/>
      <c r="H122" s="370">
        <f>'5.  2015 LRAM'!H127*H117</f>
        <v>0</v>
      </c>
      <c r="I122" s="370">
        <f>'5.  2015 LRAM'!I127*I117</f>
        <v>0</v>
      </c>
      <c r="J122" s="370">
        <f>'5.  2015 LRAM'!J126*J117</f>
        <v>0</v>
      </c>
      <c r="K122" s="370">
        <f>'5.  2015 LRAM'!K126*K117</f>
        <v>0</v>
      </c>
      <c r="L122" s="370">
        <f>'5.  2015 LRAM'!L126*L117</f>
        <v>0</v>
      </c>
      <c r="M122" s="370">
        <f>'5.  2015 LRAM'!M126*M117</f>
        <v>0</v>
      </c>
      <c r="N122" s="370">
        <f>'5.  2015 LRAM'!N126*N117</f>
        <v>0</v>
      </c>
      <c r="O122" s="245"/>
      <c r="P122" s="270">
        <f t="shared" ref="P122:P123" si="3">SUM(H122:O122)</f>
        <v>0</v>
      </c>
    </row>
    <row r="123" spans="2:16" x14ac:dyDescent="0.35">
      <c r="B123" s="373"/>
      <c r="C123" s="1269" t="s">
        <v>273</v>
      </c>
      <c r="D123" s="1269"/>
      <c r="E123" s="254"/>
      <c r="F123" s="255"/>
      <c r="G123" s="255"/>
      <c r="H123" s="370" t="e">
        <f>'5-b. 2016 LRAM'!H125*H117</f>
        <v>#DIV/0!</v>
      </c>
      <c r="I123" s="370" t="e">
        <f>'5-b. 2016 LRAM'!I125*I117</f>
        <v>#DIV/0!</v>
      </c>
      <c r="J123" s="370" t="e">
        <f>'5-b. 2016 LRAM'!J125*J117</f>
        <v>#DIV/0!</v>
      </c>
      <c r="K123" s="370" t="e">
        <f>'5-b. 2016 LRAM'!K125*K117</f>
        <v>#DIV/0!</v>
      </c>
      <c r="L123" s="370">
        <f>'5-b. 2016 LRAM'!L125*L117</f>
        <v>0</v>
      </c>
      <c r="M123" s="370">
        <f>'5-b. 2016 LRAM'!M125*M117</f>
        <v>0</v>
      </c>
      <c r="N123" s="370" t="e">
        <f>'5-b. 2016 LRAM'!N125*N117</f>
        <v>#DIV/0!</v>
      </c>
      <c r="O123" s="245"/>
      <c r="P123" s="270" t="e">
        <f t="shared" si="3"/>
        <v>#DIV/0!</v>
      </c>
    </row>
    <row r="124" spans="2:16" x14ac:dyDescent="0.35">
      <c r="B124" s="373"/>
      <c r="C124" s="1269" t="s">
        <v>278</v>
      </c>
      <c r="D124" s="1269"/>
      <c r="E124" s="254"/>
      <c r="F124" s="255"/>
      <c r="G124" s="255"/>
      <c r="H124" s="370">
        <f>H112*H117</f>
        <v>0</v>
      </c>
      <c r="I124" s="370">
        <f>I112*I117</f>
        <v>0</v>
      </c>
      <c r="J124" s="370">
        <f>J113*J117</f>
        <v>0</v>
      </c>
      <c r="K124" s="370">
        <f>K113*K117</f>
        <v>0</v>
      </c>
      <c r="L124" s="370">
        <f>L113*L117</f>
        <v>0</v>
      </c>
      <c r="M124" s="370">
        <f>M113*M117</f>
        <v>0</v>
      </c>
      <c r="N124" s="370">
        <f>N112*N117</f>
        <v>0</v>
      </c>
      <c r="O124" s="245"/>
      <c r="P124" s="270">
        <f>SUM(H124:O124)</f>
        <v>0</v>
      </c>
    </row>
    <row r="125" spans="2:16" x14ac:dyDescent="0.35">
      <c r="B125" s="268"/>
      <c r="C125" s="371" t="s">
        <v>274</v>
      </c>
      <c r="D125" s="254"/>
      <c r="E125" s="254"/>
      <c r="F125" s="252"/>
      <c r="G125" s="252"/>
      <c r="H125" s="257" t="e">
        <f>SUM(H118:H124)</f>
        <v>#DIV/0!</v>
      </c>
      <c r="I125" s="257" t="e">
        <f>SUM(I118:I124)</f>
        <v>#DIV/0!</v>
      </c>
      <c r="J125" s="257" t="e">
        <f t="shared" ref="J125:N125" si="4">SUM(J118:J124)</f>
        <v>#DIV/0!</v>
      </c>
      <c r="K125" s="257" t="e">
        <f t="shared" si="4"/>
        <v>#DIV/0!</v>
      </c>
      <c r="L125" s="257">
        <f t="shared" si="4"/>
        <v>0</v>
      </c>
      <c r="M125" s="257">
        <f t="shared" si="4"/>
        <v>0</v>
      </c>
      <c r="N125" s="257" t="e">
        <f t="shared" si="4"/>
        <v>#DIV/0!</v>
      </c>
      <c r="O125" s="254"/>
      <c r="P125" s="271" t="e">
        <f>SUM(P118:P124)</f>
        <v>#DIV/0!</v>
      </c>
    </row>
    <row r="126" spans="2:16" x14ac:dyDescent="0.35">
      <c r="B126" s="268"/>
      <c r="C126" s="371"/>
      <c r="D126" s="254"/>
      <c r="E126" s="254"/>
      <c r="F126" s="252"/>
      <c r="G126" s="252"/>
      <c r="H126" s="257"/>
      <c r="I126" s="257"/>
      <c r="J126" s="257"/>
      <c r="K126" s="257"/>
      <c r="L126" s="257"/>
      <c r="M126" s="257"/>
      <c r="N126" s="257"/>
      <c r="O126" s="254"/>
      <c r="P126" s="271"/>
    </row>
    <row r="127" spans="2:16" x14ac:dyDescent="0.35">
      <c r="B127" s="408"/>
      <c r="C127" s="1269" t="s">
        <v>275</v>
      </c>
      <c r="D127" s="1269"/>
      <c r="E127" s="400"/>
      <c r="F127" s="154"/>
      <c r="G127" s="154"/>
      <c r="H127" s="289" t="e">
        <f>H112*'6.  Persistence Rates'!$G$46</f>
        <v>#DIV/0!</v>
      </c>
      <c r="I127" s="289" t="e">
        <f>I112*'6.  Persistence Rates'!$G$46</f>
        <v>#DIV/0!</v>
      </c>
      <c r="J127" s="289" t="e">
        <f>J113*'6.  Persistence Rates'!$T$46</f>
        <v>#DIV/0!</v>
      </c>
      <c r="K127" s="289" t="e">
        <f>K113*'6.  Persistence Rates'!$T$46</f>
        <v>#DIV/0!</v>
      </c>
      <c r="L127" s="289"/>
      <c r="M127" s="289"/>
      <c r="N127" s="289" t="e">
        <f>N112*'6.  Persistence Rates'!$G$46</f>
        <v>#DIV/0!</v>
      </c>
      <c r="O127" s="154"/>
      <c r="P127" s="343"/>
    </row>
    <row r="128" spans="2:16" x14ac:dyDescent="0.35">
      <c r="B128" s="408"/>
      <c r="C128" s="1269" t="s">
        <v>276</v>
      </c>
      <c r="D128" s="1269"/>
      <c r="E128" s="400"/>
      <c r="F128" s="154"/>
      <c r="G128" s="154"/>
      <c r="H128" s="289" t="e">
        <f>H112*'6.  Persistence Rates'!$H$46</f>
        <v>#DIV/0!</v>
      </c>
      <c r="I128" s="289" t="e">
        <f>I112*'6.  Persistence Rates'!$H$46</f>
        <v>#DIV/0!</v>
      </c>
      <c r="J128" s="289" t="e">
        <f>$J$114*'6.  Persistence Rates'!$U$46</f>
        <v>#DIV/0!</v>
      </c>
      <c r="K128" s="289" t="e">
        <f>$K$114*'6.  Persistence Rates'!$U$46</f>
        <v>#DIV/0!</v>
      </c>
      <c r="L128" s="289"/>
      <c r="M128" s="289"/>
      <c r="N128" s="289" t="e">
        <f>N112*'6.  Persistence Rates'!$H$46</f>
        <v>#DIV/0!</v>
      </c>
      <c r="O128" s="154"/>
      <c r="P128" s="343"/>
    </row>
    <row r="129" spans="2:16" x14ac:dyDescent="0.35">
      <c r="B129" s="409"/>
      <c r="C129" s="1283" t="s">
        <v>277</v>
      </c>
      <c r="D129" s="1283"/>
      <c r="E129" s="410"/>
      <c r="F129" s="323"/>
      <c r="G129" s="323"/>
      <c r="H129" s="393" t="e">
        <f>H112*'6.  Persistence Rates'!$I$46</f>
        <v>#DIV/0!</v>
      </c>
      <c r="I129" s="393" t="e">
        <f>I112*'6.  Persistence Rates'!$I$46</f>
        <v>#DIV/0!</v>
      </c>
      <c r="J129" s="393" t="e">
        <f>$J$114*'6.  Persistence Rates'!$V$46</f>
        <v>#DIV/0!</v>
      </c>
      <c r="K129" s="393" t="e">
        <f>$K$114*'6.  Persistence Rates'!$V$46</f>
        <v>#DIV/0!</v>
      </c>
      <c r="L129" s="393"/>
      <c r="M129" s="393"/>
      <c r="N129" s="393" t="e">
        <f>N112*'6.  Persistence Rates'!$I$46</f>
        <v>#DIV/0!</v>
      </c>
      <c r="O129" s="323"/>
      <c r="P129" s="390"/>
    </row>
  </sheetData>
  <mergeCells count="62">
    <mergeCell ref="C110:D110"/>
    <mergeCell ref="C111:D111"/>
    <mergeCell ref="C84:D84"/>
    <mergeCell ref="C90:D90"/>
    <mergeCell ref="C91:D91"/>
    <mergeCell ref="C92:D92"/>
    <mergeCell ref="C109:D109"/>
    <mergeCell ref="C69:D69"/>
    <mergeCell ref="C70:D70"/>
    <mergeCell ref="C71:D71"/>
    <mergeCell ref="C82:D82"/>
    <mergeCell ref="C83:D83"/>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B37:P37"/>
    <mergeCell ref="B46:P46"/>
    <mergeCell ref="B52:P52"/>
    <mergeCell ref="B61:P61"/>
    <mergeCell ref="C58:D58"/>
    <mergeCell ref="C59:D59"/>
    <mergeCell ref="C60:D60"/>
    <mergeCell ref="C122:D122"/>
    <mergeCell ref="C123:D123"/>
    <mergeCell ref="C127:D127"/>
    <mergeCell ref="C128:D128"/>
    <mergeCell ref="C129:D129"/>
    <mergeCell ref="C124:D124"/>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1:D121"/>
    <mergeCell ref="C112:D112"/>
    <mergeCell ref="C113:D113"/>
    <mergeCell ref="C114:D114"/>
    <mergeCell ref="C120:D120"/>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8</vt:i4>
      </vt:variant>
    </vt:vector>
  </HeadingPairs>
  <TitlesOfParts>
    <vt:vector size="27"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8. Guelph_Approved CDM adj</vt:lpstr>
      <vt:lpstr>9. Guelph_Lost Revenue</vt:lpstr>
      <vt:lpstr>10. Guelph_CDM Prgs</vt:lpstr>
      <vt:lpstr>11. Guelph_Continuity Schedule</vt:lpstr>
      <vt:lpstr>12. Guelph_Proposed Rate Riders</vt:lpstr>
      <vt:lpstr>NRESkW</vt:lpstr>
      <vt:lpstr>NRESkWh</vt:lpstr>
      <vt:lpstr>'2.  CDM Allocation'!Print_Area</vt:lpstr>
      <vt:lpstr>'5.  2015 LRAM'!Print_Area</vt:lpstr>
      <vt:lpstr>'6.  Persistence Rates'!Print_Area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Cristina</cp:lastModifiedBy>
  <cp:lastPrinted>2016-10-03T12:52:41Z</cp:lastPrinted>
  <dcterms:created xsi:type="dcterms:W3CDTF">2012-03-05T18:56:04Z</dcterms:created>
  <dcterms:modified xsi:type="dcterms:W3CDTF">2016-10-21T16:01:06Z</dcterms:modified>
</cp:coreProperties>
</file>