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ate Submissions\2017\Interrogatories\Guelph Responses to IRs\Sent on Nov 3 2016\"/>
    </mc:Choice>
  </mc:AlternateContent>
  <bookViews>
    <workbookView xWindow="0" yWindow="0" windowWidth="19200" windowHeight="6870"/>
  </bookViews>
  <sheets>
    <sheet name="CBR Class B Rates" sheetId="1" r:id="rId1"/>
    <sheet name="CBR Allocation for new Class A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D20" i="1" s="1"/>
  <c r="C18" i="1"/>
  <c r="B11" i="2" l="1"/>
  <c r="M6" i="1" l="1"/>
  <c r="L6" i="1"/>
  <c r="H7" i="1"/>
  <c r="H8" i="1"/>
  <c r="F8" i="1"/>
  <c r="F7" i="1"/>
  <c r="M7" i="1" l="1"/>
  <c r="M8" i="1"/>
  <c r="M10" i="1"/>
  <c r="P10" i="1" s="1"/>
  <c r="M11" i="1"/>
  <c r="M12" i="1"/>
  <c r="L5" i="1"/>
  <c r="L7" i="1"/>
  <c r="L8" i="1"/>
  <c r="L9" i="1"/>
  <c r="L10" i="1"/>
  <c r="L11" i="1"/>
  <c r="L12" i="1"/>
  <c r="L4" i="1"/>
  <c r="C13" i="1"/>
  <c r="M13" i="1" l="1"/>
  <c r="E13" i="1"/>
  <c r="I8" i="1" s="1"/>
  <c r="D13" i="1"/>
  <c r="I7" i="1" l="1"/>
  <c r="I13" i="1" s="1"/>
  <c r="G13" i="1"/>
  <c r="N3" i="1" l="1"/>
  <c r="C3" i="2"/>
  <c r="L13" i="1"/>
  <c r="C6" i="2" l="1"/>
  <c r="D6" i="2" s="1"/>
  <c r="C7" i="2"/>
  <c r="D7" i="2" s="1"/>
  <c r="C8" i="2"/>
  <c r="D8" i="2" s="1"/>
  <c r="C9" i="2"/>
  <c r="D9" i="2" s="1"/>
  <c r="C10" i="2"/>
  <c r="D10" i="2" s="1"/>
  <c r="C4" i="2"/>
  <c r="C5" i="2"/>
  <c r="D5" i="2" s="1"/>
  <c r="N6" i="1"/>
  <c r="O6" i="1" s="1"/>
  <c r="P6" i="1" s="1"/>
  <c r="N10" i="1"/>
  <c r="N7" i="1"/>
  <c r="O7" i="1" s="1"/>
  <c r="P7" i="1" s="1"/>
  <c r="N11" i="1"/>
  <c r="O11" i="1" s="1"/>
  <c r="P11" i="1" s="1"/>
  <c r="N8" i="1"/>
  <c r="O8" i="1" s="1"/>
  <c r="P8" i="1" s="1"/>
  <c r="N12" i="1"/>
  <c r="O12" i="1" s="1"/>
  <c r="P12" i="1" s="1"/>
  <c r="N5" i="1"/>
  <c r="O5" i="1" s="1"/>
  <c r="P5" i="1" s="1"/>
  <c r="N9" i="1"/>
  <c r="O9" i="1" s="1"/>
  <c r="P9" i="1" s="1"/>
  <c r="N4" i="1"/>
  <c r="D4" i="2" l="1"/>
  <c r="C11" i="2"/>
  <c r="N13" i="1"/>
  <c r="N14" i="1" s="1"/>
  <c r="O4" i="1"/>
  <c r="P4" i="1" s="1"/>
  <c r="P13" i="1" s="1"/>
</calcChain>
</file>

<file path=xl/sharedStrings.xml><?xml version="1.0" encoding="utf-8"?>
<sst xmlns="http://schemas.openxmlformats.org/spreadsheetml/2006/main" count="58" uniqueCount="40">
  <si>
    <t>Total  Metered Class A Consumption in 2015 (partial and/or full year Class A customers)*</t>
  </si>
  <si>
    <t xml:space="preserve">Total Metered Consumption for New Class A customer(s) in the period prior to becoming Class A (i.e. Jan. 1 - June 30, 2015) </t>
  </si>
  <si>
    <t>kWh</t>
  </si>
  <si>
    <t>kW</t>
  </si>
  <si>
    <t>CBR Rate Rider</t>
  </si>
  <si>
    <r>
      <t xml:space="preserve">Total Metered </t>
    </r>
    <r>
      <rPr>
        <b/>
        <sz val="10"/>
        <color indexed="10"/>
        <rFont val="Arial"/>
        <family val="2"/>
      </rPr>
      <t>kWh</t>
    </r>
  </si>
  <si>
    <t>Rate Class</t>
  </si>
  <si>
    <t>Unit</t>
  </si>
  <si>
    <t>RESIDENTIAL SERVICE CLASSIFICATION</t>
  </si>
  <si>
    <t>GENERAL SERVICE LESS THAN 50 kW SERVICE CLASSIFICATION</t>
  </si>
  <si>
    <t>GENERAL SERVICE 50 to 999 kW SERVICE CLASSIFICATION</t>
  </si>
  <si>
    <t>GENERAL SERVICE 1,000 to 4,999 kW SERVICE CLASSIFICATION</t>
  </si>
  <si>
    <t>LARGE USE SERVICE CLASSIFICATION</t>
  </si>
  <si>
    <t>UNMETERED SCATTERED LOAD SERVICE CLASSIFICATION</t>
  </si>
  <si>
    <t xml:space="preserve">STANDBY POWER SERVICE CLASSIFICATION </t>
  </si>
  <si>
    <t>SENTINEL LIGHTING SERVICE CLASSIFICATION</t>
  </si>
  <si>
    <t>STREET LIGHTING SERVICE CLASSIFICATION</t>
  </si>
  <si>
    <t>Total</t>
  </si>
  <si>
    <r>
      <t xml:space="preserve">Total Metered </t>
    </r>
    <r>
      <rPr>
        <b/>
        <sz val="10"/>
        <color indexed="10"/>
        <rFont val="Arial"/>
        <family val="2"/>
      </rPr>
      <t>kW</t>
    </r>
  </si>
  <si>
    <t>CBR Balance Allocation</t>
  </si>
  <si>
    <r>
      <t>Metered Consumption for Current Class B Customers (Total</t>
    </r>
    <r>
      <rPr>
        <b/>
        <sz val="10"/>
        <rFont val="Arial"/>
        <family val="2"/>
      </rPr>
      <t xml:space="preserve"> consumption LESS WMP, Class A and new Class A's former Class B consumption)</t>
    </r>
  </si>
  <si>
    <t>Total metered WMP consumption</t>
  </si>
  <si>
    <t>Total CBDR for the new Class A customers for the period they were Class B (i.e. Jan. 1-June 30,2015)</t>
  </si>
  <si>
    <t>Class B (half of 2015) kWh</t>
  </si>
  <si>
    <t>Total Adj. kWh Class B before switch to Class A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</si>
  <si>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</si>
  <si>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</si>
  <si>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</si>
  <si>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</si>
  <si>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</si>
  <si>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</si>
  <si>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</si>
  <si>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TOTAL</t>
  </si>
  <si>
    <t>Monthly Equal Payments</t>
  </si>
  <si>
    <t>Total Account 1580 Variance WMS – Sub-account CBR Class B balance</t>
  </si>
  <si>
    <t>total B kWh in 2015</t>
  </si>
  <si>
    <t>former B kWh in 2015</t>
  </si>
  <si>
    <t>% of former B kWh</t>
  </si>
  <si>
    <t>CBR balance to former B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</si>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</sst>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3" formatCode="_-* #,##0.00_-;\-* #,##0.00_-;_-* &quot;-&quot;??_-;_-@_-"/>
    <numFmt numFmtId="164" formatCode="#,##0;[Red]\(#,##0\)"/>
    <numFmt numFmtId="165" formatCode="&quot;$&quot;#,##0.00"/>
    <numFmt numFmtId="166" formatCode="&quot;$&quot;#,##0.00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BD8E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11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0" fontId="2" fillId="0" borderId="1" xfId="1" applyFont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3" borderId="1" xfId="0" applyFill="1" applyBorder="1" applyProtection="1"/>
    <xf numFmtId="0" fontId="3" fillId="0" borderId="1" xfId="0" applyFont="1" applyBorder="1" applyAlignment="1" applyProtection="1">
      <alignment horizontal="center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165" fontId="0" fillId="0" borderId="1" xfId="0" applyNumberFormat="1" applyBorder="1"/>
    <xf numFmtId="0" fontId="0" fillId="0" borderId="1" xfId="0" applyBorder="1" applyAlignment="1" applyProtection="1">
      <alignment wrapText="1"/>
    </xf>
    <xf numFmtId="0" fontId="0" fillId="4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/>
    <xf numFmtId="166" fontId="0" fillId="0" borderId="1" xfId="0" applyNumberFormat="1" applyBorder="1"/>
    <xf numFmtId="0" fontId="5" fillId="0" borderId="1" xfId="0" applyFont="1" applyBorder="1" applyAlignment="1">
      <alignment wrapText="1"/>
    </xf>
    <xf numFmtId="0" fontId="0" fillId="0" borderId="2" xfId="0" applyBorder="1"/>
    <xf numFmtId="0" fontId="0" fillId="4" borderId="4" xfId="0" applyFill="1" applyBorder="1" applyAlignment="1" applyProtection="1">
      <alignment horizontal="center" vertical="center"/>
      <protection locked="0"/>
    </xf>
    <xf numFmtId="164" fontId="0" fillId="0" borderId="4" xfId="0" applyNumberFormat="1" applyBorder="1" applyProtection="1"/>
    <xf numFmtId="165" fontId="0" fillId="0" borderId="4" xfId="0" applyNumberFormat="1" applyBorder="1"/>
    <xf numFmtId="0" fontId="3" fillId="0" borderId="5" xfId="0" applyFont="1" applyBorder="1" applyAlignment="1" applyProtection="1">
      <alignment vertical="center"/>
    </xf>
    <xf numFmtId="164" fontId="5" fillId="0" borderId="6" xfId="0" applyNumberFormat="1" applyFont="1" applyBorder="1" applyProtection="1"/>
    <xf numFmtId="165" fontId="5" fillId="0" borderId="6" xfId="0" applyNumberFormat="1" applyFont="1" applyBorder="1"/>
    <xf numFmtId="0" fontId="5" fillId="0" borderId="7" xfId="0" applyFont="1" applyBorder="1"/>
    <xf numFmtId="164" fontId="0" fillId="0" borderId="1" xfId="0" applyNumberFormat="1" applyFill="1" applyBorder="1" applyProtection="1"/>
    <xf numFmtId="164" fontId="0" fillId="0" borderId="1" xfId="0" applyNumberFormat="1" applyFill="1" applyBorder="1" applyProtection="1">
      <protection locked="0"/>
    </xf>
    <xf numFmtId="164" fontId="0" fillId="0" borderId="4" xfId="0" applyNumberFormat="1" applyFill="1" applyBorder="1" applyProtection="1"/>
    <xf numFmtId="164" fontId="0" fillId="0" borderId="4" xfId="0" applyNumberFormat="1" applyFill="1" applyBorder="1" applyProtection="1">
      <protection locked="0"/>
    </xf>
    <xf numFmtId="3" fontId="5" fillId="0" borderId="6" xfId="0" applyNumberFormat="1" applyFont="1" applyBorder="1"/>
    <xf numFmtId="164" fontId="0" fillId="0" borderId="3" xfId="0" applyNumberFormat="1" applyBorder="1" applyProtection="1"/>
    <xf numFmtId="164" fontId="0" fillId="0" borderId="2" xfId="0" applyNumberFormat="1" applyFill="1" applyBorder="1" applyProtection="1">
      <protection locked="0"/>
    </xf>
    <xf numFmtId="0" fontId="5" fillId="0" borderId="8" xfId="0" applyFont="1" applyBorder="1" applyAlignment="1">
      <alignment horizontal="center" wrapText="1"/>
    </xf>
    <xf numFmtId="8" fontId="0" fillId="0" borderId="1" xfId="0" applyNumberFormat="1" applyFill="1" applyBorder="1" applyProtection="1">
      <protection locked="0"/>
    </xf>
    <xf numFmtId="8" fontId="5" fillId="0" borderId="6" xfId="0" applyNumberFormat="1" applyFont="1" applyBorder="1" applyProtection="1"/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3" fontId="10" fillId="0" borderId="4" xfId="0" applyNumberFormat="1" applyFont="1" applyBorder="1"/>
    <xf numFmtId="0" fontId="10" fillId="0" borderId="1" xfId="0" applyFont="1" applyBorder="1"/>
    <xf numFmtId="43" fontId="10" fillId="0" borderId="1" xfId="0" applyNumberFormat="1" applyFont="1" applyBorder="1"/>
    <xf numFmtId="0" fontId="10" fillId="0" borderId="4" xfId="0" applyFont="1" applyBorder="1"/>
    <xf numFmtId="8" fontId="10" fillId="2" borderId="1" xfId="0" applyNumberFormat="1" applyFont="1" applyFill="1" applyBorder="1"/>
    <xf numFmtId="8" fontId="10" fillId="0" borderId="1" xfId="0" applyNumberFormat="1" applyFont="1" applyBorder="1"/>
    <xf numFmtId="0" fontId="9" fillId="0" borderId="1" xfId="0" applyFont="1" applyFill="1" applyBorder="1"/>
    <xf numFmtId="43" fontId="9" fillId="0" borderId="1" xfId="0" applyNumberFormat="1" applyFont="1" applyBorder="1"/>
    <xf numFmtId="8" fontId="9" fillId="0" borderId="1" xfId="0" applyNumberFormat="1" applyFont="1" applyBorder="1"/>
    <xf numFmtId="0" fontId="9" fillId="0" borderId="1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165" fontId="5" fillId="2" borderId="9" xfId="0" applyNumberFormat="1" applyFont="1" applyFill="1" applyBorder="1"/>
    <xf numFmtId="0" fontId="1" fillId="0" borderId="2" xfId="0" applyFont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10" fontId="0" fillId="0" borderId="0" xfId="2" applyNumberFormat="1" applyFont="1"/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</cellXfs>
  <cellStyles count="3">
    <cellStyle name="Normal" xfId="0" builtinId="0"/>
    <cellStyle name="Normal_6. Cost Allocation for Def-Var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7/Models/2015%20Class%20A%20kW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A 2015"/>
      <sheetName val="Class B Switch to Class A"/>
    </sheetNames>
    <sheetDataSet>
      <sheetData sheetId="0">
        <row r="20">
          <cell r="O20">
            <v>496037.67000000004</v>
          </cell>
          <cell r="P20">
            <v>239535.03</v>
          </cell>
        </row>
      </sheetData>
      <sheetData sheetId="1">
        <row r="13">
          <cell r="J13">
            <v>25922.999999999996</v>
          </cell>
          <cell r="K13">
            <v>128506.15999999999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I1" sqref="I1"/>
    </sheetView>
  </sheetViews>
  <sheetFormatPr defaultRowHeight="14.5" x14ac:dyDescent="0.35"/>
  <cols>
    <col min="1" max="1" width="38" customWidth="1"/>
    <col min="2" max="2" width="9.1796875" style="2" customWidth="1"/>
    <col min="3" max="3" width="19.1796875" bestFit="1" customWidth="1"/>
    <col min="4" max="4" width="16.7265625" bestFit="1" customWidth="1"/>
    <col min="5" max="5" width="10.90625" bestFit="1" customWidth="1"/>
    <col min="6" max="6" width="7.26953125" bestFit="1" customWidth="1"/>
    <col min="7" max="7" width="9.90625" bestFit="1" customWidth="1"/>
    <col min="8" max="8" width="7.26953125" bestFit="1" customWidth="1"/>
    <col min="9" max="9" width="17.90625" customWidth="1"/>
    <col min="10" max="10" width="9.1796875" customWidth="1"/>
    <col min="11" max="11" width="6.26953125" bestFit="1" customWidth="1"/>
    <col min="12" max="12" width="12.453125" bestFit="1" customWidth="1"/>
    <col min="13" max="13" width="8.90625" bestFit="1" customWidth="1"/>
    <col min="14" max="14" width="12.453125" customWidth="1"/>
    <col min="16" max="16" width="13.08984375" customWidth="1"/>
  </cols>
  <sheetData>
    <row r="1" spans="1:16" x14ac:dyDescent="0.35">
      <c r="B1" s="3"/>
      <c r="I1" s="1">
        <v>355984.13</v>
      </c>
    </row>
    <row r="2" spans="1:16" ht="125" customHeight="1" x14ac:dyDescent="0.35">
      <c r="A2" s="4" t="s">
        <v>6</v>
      </c>
      <c r="B2" s="5" t="s">
        <v>7</v>
      </c>
      <c r="C2" s="6" t="s">
        <v>5</v>
      </c>
      <c r="D2" s="6" t="s">
        <v>18</v>
      </c>
      <c r="E2" s="53" t="s">
        <v>0</v>
      </c>
      <c r="F2" s="54"/>
      <c r="G2" s="53" t="s">
        <v>1</v>
      </c>
      <c r="H2" s="54"/>
      <c r="I2" s="34" t="s">
        <v>22</v>
      </c>
      <c r="J2" s="53" t="s">
        <v>21</v>
      </c>
      <c r="K2" s="54"/>
      <c r="L2" s="53" t="s">
        <v>20</v>
      </c>
      <c r="M2" s="54"/>
      <c r="N2" s="18" t="s">
        <v>19</v>
      </c>
      <c r="O2" s="18" t="s">
        <v>4</v>
      </c>
    </row>
    <row r="3" spans="1:16" x14ac:dyDescent="0.35">
      <c r="A3" s="7"/>
      <c r="B3" s="8"/>
      <c r="C3" s="9" t="s">
        <v>2</v>
      </c>
      <c r="D3" s="10" t="s">
        <v>3</v>
      </c>
      <c r="E3" s="9" t="s">
        <v>2</v>
      </c>
      <c r="F3" s="10" t="s">
        <v>3</v>
      </c>
      <c r="G3" s="9" t="s">
        <v>2</v>
      </c>
      <c r="H3" s="10" t="s">
        <v>3</v>
      </c>
      <c r="I3" s="10" t="s">
        <v>39</v>
      </c>
      <c r="J3" s="9" t="s">
        <v>2</v>
      </c>
      <c r="K3" s="10" t="s">
        <v>3</v>
      </c>
      <c r="L3" s="9" t="s">
        <v>2</v>
      </c>
      <c r="M3" s="10" t="s">
        <v>3</v>
      </c>
      <c r="N3" s="11">
        <f>355984.13-I13</f>
        <v>333567.83383649163</v>
      </c>
      <c r="O3" s="12"/>
    </row>
    <row r="4" spans="1:16" x14ac:dyDescent="0.35">
      <c r="A4" s="14" t="s">
        <v>8</v>
      </c>
      <c r="B4" s="15" t="s">
        <v>2</v>
      </c>
      <c r="C4" s="27">
        <v>388506232.88999999</v>
      </c>
      <c r="D4" s="27">
        <v>0</v>
      </c>
      <c r="E4" s="28"/>
      <c r="F4" s="28"/>
      <c r="G4" s="28"/>
      <c r="H4" s="28"/>
      <c r="I4" s="28"/>
      <c r="J4" s="28"/>
      <c r="K4" s="28"/>
      <c r="L4" s="16">
        <f>C4-E4-G4</f>
        <v>388506232.88999999</v>
      </c>
      <c r="M4" s="16"/>
      <c r="N4" s="13">
        <f>$N$3*L4/$L$13</f>
        <v>102314.59477551324</v>
      </c>
      <c r="O4" s="17">
        <f>N4/L4</f>
        <v>2.6335380520003693E-4</v>
      </c>
      <c r="P4" s="1">
        <f>L4*O4</f>
        <v>102314.59477551324</v>
      </c>
    </row>
    <row r="5" spans="1:16" ht="29" x14ac:dyDescent="0.35">
      <c r="A5" s="14" t="s">
        <v>9</v>
      </c>
      <c r="B5" s="15" t="s">
        <v>2</v>
      </c>
      <c r="C5" s="27">
        <v>144569860.56999999</v>
      </c>
      <c r="D5" s="27">
        <v>0</v>
      </c>
      <c r="E5" s="28"/>
      <c r="F5" s="28"/>
      <c r="G5" s="28"/>
      <c r="H5" s="28"/>
      <c r="I5" s="30"/>
      <c r="J5" s="30"/>
      <c r="K5" s="30"/>
      <c r="L5" s="16">
        <f>C5-E5-G5</f>
        <v>144569860.56999999</v>
      </c>
      <c r="M5" s="16"/>
      <c r="N5" s="13">
        <f>$N$3*L5/$L$13</f>
        <v>38073.022898348281</v>
      </c>
      <c r="O5" s="17">
        <f t="shared" ref="O5" si="0">N5/L5</f>
        <v>2.6335380520003693E-4</v>
      </c>
      <c r="P5" s="1">
        <f>L5*O5</f>
        <v>38073.022898348281</v>
      </c>
    </row>
    <row r="6" spans="1:16" ht="29" x14ac:dyDescent="0.35">
      <c r="A6" s="14" t="s">
        <v>10</v>
      </c>
      <c r="B6" s="15" t="s">
        <v>3</v>
      </c>
      <c r="C6" s="27">
        <v>390148189.38999999</v>
      </c>
      <c r="D6" s="27">
        <v>1035647.48</v>
      </c>
      <c r="E6" s="28"/>
      <c r="F6" s="28"/>
      <c r="G6" s="28"/>
      <c r="H6" s="33"/>
      <c r="I6" s="33"/>
      <c r="J6" s="28">
        <v>6819543.0700000003</v>
      </c>
      <c r="K6" s="28">
        <v>11898.66</v>
      </c>
      <c r="L6" s="32">
        <f>C6-E6-G6-J6</f>
        <v>383328646.31999999</v>
      </c>
      <c r="M6" s="16">
        <f>D6-F6-H6-K6</f>
        <v>1023748.82</v>
      </c>
      <c r="N6" s="13">
        <f>$N$3*L6/$L$13</f>
        <v>100951.05765055114</v>
      </c>
      <c r="O6" s="17">
        <f>N6/M6</f>
        <v>9.8609205381600479E-2</v>
      </c>
      <c r="P6" s="1">
        <f>O6*M6</f>
        <v>100951.05765055114</v>
      </c>
    </row>
    <row r="7" spans="1:16" ht="29" x14ac:dyDescent="0.35">
      <c r="A7" s="14" t="s">
        <v>11</v>
      </c>
      <c r="B7" s="15" t="s">
        <v>3</v>
      </c>
      <c r="C7" s="27">
        <v>544730297.17999995</v>
      </c>
      <c r="D7" s="27">
        <v>1047529.38</v>
      </c>
      <c r="E7" s="28">
        <v>136820082.53</v>
      </c>
      <c r="F7" s="28">
        <f>'[1]Class A 2015'!$P$20</f>
        <v>239535.03</v>
      </c>
      <c r="G7" s="28">
        <v>69656729.079999998</v>
      </c>
      <c r="H7" s="28">
        <f>'[1]Class B Switch to Class A'!$K$13-2819</f>
        <v>125687.15999999999</v>
      </c>
      <c r="I7" s="35">
        <f>G7/($C$13-$E$13-$J$6)*$I$1</f>
        <v>18344.364661006071</v>
      </c>
      <c r="J7" s="28"/>
      <c r="K7" s="28"/>
      <c r="L7" s="16">
        <f>C7-E7-G7</f>
        <v>338253485.56999999</v>
      </c>
      <c r="M7" s="16">
        <f>D7-F7-H7</f>
        <v>682307.19</v>
      </c>
      <c r="N7" s="13">
        <f>$N$3*L7/$L$13</f>
        <v>89080.342547035281</v>
      </c>
      <c r="O7" s="17">
        <f>N7/M7</f>
        <v>0.13055753164060208</v>
      </c>
      <c r="P7" s="1">
        <f t="shared" ref="P7:P8" si="1">O7*M7</f>
        <v>89080.342547035281</v>
      </c>
    </row>
    <row r="8" spans="1:16" x14ac:dyDescent="0.35">
      <c r="A8" s="14" t="s">
        <v>12</v>
      </c>
      <c r="B8" s="15" t="s">
        <v>3</v>
      </c>
      <c r="C8" s="27">
        <v>292417465.12</v>
      </c>
      <c r="D8" s="27">
        <v>524779.81999999995</v>
      </c>
      <c r="E8" s="28">
        <v>276955636.12</v>
      </c>
      <c r="F8" s="28">
        <f>'[1]Class A 2015'!$O$20</f>
        <v>496037.67000000004</v>
      </c>
      <c r="G8" s="28">
        <v>15461829</v>
      </c>
      <c r="H8" s="28">
        <f>'[1]Class B Switch to Class A'!$J$13+2819</f>
        <v>28741.999999999996</v>
      </c>
      <c r="I8" s="35">
        <f>G8/($C$13-$E$13-$J$6)*$I$1</f>
        <v>4071.9315025022834</v>
      </c>
      <c r="J8" s="28"/>
      <c r="K8" s="28"/>
      <c r="L8" s="16">
        <f>C8-E8-G8</f>
        <v>0</v>
      </c>
      <c r="M8" s="16">
        <f>D8-F8-H8</f>
        <v>0.14999999991050572</v>
      </c>
      <c r="N8" s="13">
        <f>$N$3*L8/$L$13</f>
        <v>0</v>
      </c>
      <c r="O8" s="17">
        <f>N8/M8</f>
        <v>0</v>
      </c>
      <c r="P8" s="1">
        <f t="shared" si="1"/>
        <v>0</v>
      </c>
    </row>
    <row r="9" spans="1:16" ht="29" x14ac:dyDescent="0.35">
      <c r="A9" s="14" t="s">
        <v>13</v>
      </c>
      <c r="B9" s="15" t="s">
        <v>2</v>
      </c>
      <c r="C9" s="27">
        <v>1896821</v>
      </c>
      <c r="D9" s="27">
        <v>0</v>
      </c>
      <c r="E9" s="28"/>
      <c r="F9" s="28"/>
      <c r="G9" s="28"/>
      <c r="H9" s="28"/>
      <c r="I9" s="28"/>
      <c r="J9" s="28"/>
      <c r="K9" s="28"/>
      <c r="L9" s="16">
        <f>C9-E9-G9</f>
        <v>1896821</v>
      </c>
      <c r="M9" s="16"/>
      <c r="N9" s="13">
        <f>$N$3*L9/$L$13</f>
        <v>499.53502813333921</v>
      </c>
      <c r="O9" s="17">
        <f>N9/L9</f>
        <v>2.6335380520003693E-4</v>
      </c>
      <c r="P9" s="1">
        <f>L9*O9</f>
        <v>499.53502813333927</v>
      </c>
    </row>
    <row r="10" spans="1:16" hidden="1" x14ac:dyDescent="0.35">
      <c r="A10" s="14" t="s">
        <v>14</v>
      </c>
      <c r="B10" s="15" t="s">
        <v>3</v>
      </c>
      <c r="C10" s="27">
        <v>0</v>
      </c>
      <c r="D10" s="27">
        <v>0</v>
      </c>
      <c r="E10" s="28"/>
      <c r="F10" s="28"/>
      <c r="G10" s="28"/>
      <c r="H10" s="28"/>
      <c r="I10" s="28"/>
      <c r="J10" s="28"/>
      <c r="K10" s="28"/>
      <c r="L10" s="16">
        <f>C10-E10-G10</f>
        <v>0</v>
      </c>
      <c r="M10" s="16">
        <f>D10-F10-H10</f>
        <v>0</v>
      </c>
      <c r="N10" s="13">
        <f>$N$3*L10/$L$13</f>
        <v>0</v>
      </c>
      <c r="O10" s="17"/>
      <c r="P10" s="1">
        <f t="shared" ref="P10:P12" si="2">O10*M10</f>
        <v>0</v>
      </c>
    </row>
    <row r="11" spans="1:16" ht="29" x14ac:dyDescent="0.35">
      <c r="A11" s="14" t="s">
        <v>15</v>
      </c>
      <c r="B11" s="15" t="s">
        <v>3</v>
      </c>
      <c r="C11" s="27">
        <v>20199.57</v>
      </c>
      <c r="D11" s="27">
        <v>55.95</v>
      </c>
      <c r="E11" s="28"/>
      <c r="F11" s="28"/>
      <c r="G11" s="28"/>
      <c r="H11" s="28"/>
      <c r="I11" s="28"/>
      <c r="J11" s="28"/>
      <c r="K11" s="28"/>
      <c r="L11" s="16">
        <f>C11-E11-G11</f>
        <v>20199.57</v>
      </c>
      <c r="M11" s="16">
        <f>D11-F11-H11</f>
        <v>55.95</v>
      </c>
      <c r="N11" s="13">
        <f>$N$3*L11/$L$13</f>
        <v>5.3196336229045098</v>
      </c>
      <c r="O11" s="17">
        <f t="shared" ref="O11:O12" si="3">N11/M11</f>
        <v>9.5078348934843779E-2</v>
      </c>
      <c r="P11" s="1">
        <f t="shared" si="2"/>
        <v>5.3196336229045098</v>
      </c>
    </row>
    <row r="12" spans="1:16" ht="15" thickBot="1" x14ac:dyDescent="0.4">
      <c r="A12" s="14" t="s">
        <v>16</v>
      </c>
      <c r="B12" s="20" t="s">
        <v>3</v>
      </c>
      <c r="C12" s="29">
        <v>10039578.890000001</v>
      </c>
      <c r="D12" s="29">
        <v>28028.57</v>
      </c>
      <c r="E12" s="30"/>
      <c r="F12" s="30"/>
      <c r="G12" s="29"/>
      <c r="H12" s="29"/>
      <c r="I12" s="29"/>
      <c r="J12" s="29"/>
      <c r="K12" s="29"/>
      <c r="L12" s="21">
        <f>C12-E12-G12</f>
        <v>10039578.890000001</v>
      </c>
      <c r="M12" s="16">
        <f>D12-F12-H12</f>
        <v>28028.57</v>
      </c>
      <c r="N12" s="22">
        <f>$N$3*L12/$L$13</f>
        <v>2643.9613032874631</v>
      </c>
      <c r="O12" s="17">
        <f t="shared" si="3"/>
        <v>9.4330938156583194E-2</v>
      </c>
      <c r="P12" s="1">
        <f t="shared" si="2"/>
        <v>2643.9613032874631</v>
      </c>
    </row>
    <row r="13" spans="1:16" ht="15" thickBot="1" x14ac:dyDescent="0.4">
      <c r="A13" s="19"/>
      <c r="B13" s="23" t="s">
        <v>17</v>
      </c>
      <c r="C13" s="24">
        <f>SUM(C4:C12)</f>
        <v>1772328644.6099997</v>
      </c>
      <c r="D13" s="24">
        <f>SUM(D5:D12)</f>
        <v>2636041.1999999997</v>
      </c>
      <c r="E13" s="24">
        <f t="shared" ref="E13:L13" si="4">SUM(E4:E12)</f>
        <v>413775718.64999998</v>
      </c>
      <c r="F13" s="24"/>
      <c r="G13" s="24">
        <f t="shared" si="4"/>
        <v>85118558.079999998</v>
      </c>
      <c r="H13" s="24"/>
      <c r="I13" s="36">
        <f>SUM(I7:I12)</f>
        <v>22416.296163508356</v>
      </c>
      <c r="J13" s="24"/>
      <c r="K13" s="24"/>
      <c r="L13" s="31">
        <f t="shared" si="4"/>
        <v>1266614824.8099999</v>
      </c>
      <c r="M13" s="31">
        <f>SUM(M4:M12)</f>
        <v>1734140.6799999997</v>
      </c>
      <c r="N13" s="25">
        <f>SUM(N4:N12)</f>
        <v>333567.83383649169</v>
      </c>
      <c r="O13" s="26"/>
      <c r="P13" s="1">
        <f>SUM(P4:P12)</f>
        <v>333567.83383649169</v>
      </c>
    </row>
    <row r="14" spans="1:16" ht="15" thickBot="1" x14ac:dyDescent="0.4">
      <c r="B14" s="23" t="s">
        <v>34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2">
        <f>N13+I13</f>
        <v>355984.13000000006</v>
      </c>
      <c r="O14" s="51"/>
    </row>
    <row r="15" spans="1:16" x14ac:dyDescent="0.35">
      <c r="B15" s="57"/>
    </row>
    <row r="16" spans="1:16" x14ac:dyDescent="0.35">
      <c r="B16" s="58"/>
    </row>
    <row r="17" spans="2:5" x14ac:dyDescent="0.35">
      <c r="B17" s="58"/>
      <c r="C17" s="49" t="s">
        <v>35</v>
      </c>
    </row>
    <row r="18" spans="2:5" x14ac:dyDescent="0.35">
      <c r="B18" s="58"/>
      <c r="C18" s="55">
        <f>C13-J6-E13</f>
        <v>1351733382.8899999</v>
      </c>
    </row>
    <row r="19" spans="2:5" x14ac:dyDescent="0.35">
      <c r="B19" s="58"/>
      <c r="C19" s="49" t="s">
        <v>36</v>
      </c>
      <c r="D19" s="49" t="s">
        <v>37</v>
      </c>
      <c r="E19" s="49" t="s">
        <v>38</v>
      </c>
    </row>
    <row r="20" spans="2:5" x14ac:dyDescent="0.35">
      <c r="B20" s="58"/>
      <c r="C20" s="55">
        <f>G13</f>
        <v>85118558.079999998</v>
      </c>
      <c r="D20" s="56">
        <f>C20/C18</f>
        <v>6.2969931169426993E-2</v>
      </c>
      <c r="E20" s="1">
        <f>N14*D20</f>
        <v>22416.296163508356</v>
      </c>
    </row>
    <row r="21" spans="2:5" x14ac:dyDescent="0.35">
      <c r="B21" s="58"/>
    </row>
    <row r="22" spans="2:5" x14ac:dyDescent="0.35">
      <c r="B22" s="58"/>
    </row>
    <row r="23" spans="2:5" x14ac:dyDescent="0.35">
      <c r="B23" s="58"/>
    </row>
    <row r="24" spans="2:5" x14ac:dyDescent="0.35">
      <c r="B24" s="58"/>
    </row>
    <row r="25" spans="2:5" x14ac:dyDescent="0.35">
      <c r="B25" s="59"/>
    </row>
  </sheetData>
  <mergeCells count="4">
    <mergeCell ref="E2:F2"/>
    <mergeCell ref="G2:H2"/>
    <mergeCell ref="L2:M2"/>
    <mergeCell ref="J2:K2"/>
  </mergeCells>
  <dataValidations count="1">
    <dataValidation type="list" allowBlank="1" showInputMessage="1" showErrorMessage="1" sqref="B16:B24 B4:B12">
      <formula1>"kWh, kW, kVA"</formula1>
    </dataValidation>
  </dataValidations>
  <pageMargins left="0.70866141732283472" right="0.70866141732283472" top="0.74803149606299213" bottom="0.74803149606299213" header="0.31496062992125984" footer="0.31496062992125984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G13" sqref="G13"/>
    </sheetView>
  </sheetViews>
  <sheetFormatPr defaultRowHeight="14.5" x14ac:dyDescent="0.35"/>
  <cols>
    <col min="1" max="1" width="28.6328125" bestFit="1" customWidth="1"/>
    <col min="2" max="2" width="16.26953125" bestFit="1" customWidth="1"/>
    <col min="3" max="3" width="13.08984375" customWidth="1"/>
    <col min="4" max="4" width="11.7265625" customWidth="1"/>
  </cols>
  <sheetData>
    <row r="2" spans="1:4" ht="62" x14ac:dyDescent="0.35">
      <c r="A2" s="37" t="s">
        <v>23</v>
      </c>
      <c r="B2" s="38" t="s">
        <v>24</v>
      </c>
      <c r="C2" s="38" t="s">
        <v>19</v>
      </c>
      <c r="D2" s="38" t="s">
        <v>33</v>
      </c>
    </row>
    <row r="3" spans="1:4" ht="15.5" x14ac:dyDescent="0.35">
      <c r="A3" s="37"/>
      <c r="B3" s="38"/>
      <c r="C3" s="43">
        <f>+'CBR Class B Rates'!I13</f>
        <v>22416.296163508356</v>
      </c>
      <c r="D3" s="40"/>
    </row>
    <row r="4" spans="1:4" ht="15.5" x14ac:dyDescent="0.35">
      <c r="A4" s="40" t="s">
        <v>25</v>
      </c>
      <c r="B4" s="41">
        <v>18392376.539999999</v>
      </c>
      <c r="C4" s="44">
        <f>$C$3/$B$11*B4</f>
        <v>4843.7023217353708</v>
      </c>
      <c r="D4" s="44">
        <f>C4/12</f>
        <v>403.64186014461421</v>
      </c>
    </row>
    <row r="5" spans="1:4" ht="15.5" x14ac:dyDescent="0.35">
      <c r="A5" s="40" t="s">
        <v>26</v>
      </c>
      <c r="B5" s="41">
        <v>12186006</v>
      </c>
      <c r="C5" s="44">
        <f t="shared" ref="C5:C10" si="0">$C$3/$B$11*B5</f>
        <v>3209.2310325700387</v>
      </c>
      <c r="D5" s="44">
        <f t="shared" ref="D5:D10" si="1">C5/12</f>
        <v>267.43591938083654</v>
      </c>
    </row>
    <row r="6" spans="1:4" ht="15.5" x14ac:dyDescent="0.35">
      <c r="A6" s="40" t="s">
        <v>27</v>
      </c>
      <c r="B6" s="41">
        <v>9634061.1600000001</v>
      </c>
      <c r="C6" s="44">
        <f t="shared" si="0"/>
        <v>2537.1666520063836</v>
      </c>
      <c r="D6" s="44">
        <f t="shared" si="1"/>
        <v>211.4305543338653</v>
      </c>
    </row>
    <row r="7" spans="1:4" ht="15.5" x14ac:dyDescent="0.35">
      <c r="A7" s="40" t="s">
        <v>28</v>
      </c>
      <c r="B7" s="41">
        <v>15545826.329999998</v>
      </c>
      <c r="C7" s="44">
        <f t="shared" si="0"/>
        <v>4094.0524963782545</v>
      </c>
      <c r="D7" s="44">
        <f t="shared" si="1"/>
        <v>341.17104136485455</v>
      </c>
    </row>
    <row r="8" spans="1:4" ht="15.5" x14ac:dyDescent="0.35">
      <c r="A8" s="40" t="s">
        <v>29</v>
      </c>
      <c r="B8" s="41">
        <v>10893383.640000001</v>
      </c>
      <c r="C8" s="44">
        <f t="shared" si="0"/>
        <v>2868.8140172570706</v>
      </c>
      <c r="D8" s="44">
        <f t="shared" si="1"/>
        <v>239.06783477142255</v>
      </c>
    </row>
    <row r="9" spans="1:4" ht="15.5" x14ac:dyDescent="0.35">
      <c r="A9" s="40" t="s">
        <v>30</v>
      </c>
      <c r="B9" s="41">
        <v>7060706.2400000002</v>
      </c>
      <c r="C9" s="44">
        <f t="shared" si="0"/>
        <v>1859.4638454362255</v>
      </c>
      <c r="D9" s="44">
        <f t="shared" si="1"/>
        <v>154.9553204530188</v>
      </c>
    </row>
    <row r="10" spans="1:4" ht="15.5" x14ac:dyDescent="0.35">
      <c r="A10" s="42" t="s">
        <v>31</v>
      </c>
      <c r="B10" s="39">
        <v>11406198.639999999</v>
      </c>
      <c r="C10" s="44">
        <f t="shared" si="0"/>
        <v>3003.8657981250108</v>
      </c>
      <c r="D10" s="44">
        <f t="shared" si="1"/>
        <v>250.32214984375091</v>
      </c>
    </row>
    <row r="11" spans="1:4" s="49" customFormat="1" ht="15.5" x14ac:dyDescent="0.35">
      <c r="A11" s="45" t="s">
        <v>32</v>
      </c>
      <c r="B11" s="46">
        <f>SUM(B4:B10)</f>
        <v>85118558.549999997</v>
      </c>
      <c r="C11" s="47">
        <f>SUM(C4:C10)</f>
        <v>22416.296163508356</v>
      </c>
      <c r="D11" s="4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CBR Class B Rates</vt:lpstr>
      <vt:lpstr>CBR Allocation for new Class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Cristina</cp:lastModifiedBy>
  <cp:lastPrinted>2016-09-20T14:11:23Z</cp:lastPrinted>
  <dcterms:created xsi:type="dcterms:W3CDTF">2016-09-19T20:14:36Z</dcterms:created>
  <dcterms:modified xsi:type="dcterms:W3CDTF">2016-11-03T17:52:44Z</dcterms:modified>
</cp:coreProperties>
</file>