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400" windowHeight="7485"/>
  </bookViews>
  <sheets>
    <sheet name="K9.7 Corrected" sheetId="1" r:id="rId1"/>
    <sheet name="Pension Cash Costs" sheetId="2" r:id="rId2"/>
  </sheets>
  <calcPr calcId="145621"/>
</workbook>
</file>

<file path=xl/calcChain.xml><?xml version="1.0" encoding="utf-8"?>
<calcChain xmlns="http://schemas.openxmlformats.org/spreadsheetml/2006/main">
  <c r="E13" i="2" l="1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D9" i="2"/>
  <c r="E9" i="2" s="1"/>
  <c r="B9" i="2"/>
  <c r="C9" i="2" s="1"/>
  <c r="A9" i="1" l="1"/>
  <c r="C9" i="1"/>
  <c r="D9" i="1"/>
  <c r="F9" i="1"/>
  <c r="G9" i="1"/>
  <c r="A10" i="1"/>
  <c r="A11" i="1" s="1"/>
  <c r="A12" i="1" s="1"/>
  <c r="A13" i="1" s="1"/>
  <c r="C10" i="1"/>
  <c r="D10" i="1"/>
  <c r="F10" i="1"/>
  <c r="G10" i="1"/>
  <c r="C11" i="1"/>
  <c r="D11" i="1"/>
  <c r="F11" i="1"/>
  <c r="G11" i="1"/>
  <c r="C12" i="1"/>
  <c r="D12" i="1"/>
  <c r="F12" i="1"/>
  <c r="G12" i="1"/>
  <c r="C13" i="1"/>
  <c r="D13" i="1"/>
  <c r="F13" i="1"/>
  <c r="G13" i="1"/>
  <c r="I13" i="1" s="1"/>
  <c r="A18" i="1"/>
  <c r="C18" i="1"/>
  <c r="D18" i="1"/>
  <c r="F18" i="1"/>
  <c r="G18" i="1"/>
  <c r="A19" i="1"/>
  <c r="A20" i="1" s="1"/>
  <c r="A21" i="1" s="1"/>
  <c r="A22" i="1" s="1"/>
  <c r="C19" i="1"/>
  <c r="D19" i="1"/>
  <c r="F19" i="1"/>
  <c r="G19" i="1"/>
  <c r="C20" i="1"/>
  <c r="D20" i="1"/>
  <c r="F20" i="1"/>
  <c r="G20" i="1"/>
  <c r="C21" i="1"/>
  <c r="D21" i="1"/>
  <c r="F21" i="1"/>
  <c r="G21" i="1"/>
  <c r="C22" i="1"/>
  <c r="D22" i="1"/>
  <c r="F22" i="1"/>
  <c r="G22" i="1"/>
  <c r="I22" i="1" s="1"/>
  <c r="A27" i="1"/>
  <c r="C27" i="1"/>
  <c r="D27" i="1"/>
  <c r="F27" i="1"/>
  <c r="G27" i="1"/>
  <c r="A28" i="1"/>
  <c r="A29" i="1" s="1"/>
  <c r="A30" i="1" s="1"/>
  <c r="A31" i="1" s="1"/>
  <c r="C28" i="1"/>
  <c r="D28" i="1"/>
  <c r="F28" i="1"/>
  <c r="G28" i="1"/>
  <c r="C29" i="1"/>
  <c r="D29" i="1"/>
  <c r="F29" i="1"/>
  <c r="G29" i="1"/>
  <c r="C30" i="1"/>
  <c r="D30" i="1"/>
  <c r="F30" i="1"/>
  <c r="G30" i="1"/>
  <c r="C31" i="1"/>
  <c r="D31" i="1"/>
  <c r="F31" i="1"/>
  <c r="G31" i="1"/>
  <c r="I31" i="1" s="1"/>
  <c r="A36" i="1"/>
  <c r="C36" i="1"/>
  <c r="D36" i="1"/>
  <c r="F36" i="1"/>
  <c r="G36" i="1"/>
  <c r="A37" i="1"/>
  <c r="A38" i="1" s="1"/>
  <c r="A39" i="1" s="1"/>
  <c r="A40" i="1" s="1"/>
  <c r="C37" i="1"/>
  <c r="D37" i="1"/>
  <c r="F37" i="1"/>
  <c r="G37" i="1"/>
  <c r="C38" i="1"/>
  <c r="D38" i="1"/>
  <c r="F38" i="1"/>
  <c r="G38" i="1"/>
  <c r="C39" i="1"/>
  <c r="D39" i="1"/>
  <c r="F39" i="1"/>
  <c r="G39" i="1"/>
  <c r="C40" i="1"/>
  <c r="D40" i="1"/>
  <c r="F40" i="1"/>
  <c r="G40" i="1"/>
  <c r="I40" i="1" s="1"/>
  <c r="A45" i="1"/>
  <c r="C45" i="1"/>
  <c r="D45" i="1"/>
  <c r="F45" i="1"/>
  <c r="G45" i="1"/>
  <c r="A46" i="1"/>
  <c r="A47" i="1" s="1"/>
  <c r="A48" i="1" s="1"/>
  <c r="A49" i="1" s="1"/>
  <c r="C46" i="1"/>
  <c r="D46" i="1"/>
  <c r="F46" i="1"/>
  <c r="G46" i="1"/>
  <c r="C47" i="1"/>
  <c r="D47" i="1"/>
  <c r="F47" i="1"/>
  <c r="G47" i="1"/>
  <c r="C48" i="1"/>
  <c r="D48" i="1"/>
  <c r="F48" i="1"/>
  <c r="G48" i="1"/>
  <c r="C49" i="1"/>
  <c r="D49" i="1"/>
  <c r="F49" i="1"/>
  <c r="G49" i="1"/>
  <c r="I49" i="1" s="1"/>
</calcChain>
</file>

<file path=xl/sharedStrings.xml><?xml version="1.0" encoding="utf-8"?>
<sst xmlns="http://schemas.openxmlformats.org/spreadsheetml/2006/main" count="41" uniqueCount="23">
  <si>
    <t>Cumulative % Change Wages</t>
  </si>
  <si>
    <t>YOY % Change Wages</t>
  </si>
  <si>
    <t>HONI Total Wages</t>
  </si>
  <si>
    <t>Cumulative Change Complement</t>
  </si>
  <si>
    <t>YOY % Change Complement</t>
  </si>
  <si>
    <t>Total HONI Complement</t>
  </si>
  <si>
    <t>Casual Total Wages</t>
  </si>
  <si>
    <t>Casual Complement</t>
  </si>
  <si>
    <t>MCP Total Wages</t>
  </si>
  <si>
    <t>MCP Reg. Complement</t>
  </si>
  <si>
    <t>SEP Total Wages</t>
  </si>
  <si>
    <t>SEP Reg. Complement</t>
  </si>
  <si>
    <t>Average Annual Change in Wages</t>
  </si>
  <si>
    <t>PWU Total Wages</t>
  </si>
  <si>
    <t>PWU Reg. Complement</t>
  </si>
  <si>
    <t>(Source: Ex. C1-4-1 Att. 1)</t>
  </si>
  <si>
    <t>HONI Compensation and Complement 2013-2018</t>
  </si>
  <si>
    <t>PWU Exhibit No:</t>
  </si>
  <si>
    <t>Percentage Change in Pension Cash Costs of PWU Represented Members 2012-2017</t>
  </si>
  <si>
    <t>(Source: Ex. C1-4-1 p. 29)</t>
  </si>
  <si>
    <t>YOY % Increase in Contribution to YMPE</t>
  </si>
  <si>
    <t>Cumulative % Increase in Contribution above YMPE</t>
  </si>
  <si>
    <t>Exhibit K 9.7 (Corrected)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</si>
</sst>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10" fontId="6" fillId="0" borderId="0" xfId="0" applyNumberFormat="1" applyFont="1" applyAlignment="1">
      <alignment wrapText="1"/>
    </xf>
    <xf numFmtId="10" fontId="6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workbookViewId="0">
      <selection activeCell="I13" sqref="I13"/>
    </sheetView>
  </sheetViews>
  <sheetFormatPr defaultRowHeight="15" x14ac:dyDescent="0.25"/>
  <cols>
    <col min="2" max="2" width="14" customWidth="1"/>
    <col min="3" max="3" width="12.42578125" customWidth="1"/>
    <col min="4" max="4" width="12.85546875" customWidth="1"/>
    <col min="5" max="5" width="12.7109375" bestFit="1" customWidth="1"/>
    <col min="7" max="7" width="12.7109375" customWidth="1"/>
    <col min="11" max="11" width="9.5703125" bestFit="1" customWidth="1"/>
  </cols>
  <sheetData>
    <row r="1" spans="1:15" x14ac:dyDescent="0.25">
      <c r="G1" s="6" t="s">
        <v>22</v>
      </c>
    </row>
    <row r="3" spans="1:15" x14ac:dyDescent="0.25">
      <c r="A3" s="6" t="s">
        <v>16</v>
      </c>
    </row>
    <row r="5" spans="1:15" x14ac:dyDescent="0.25">
      <c r="A5" t="s">
        <v>15</v>
      </c>
    </row>
    <row r="7" spans="1:15" ht="60" x14ac:dyDescent="0.25">
      <c r="B7" s="4" t="s">
        <v>14</v>
      </c>
      <c r="C7" s="4" t="s">
        <v>4</v>
      </c>
      <c r="D7" s="4" t="s">
        <v>3</v>
      </c>
      <c r="E7" s="4" t="s">
        <v>13</v>
      </c>
      <c r="F7" s="4" t="s">
        <v>1</v>
      </c>
      <c r="G7" s="4" t="s">
        <v>0</v>
      </c>
      <c r="H7" s="4"/>
      <c r="I7" s="4" t="s">
        <v>12</v>
      </c>
      <c r="J7" s="4"/>
      <c r="K7" s="4"/>
      <c r="L7" s="4"/>
      <c r="M7" s="4"/>
      <c r="N7" s="4"/>
      <c r="O7" s="4"/>
    </row>
    <row r="8" spans="1:15" x14ac:dyDescent="0.25">
      <c r="A8">
        <v>2013</v>
      </c>
      <c r="B8">
        <v>3321</v>
      </c>
      <c r="C8">
        <v>0</v>
      </c>
      <c r="D8">
        <v>0</v>
      </c>
      <c r="E8" s="3">
        <v>360796279</v>
      </c>
      <c r="F8">
        <v>0</v>
      </c>
      <c r="G8">
        <v>0</v>
      </c>
    </row>
    <row r="9" spans="1:15" x14ac:dyDescent="0.25">
      <c r="A9">
        <f>A8+1</f>
        <v>2014</v>
      </c>
      <c r="B9">
        <v>3271</v>
      </c>
      <c r="C9" s="2">
        <f>(B9-B8)/B8</f>
        <v>-1.5055706112616682E-2</v>
      </c>
      <c r="D9" s="2">
        <f>(B9-B$8)/$B$8</f>
        <v>-1.5055706112616682E-2</v>
      </c>
      <c r="E9" s="3">
        <v>370778651</v>
      </c>
      <c r="F9" s="2">
        <f>(E9-E8)/E8</f>
        <v>2.766761350108048E-2</v>
      </c>
      <c r="G9" s="2">
        <f>(E9-E$8)/$E$8</f>
        <v>2.766761350108048E-2</v>
      </c>
      <c r="H9" s="1"/>
      <c r="I9" s="1"/>
      <c r="K9" s="5"/>
    </row>
    <row r="10" spans="1:15" x14ac:dyDescent="0.25">
      <c r="A10">
        <f>A9+1</f>
        <v>2015</v>
      </c>
      <c r="B10">
        <v>3350</v>
      </c>
      <c r="C10" s="2">
        <f>(B10-B9)/B9</f>
        <v>2.4151635585447875E-2</v>
      </c>
      <c r="D10" s="2">
        <f>(B10-B$8)/$B$8</f>
        <v>8.7323095453176753E-3</v>
      </c>
      <c r="E10" s="3">
        <v>368449119</v>
      </c>
      <c r="F10" s="2">
        <f>(E10-E9)/E9</f>
        <v>-6.2828104954726748E-3</v>
      </c>
      <c r="G10" s="2">
        <f>(E10-E$8)/$E$8</f>
        <v>2.1210972633118535E-2</v>
      </c>
      <c r="H10" s="1"/>
      <c r="I10" s="1"/>
      <c r="K10" s="5"/>
    </row>
    <row r="11" spans="1:15" x14ac:dyDescent="0.25">
      <c r="A11">
        <f>A10+1</f>
        <v>2016</v>
      </c>
      <c r="B11">
        <v>3411</v>
      </c>
      <c r="C11" s="2">
        <f>(B11-B10)/B10</f>
        <v>1.8208955223880597E-2</v>
      </c>
      <c r="D11" s="2">
        <f>(B11-B$8)/$B$8</f>
        <v>2.7100271002710029E-2</v>
      </c>
      <c r="E11" s="3">
        <v>384766692</v>
      </c>
      <c r="F11" s="2">
        <f>(E11-E10)/E10</f>
        <v>4.4287181481902256E-2</v>
      </c>
      <c r="G11" s="2">
        <f>(E11-E$8)/$E$8</f>
        <v>6.6437528309431379E-2</v>
      </c>
      <c r="H11" s="1"/>
      <c r="I11" s="1"/>
      <c r="K11" s="5"/>
    </row>
    <row r="12" spans="1:15" x14ac:dyDescent="0.25">
      <c r="A12">
        <f>A11+1</f>
        <v>2017</v>
      </c>
      <c r="B12">
        <v>3319</v>
      </c>
      <c r="C12" s="2">
        <f>(B12-B11)/B11</f>
        <v>-2.6971562591615362E-2</v>
      </c>
      <c r="D12" s="2">
        <f>(B12-B$8)/$B$8</f>
        <v>-6.0222824450466728E-4</v>
      </c>
      <c r="E12" s="3">
        <v>386516917</v>
      </c>
      <c r="F12" s="2">
        <f>(E12-E11)/E11</f>
        <v>4.548795507486391E-3</v>
      </c>
      <c r="G12" s="2">
        <f>(E12-E$8)/$E$8</f>
        <v>7.12885345472202E-2</v>
      </c>
      <c r="H12" s="1"/>
      <c r="I12" s="1"/>
      <c r="K12" s="5"/>
    </row>
    <row r="13" spans="1:15" x14ac:dyDescent="0.25">
      <c r="A13">
        <f>A12+1</f>
        <v>2018</v>
      </c>
      <c r="B13">
        <v>3278</v>
      </c>
      <c r="C13" s="2">
        <f>(B13-B12)/B12</f>
        <v>-1.2353118409159385E-2</v>
      </c>
      <c r="D13" s="2">
        <f>(B13-B$8)/$B$8</f>
        <v>-1.2947907256850346E-2</v>
      </c>
      <c r="E13" s="3">
        <v>385559650</v>
      </c>
      <c r="F13" s="2">
        <f>(E13-E12)/E12</f>
        <v>-2.4766496830978292E-3</v>
      </c>
      <c r="G13" s="2">
        <f>(E13-E$8)/$E$8</f>
        <v>6.8635328137627488E-2</v>
      </c>
      <c r="H13" s="1"/>
      <c r="I13" s="1">
        <f>(1+G13)^(1/COUNT($G$9:G13))-1</f>
        <v>1.3365011936164795E-2</v>
      </c>
      <c r="K13" s="5"/>
    </row>
    <row r="14" spans="1:15" x14ac:dyDescent="0.25">
      <c r="G14" s="2"/>
      <c r="I14" s="1"/>
    </row>
    <row r="15" spans="1:15" x14ac:dyDescent="0.25">
      <c r="I15" s="1"/>
      <c r="K15" s="1"/>
    </row>
    <row r="16" spans="1:15" ht="60" x14ac:dyDescent="0.25">
      <c r="B16" s="4" t="s">
        <v>11</v>
      </c>
      <c r="C16" s="4" t="s">
        <v>4</v>
      </c>
      <c r="D16" s="4" t="s">
        <v>3</v>
      </c>
      <c r="E16" s="4" t="s">
        <v>10</v>
      </c>
      <c r="F16" s="4" t="s">
        <v>1</v>
      </c>
      <c r="G16" s="4" t="s">
        <v>0</v>
      </c>
    </row>
    <row r="17" spans="1:12" x14ac:dyDescent="0.25">
      <c r="A17">
        <v>2013</v>
      </c>
      <c r="B17">
        <v>1260</v>
      </c>
      <c r="C17">
        <v>0</v>
      </c>
      <c r="D17">
        <v>0</v>
      </c>
      <c r="E17" s="3">
        <v>137310153</v>
      </c>
      <c r="F17">
        <v>0</v>
      </c>
      <c r="G17">
        <v>0</v>
      </c>
    </row>
    <row r="18" spans="1:12" x14ac:dyDescent="0.25">
      <c r="A18">
        <f>A17+1</f>
        <v>2014</v>
      </c>
      <c r="B18">
        <v>1290</v>
      </c>
      <c r="C18" s="2">
        <f>(B18-B17)/B17</f>
        <v>2.3809523809523808E-2</v>
      </c>
      <c r="D18" s="2">
        <f>(B18-B$17)/$B$17</f>
        <v>2.3809523809523808E-2</v>
      </c>
      <c r="E18" s="3">
        <v>148807143</v>
      </c>
      <c r="F18" s="2">
        <f>(E18-E17)/E17</f>
        <v>8.3730079304477942E-2</v>
      </c>
      <c r="G18" s="2">
        <f>(E18-E$17)/$E$17</f>
        <v>8.3730079304477942E-2</v>
      </c>
      <c r="I18" s="1"/>
      <c r="L18" s="1"/>
    </row>
    <row r="19" spans="1:12" x14ac:dyDescent="0.25">
      <c r="A19">
        <f>A18+1</f>
        <v>2015</v>
      </c>
      <c r="B19">
        <v>1285</v>
      </c>
      <c r="C19" s="2">
        <f>(B19-B18)/B18</f>
        <v>-3.875968992248062E-3</v>
      </c>
      <c r="D19" s="2">
        <f>(B19-B$17)/$B$17</f>
        <v>1.984126984126984E-2</v>
      </c>
      <c r="E19" s="3">
        <v>148539224</v>
      </c>
      <c r="F19" s="2">
        <f>(E19-E18)/E18</f>
        <v>-1.8004444853833394E-3</v>
      </c>
      <c r="G19" s="2">
        <f>(E19-E$17)/$E$17</f>
        <v>8.1778883459550145E-2</v>
      </c>
      <c r="I19" s="1"/>
      <c r="L19" s="1"/>
    </row>
    <row r="20" spans="1:12" x14ac:dyDescent="0.25">
      <c r="A20">
        <f>A19+1</f>
        <v>2016</v>
      </c>
      <c r="B20">
        <v>1241</v>
      </c>
      <c r="C20" s="2">
        <f>(B20-B19)/B19</f>
        <v>-3.4241245136186774E-2</v>
      </c>
      <c r="D20" s="2">
        <f>(B20-B$17)/$B$17</f>
        <v>-1.507936507936508E-2</v>
      </c>
      <c r="E20" s="3">
        <v>145544065</v>
      </c>
      <c r="F20" s="2">
        <f>(E20-E19)/E19</f>
        <v>-2.0164094838680455E-2</v>
      </c>
      <c r="G20" s="2">
        <f>(E20-E$17)/$E$17</f>
        <v>5.9965791458989927E-2</v>
      </c>
      <c r="I20" s="1"/>
      <c r="L20" s="1"/>
    </row>
    <row r="21" spans="1:12" x14ac:dyDescent="0.25">
      <c r="A21">
        <f>A20+1</f>
        <v>2017</v>
      </c>
      <c r="B21">
        <v>1212</v>
      </c>
      <c r="C21" s="2">
        <f>(B21-B20)/B20</f>
        <v>-2.3368251410153102E-2</v>
      </c>
      <c r="D21" s="2">
        <f>(B21-B$17)/$B$17</f>
        <v>-3.8095238095238099E-2</v>
      </c>
      <c r="E21" s="3">
        <v>145551630</v>
      </c>
      <c r="F21" s="2">
        <f>(E21-E20)/E20</f>
        <v>5.1977385680412317E-5</v>
      </c>
      <c r="G21" s="2">
        <f>(E21-E$17)/$E$17</f>
        <v>6.002088570974063E-2</v>
      </c>
      <c r="I21" s="1"/>
      <c r="L21" s="1"/>
    </row>
    <row r="22" spans="1:12" x14ac:dyDescent="0.25">
      <c r="A22">
        <f>A21+1</f>
        <v>2018</v>
      </c>
      <c r="B22">
        <v>1177</v>
      </c>
      <c r="C22" s="2">
        <f>(B22-B21)/B21</f>
        <v>-2.8877887788778877E-2</v>
      </c>
      <c r="D22" s="2">
        <f>(B22-B$17)/$B$17</f>
        <v>-6.5873015873015875E-2</v>
      </c>
      <c r="E22" s="3">
        <v>142055149</v>
      </c>
      <c r="F22" s="2">
        <f>(E22-E21)/E21</f>
        <v>-2.4022273058707758E-2</v>
      </c>
      <c r="G22" s="2">
        <f>(E22-E$17)/$E$17</f>
        <v>3.4556774545287994E-2</v>
      </c>
      <c r="I22" s="1">
        <f>(1+G22)^(1/COUNT($G$18:G22))-1</f>
        <v>6.8177553661668E-3</v>
      </c>
      <c r="L22" s="1"/>
    </row>
    <row r="24" spans="1:12" x14ac:dyDescent="0.25">
      <c r="K24" s="1"/>
    </row>
    <row r="25" spans="1:12" ht="60" x14ac:dyDescent="0.25">
      <c r="B25" s="4" t="s">
        <v>9</v>
      </c>
      <c r="C25" s="4" t="s">
        <v>4</v>
      </c>
      <c r="D25" s="4" t="s">
        <v>3</v>
      </c>
      <c r="E25" s="4" t="s">
        <v>8</v>
      </c>
      <c r="F25" s="4" t="s">
        <v>1</v>
      </c>
      <c r="G25" s="4" t="s">
        <v>0</v>
      </c>
    </row>
    <row r="26" spans="1:12" x14ac:dyDescent="0.25">
      <c r="A26">
        <v>2013</v>
      </c>
      <c r="B26">
        <v>600</v>
      </c>
      <c r="C26">
        <v>0</v>
      </c>
      <c r="D26">
        <v>0</v>
      </c>
      <c r="E26" s="3">
        <v>82939240</v>
      </c>
      <c r="F26">
        <v>0</v>
      </c>
      <c r="G26">
        <v>0</v>
      </c>
    </row>
    <row r="27" spans="1:12" x14ac:dyDescent="0.25">
      <c r="A27">
        <f>A26+1</f>
        <v>2014</v>
      </c>
      <c r="B27">
        <v>584</v>
      </c>
      <c r="C27" s="2">
        <f>(B27-B26)/B26</f>
        <v>-2.6666666666666668E-2</v>
      </c>
      <c r="D27" s="2">
        <f>(B27-B$26)/$B$26</f>
        <v>-2.6666666666666668E-2</v>
      </c>
      <c r="E27" s="3">
        <v>81578789</v>
      </c>
      <c r="F27" s="2">
        <f>(E27-E26)/E26</f>
        <v>-1.6402983678172119E-2</v>
      </c>
      <c r="G27" s="2">
        <f>(E27-E$26)/$E$26</f>
        <v>-1.6402983678172119E-2</v>
      </c>
      <c r="I27" s="1"/>
    </row>
    <row r="28" spans="1:12" x14ac:dyDescent="0.25">
      <c r="A28">
        <f>A27+1</f>
        <v>2015</v>
      </c>
      <c r="B28">
        <v>585</v>
      </c>
      <c r="C28" s="2">
        <f>(B28-B27)/B27</f>
        <v>1.7123287671232876E-3</v>
      </c>
      <c r="D28" s="2">
        <f>(B28-B$26)/$B$26</f>
        <v>-2.5000000000000001E-2</v>
      </c>
      <c r="E28" s="3">
        <v>84289003</v>
      </c>
      <c r="F28" s="2">
        <f>(E28-E27)/E27</f>
        <v>3.3222042558145842E-2</v>
      </c>
      <c r="G28" s="2">
        <f>(E28-E$26)/$E$26</f>
        <v>1.6274118258136922E-2</v>
      </c>
      <c r="I28" s="1"/>
    </row>
    <row r="29" spans="1:12" x14ac:dyDescent="0.25">
      <c r="A29">
        <f>A28+1</f>
        <v>2016</v>
      </c>
      <c r="B29">
        <v>596</v>
      </c>
      <c r="C29" s="2">
        <f>(B29-B28)/B28</f>
        <v>1.8803418803418803E-2</v>
      </c>
      <c r="D29" s="2">
        <f>(B29-B$26)/$B$26</f>
        <v>-6.6666666666666671E-3</v>
      </c>
      <c r="E29" s="3">
        <v>88255656</v>
      </c>
      <c r="F29" s="2">
        <f>(E29-E28)/E28</f>
        <v>4.7060148522577734E-2</v>
      </c>
      <c r="G29" s="2">
        <f>(E29-E$26)/$E$26</f>
        <v>6.4100129203016568E-2</v>
      </c>
      <c r="I29" s="1"/>
    </row>
    <row r="30" spans="1:12" x14ac:dyDescent="0.25">
      <c r="A30">
        <f>A29+1</f>
        <v>2017</v>
      </c>
      <c r="B30">
        <v>593</v>
      </c>
      <c r="C30" s="2">
        <f>(B30-B29)/B29</f>
        <v>-5.0335570469798654E-3</v>
      </c>
      <c r="D30" s="2">
        <f>(B30-B$26)/$B$26</f>
        <v>-1.1666666666666667E-2</v>
      </c>
      <c r="E30" s="3">
        <v>89567644</v>
      </c>
      <c r="F30" s="2">
        <f>(E30-E29)/E29</f>
        <v>1.4865766790062724E-2</v>
      </c>
      <c r="G30" s="2">
        <f>(E30-E$26)/$E$26</f>
        <v>7.9918793565024224E-2</v>
      </c>
      <c r="I30" s="1"/>
    </row>
    <row r="31" spans="1:12" x14ac:dyDescent="0.25">
      <c r="A31">
        <f>A30+1</f>
        <v>2018</v>
      </c>
      <c r="B31">
        <v>587</v>
      </c>
      <c r="C31" s="2">
        <f>(B31-B30)/B30</f>
        <v>-1.0118043844856661E-2</v>
      </c>
      <c r="D31" s="2">
        <f>(B31-B$26)/$B$26</f>
        <v>-2.1666666666666667E-2</v>
      </c>
      <c r="E31" s="3">
        <v>90434623</v>
      </c>
      <c r="F31" s="2">
        <f>(E31-E30)/E30</f>
        <v>9.6796003699728891E-3</v>
      </c>
      <c r="G31" s="2">
        <f>(E31-E$26)/$E$26</f>
        <v>9.0371975918756911E-2</v>
      </c>
      <c r="I31" s="1">
        <f>(1+G31)^(1/COUNT($G$27:G31))-1</f>
        <v>1.7454357736448323E-2</v>
      </c>
    </row>
    <row r="33" spans="1:11" x14ac:dyDescent="0.25">
      <c r="K33" s="1"/>
    </row>
    <row r="34" spans="1:11" ht="60" x14ac:dyDescent="0.25">
      <c r="B34" s="4" t="s">
        <v>7</v>
      </c>
      <c r="C34" s="4" t="s">
        <v>4</v>
      </c>
      <c r="D34" s="4" t="s">
        <v>3</v>
      </c>
      <c r="E34" s="4" t="s">
        <v>6</v>
      </c>
      <c r="F34" s="4" t="s">
        <v>1</v>
      </c>
      <c r="G34" s="4" t="s">
        <v>0</v>
      </c>
    </row>
    <row r="35" spans="1:11" x14ac:dyDescent="0.25">
      <c r="A35">
        <v>2013</v>
      </c>
      <c r="B35">
        <v>1781</v>
      </c>
      <c r="C35">
        <v>0</v>
      </c>
      <c r="D35">
        <v>0</v>
      </c>
      <c r="E35" s="3">
        <v>127813187</v>
      </c>
      <c r="F35">
        <v>0</v>
      </c>
      <c r="G35">
        <v>0</v>
      </c>
    </row>
    <row r="36" spans="1:11" x14ac:dyDescent="0.25">
      <c r="A36">
        <f>A35+1</f>
        <v>2014</v>
      </c>
      <c r="B36">
        <v>1951</v>
      </c>
      <c r="C36" s="2">
        <f>(B36-B35)/B35</f>
        <v>9.5451993262212237E-2</v>
      </c>
      <c r="D36" s="2">
        <f>(B36-B$35)/$B$35</f>
        <v>9.5451993262212237E-2</v>
      </c>
      <c r="E36" s="3">
        <v>146895649</v>
      </c>
      <c r="F36" s="2">
        <f>(E36-E35)/E35</f>
        <v>0.14929963369116209</v>
      </c>
      <c r="G36" s="2">
        <f>(E36-E$35)/$E$35</f>
        <v>0.14929963369116209</v>
      </c>
      <c r="I36" s="1"/>
    </row>
    <row r="37" spans="1:11" x14ac:dyDescent="0.25">
      <c r="A37">
        <f>A36+1</f>
        <v>2015</v>
      </c>
      <c r="B37">
        <v>1819</v>
      </c>
      <c r="C37" s="2">
        <f>(B37-B36)/B36</f>
        <v>-6.7657611481291652E-2</v>
      </c>
      <c r="D37" s="2">
        <f>(B37-B$35)/$B$35</f>
        <v>2.1336327905670971E-2</v>
      </c>
      <c r="E37" s="3">
        <v>140242277</v>
      </c>
      <c r="F37" s="2">
        <f>(E37-E36)/E36</f>
        <v>-4.5293186321672466E-2</v>
      </c>
      <c r="G37" s="2">
        <f>(E37-E$35)/$E$35</f>
        <v>9.7244191242958369E-2</v>
      </c>
      <c r="I37" s="1"/>
    </row>
    <row r="38" spans="1:11" x14ac:dyDescent="0.25">
      <c r="A38">
        <f>A37+1</f>
        <v>2016</v>
      </c>
      <c r="B38">
        <v>1971</v>
      </c>
      <c r="C38" s="2">
        <f>(B38-B37)/B37</f>
        <v>8.3562396921385382E-2</v>
      </c>
      <c r="D38" s="2">
        <f>(B38-B$35)/$B$35</f>
        <v>0.10668163952835485</v>
      </c>
      <c r="E38" s="3">
        <v>153480870</v>
      </c>
      <c r="F38" s="2">
        <f>(E38-E37)/E37</f>
        <v>9.4398018081238086E-2</v>
      </c>
      <c r="G38" s="2">
        <f>(E38-E$35)/$E$35</f>
        <v>0.20082186824744461</v>
      </c>
      <c r="I38" s="1"/>
    </row>
    <row r="39" spans="1:11" x14ac:dyDescent="0.25">
      <c r="A39">
        <f>A38+1</f>
        <v>2017</v>
      </c>
      <c r="B39">
        <v>2106</v>
      </c>
      <c r="C39" s="2">
        <f>(B39-B38)/B38</f>
        <v>6.8493150684931503E-2</v>
      </c>
      <c r="D39" s="2">
        <f>(B39-B$35)/$B$35</f>
        <v>0.18248175182481752</v>
      </c>
      <c r="E39" s="3">
        <v>165633191</v>
      </c>
      <c r="F39" s="2">
        <f>(E39-E38)/E38</f>
        <v>7.9178082584494075E-2</v>
      </c>
      <c r="G39" s="2">
        <f>(E39-E$35)/$E$35</f>
        <v>0.29590064130080723</v>
      </c>
      <c r="I39" s="1"/>
    </row>
    <row r="40" spans="1:11" x14ac:dyDescent="0.25">
      <c r="A40">
        <f>A39+1</f>
        <v>2018</v>
      </c>
      <c r="B40">
        <v>2158</v>
      </c>
      <c r="C40" s="2">
        <f>(B40-B39)/B39</f>
        <v>2.4691358024691357E-2</v>
      </c>
      <c r="D40" s="2">
        <f>(B40-B$35)/$B$35</f>
        <v>0.21167883211678831</v>
      </c>
      <c r="E40" s="3">
        <v>171420129</v>
      </c>
      <c r="F40" s="2">
        <f>(E40-E39)/E39</f>
        <v>3.4938275143174657E-2</v>
      </c>
      <c r="G40" s="2">
        <f>(E40-E$35)/$E$35</f>
        <v>0.34117717446479134</v>
      </c>
      <c r="I40" s="1">
        <f>(1+G40)^(1/COUNT($G$36:G40))-1</f>
        <v>6.0467176253730104E-2</v>
      </c>
    </row>
    <row r="42" spans="1:11" x14ac:dyDescent="0.25">
      <c r="K42" s="1"/>
    </row>
    <row r="43" spans="1:11" ht="60" x14ac:dyDescent="0.25">
      <c r="B43" s="4" t="s">
        <v>5</v>
      </c>
      <c r="C43" s="4" t="s">
        <v>4</v>
      </c>
      <c r="D43" s="4" t="s">
        <v>3</v>
      </c>
      <c r="E43" s="4" t="s">
        <v>2</v>
      </c>
      <c r="F43" s="4" t="s">
        <v>1</v>
      </c>
      <c r="G43" s="4" t="s">
        <v>0</v>
      </c>
    </row>
    <row r="44" spans="1:11" x14ac:dyDescent="0.25">
      <c r="A44">
        <v>2013</v>
      </c>
      <c r="B44">
        <v>7228</v>
      </c>
      <c r="C44">
        <v>0</v>
      </c>
      <c r="D44">
        <v>0</v>
      </c>
      <c r="E44" s="3">
        <v>719976414</v>
      </c>
      <c r="F44">
        <v>0</v>
      </c>
      <c r="G44">
        <v>0</v>
      </c>
    </row>
    <row r="45" spans="1:11" x14ac:dyDescent="0.25">
      <c r="A45">
        <f>A44+1</f>
        <v>2014</v>
      </c>
      <c r="B45">
        <v>7336</v>
      </c>
      <c r="C45" s="2">
        <f>(B45-B44)/B44</f>
        <v>1.4941892639734366E-2</v>
      </c>
      <c r="D45" s="2">
        <f>(B45-B$44)/$B$44</f>
        <v>1.4941892639734366E-2</v>
      </c>
      <c r="E45" s="3">
        <v>757299121</v>
      </c>
      <c r="F45" s="2">
        <f>(E45-E44)/E44</f>
        <v>5.1838791207957542E-2</v>
      </c>
      <c r="G45" s="2">
        <f>(E45-E$44)/$E$44</f>
        <v>5.1838791207957542E-2</v>
      </c>
      <c r="I45" s="1"/>
    </row>
    <row r="46" spans="1:11" x14ac:dyDescent="0.25">
      <c r="A46">
        <f>A45+1</f>
        <v>2015</v>
      </c>
      <c r="B46">
        <v>7283</v>
      </c>
      <c r="C46" s="2">
        <f>(B46-B45)/B45</f>
        <v>-7.2246455834242091E-3</v>
      </c>
      <c r="D46" s="2">
        <f>(B46-B$44)/$B$44</f>
        <v>7.6092971776425015E-3</v>
      </c>
      <c r="E46" s="3">
        <v>751352945</v>
      </c>
      <c r="F46" s="2">
        <f>(E46-E45)/E45</f>
        <v>-7.8518194926044289E-3</v>
      </c>
      <c r="G46" s="2">
        <f>(E46-E$44)/$E$44</f>
        <v>4.3579942884073422E-2</v>
      </c>
      <c r="I46" s="1"/>
    </row>
    <row r="47" spans="1:11" x14ac:dyDescent="0.25">
      <c r="A47">
        <f>A46+1</f>
        <v>2016</v>
      </c>
      <c r="B47">
        <v>7526</v>
      </c>
      <c r="C47" s="2">
        <f>(B47-B46)/B46</f>
        <v>3.3365371412879305E-2</v>
      </c>
      <c r="D47" s="2">
        <f>(B47-B$44)/$B$44</f>
        <v>4.1228555617044825E-2</v>
      </c>
      <c r="E47" s="3">
        <v>783505072</v>
      </c>
      <c r="F47" s="2">
        <f>(E47-E46)/E46</f>
        <v>4.279230848027088E-2</v>
      </c>
      <c r="G47" s="2">
        <f>(E47-E$44)/$E$44</f>
        <v>8.8237137723792158E-2</v>
      </c>
      <c r="I47" s="1"/>
    </row>
    <row r="48" spans="1:11" x14ac:dyDescent="0.25">
      <c r="A48">
        <f>A47+1</f>
        <v>2017</v>
      </c>
      <c r="B48">
        <v>7525</v>
      </c>
      <c r="C48" s="2">
        <f>(B48-B47)/B47</f>
        <v>-1.3287270794578793E-4</v>
      </c>
      <c r="D48" s="2">
        <f>(B48-B$44)/$B$44</f>
        <v>4.1090204759269507E-2</v>
      </c>
      <c r="E48" s="3">
        <v>798388525</v>
      </c>
      <c r="F48" s="2">
        <f>(E48-E47)/E47</f>
        <v>1.899598806936632E-2</v>
      </c>
      <c r="G48" s="2">
        <f>(E48-E$44)/$E$44</f>
        <v>0.10890927740863467</v>
      </c>
      <c r="I48" s="1"/>
    </row>
    <row r="49" spans="1:11" x14ac:dyDescent="0.25">
      <c r="A49">
        <f>A48+1</f>
        <v>2018</v>
      </c>
      <c r="B49">
        <v>7489</v>
      </c>
      <c r="C49" s="2">
        <f>(B49-B48)/B48</f>
        <v>-4.7840531561461792E-3</v>
      </c>
      <c r="D49" s="2">
        <f>(B49-B$44)/$B$44</f>
        <v>3.6109573879358051E-2</v>
      </c>
      <c r="E49" s="3">
        <v>800514164</v>
      </c>
      <c r="F49" s="2">
        <f>(E49-E48)/E48</f>
        <v>2.6624117624937057E-3</v>
      </c>
      <c r="G49" s="2">
        <f>(E49-E$44)/$E$44</f>
        <v>0.11186165051234581</v>
      </c>
      <c r="I49" s="1">
        <f>(1+G49)^(1/COUNT($G$45:G49))-1</f>
        <v>2.1433624413137675E-2</v>
      </c>
    </row>
    <row r="50" spans="1:11" x14ac:dyDescent="0.25">
      <c r="G50" s="2"/>
    </row>
    <row r="51" spans="1:11" x14ac:dyDescent="0.25">
      <c r="K51" s="1"/>
    </row>
  </sheetData>
  <printOptions gridLines="1"/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27" sqref="C27"/>
    </sheetView>
  </sheetViews>
  <sheetFormatPr defaultRowHeight="15" x14ac:dyDescent="0.25"/>
  <cols>
    <col min="2" max="2" width="15.28515625" customWidth="1"/>
    <col min="3" max="3" width="13.85546875" customWidth="1"/>
    <col min="4" max="4" width="12.85546875" customWidth="1"/>
    <col min="5" max="5" width="14.7109375" customWidth="1"/>
  </cols>
  <sheetData>
    <row r="1" spans="1:6" x14ac:dyDescent="0.25">
      <c r="F1" s="6" t="s">
        <v>17</v>
      </c>
    </row>
    <row r="3" spans="1:6" ht="18.75" x14ac:dyDescent="0.3">
      <c r="A3" s="7" t="s">
        <v>18</v>
      </c>
      <c r="B3" s="8"/>
      <c r="C3" s="8"/>
      <c r="D3" s="8"/>
      <c r="E3" s="8"/>
      <c r="F3" s="8"/>
    </row>
    <row r="4" spans="1:6" ht="18.75" x14ac:dyDescent="0.3">
      <c r="A4" s="7"/>
      <c r="B4" s="8"/>
      <c r="C4" s="8"/>
      <c r="D4" s="8"/>
      <c r="E4" s="8"/>
      <c r="F4" s="8"/>
    </row>
    <row r="5" spans="1:6" ht="18.75" x14ac:dyDescent="0.3">
      <c r="A5" s="9" t="s">
        <v>19</v>
      </c>
      <c r="B5" s="8"/>
      <c r="C5" s="8"/>
      <c r="D5" s="8"/>
      <c r="E5" s="8"/>
      <c r="F5" s="8"/>
    </row>
    <row r="6" spans="1:6" x14ac:dyDescent="0.25">
      <c r="A6" s="6"/>
    </row>
    <row r="7" spans="1:6" ht="126" x14ac:dyDescent="0.25">
      <c r="A7" s="9"/>
      <c r="B7" s="10" t="s">
        <v>20</v>
      </c>
      <c r="C7" s="10" t="s">
        <v>21</v>
      </c>
      <c r="D7" s="10" t="s">
        <v>20</v>
      </c>
      <c r="E7" s="10" t="s">
        <v>21</v>
      </c>
    </row>
    <row r="8" spans="1:6" ht="15.75" x14ac:dyDescent="0.25">
      <c r="A8" s="9">
        <v>2012</v>
      </c>
      <c r="B8" s="10">
        <v>0</v>
      </c>
      <c r="C8" s="10">
        <v>0</v>
      </c>
      <c r="D8" s="10">
        <v>0</v>
      </c>
      <c r="E8" s="10">
        <v>0</v>
      </c>
    </row>
    <row r="9" spans="1:6" ht="15.75" x14ac:dyDescent="0.25">
      <c r="A9" s="9">
        <v>2013</v>
      </c>
      <c r="B9" s="11">
        <f>1/4.5</f>
        <v>0.22222222222222221</v>
      </c>
      <c r="C9" s="11">
        <f>B9</f>
        <v>0.22222222222222221</v>
      </c>
      <c r="D9" s="12">
        <f>1/6.5</f>
        <v>0.15384615384615385</v>
      </c>
      <c r="E9" s="12">
        <f>D9</f>
        <v>0.15384615384615385</v>
      </c>
    </row>
    <row r="10" spans="1:6" ht="15.75" x14ac:dyDescent="0.25">
      <c r="A10" s="9">
        <v>2014</v>
      </c>
      <c r="B10" s="11">
        <f>0.8/5.5</f>
        <v>0.14545454545454548</v>
      </c>
      <c r="C10" s="11">
        <f>1.8/4.5</f>
        <v>0.4</v>
      </c>
      <c r="D10" s="12">
        <f>0.8/7.5</f>
        <v>0.10666666666666667</v>
      </c>
      <c r="E10" s="12">
        <f>1.8/6.5</f>
        <v>0.27692307692307694</v>
      </c>
    </row>
    <row r="11" spans="1:6" ht="15.75" x14ac:dyDescent="0.25">
      <c r="A11" s="9">
        <v>2015</v>
      </c>
      <c r="B11" s="11">
        <f>1/6.3</f>
        <v>0.15873015873015872</v>
      </c>
      <c r="C11" s="11">
        <f>2.8/4.5</f>
        <v>0.62222222222222223</v>
      </c>
      <c r="D11" s="12">
        <f>1/8.3</f>
        <v>0.12048192771084336</v>
      </c>
      <c r="E11" s="12">
        <f>2.8/6.5</f>
        <v>0.43076923076923074</v>
      </c>
    </row>
    <row r="12" spans="1:6" ht="15.75" x14ac:dyDescent="0.25">
      <c r="A12" s="9">
        <v>2016</v>
      </c>
      <c r="B12" s="11">
        <f>1/7.3</f>
        <v>0.13698630136986301</v>
      </c>
      <c r="C12" s="11">
        <f>3.8/4.5</f>
        <v>0.84444444444444444</v>
      </c>
      <c r="D12" s="12">
        <f>1/9.3</f>
        <v>0.1075268817204301</v>
      </c>
      <c r="E12" s="12">
        <f>3.8/6.5</f>
        <v>0.58461538461538454</v>
      </c>
    </row>
    <row r="13" spans="1:6" ht="15.75" x14ac:dyDescent="0.25">
      <c r="A13" s="9">
        <v>2017</v>
      </c>
      <c r="B13" s="11">
        <f>0.5/8.3</f>
        <v>6.0240963855421679E-2</v>
      </c>
      <c r="C13" s="11">
        <f>4.3/4.5</f>
        <v>0.95555555555555549</v>
      </c>
      <c r="D13" s="12">
        <f>1/10.3</f>
        <v>9.7087378640776698E-2</v>
      </c>
      <c r="E13" s="12">
        <f>4.8/6.5</f>
        <v>0.73846153846153839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K9.7 Corrected</vt:lpstr>
      <vt:lpstr>Pension Cash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 Vogt</dc:creator>
  <cp:lastModifiedBy>Susi Vogt</cp:lastModifiedBy>
  <dcterms:created xsi:type="dcterms:W3CDTF">2016-12-12T15:50:23Z</dcterms:created>
  <dcterms:modified xsi:type="dcterms:W3CDTF">2016-12-12T15:50:23Z</dcterms:modified>
</cp:coreProperties>
</file>