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465" yWindow="630" windowWidth="19320" windowHeight="10860" tabRatio="852" firstSheet="1" activeTab="1"/>
  </bookViews>
  <sheets>
    <sheet name="__snloffice" sheetId="10" state="veryHidden" r:id="rId1"/>
    <sheet name="Inputs" sheetId="5" r:id="rId2"/>
    <sheet name="Figures&gt;&gt;" sheetId="13" r:id="rId3"/>
    <sheet name="Ex. BV-5b" sheetId="20" r:id="rId4"/>
    <sheet name="Ex. BV-5a" sheetId="19" r:id="rId5"/>
    <sheet name="Ex. BV-4b" sheetId="15" r:id="rId6"/>
    <sheet name="Ex. BV-4a" sheetId="16" r:id="rId7"/>
    <sheet name="Intermediate&gt;" sheetId="11" r:id="rId8"/>
    <sheet name="Cost of Debt" sheetId="14" r:id="rId9"/>
  </sheets>
  <definedNames>
    <definedName name="_xlnm.Print_Area" localSheetId="8">'Cost of Debt'!$C$3:$G$44</definedName>
    <definedName name="_xlnm.Print_Area" localSheetId="6">'Ex. BV-4a'!$B$3:$J$46</definedName>
    <definedName name="_xlnm.Print_Area" localSheetId="5">'Ex. BV-4b'!$B$3:$J$38</definedName>
    <definedName name="_xlnm.Print_Area" localSheetId="4">'Ex. BV-5a'!$D$3:$L$36</definedName>
    <definedName name="_xlnm.Print_Area" localSheetId="3">'Ex. BV-5b'!$D$4:$L$23</definedName>
    <definedName name="_xlnm.Print_Area" localSheetId="1">Inputs!$D$4:$L$112,Inputs!$P$43:$U$53</definedName>
  </definedNames>
  <calcPr calcId="145621" iterate="1"/>
</workbook>
</file>

<file path=xl/calcChain.xml><?xml version="1.0" encoding="utf-8"?>
<calcChain xmlns="http://schemas.openxmlformats.org/spreadsheetml/2006/main">
  <c r="D83" i="5" l="1"/>
  <c r="D84" i="5"/>
  <c r="D85" i="5"/>
  <c r="D86" i="5"/>
  <c r="D87" i="5"/>
  <c r="D88" i="5"/>
  <c r="D89" i="5"/>
  <c r="D90" i="5"/>
  <c r="D91" i="5"/>
  <c r="D92" i="5"/>
  <c r="D93" i="5"/>
  <c r="D94" i="5"/>
  <c r="D95" i="5"/>
  <c r="D96" i="5"/>
  <c r="D97" i="5"/>
  <c r="D98" i="5"/>
  <c r="D99" i="5"/>
  <c r="D100" i="5"/>
  <c r="C100" i="5"/>
  <c r="C99" i="5"/>
  <c r="C97" i="5"/>
  <c r="C96" i="5"/>
  <c r="C94" i="5"/>
  <c r="C93" i="5"/>
  <c r="C91" i="5"/>
  <c r="C90" i="5"/>
  <c r="C86" i="5"/>
  <c r="C85" i="5"/>
  <c r="G28" i="14"/>
  <c r="G25" i="14"/>
  <c r="G14" i="14"/>
  <c r="G13" i="14"/>
  <c r="G39" i="14"/>
  <c r="D39" i="14"/>
  <c r="G13" i="20" l="1"/>
  <c r="H13" i="20"/>
  <c r="I13" i="20"/>
  <c r="J13" i="20"/>
  <c r="K13" i="20"/>
  <c r="L13" i="20"/>
  <c r="F13" i="20"/>
  <c r="G12" i="20"/>
  <c r="H12" i="20"/>
  <c r="I12" i="20"/>
  <c r="J12" i="20"/>
  <c r="K12" i="20"/>
  <c r="L12" i="20"/>
  <c r="F12" i="20"/>
  <c r="G10" i="20"/>
  <c r="H10" i="20"/>
  <c r="I10" i="20"/>
  <c r="J10" i="20"/>
  <c r="K10" i="20"/>
  <c r="L10" i="20"/>
  <c r="F10" i="20"/>
  <c r="G78" i="5" l="1"/>
  <c r="H78" i="5"/>
  <c r="I78" i="5"/>
  <c r="J78" i="5"/>
  <c r="K78" i="5"/>
  <c r="L78" i="5"/>
  <c r="F78" i="5"/>
  <c r="H71" i="5" l="1"/>
  <c r="I71" i="5"/>
  <c r="J71" i="5"/>
  <c r="L71" i="5"/>
  <c r="G71" i="5"/>
  <c r="H16" i="5"/>
  <c r="I16" i="5"/>
  <c r="J16" i="5"/>
  <c r="K16" i="5"/>
  <c r="K71" i="5" s="1"/>
  <c r="L16" i="5"/>
  <c r="G16" i="5"/>
  <c r="B85" i="5" l="1"/>
  <c r="B86" i="5" s="1"/>
  <c r="I81" i="5" l="1"/>
  <c r="H81" i="5"/>
  <c r="G81" i="5"/>
  <c r="G51" i="5"/>
  <c r="F9" i="19"/>
  <c r="B19" i="15" l="1"/>
  <c r="B20" i="15"/>
  <c r="B21" i="15"/>
  <c r="A19" i="15"/>
  <c r="A20" i="15"/>
  <c r="A21" i="15"/>
  <c r="E20" i="15"/>
  <c r="F20" i="15"/>
  <c r="G20" i="15"/>
  <c r="H20" i="15"/>
  <c r="I20" i="15"/>
  <c r="J20" i="15"/>
  <c r="D19" i="15"/>
  <c r="C21" i="15"/>
  <c r="D12" i="20"/>
  <c r="D27" i="19"/>
  <c r="D26" i="19"/>
  <c r="F61" i="5" l="1"/>
  <c r="D10" i="20"/>
  <c r="F8" i="20"/>
  <c r="H1" i="20"/>
  <c r="H8" i="20" s="1"/>
  <c r="G1" i="20"/>
  <c r="G8" i="20" s="1"/>
  <c r="F15" i="19"/>
  <c r="F12" i="19"/>
  <c r="F13" i="19" s="1"/>
  <c r="G11" i="19"/>
  <c r="F11" i="19"/>
  <c r="G9" i="19"/>
  <c r="D9" i="19"/>
  <c r="B10" i="19"/>
  <c r="F7" i="19"/>
  <c r="G1" i="19"/>
  <c r="G7" i="19" s="1"/>
  <c r="H1" i="19" l="1"/>
  <c r="I1" i="19" s="1"/>
  <c r="I7" i="19" s="1"/>
  <c r="A12" i="20"/>
  <c r="I1" i="20"/>
  <c r="J1" i="20"/>
  <c r="J8" i="20" s="1"/>
  <c r="D10" i="19"/>
  <c r="B11" i="19"/>
  <c r="D11" i="19" s="1"/>
  <c r="L29" i="5"/>
  <c r="A13" i="20" l="1"/>
  <c r="K1" i="20"/>
  <c r="I8" i="20"/>
  <c r="J1" i="19"/>
  <c r="K1" i="19" s="1"/>
  <c r="B12" i="19"/>
  <c r="D12" i="19" s="1"/>
  <c r="H7" i="19"/>
  <c r="B13" i="19"/>
  <c r="D13" i="19" s="1"/>
  <c r="G61" i="5"/>
  <c r="L1" i="20" l="1"/>
  <c r="L8" i="20" s="1"/>
  <c r="K8" i="20"/>
  <c r="A14" i="20"/>
  <c r="D13" i="20" s="1"/>
  <c r="J7" i="19"/>
  <c r="B14" i="19"/>
  <c r="D14" i="19"/>
  <c r="L1" i="19"/>
  <c r="L7" i="19" s="1"/>
  <c r="K7" i="19"/>
  <c r="C82" i="5"/>
  <c r="D82" i="5" s="1"/>
  <c r="D81" i="5"/>
  <c r="D53" i="5"/>
  <c r="D54" i="5"/>
  <c r="D55" i="5"/>
  <c r="C47" i="5"/>
  <c r="D47" i="5" s="1"/>
  <c r="D46" i="5"/>
  <c r="I46" i="5"/>
  <c r="C48" i="5" l="1"/>
  <c r="C49" i="5" s="1"/>
  <c r="D49" i="5" s="1"/>
  <c r="A15" i="20"/>
  <c r="D14" i="20" s="1"/>
  <c r="B15" i="19"/>
  <c r="D15" i="19" s="1"/>
  <c r="I29" i="5"/>
  <c r="J29" i="5"/>
  <c r="K29" i="5"/>
  <c r="H29" i="5"/>
  <c r="B12" i="5"/>
  <c r="G29" i="5" s="1"/>
  <c r="G15" i="19" s="1"/>
  <c r="H46" i="5"/>
  <c r="I61" i="5"/>
  <c r="C50" i="5" l="1"/>
  <c r="D50" i="5" s="1"/>
  <c r="D48" i="5"/>
  <c r="A16" i="20"/>
  <c r="B16" i="19"/>
  <c r="D16" i="19" s="1"/>
  <c r="C51" i="5"/>
  <c r="D51" i="5" s="1"/>
  <c r="A17" i="20" l="1"/>
  <c r="B17" i="19"/>
  <c r="C52" i="5"/>
  <c r="D52" i="5" s="1"/>
  <c r="A18" i="20" l="1"/>
  <c r="D17" i="19"/>
  <c r="B18" i="19"/>
  <c r="C56" i="5"/>
  <c r="C57" i="5" s="1"/>
  <c r="D57" i="5" s="1"/>
  <c r="A19" i="20" l="1"/>
  <c r="A20" i="20"/>
  <c r="A21" i="20"/>
  <c r="A23" i="20"/>
  <c r="D18" i="19"/>
  <c r="B19" i="19"/>
  <c r="D19" i="19" s="1"/>
  <c r="D56" i="5"/>
  <c r="A22" i="20" l="1"/>
  <c r="A24" i="20" s="1"/>
  <c r="C59" i="5"/>
  <c r="C60" i="5" l="1"/>
  <c r="D59" i="5"/>
  <c r="D60" i="5" l="1"/>
  <c r="C61" i="5"/>
  <c r="C62" i="5" l="1"/>
  <c r="D61" i="5"/>
  <c r="C63" i="5" l="1"/>
  <c r="D62" i="5"/>
  <c r="C64" i="5" l="1"/>
  <c r="D64" i="5" s="1"/>
  <c r="D63" i="5"/>
  <c r="G46" i="5" l="1"/>
  <c r="K46" i="5"/>
  <c r="G59" i="5"/>
  <c r="H59" i="5" s="1"/>
  <c r="J46" i="5"/>
  <c r="H61" i="5"/>
  <c r="L56" i="5"/>
  <c r="L46" i="5"/>
  <c r="G15" i="14"/>
  <c r="F60" i="5" l="1"/>
  <c r="F64" i="5" s="1"/>
  <c r="F77" i="5" s="1"/>
  <c r="F11" i="20"/>
  <c r="F14" i="20" s="1"/>
  <c r="G11" i="20" l="1"/>
  <c r="G60" i="5"/>
  <c r="G64" i="5" s="1"/>
  <c r="G77" i="5" s="1"/>
  <c r="I59" i="5" l="1"/>
  <c r="H11" i="20"/>
  <c r="I11" i="20" l="1"/>
  <c r="J59" i="5"/>
  <c r="K59" i="5" l="1"/>
  <c r="J11" i="20"/>
  <c r="L59" i="5" l="1"/>
  <c r="L11" i="20" s="1"/>
  <c r="K11" i="20"/>
  <c r="C33" i="16" l="1"/>
  <c r="C34" i="16"/>
  <c r="B32" i="16" l="1"/>
  <c r="C11" i="16" l="1"/>
  <c r="D11" i="16"/>
  <c r="C12" i="16"/>
  <c r="D12" i="16"/>
  <c r="E12" i="16"/>
  <c r="C13" i="16"/>
  <c r="D13" i="16"/>
  <c r="E13" i="16"/>
  <c r="C17" i="16"/>
  <c r="C19" i="16"/>
  <c r="C20" i="16"/>
  <c r="C14" i="15"/>
  <c r="C17" i="15"/>
  <c r="C18" i="15"/>
  <c r="B23" i="15"/>
  <c r="C24" i="15"/>
  <c r="C25" i="15"/>
  <c r="C31" i="16"/>
  <c r="C30" i="16"/>
  <c r="B29" i="16"/>
  <c r="C28" i="16"/>
  <c r="C27" i="16"/>
  <c r="B26" i="16"/>
  <c r="C25" i="16"/>
  <c r="C24" i="16"/>
  <c r="A11" i="16"/>
  <c r="J10" i="16"/>
  <c r="I10" i="16"/>
  <c r="H10" i="16"/>
  <c r="G10" i="16"/>
  <c r="F10" i="16"/>
  <c r="E10" i="16"/>
  <c r="D10" i="16"/>
  <c r="C10" i="16"/>
  <c r="B10" i="16"/>
  <c r="E6" i="16"/>
  <c r="B11" i="16" l="1"/>
  <c r="F6" i="16"/>
  <c r="D1" i="16"/>
  <c r="D7" i="16" s="1"/>
  <c r="A12" i="16"/>
  <c r="B12" i="16" s="1"/>
  <c r="B3" i="15" l="1"/>
  <c r="B3" i="16"/>
  <c r="A13" i="16"/>
  <c r="E1" i="16"/>
  <c r="G6" i="16"/>
  <c r="H6" i="16" s="1"/>
  <c r="D10" i="15"/>
  <c r="E10" i="15"/>
  <c r="F10" i="15"/>
  <c r="G10" i="15"/>
  <c r="H10" i="15"/>
  <c r="I10" i="15"/>
  <c r="J10" i="15"/>
  <c r="D11" i="15"/>
  <c r="D12" i="15"/>
  <c r="E12" i="15"/>
  <c r="D13" i="15"/>
  <c r="E13" i="15"/>
  <c r="C11" i="15"/>
  <c r="C12" i="15"/>
  <c r="C13" i="15"/>
  <c r="A14" i="16" l="1"/>
  <c r="B14" i="16" s="1"/>
  <c r="B13" i="16"/>
  <c r="I6" i="16"/>
  <c r="J6" i="16" s="1"/>
  <c r="E7" i="16"/>
  <c r="F1" i="16"/>
  <c r="F7" i="16" s="1"/>
  <c r="C10" i="15"/>
  <c r="B10" i="15"/>
  <c r="A11" i="15"/>
  <c r="E6" i="15"/>
  <c r="F6" i="15" s="1"/>
  <c r="G6" i="15" s="1"/>
  <c r="B19" i="5"/>
  <c r="J51" i="5" l="1"/>
  <c r="I51" i="5"/>
  <c r="L51" i="5"/>
  <c r="H51" i="5"/>
  <c r="K51" i="5"/>
  <c r="G1" i="16"/>
  <c r="G7" i="16" s="1"/>
  <c r="A18" i="16"/>
  <c r="B18" i="16" s="1"/>
  <c r="A17" i="16"/>
  <c r="B17" i="16" s="1"/>
  <c r="D20" i="16"/>
  <c r="D18" i="15"/>
  <c r="B11" i="15"/>
  <c r="A12" i="15"/>
  <c r="A19" i="16"/>
  <c r="B19" i="16" s="1"/>
  <c r="H6" i="15"/>
  <c r="I6" i="15" s="1"/>
  <c r="J6" i="15" s="1"/>
  <c r="J81" i="5"/>
  <c r="K81" i="5"/>
  <c r="L81" i="5"/>
  <c r="H1" i="16" l="1"/>
  <c r="I1" i="16" s="1"/>
  <c r="A13" i="15"/>
  <c r="B12" i="15"/>
  <c r="A20" i="16"/>
  <c r="B20" i="16" s="1"/>
  <c r="I7" i="16" l="1"/>
  <c r="J1" i="16"/>
  <c r="J7" i="16" s="1"/>
  <c r="H7" i="16"/>
  <c r="A21" i="16"/>
  <c r="A14" i="15"/>
  <c r="B13" i="15"/>
  <c r="B21" i="16" l="1"/>
  <c r="B14" i="15"/>
  <c r="A17" i="15" l="1"/>
  <c r="B17" i="15" l="1"/>
  <c r="A18" i="15"/>
  <c r="B23" i="16" l="1"/>
  <c r="B18" i="15"/>
  <c r="A24" i="16" l="1"/>
  <c r="B24" i="16" s="1"/>
  <c r="E11" i="16"/>
  <c r="A25" i="16" l="1"/>
  <c r="B25" i="16" s="1"/>
  <c r="E11" i="15"/>
  <c r="H11" i="16"/>
  <c r="I11" i="16"/>
  <c r="F11" i="16"/>
  <c r="J11" i="16"/>
  <c r="G11" i="16"/>
  <c r="D67" i="5"/>
  <c r="D68" i="5"/>
  <c r="D69" i="5"/>
  <c r="D37" i="5"/>
  <c r="D38" i="5"/>
  <c r="G18" i="5" l="1"/>
  <c r="G12" i="19" s="1"/>
  <c r="G13" i="19" s="1"/>
  <c r="G10" i="19"/>
  <c r="A27" i="16"/>
  <c r="B27" i="16" s="1"/>
  <c r="F13" i="16"/>
  <c r="G13" i="15"/>
  <c r="G13" i="16"/>
  <c r="J13" i="15"/>
  <c r="J13" i="16"/>
  <c r="E20" i="16"/>
  <c r="E18" i="15"/>
  <c r="I13" i="15"/>
  <c r="I13" i="16"/>
  <c r="H13" i="15"/>
  <c r="H13" i="16"/>
  <c r="E19" i="16"/>
  <c r="E17" i="15"/>
  <c r="G11" i="15"/>
  <c r="H11" i="15"/>
  <c r="J11" i="15"/>
  <c r="F13" i="15"/>
  <c r="F11" i="15"/>
  <c r="I11" i="15"/>
  <c r="K72" i="5"/>
  <c r="J72" i="5"/>
  <c r="I72" i="5"/>
  <c r="L72" i="5"/>
  <c r="H72" i="5"/>
  <c r="F20" i="5"/>
  <c r="F21" i="5" s="1"/>
  <c r="G38" i="5"/>
  <c r="H38" i="5" s="1"/>
  <c r="G12" i="5"/>
  <c r="B41" i="5"/>
  <c r="B42" i="5" s="1"/>
  <c r="B44" i="5" s="1"/>
  <c r="F50" i="5"/>
  <c r="F52" i="5" s="1"/>
  <c r="L61" i="5"/>
  <c r="F26" i="5" l="1"/>
  <c r="F82" i="5"/>
  <c r="G20" i="5"/>
  <c r="G21" i="5" s="1"/>
  <c r="D20" i="15"/>
  <c r="D21" i="15" s="1"/>
  <c r="A28" i="16"/>
  <c r="A30" i="16" s="1"/>
  <c r="F12" i="16"/>
  <c r="I20" i="16"/>
  <c r="I18" i="15"/>
  <c r="J20" i="16"/>
  <c r="J18" i="15"/>
  <c r="G12" i="15"/>
  <c r="G12" i="16"/>
  <c r="G20" i="16"/>
  <c r="G18" i="15"/>
  <c r="H12" i="15"/>
  <c r="H12" i="16"/>
  <c r="H20" i="16"/>
  <c r="H18" i="15"/>
  <c r="J12" i="15"/>
  <c r="J12" i="16"/>
  <c r="I12" i="15"/>
  <c r="I12" i="16"/>
  <c r="F20" i="16"/>
  <c r="F18" i="15"/>
  <c r="A24" i="15"/>
  <c r="B24" i="15" s="1"/>
  <c r="F12" i="15"/>
  <c r="B28" i="16"/>
  <c r="I38" i="5"/>
  <c r="J38" i="5" s="1"/>
  <c r="A25" i="15" l="1"/>
  <c r="B25" i="15" s="1"/>
  <c r="B30" i="16"/>
  <c r="A31" i="16"/>
  <c r="K38" i="5"/>
  <c r="L38" i="5" s="1"/>
  <c r="G35" i="14"/>
  <c r="G33" i="14"/>
  <c r="G31" i="14"/>
  <c r="G32" i="14"/>
  <c r="G34" i="14"/>
  <c r="G36" i="14"/>
  <c r="G37" i="14"/>
  <c r="D7" i="14"/>
  <c r="E7" i="14"/>
  <c r="F7" i="14"/>
  <c r="G7" i="14"/>
  <c r="E1" i="14"/>
  <c r="G1" i="14" s="1"/>
  <c r="F1" i="14"/>
  <c r="D1" i="14"/>
  <c r="G22" i="14"/>
  <c r="G16" i="14"/>
  <c r="G17" i="14"/>
  <c r="G18" i="14"/>
  <c r="G19" i="14"/>
  <c r="G20" i="14"/>
  <c r="G21" i="14"/>
  <c r="B55" i="5" l="1"/>
  <c r="D21" i="16"/>
  <c r="F31" i="5"/>
  <c r="F85" i="5" s="1"/>
  <c r="B31" i="16"/>
  <c r="A33" i="16"/>
  <c r="C7" i="14"/>
  <c r="I18" i="5"/>
  <c r="B33" i="16" l="1"/>
  <c r="A34" i="16"/>
  <c r="B34" i="16" s="1"/>
  <c r="I20" i="5"/>
  <c r="I21" i="5" s="1"/>
  <c r="G24" i="5"/>
  <c r="G25" i="5" s="1"/>
  <c r="G16" i="19" s="1"/>
  <c r="H24" i="5"/>
  <c r="H25" i="5" s="1"/>
  <c r="I24" i="5"/>
  <c r="I25" i="5" s="1"/>
  <c r="J24" i="5"/>
  <c r="J25" i="5" s="1"/>
  <c r="K24" i="5"/>
  <c r="K25" i="5" s="1"/>
  <c r="L24" i="5"/>
  <c r="L25" i="5" s="1"/>
  <c r="F24" i="5"/>
  <c r="F25" i="5" s="1"/>
  <c r="D32" i="5"/>
  <c r="F16" i="19" l="1"/>
  <c r="F40" i="5"/>
  <c r="F99" i="5" s="1"/>
  <c r="D18" i="16" l="1"/>
  <c r="F76" i="5"/>
  <c r="H18" i="5"/>
  <c r="J18" i="5"/>
  <c r="K18" i="5"/>
  <c r="L18" i="5"/>
  <c r="H20" i="5" l="1"/>
  <c r="H21" i="5" s="1"/>
  <c r="L20" i="5"/>
  <c r="L21" i="5" s="1"/>
  <c r="K20" i="5"/>
  <c r="K21" i="5" s="1"/>
  <c r="J20" i="5"/>
  <c r="J21" i="5" s="1"/>
  <c r="U46" i="5"/>
  <c r="U47" i="5"/>
  <c r="U48" i="5"/>
  <c r="U49" i="5"/>
  <c r="U50" i="5"/>
  <c r="U45" i="5"/>
  <c r="P46" i="5"/>
  <c r="P47" i="5" s="1"/>
  <c r="P48" i="5" s="1"/>
  <c r="P49" i="5" s="1"/>
  <c r="P50" i="5" s="1"/>
  <c r="J12" i="5" l="1"/>
  <c r="G14" i="5"/>
  <c r="H14" i="5" l="1"/>
  <c r="I14" i="5"/>
  <c r="J14" i="5"/>
  <c r="K14" i="5"/>
  <c r="L14" i="5"/>
  <c r="G55" i="5" l="1"/>
  <c r="G47" i="5" s="1"/>
  <c r="G48" i="5" s="1"/>
  <c r="G49" i="5" s="1"/>
  <c r="G52" i="5" s="1"/>
  <c r="G26" i="5" l="1"/>
  <c r="G82" i="5"/>
  <c r="G14" i="20"/>
  <c r="E19" i="15"/>
  <c r="E21" i="15" s="1"/>
  <c r="G45" i="5"/>
  <c r="H55" i="5"/>
  <c r="H47" i="5" l="1"/>
  <c r="H48" i="5" s="1"/>
  <c r="H49" i="5" s="1"/>
  <c r="G30" i="5"/>
  <c r="G41" i="5" s="1"/>
  <c r="G93" i="5" s="1"/>
  <c r="K61" i="5"/>
  <c r="J61" i="5"/>
  <c r="H45" i="5"/>
  <c r="I55" i="5"/>
  <c r="H14" i="20" l="1"/>
  <c r="G40" i="5"/>
  <c r="E21" i="16"/>
  <c r="G14" i="19"/>
  <c r="G31" i="5"/>
  <c r="G85" i="5" s="1"/>
  <c r="F19" i="15"/>
  <c r="F21" i="15" s="1"/>
  <c r="H52" i="5"/>
  <c r="G90" i="5"/>
  <c r="D19" i="16"/>
  <c r="D17" i="15"/>
  <c r="E14" i="16"/>
  <c r="H60" i="5"/>
  <c r="H64" i="5" s="1"/>
  <c r="H77" i="5" s="1"/>
  <c r="J55" i="5"/>
  <c r="J47" i="5" s="1"/>
  <c r="J48" i="5" s="1"/>
  <c r="I47" i="5"/>
  <c r="I48" i="5" s="1"/>
  <c r="I49" i="5" s="1"/>
  <c r="I45" i="5"/>
  <c r="H26" i="5" l="1"/>
  <c r="H82" i="5"/>
  <c r="I14" i="20"/>
  <c r="J49" i="5"/>
  <c r="G19" i="15"/>
  <c r="G21" i="15" s="1"/>
  <c r="I52" i="5"/>
  <c r="G17" i="19"/>
  <c r="G18" i="19" s="1"/>
  <c r="G19" i="19"/>
  <c r="G99" i="5"/>
  <c r="E18" i="16"/>
  <c r="G76" i="5"/>
  <c r="G74" i="5"/>
  <c r="E14" i="15" s="1"/>
  <c r="N21" i="15" s="1"/>
  <c r="F14" i="19"/>
  <c r="F30" i="5"/>
  <c r="G75" i="5"/>
  <c r="G96" i="5"/>
  <c r="E24" i="16"/>
  <c r="E25" i="16"/>
  <c r="E24" i="15"/>
  <c r="E25" i="15"/>
  <c r="K55" i="5"/>
  <c r="J45" i="5"/>
  <c r="D12" i="5"/>
  <c r="C13" i="5"/>
  <c r="I26" i="5" l="1"/>
  <c r="I82" i="5"/>
  <c r="J14" i="20"/>
  <c r="K47" i="5"/>
  <c r="K48" i="5" s="1"/>
  <c r="K49" i="5" s="1"/>
  <c r="F41" i="5"/>
  <c r="F93" i="5" s="1"/>
  <c r="F90" i="5"/>
  <c r="H19" i="15"/>
  <c r="H21" i="15" s="1"/>
  <c r="J52" i="5"/>
  <c r="F19" i="19"/>
  <c r="F17" i="19"/>
  <c r="F18" i="19" s="1"/>
  <c r="E17" i="16"/>
  <c r="E28" i="16"/>
  <c r="E27" i="16"/>
  <c r="E30" i="16"/>
  <c r="E31" i="16"/>
  <c r="H40" i="5"/>
  <c r="F19" i="16"/>
  <c r="F17" i="15"/>
  <c r="L55" i="5"/>
  <c r="K45" i="5"/>
  <c r="C14" i="5"/>
  <c r="D14" i="5" s="1"/>
  <c r="D13" i="5"/>
  <c r="H12" i="5"/>
  <c r="I12" i="5"/>
  <c r="K12" i="5"/>
  <c r="L12" i="5"/>
  <c r="J82" i="5" l="1"/>
  <c r="J26" i="5"/>
  <c r="F21" i="16"/>
  <c r="H99" i="5"/>
  <c r="F18" i="16"/>
  <c r="H76" i="5"/>
  <c r="F96" i="5"/>
  <c r="L47" i="5"/>
  <c r="L48" i="5" s="1"/>
  <c r="K14" i="20"/>
  <c r="L49" i="5"/>
  <c r="I19" i="15"/>
  <c r="I21" i="15" s="1"/>
  <c r="K52" i="5"/>
  <c r="L14" i="20"/>
  <c r="H14" i="19"/>
  <c r="L45" i="5"/>
  <c r="C15" i="5"/>
  <c r="H11" i="5"/>
  <c r="K26" i="5" l="1"/>
  <c r="K82" i="5"/>
  <c r="I11" i="5"/>
  <c r="H11" i="19"/>
  <c r="H15" i="19"/>
  <c r="H12" i="19"/>
  <c r="H13" i="19" s="1"/>
  <c r="H9" i="19"/>
  <c r="H16" i="19"/>
  <c r="H10" i="19"/>
  <c r="J19" i="15"/>
  <c r="J21" i="15" s="1"/>
  <c r="L52" i="5"/>
  <c r="L26" i="5" s="1"/>
  <c r="F75" i="5"/>
  <c r="D14" i="16"/>
  <c r="H30" i="5"/>
  <c r="H41" i="5" s="1"/>
  <c r="H93" i="5" s="1"/>
  <c r="H31" i="5"/>
  <c r="H85" i="5" s="1"/>
  <c r="F74" i="5"/>
  <c r="D14" i="15" s="1"/>
  <c r="M21" i="15" s="1"/>
  <c r="C16" i="5"/>
  <c r="D15" i="5"/>
  <c r="I15" i="19" l="1"/>
  <c r="J11" i="5"/>
  <c r="K11" i="5" s="1"/>
  <c r="I10" i="19"/>
  <c r="I12" i="19"/>
  <c r="I13" i="19" s="1"/>
  <c r="I16" i="19"/>
  <c r="I11" i="19"/>
  <c r="L82" i="5"/>
  <c r="H17" i="19"/>
  <c r="H18" i="19" s="1"/>
  <c r="I9" i="19"/>
  <c r="J16" i="19"/>
  <c r="H19" i="19"/>
  <c r="K15" i="19"/>
  <c r="H75" i="5"/>
  <c r="H96" i="5"/>
  <c r="D27" i="16"/>
  <c r="D28" i="16"/>
  <c r="D30" i="16"/>
  <c r="D31" i="16"/>
  <c r="D17" i="16"/>
  <c r="D24" i="15"/>
  <c r="D25" i="15"/>
  <c r="H90" i="5"/>
  <c r="F14" i="16"/>
  <c r="D24" i="16"/>
  <c r="D25" i="16"/>
  <c r="D34" i="16"/>
  <c r="D33" i="16"/>
  <c r="H74" i="5"/>
  <c r="F14" i="15" s="1"/>
  <c r="O21" i="15" s="1"/>
  <c r="C17" i="5"/>
  <c r="C18" i="5" s="1"/>
  <c r="D16" i="5"/>
  <c r="K16" i="19" l="1"/>
  <c r="J9" i="19"/>
  <c r="K10" i="19"/>
  <c r="K11" i="19"/>
  <c r="L11" i="5"/>
  <c r="L10" i="19" s="1"/>
  <c r="J10" i="19"/>
  <c r="K9" i="19"/>
  <c r="J15" i="19"/>
  <c r="K12" i="19"/>
  <c r="K13" i="19" s="1"/>
  <c r="J12" i="19"/>
  <c r="J13" i="19" s="1"/>
  <c r="J11" i="19"/>
  <c r="L12" i="19"/>
  <c r="L13" i="19" s="1"/>
  <c r="L9" i="19"/>
  <c r="L16" i="19"/>
  <c r="L15" i="19"/>
  <c r="F17" i="16"/>
  <c r="F28" i="16"/>
  <c r="F27" i="16"/>
  <c r="F30" i="16"/>
  <c r="F31" i="16"/>
  <c r="F24" i="16"/>
  <c r="F25" i="16"/>
  <c r="F24" i="15"/>
  <c r="F25" i="15"/>
  <c r="D17" i="5"/>
  <c r="C19" i="5"/>
  <c r="C20" i="5" s="1"/>
  <c r="D18" i="5"/>
  <c r="I60" i="5"/>
  <c r="I64" i="5" s="1"/>
  <c r="I77" i="5" s="1"/>
  <c r="L11" i="19" l="1"/>
  <c r="C21" i="5"/>
  <c r="D19" i="5"/>
  <c r="D20" i="5"/>
  <c r="J60" i="5"/>
  <c r="J64" i="5" s="1"/>
  <c r="J77" i="5" s="1"/>
  <c r="G19" i="16" l="1"/>
  <c r="G17" i="15"/>
  <c r="D21" i="5"/>
  <c r="C22" i="5"/>
  <c r="K60" i="5"/>
  <c r="K64" i="5" s="1"/>
  <c r="K77" i="5" s="1"/>
  <c r="I40" i="5" l="1"/>
  <c r="G21" i="16"/>
  <c r="I14" i="19"/>
  <c r="L60" i="5"/>
  <c r="L64" i="5" s="1"/>
  <c r="L77" i="5" s="1"/>
  <c r="H19" i="16"/>
  <c r="H17" i="15"/>
  <c r="D22" i="5"/>
  <c r="C23" i="5"/>
  <c r="D23" i="5" s="1"/>
  <c r="J31" i="5" l="1"/>
  <c r="J85" i="5" s="1"/>
  <c r="J40" i="5"/>
  <c r="H21" i="16"/>
  <c r="G18" i="16"/>
  <c r="I76" i="5"/>
  <c r="I99" i="5"/>
  <c r="I17" i="19"/>
  <c r="I18" i="19" s="1"/>
  <c r="I19" i="19"/>
  <c r="J14" i="19"/>
  <c r="I31" i="5"/>
  <c r="I85" i="5" s="1"/>
  <c r="I30" i="5"/>
  <c r="I41" i="5" s="1"/>
  <c r="I93" i="5" s="1"/>
  <c r="I19" i="16"/>
  <c r="I17" i="15"/>
  <c r="E33" i="16"/>
  <c r="E34" i="16"/>
  <c r="C24" i="5"/>
  <c r="D24" i="5" s="1"/>
  <c r="H18" i="16" l="1"/>
  <c r="J76" i="5"/>
  <c r="J99" i="5"/>
  <c r="K30" i="5"/>
  <c r="K31" i="5"/>
  <c r="K85" i="5" s="1"/>
  <c r="K40" i="5"/>
  <c r="I21" i="16"/>
  <c r="J17" i="19"/>
  <c r="J18" i="19" s="1"/>
  <c r="J19" i="19"/>
  <c r="K14" i="19"/>
  <c r="I75" i="5"/>
  <c r="I96" i="5"/>
  <c r="G14" i="16"/>
  <c r="I90" i="5"/>
  <c r="I74" i="5"/>
  <c r="G14" i="15" s="1"/>
  <c r="P21" i="15" s="1"/>
  <c r="J30" i="5"/>
  <c r="J41" i="5" s="1"/>
  <c r="J93" i="5" s="1"/>
  <c r="J19" i="16"/>
  <c r="J17" i="15"/>
  <c r="C25" i="5"/>
  <c r="D25" i="5" s="1"/>
  <c r="C26" i="5" l="1"/>
  <c r="D26" i="5" s="1"/>
  <c r="L40" i="5"/>
  <c r="J21" i="16"/>
  <c r="K76" i="5"/>
  <c r="I18" i="16"/>
  <c r="K99" i="5"/>
  <c r="K17" i="19"/>
  <c r="K18" i="19" s="1"/>
  <c r="K19" i="19"/>
  <c r="L14" i="19"/>
  <c r="G17" i="16"/>
  <c r="J75" i="5"/>
  <c r="J96" i="5"/>
  <c r="G28" i="16"/>
  <c r="G27" i="16"/>
  <c r="G30" i="16"/>
  <c r="G31" i="16"/>
  <c r="J74" i="5"/>
  <c r="H14" i="15" s="1"/>
  <c r="K41" i="5"/>
  <c r="K93" i="5" s="1"/>
  <c r="G24" i="16"/>
  <c r="G25" i="16"/>
  <c r="G24" i="15"/>
  <c r="G25" i="15"/>
  <c r="H14" i="16"/>
  <c r="J90" i="5"/>
  <c r="C27" i="5"/>
  <c r="D27" i="5" s="1"/>
  <c r="J18" i="16" l="1"/>
  <c r="L76" i="5"/>
  <c r="L99" i="5"/>
  <c r="C28" i="5"/>
  <c r="D28" i="5" s="1"/>
  <c r="L17" i="19"/>
  <c r="L18" i="19" s="1"/>
  <c r="L19" i="19"/>
  <c r="H30" i="16"/>
  <c r="H31" i="16"/>
  <c r="K75" i="5"/>
  <c r="K96" i="5"/>
  <c r="H17" i="16"/>
  <c r="H27" i="16"/>
  <c r="H28" i="16"/>
  <c r="H24" i="16"/>
  <c r="H25" i="16"/>
  <c r="I14" i="16"/>
  <c r="K90" i="5"/>
  <c r="L30" i="5"/>
  <c r="L41" i="5" s="1"/>
  <c r="L93" i="5" s="1"/>
  <c r="L31" i="5"/>
  <c r="L85" i="5" s="1"/>
  <c r="K74" i="5"/>
  <c r="I14" i="15" s="1"/>
  <c r="H25" i="15"/>
  <c r="H24" i="15"/>
  <c r="C29" i="5"/>
  <c r="F34" i="16"/>
  <c r="F33" i="16"/>
  <c r="I27" i="16" l="1"/>
  <c r="I28" i="16"/>
  <c r="I30" i="16"/>
  <c r="I31" i="16"/>
  <c r="I17" i="16"/>
  <c r="L75" i="5"/>
  <c r="L96" i="5"/>
  <c r="I24" i="16"/>
  <c r="I25" i="16"/>
  <c r="L74" i="5"/>
  <c r="J14" i="15" s="1"/>
  <c r="I24" i="15"/>
  <c r="I25" i="15"/>
  <c r="J14" i="16"/>
  <c r="L90" i="5"/>
  <c r="D29" i="5"/>
  <c r="C30" i="5"/>
  <c r="D30" i="5" s="1"/>
  <c r="G34" i="16"/>
  <c r="G33" i="16"/>
  <c r="C31" i="5" l="1"/>
  <c r="D31" i="5" s="1"/>
  <c r="J28" i="16"/>
  <c r="J27" i="16"/>
  <c r="J30" i="16"/>
  <c r="J31" i="16"/>
  <c r="J17" i="16"/>
  <c r="J24" i="15"/>
  <c r="J25" i="15"/>
  <c r="J24" i="16"/>
  <c r="J25" i="16"/>
  <c r="H33" i="16"/>
  <c r="H34" i="16"/>
  <c r="I33" i="16" l="1"/>
  <c r="I34" i="16"/>
  <c r="J34" i="16" l="1"/>
  <c r="J33" i="16"/>
  <c r="D39" i="5" l="1"/>
  <c r="C40" i="5" l="1"/>
  <c r="D40" i="5" s="1"/>
  <c r="C41" i="5" l="1"/>
  <c r="D41" i="5" s="1"/>
  <c r="C70" i="5" l="1"/>
  <c r="D70" i="5" s="1"/>
  <c r="D1" i="15"/>
  <c r="D7" i="15" s="1"/>
  <c r="C71" i="5" l="1"/>
  <c r="D71" i="5" s="1"/>
  <c r="E1" i="15"/>
  <c r="C72" i="5" l="1"/>
  <c r="D72" i="5" s="1"/>
  <c r="F1" i="15"/>
  <c r="F7" i="15" s="1"/>
  <c r="E7" i="15"/>
  <c r="C73" i="5" l="1"/>
  <c r="G1" i="15"/>
  <c r="C74" i="5" l="1"/>
  <c r="D74" i="5" s="1"/>
  <c r="D73" i="5"/>
  <c r="G7" i="15"/>
  <c r="H1" i="15"/>
  <c r="H7" i="15" s="1"/>
  <c r="C75" i="5" l="1"/>
  <c r="D75" i="5" s="1"/>
  <c r="I1" i="15"/>
  <c r="I7" i="15" s="1"/>
  <c r="C76" i="5" l="1"/>
  <c r="D76" i="5" s="1"/>
  <c r="J1" i="15"/>
  <c r="J7" i="15" s="1"/>
  <c r="C77" i="5" l="1"/>
  <c r="D77" i="5" s="1"/>
  <c r="C78" i="5" l="1"/>
  <c r="D78" i="5" s="1"/>
  <c r="C79" i="5" l="1"/>
  <c r="D79" i="5" s="1"/>
</calcChain>
</file>

<file path=xl/sharedStrings.xml><?xml version="1.0" encoding="utf-8"?>
<sst xmlns="http://schemas.openxmlformats.org/spreadsheetml/2006/main" count="247" uniqueCount="181">
  <si>
    <t>Sources and Notes:</t>
  </si>
  <si>
    <t>Net Interest Expense</t>
  </si>
  <si>
    <t>Debt / EBITDA (x)</t>
  </si>
  <si>
    <t>-</t>
  </si>
  <si>
    <t>Growth in total rate base</t>
  </si>
  <si>
    <t>Interest Expense</t>
  </si>
  <si>
    <t>Debt Issues Maturing (2015 Financial)</t>
  </si>
  <si>
    <t>Long Term Debt:</t>
  </si>
  <si>
    <t>Total Debt</t>
  </si>
  <si>
    <t>Growth in nuclear rate base</t>
  </si>
  <si>
    <t>BB/B</t>
  </si>
  <si>
    <t>EBIT</t>
  </si>
  <si>
    <t>Net Income</t>
  </si>
  <si>
    <t>EBITDA</t>
  </si>
  <si>
    <t>DBRS:</t>
  </si>
  <si>
    <t>Forecasted Rate of OPG's Debt</t>
  </si>
  <si>
    <t>Q1</t>
  </si>
  <si>
    <t>Q2</t>
  </si>
  <si>
    <t>Q3</t>
  </si>
  <si>
    <t>Q4</t>
  </si>
  <si>
    <t>Nuclear rate base (C1-1-1 page 1) (also PDF pg. 136 of IRR Issue 3)</t>
  </si>
  <si>
    <t>Equity Capitalization</t>
  </si>
  <si>
    <t>Total OPG Depreciation</t>
  </si>
  <si>
    <t>Nuclear Planned Depreciation (F4-1-1 table 2)</t>
  </si>
  <si>
    <t>S&amp;P:</t>
  </si>
  <si>
    <t>Predicted Financial Risk based on Debt / EBITDA</t>
  </si>
  <si>
    <t>Predicted Financial Risk based on CFO / Debt</t>
  </si>
  <si>
    <t>Nuclear depreciation from Bruce A and B</t>
  </si>
  <si>
    <t>Long Term Debt</t>
  </si>
  <si>
    <t>Notes Payable to OEFC</t>
  </si>
  <si>
    <t>Maturity Date</t>
  </si>
  <si>
    <t>Effective Rate</t>
  </si>
  <si>
    <t>Cost of Debt Weight</t>
  </si>
  <si>
    <t>Cost of Long Term Debt</t>
  </si>
  <si>
    <t>Principal (C$ millions)</t>
  </si>
  <si>
    <t>UMH Energy Partnership</t>
  </si>
  <si>
    <t>PSS Generating Station Limited Parternship</t>
  </si>
  <si>
    <t>Lower Mattagami Energy Partnership</t>
  </si>
  <si>
    <t>OPG also entered a $700 million credit facility with OEFC in June 2016 that expires Dec 2017 (Currently not included above) (But no borrowings as of Q2 2016)</t>
  </si>
  <si>
    <t>Interest Rate on New Debt Issues</t>
  </si>
  <si>
    <t>cost of existing long term debt:</t>
  </si>
  <si>
    <t>2015 OPG Financial Statement Note 6</t>
  </si>
  <si>
    <t>Modest</t>
  </si>
  <si>
    <t>Intermediate</t>
  </si>
  <si>
    <t>Significant</t>
  </si>
  <si>
    <t>Aggressive</t>
  </si>
  <si>
    <t>FFO / Debt (%)</t>
  </si>
  <si>
    <t>CFO / Debt (%)</t>
  </si>
  <si>
    <t>Current Portion of Long Term Debt</t>
  </si>
  <si>
    <t>Operating Lease Obligations</t>
  </si>
  <si>
    <t>Short Term Debt Amount</t>
  </si>
  <si>
    <t>Long Term Debt (including current portion)</t>
  </si>
  <si>
    <t>Long Term Debt (excluding current portion)</t>
  </si>
  <si>
    <t>Interest Amount to deduct for debt that matured in prior year</t>
  </si>
  <si>
    <t>interest rate on note that matured in 2015:</t>
  </si>
  <si>
    <t>Planned New Debt Issues (C1-1-2 page 114 of Ex. C)</t>
  </si>
  <si>
    <t>2015 Interest expense on short term debt</t>
  </si>
  <si>
    <t>Equity Share of Capital Structure</t>
  </si>
  <si>
    <t>Debt Share of Capital Structure</t>
  </si>
  <si>
    <t>Planned Debt (Exh. C1-1-2)</t>
  </si>
  <si>
    <t>Theoretical Debt (Similar to exh. C1-1-1 Tables 1-9)</t>
  </si>
  <si>
    <t>2015 Interest Expense without Interest Cap</t>
  </si>
  <si>
    <t>OEB 2016 ROE (8.78%)</t>
  </si>
  <si>
    <t>2015 nuclear waste management adjustment</t>
  </si>
  <si>
    <t>No nuclear waste management adj.</t>
  </si>
  <si>
    <t>Net Income (after adjustment for nuclear waste earnings)</t>
  </si>
  <si>
    <t>Return on Equity</t>
  </si>
  <si>
    <t>Adjusted CWIP in 2015 (C1-1-3)</t>
  </si>
  <si>
    <t>Difference between top ^ two rows</t>
  </si>
  <si>
    <t>Interest Capitalized to PP&amp;E</t>
  </si>
  <si>
    <t>Total Interest Expense</t>
  </si>
  <si>
    <t>EBITDA (after nuclear waste adj.)</t>
  </si>
  <si>
    <t>EBIT (after nuclear waste adj.)</t>
  </si>
  <si>
    <t>Predicted Financial Risk based on FFO / Debt</t>
  </si>
  <si>
    <t>Cash Flow from Operating Activities and FFO:</t>
  </si>
  <si>
    <t>Return on Equity (C1-1-1 Tables 1-9)</t>
  </si>
  <si>
    <t>Total Rate Base</t>
  </si>
  <si>
    <t>FFO / Interest (x)</t>
  </si>
  <si>
    <t>Key Financial Metrics:</t>
  </si>
  <si>
    <t>Revenue Requirement Metrics:</t>
  </si>
  <si>
    <t>Key Financial Ratios employed by S&amp;P:</t>
  </si>
  <si>
    <t>Adjustment for earnings on nuclear fixed assets/nuclear waste mgmt.</t>
  </si>
  <si>
    <t>2015 Interest Expense with Interest Capitalized</t>
  </si>
  <si>
    <t>Total Tax Liability</t>
  </si>
  <si>
    <t>Forecasted Income Tax per Ex. F4-2-1</t>
  </si>
  <si>
    <t>Assumed Income Tax on Hydroelectric portion of rate base (see note)</t>
  </si>
  <si>
    <t>Net income after deducting interest capitalized (2015 same as w/o adj.)</t>
  </si>
  <si>
    <t xml:space="preserve">[q]: Hydro tax assumed as 51.2mm, which is the same as the nuclear income tax in 2020 when the nuclear rate base is 7.5bn. The hydro rate base in earlier years is 7.5bn  so we apply the 51.2mm in taxes to hydro in earlier years. </t>
  </si>
  <si>
    <t>interest rate on note that matures in 2016:</t>
  </si>
  <si>
    <t>interest rate on note that matures in 2017:</t>
  </si>
  <si>
    <t>interest rate on note that matures in 2018:</t>
  </si>
  <si>
    <t>interest rate on note that matures in 2019:</t>
  </si>
  <si>
    <t>interest rate on note that matures in 2020:</t>
  </si>
  <si>
    <t>Total Balance Sheet Equity 2015</t>
  </si>
  <si>
    <t>Interest on Short Term Debt (C1-1-1 Tables 1-9)</t>
  </si>
  <si>
    <t>Cost of Debt (C1-1-1 Tables 1-9)</t>
  </si>
  <si>
    <t>Tax as a percent of rate base 2015</t>
  </si>
  <si>
    <t>FFO (after accounting for nuclear waste earnings) (S&amp;P definition)</t>
  </si>
  <si>
    <t>Average Interest Income (2011-2015)</t>
  </si>
  <si>
    <t>Interest Expense on Long Term Debt</t>
  </si>
  <si>
    <t>Interest Amount on New Debt Issues</t>
  </si>
  <si>
    <t>Interest capitalized to PP&amp;E</t>
  </si>
  <si>
    <t>Inputs to Forecast of OPG Credit Metrics (C$ millions)</t>
  </si>
  <si>
    <t>Rate Base</t>
  </si>
  <si>
    <t>ROE</t>
  </si>
  <si>
    <t>EBIDTA</t>
  </si>
  <si>
    <t>Interest Capitalized to PP&amp;E 2015</t>
  </si>
  <si>
    <t>Cash Flow from Operations (S&amp;P definition)</t>
  </si>
  <si>
    <t>Predicted Financial Risk based on FFO / Interest</t>
  </si>
  <si>
    <t>Predicted Credit Rating based on EBIT / Gross Interest Expense</t>
  </si>
  <si>
    <t>EBIT / Gross Interest Expense (x)</t>
  </si>
  <si>
    <t>Net Income after nwf adjustment (See note)</t>
  </si>
  <si>
    <t>Funds from Operations</t>
  </si>
  <si>
    <t>Cash Flow from Operations</t>
  </si>
  <si>
    <t>Derivation of OPG's forecasted EBITDA, Funds from Operations, and Cash Flow from Operations ($C Millions)</t>
  </si>
  <si>
    <t>[c]: OPG's allowed equity capitalization as of EB-2013-0321</t>
  </si>
  <si>
    <t xml:space="preserve">[b]: 8.78% OEB approved ROE </t>
  </si>
  <si>
    <t>[f]: Calculations of The Brattle Group based on OPG forecasted Debt and expected future interest rates</t>
  </si>
  <si>
    <t>[g]: Calculations of The Brattle Group with reference to OPG Ex. F4-2-1 Table 2</t>
  </si>
  <si>
    <t>[h]: Calculations of The Brattle Group with reference to OPG Ex. F4-1-1 Table 2</t>
  </si>
  <si>
    <t>[i]: [e]+[f]+[g]+[h]</t>
  </si>
  <si>
    <t>[k]: [e]+[f]+[g]+[h]+33; 33 is the value of OPG's 2015 deferred income tax</t>
  </si>
  <si>
    <t>Derivation of OPG's Forecasted Debt</t>
  </si>
  <si>
    <t>Short Term Debt</t>
  </si>
  <si>
    <t>Planned New Debt Issues</t>
  </si>
  <si>
    <t>[b]</t>
  </si>
  <si>
    <t>[a]: OPG Ex. C1-1-2 Page 5 of 6</t>
  </si>
  <si>
    <t>[d]: Forecast provided in 2015 OPG Financial Statement</t>
  </si>
  <si>
    <t>Gross Interest Expense</t>
  </si>
  <si>
    <t>Key Financial Ratio employed by DBRS:</t>
  </si>
  <si>
    <t>Interest Expense on Short Term Debt</t>
  </si>
  <si>
    <t>[b]: Allowed ROE set by OEB</t>
  </si>
  <si>
    <t>[g]: Held constant at 2015 level per OPG's financial statement</t>
  </si>
  <si>
    <t>[c]: 2015 value based on OPG Financial Statement; future years taken from OPG Ex. C1-1-3 Table 2</t>
  </si>
  <si>
    <t>[i]: 2015 value from financial statement; forecast based on OPG Ex. C1-1-3 Table 2</t>
  </si>
  <si>
    <t>[j]: [h]+[i]</t>
  </si>
  <si>
    <t>[k]: [e]/[j]</t>
  </si>
  <si>
    <t>[k]: [h]/[e]</t>
  </si>
  <si>
    <t>[m]: [f]/[j]</t>
  </si>
  <si>
    <t>[o]: [f]/[h]</t>
  </si>
  <si>
    <t>[q]: [g]/[h]</t>
  </si>
  <si>
    <t>[e]: [b]+[c]+[d]; we assume a worst case scenario in which debt issues maturing in each period (per Ex. C1-1-2 Page 5) are fully re-issued to pay back their principal amounts</t>
  </si>
  <si>
    <t>[b]: 2015 value based on OPG Financial Statement; future values calculated as [a] of current year + [b] of prior year</t>
  </si>
  <si>
    <t>[e]: Brattle Exhibit BV-5a</t>
  </si>
  <si>
    <t>[f]: Brattle Exhibit BV-5b</t>
  </si>
  <si>
    <t>[h]: Brattle Exhibit BV-5b; note that we do not follow S&amp;P's Corporate Methodology to deduct surplus cash from our calculation of total debt</t>
  </si>
  <si>
    <t>[j]: Brattle Exhibit BV-5a</t>
  </si>
  <si>
    <t>Funds From Operations (FFO)</t>
  </si>
  <si>
    <t>Cash Flow from Operations (CFO)</t>
  </si>
  <si>
    <t>[a]: OPG Ex. L Tab 3.1 Schedule 20 VECC-005 Attachment 1 Table 5 (IRR Issue 3)</t>
  </si>
  <si>
    <t xml:space="preserve">[j]: [i]-[g]-[f]; in accordance with S&amp;P Corporate Methodology </t>
  </si>
  <si>
    <t>允䅁䅁䄴䅁慂䅁䅁睊扂䕁䄸䅕䡂䍁䅁睙祂䝁䅕䅚灂䡁䅑䅉瑂䝁䅕䅤祂䝁䅫睙穂䙁䄸杤硁䑁䅁杌㑂䝁䅷督㑂䙁䄰睕佂䕁䅷䅉䵂䝁䅫杤求䍁䅣光歁䕁䅅䅊硁䅁䅁䅃䅁䝁䅙䅁湁䙁䅳睔兂䕁䅣䅉橂䡁䅉党歂䝁䅫䅤杁䝁䄰党あ䡁䅉兡橂䡁䅍睘㉂䑁䅅䅍畁䡁䅧䅢穂䡁䅧兘呂䕁䄴䅔杁䕁䅷兡㉂䝁䅕睊桁䍁䅑村歁䑁䅕杏歁䕁䅉䅊祁䑁䅉䅁䩁䅁䅁䅚䅁䍁䅣睗偂䙁䅁睒杁䝁䅍杣求䝁䅑兡あ䍁䅁兢求䡁䅑杣灂䝁䅍督時䡁䅙免睁䍁䄴䅥獂䡁䅍䅥摂䙁䅍杔䵂䍁䅁䅔灂䡁䅙党湁䍁䅅䅊䑂䍁䅑睍㙁䍁䅑杗歁䑁䅍䅁䭁䅁䅁杚䅁䍁䅣睗偂䙁䅁睒杁䝁䅍杣求䝁䅑兡あ䍁䅁兢求䡁䅑杣灂䝁䅍督時䡁䅙免㉁䙁䄸杒䩂䕁䄴兑䵂䍁䄴䅥獂䡁䅍䅥摂䙁䅍杔䵂䍁䅁䅔灂䡁䅙党湁䍁䅅䅊䉂䍁䅑免䅁䅁䅳䅁祂䅁䅁睊扂䕁䄸䅕䡂䍁䅁睙祂䝁䅕䅚灂䡁䅑䅉瑂䝁䅕䅤祂䝁䅫睙穂䙁䄸杤硁䑁䅙睘䝂䕁䅫杔䉂䕁䅷杌㑂䝁䅷督㑂䙁䄰睕佂䕁䅷䅉䵂䝁䅫杤求䍁䅣光歁䕁䅉䅊ㅁ䑁䅯䅊䍂䍁䅑杍祁䅁䅁䅄䅁䡁䅁䅁湁䙁䅳睔兂䕁䅣䅉橂䡁䅉党歂䝁䅫䅤杁䝁䄰党あ䡁䅉兡橂䡁䅍睘㉂䑁䅅李時䕁䅙兓佂䕁䅅䅔畁䡁䅧䅢穂䡁䅧兘呂䕁䄴䅔杁䕁䅷兡㉂䝁䅕睊桁䍁䅑睑歁䑁䅍杏歁䙁䅯䅊穁䅁䅁兄䅁䙁䅧䅁湁䙁䅳睔兂䕁䅣䅉橂䡁䅉党歂䝁䅫䅤杁䝁䄰党あ䡁䅉兡橂䡁䅍睘㉂䑁䅣杌㑂䝁䅷督㑂䙁䄰睕佂䕁䅷䅉䵂䝁䅫杤求䍁䅣光歁䕁䅅䅊硁䅁䅁䅁䅁䝁䅑䅁湁䙁䅳睔兂䕁䅣䅉橂䡁䅉党歂䝁䅫䅤杁䝁䄰党あ䡁䅉兡橂䡁䅍睘㉂䑁䅣杌㑂䝁䅷督㑂䙁䄰睕佂䕁䅷䅉䵂䝁䅫杤求䍁䅣光歁䕁䅉䅊ㅁ䑁䅯䅊䍂䍁䅑免㍁䅁䅁允䅁䝁䅉䅁湁䙁䅳睔兂䕁䅣䅉橂䡁䅉党歂䝁䅫䅤杁䝁䄰党あ䡁䅉兡橂䡁䅍睘㉂䑁䅣杌㑂䝁䅷督㑂䙁䄰睕佂䕁䅷䅉䵂䝁䅫杤求䍁䅣光歁䕁䅍䅊穁䑁䅯䅊婂䍁䅑睍䅁䅁䅉䅁奂䅁䅁睊扂䕁䄸䅕䡂䍁䅁睙祂䝁䅕䅚灂䡁䅑䅉瑂䝁䅕䅤祂䝁䅫睙穂䙁䄸杤㑁䍁䄴䅥獂䡁䅍䅥摂䙁䅍杔䵂䍁䅁䅔灂䡁䅙党湁䍁䅅䅊䉂䍁䅑免䅁䅁䅑䅁歂䅁䅁睊扂䕁䄸䅕䡂䍁䅁睙祂䝁䅕䅚灂䡁䅑䅉瑂䝁䅕䅤祂䝁䅫睙穂䙁䄸杤㑁䍁䄴䅥獂䡁䅍䅥摂䙁䅍杔䵂䍁䅁䅔灂䡁䅙党湁䍁䅅䅊䍂䍁䅑兎㙁䍁䅑村歁䑁䅉䅍䅁䅁䅕䅁楂䅁䅁睊扂䕁䄸䅕䡂䍁䅁睙祂䝁䅕䅚灂䡁䅑䅉瑂䝁䅕䅤祂䝁䅫睙穂䙁䄸杤㑁䍁䄴䅥獂䡁䅍䅥摂䙁䅍杔䵂䍁䅁䅔灂䡁䅙党湁䍁䅅䅊䑂䍁䅑睍㙁䍁䅑兗歁䑁䅍䅁䝁䅁䅁杙䅁䍁䅣睗偂䙁䅁睒杁䝁䅍杣求䝁䅑兡あ䍁䅁兢求䡁䅑杣灂䝁䅍督時䡁䅙䅏畁䡁䅧䅢穂䡁䅧兘呂䕁䄴䅔杁䕁䅷兡㉂䝁䅕睊桁䍁䅑睑歁䑁䅍杏歁䙁䅯䅊穁䅁䅁睂䅁䉁䅉䅁呂䕁䄴䅔啂䝁䅅杙獂䝁䅕䅁䑁䅁䅁䅁䅁䅁㴽</t>
  </si>
  <si>
    <t>Cash Flow from Operations (S&amp;P)</t>
  </si>
  <si>
    <t>Yearly CWIP (Difference divided by 6 years)</t>
  </si>
  <si>
    <t>Average</t>
  </si>
  <si>
    <t>Source: Ex. C1-1-2 Page 4 of 6</t>
  </si>
  <si>
    <t>[b]: OPG Ex. L Tab 3.1 Schedule 20 VECC-005 Attachment 1 Table 5 (IRR Issue 3)</t>
  </si>
  <si>
    <t>[d]: OPG Ex. L Tab 3.1 Schedule 20 VECC-005 Attachment 1 Table 5 (IRR Issue 3)</t>
  </si>
  <si>
    <t>Total Capex Nuclear 2016-2021 (D2-1-2 Table 1)</t>
  </si>
  <si>
    <t>Total Equity (assumed constant at 2015 level)</t>
  </si>
  <si>
    <t>Total Rate Base (Ex. L Tab 3.1 Schedule 20 VECC-005 Attachment 1 Table 5)</t>
  </si>
  <si>
    <t>Net Income ([b]*[e]*[f])</t>
  </si>
  <si>
    <t>[h]: Adjustment of 673 is consistent with DBRS's adjustment in Ex. L Tab 3.1 Schedule 20 VECC-008 Attachment 4</t>
  </si>
  <si>
    <t>Hydro and unregulated service depreciation (as per OPG financial statement 2015 pg.57)</t>
  </si>
  <si>
    <t>Total OPG Depreciation (sum of [k]:[m])</t>
  </si>
  <si>
    <t>[jj]: We do not subtract debt issues maturing in each year on the assumption that in a worst case scenario OPG will re-issue an equal amount of debt to pay off the principal on maturing notes</t>
  </si>
  <si>
    <t>Planned Nuclear Income Tax (F4-2-1 Table 2)</t>
  </si>
  <si>
    <t>Summary</t>
  </si>
  <si>
    <t>[v]: To calculate FFO with net interest expense, we assume that interest income is held constant at $9mm, which was OPG's average interest income between 2011 and 2015</t>
  </si>
  <si>
    <t>[u],[v]: S&amp;P Definitions as per S&amp;P Corporate Methodology: Ratios and Adjustments, 11/19/2013</t>
  </si>
  <si>
    <t>Operating Lease Obligations (per OPG Financial Statements)</t>
  </si>
  <si>
    <t xml:space="preserve">Short Term Debt Amount </t>
  </si>
  <si>
    <t>(C1-1-1 Tables 1-9)</t>
  </si>
  <si>
    <t xml:space="preserve">Planned New Debt Issues </t>
  </si>
  <si>
    <t>(Ex. C1-1-2 page 114)</t>
  </si>
  <si>
    <t>Replication of OPG's Cost of Existing Debt as of FY 2015</t>
  </si>
  <si>
    <t>Yearly Deferred Income Tax 2015</t>
  </si>
  <si>
    <t>[fff],[hhh],[jjj],[lll]: S&amp;P Rating Services Corporates Methodology pg. 36 (11/19/2013)</t>
  </si>
  <si>
    <t>[ddd]: DBRS Methodology for Rating Companies in the Regulated Electric, Natural Gas, and Water Utilities Industry (Oct. 2016)</t>
  </si>
  <si>
    <t>Interest Expense:</t>
  </si>
  <si>
    <t>Net Income and EBITDA:</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</si>
</sst>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quot;$&quot;* #,##0.00_);_(&quot;$&quot;* \(#,##0.00\);_(&quot;$&quot;* &quot;-&quot;??_);_(@_)"/>
    <numFmt numFmtId="165" formatCode="_(* #,##0.00_);_(* \(#,##0.00\);_(* &quot;-&quot;??_);_(@_)"/>
    <numFmt numFmtId="166" formatCode="0.0%"/>
    <numFmt numFmtId="167" formatCode="_(* #,##0_);_(* \(#,##0\);_(* &quot;-&quot;??_);_(@_)"/>
    <numFmt numFmtId="168" formatCode="&quot;$&quot;#,##0"/>
    <numFmt numFmtId="169" formatCode="0.0"/>
    <numFmt numFmtId="170" formatCode="0.0000"/>
    <numFmt numFmtId="171" formatCode="&quot;$&quot;#,##0.00"/>
    <numFmt numFmtId="172" formatCode="0.000%"/>
    <numFmt numFmtId="173" formatCode="0.00000%"/>
    <numFmt numFmtId="174" formatCode="[$$-409]#,##0_);\([$$-409]#,##0\)"/>
    <numFmt numFmtId="175" formatCode="&quot;$&quot;#,##0;[Red]&quot;$&quot;#,##0"/>
    <numFmt numFmtId="176" formatCode="[$$-409]#,##0.00_);\([$$-409]#,##0.00\)"/>
  </numFmts>
  <fonts count="21" x14ac:knownFonts="1">
    <font>
      <sz val="11"/>
      <color theme="1"/>
      <name val="Calibri"/>
      <family val="2"/>
      <scheme val="minor"/>
    </font>
    <font>
      <sz val="11"/>
      <color theme="1"/>
      <name val="Calibri"/>
      <family val="2"/>
      <scheme val="minor"/>
    </font>
    <font>
      <b/>
      <sz val="14"/>
      <color theme="3"/>
      <name val="Calibri"/>
      <family val="2"/>
      <scheme val="minor"/>
    </font>
    <font>
      <sz val="11"/>
      <color theme="1"/>
      <name val="Calibri"/>
      <family val="2"/>
    </font>
    <font>
      <sz val="11"/>
      <name val="Calibri"/>
      <family val="2"/>
      <scheme val="minor"/>
    </font>
    <font>
      <b/>
      <sz val="11"/>
      <color theme="1"/>
      <name val="Calibri"/>
      <family val="2"/>
      <scheme val="minor"/>
    </font>
    <font>
      <b/>
      <sz val="11"/>
      <name val="Calibri"/>
      <family val="2"/>
      <scheme val="minor"/>
    </font>
    <font>
      <sz val="10"/>
      <name val="Times New Roman"/>
      <family val="1"/>
    </font>
    <font>
      <b/>
      <sz val="14"/>
      <name val="Calibri"/>
      <family val="2"/>
      <scheme val="minor"/>
    </font>
    <font>
      <b/>
      <sz val="13"/>
      <color theme="3"/>
      <name val="Calibri"/>
      <family val="2"/>
      <scheme val="minor"/>
    </font>
    <font>
      <b/>
      <sz val="11"/>
      <color theme="3"/>
      <name val="Calibri"/>
      <family val="2"/>
      <scheme val="minor"/>
    </font>
    <font>
      <sz val="10"/>
      <name val="Arial"/>
      <family val="2"/>
    </font>
    <font>
      <b/>
      <sz val="14"/>
      <color indexed="9"/>
      <name val="Arial"/>
      <family val="2"/>
    </font>
    <font>
      <b/>
      <sz val="14"/>
      <name val="Arial"/>
      <family val="2"/>
    </font>
    <font>
      <b/>
      <sz val="12"/>
      <color indexed="9"/>
      <name val="Arial"/>
      <family val="2"/>
    </font>
    <font>
      <b/>
      <sz val="12"/>
      <name val="Arial"/>
      <family val="2"/>
    </font>
    <font>
      <b/>
      <sz val="10"/>
      <name val="Arial"/>
      <family val="2"/>
    </font>
    <font>
      <b/>
      <sz val="10"/>
      <color indexed="9"/>
      <name val="Arial"/>
      <family val="2"/>
    </font>
    <font>
      <b/>
      <i/>
      <sz val="8"/>
      <color indexed="9"/>
      <name val="Arial"/>
      <family val="2"/>
    </font>
    <font>
      <sz val="8"/>
      <name val="Arial"/>
      <family val="2"/>
    </font>
    <font>
      <b/>
      <sz val="8"/>
      <name val="Arial"/>
      <family val="2"/>
    </font>
  </fonts>
  <fills count="9">
    <fill>
      <patternFill patternType="none"/>
    </fill>
    <fill>
      <patternFill patternType="gray125"/>
    </fill>
    <fill>
      <patternFill patternType="solid">
        <fgColor theme="5" tint="0.79998168889431442"/>
        <bgColor indexed="64"/>
      </patternFill>
    </fill>
    <fill>
      <patternFill patternType="solid">
        <fgColor rgb="FFFF0000"/>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rgb="FFFFC000"/>
        <bgColor indexed="64"/>
      </patternFill>
    </fill>
    <fill>
      <patternFill patternType="solid">
        <fgColor theme="2"/>
        <bgColor indexed="64"/>
      </patternFill>
    </fill>
  </fills>
  <borders count="5">
    <border>
      <left/>
      <right/>
      <top/>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s>
  <cellStyleXfs count="32">
    <xf numFmtId="0" fontId="0" fillId="0" borderId="0"/>
    <xf numFmtId="9" fontId="1"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7" fillId="0" borderId="0"/>
    <xf numFmtId="164" fontId="1" fillId="0" borderId="0" applyFont="0" applyFill="0" applyBorder="0" applyAlignment="0" applyProtection="0"/>
    <xf numFmtId="0" fontId="11" fillId="0" borderId="0"/>
    <xf numFmtId="0" fontId="11" fillId="0" borderId="0" applyNumberFormat="0" applyFill="0" applyBorder="0" applyProtection="0">
      <alignment wrapText="1"/>
    </xf>
    <xf numFmtId="0" fontId="11" fillId="0" borderId="0" applyNumberFormat="0" applyFill="0" applyBorder="0" applyProtection="0">
      <alignment horizontal="justify" vertical="top" wrapText="1"/>
    </xf>
    <xf numFmtId="0" fontId="12" fillId="4" borderId="0" applyNumberFormat="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5" borderId="0" applyNumberFormat="0" applyBorder="0" applyAlignment="0" applyProtection="0"/>
    <xf numFmtId="0" fontId="17" fillId="5" borderId="0" applyNumberFormat="0" applyBorder="0" applyProtection="0">
      <alignment horizontal="center"/>
    </xf>
    <xf numFmtId="0" fontId="18" fillId="5" borderId="0" applyNumberFormat="0" applyBorder="0" applyAlignment="0" applyProtection="0"/>
    <xf numFmtId="0" fontId="11" fillId="0" borderId="0" applyNumberFormat="0" applyFont="0" applyFill="0" applyBorder="0" applyProtection="0">
      <alignment horizontal="right"/>
    </xf>
    <xf numFmtId="0" fontId="11" fillId="0" borderId="0" applyNumberFormat="0" applyFont="0" applyFill="0" applyBorder="0" applyProtection="0">
      <alignment horizontal="left"/>
    </xf>
    <xf numFmtId="0" fontId="19" fillId="0" borderId="0" applyNumberFormat="0" applyFill="0" applyBorder="0" applyAlignment="0" applyProtection="0"/>
    <xf numFmtId="0" fontId="20" fillId="0" borderId="0" applyNumberFormat="0" applyFill="0" applyBorder="0" applyAlignment="0" applyProtection="0"/>
    <xf numFmtId="0" fontId="11" fillId="6" borderId="0" applyNumberFormat="0" applyFont="0" applyBorder="0" applyAlignment="0" applyProtection="0"/>
    <xf numFmtId="170" fontId="11" fillId="0" borderId="0" applyFont="0" applyFill="0" applyBorder="0" applyAlignment="0" applyProtection="0"/>
    <xf numFmtId="2" fontId="11" fillId="0" borderId="0" applyFont="0" applyFill="0" applyBorder="0" applyAlignment="0" applyProtection="0"/>
    <xf numFmtId="169" fontId="11" fillId="0" borderId="0" applyFont="0" applyFill="0" applyBorder="0" applyAlignment="0" applyProtection="0"/>
    <xf numFmtId="0" fontId="11" fillId="0" borderId="4" applyNumberFormat="0" applyFont="0" applyFill="0" applyAlignment="0" applyProtection="0"/>
  </cellStyleXfs>
  <cellXfs count="126">
    <xf numFmtId="0" fontId="0" fillId="0" borderId="0" xfId="0"/>
    <xf numFmtId="0" fontId="0" fillId="0" borderId="1" xfId="0" applyBorder="1"/>
    <xf numFmtId="0" fontId="0" fillId="0" borderId="0" xfId="0" applyAlignment="1">
      <alignment horizontal="centerContinuous"/>
    </xf>
    <xf numFmtId="0" fontId="2" fillId="0" borderId="0" xfId="0" applyFont="1" applyAlignment="1">
      <alignment horizontal="centerContinuous"/>
    </xf>
    <xf numFmtId="0" fontId="0" fillId="0" borderId="2" xfId="0" applyBorder="1" applyAlignment="1">
      <alignment horizontal="center"/>
    </xf>
    <xf numFmtId="0" fontId="0" fillId="0" borderId="3" xfId="0" applyBorder="1"/>
    <xf numFmtId="0" fontId="5" fillId="0" borderId="0" xfId="0" applyFont="1"/>
    <xf numFmtId="0" fontId="0" fillId="0" borderId="0" xfId="0" applyBorder="1"/>
    <xf numFmtId="0" fontId="0" fillId="0" borderId="0" xfId="0" applyAlignment="1">
      <alignment horizontal="left"/>
    </xf>
    <xf numFmtId="0" fontId="0" fillId="0" borderId="0" xfId="0" applyBorder="1" applyAlignment="1">
      <alignment horizontal="center"/>
    </xf>
    <xf numFmtId="0" fontId="4" fillId="0" borderId="0" xfId="0" applyFont="1" applyAlignment="1">
      <alignment horizontal="centerContinuous"/>
    </xf>
    <xf numFmtId="0" fontId="4" fillId="0" borderId="1" xfId="0" applyFont="1" applyBorder="1"/>
    <xf numFmtId="167" fontId="4" fillId="0" borderId="0" xfId="9" applyNumberFormat="1" applyFont="1" applyAlignment="1">
      <alignment horizontal="right" indent="2"/>
    </xf>
    <xf numFmtId="0" fontId="4" fillId="0" borderId="0" xfId="0" applyFont="1" applyFill="1" applyBorder="1"/>
    <xf numFmtId="10" fontId="4" fillId="2" borderId="0" xfId="1" applyNumberFormat="1" applyFont="1" applyFill="1"/>
    <xf numFmtId="169" fontId="4" fillId="0" borderId="0" xfId="0" applyNumberFormat="1" applyFont="1"/>
    <xf numFmtId="0" fontId="9" fillId="0" borderId="0" xfId="0" applyFont="1" applyAlignment="1">
      <alignment horizontal="centerContinuous"/>
    </xf>
    <xf numFmtId="0" fontId="10" fillId="0" borderId="0" xfId="0" applyFont="1" applyAlignment="1">
      <alignment horizontal="centerContinuous"/>
    </xf>
    <xf numFmtId="0" fontId="8" fillId="0" borderId="1" xfId="0" applyFont="1" applyBorder="1"/>
    <xf numFmtId="0" fontId="8" fillId="0" borderId="0" xfId="0" applyFont="1"/>
    <xf numFmtId="169" fontId="4" fillId="2" borderId="0" xfId="0" applyNumberFormat="1" applyFont="1" applyFill="1"/>
    <xf numFmtId="170" fontId="4" fillId="0" borderId="0" xfId="0" applyNumberFormat="1" applyFont="1"/>
    <xf numFmtId="0" fontId="4" fillId="0" borderId="1" xfId="0" applyFont="1" applyBorder="1" applyAlignment="1">
      <alignment horizontal="center"/>
    </xf>
    <xf numFmtId="0" fontId="4" fillId="0" borderId="1" xfId="0" applyFont="1" applyFill="1" applyBorder="1"/>
    <xf numFmtId="0" fontId="0" fillId="0" borderId="0" xfId="0" applyAlignment="1">
      <alignment horizontal="center"/>
    </xf>
    <xf numFmtId="0" fontId="6" fillId="0" borderId="0" xfId="0" applyFont="1" applyFill="1"/>
    <xf numFmtId="0" fontId="9" fillId="0" borderId="0" xfId="0" applyFont="1"/>
    <xf numFmtId="0" fontId="0" fillId="0" borderId="0" xfId="0" applyAlignment="1">
      <alignment horizontal="right" indent="7"/>
    </xf>
    <xf numFmtId="10" fontId="0" fillId="0" borderId="0" xfId="1" applyNumberFormat="1" applyFont="1" applyAlignment="1">
      <alignment horizontal="right" indent="7"/>
    </xf>
    <xf numFmtId="168" fontId="0" fillId="0" borderId="0" xfId="0" applyNumberFormat="1" applyAlignment="1">
      <alignment horizontal="right" indent="7"/>
    </xf>
    <xf numFmtId="0" fontId="6" fillId="0" borderId="0" xfId="0" applyFont="1" applyFill="1" applyBorder="1"/>
    <xf numFmtId="10" fontId="4" fillId="0" borderId="0" xfId="1" applyNumberFormat="1" applyFont="1" applyFill="1" applyBorder="1"/>
    <xf numFmtId="9" fontId="4" fillId="0" borderId="0" xfId="1" applyFont="1" applyFill="1" applyBorder="1"/>
    <xf numFmtId="9" fontId="4" fillId="0" borderId="0" xfId="0" applyNumberFormat="1" applyFont="1" applyFill="1" applyBorder="1"/>
    <xf numFmtId="0" fontId="0" fillId="0" borderId="0" xfId="0" applyAlignment="1">
      <alignment horizontal="center"/>
    </xf>
    <xf numFmtId="0" fontId="0" fillId="0" borderId="0" xfId="0" applyAlignment="1">
      <alignment horizontal="center"/>
    </xf>
    <xf numFmtId="0" fontId="4" fillId="2" borderId="0" xfId="0" applyFont="1" applyFill="1" applyBorder="1"/>
    <xf numFmtId="169" fontId="4" fillId="0" borderId="0" xfId="0" applyNumberFormat="1" applyFont="1" applyBorder="1"/>
    <xf numFmtId="10" fontId="4" fillId="0" borderId="0" xfId="0" applyNumberFormat="1" applyFont="1" applyFill="1" applyBorder="1"/>
    <xf numFmtId="0" fontId="0" fillId="0" borderId="0" xfId="0" applyFill="1"/>
    <xf numFmtId="168" fontId="4" fillId="0" borderId="0" xfId="9" applyNumberFormat="1" applyFont="1" applyAlignment="1"/>
    <xf numFmtId="0" fontId="0" fillId="0" borderId="0" xfId="0" applyAlignment="1">
      <alignment horizontal="center"/>
    </xf>
    <xf numFmtId="1" fontId="4" fillId="0" borderId="0" xfId="0" applyNumberFormat="1" applyFont="1"/>
    <xf numFmtId="10" fontId="4" fillId="0" borderId="0" xfId="0" applyNumberFormat="1" applyFont="1"/>
    <xf numFmtId="0" fontId="4" fillId="0" borderId="0" xfId="0" applyFont="1" applyFill="1" applyBorder="1" applyAlignment="1">
      <alignment horizontal="center"/>
    </xf>
    <xf numFmtId="168" fontId="4" fillId="0" borderId="0" xfId="0" applyNumberFormat="1" applyFont="1" applyFill="1" applyBorder="1" applyAlignment="1">
      <alignment horizontal="right" indent="3"/>
    </xf>
    <xf numFmtId="10" fontId="4" fillId="0" borderId="0" xfId="1" applyNumberFormat="1" applyFont="1" applyFill="1" applyBorder="1" applyAlignment="1">
      <alignment horizontal="right" indent="3"/>
    </xf>
    <xf numFmtId="166" fontId="4" fillId="0" borderId="0" xfId="1" applyNumberFormat="1" applyFont="1" applyFill="1" applyBorder="1" applyAlignment="1">
      <alignment horizontal="right" indent="3"/>
    </xf>
    <xf numFmtId="2" fontId="4" fillId="0" borderId="0" xfId="0" applyNumberFormat="1" applyFont="1" applyFill="1" applyBorder="1" applyAlignment="1">
      <alignment horizontal="left" indent="5"/>
    </xf>
    <xf numFmtId="166" fontId="4" fillId="0" borderId="0" xfId="1" applyNumberFormat="1" applyFont="1" applyFill="1" applyBorder="1" applyAlignment="1">
      <alignment horizontal="left" indent="5"/>
    </xf>
    <xf numFmtId="0" fontId="4" fillId="0" borderId="0" xfId="0" applyFont="1" applyFill="1" applyBorder="1" applyAlignment="1">
      <alignment horizontal="left" indent="5"/>
    </xf>
    <xf numFmtId="9" fontId="4" fillId="0" borderId="0" xfId="1" applyFont="1" applyFill="1" applyBorder="1" applyAlignment="1">
      <alignment horizontal="right" indent="3"/>
    </xf>
    <xf numFmtId="168" fontId="4" fillId="0" borderId="0" xfId="1" applyNumberFormat="1" applyFont="1" applyFill="1" applyBorder="1" applyAlignment="1">
      <alignment horizontal="right" indent="3"/>
    </xf>
    <xf numFmtId="9" fontId="4" fillId="0" borderId="0" xfId="1" applyNumberFormat="1" applyFont="1" applyFill="1" applyBorder="1" applyAlignment="1">
      <alignment horizontal="right" indent="3"/>
    </xf>
    <xf numFmtId="0" fontId="4" fillId="0" borderId="0" xfId="0" applyFont="1" applyFill="1" applyBorder="1" applyAlignment="1">
      <alignment horizontal="right"/>
    </xf>
    <xf numFmtId="0" fontId="10" fillId="0" borderId="0" xfId="0" applyFont="1" applyFill="1" applyBorder="1"/>
    <xf numFmtId="0" fontId="10" fillId="0" borderId="0" xfId="0" applyFont="1"/>
    <xf numFmtId="2" fontId="4" fillId="0" borderId="0" xfId="1" applyNumberFormat="1" applyFont="1" applyFill="1" applyBorder="1" applyAlignment="1">
      <alignment horizontal="right" indent="3"/>
    </xf>
    <xf numFmtId="9" fontId="4" fillId="2" borderId="0" xfId="0" applyNumberFormat="1" applyFont="1" applyFill="1"/>
    <xf numFmtId="10" fontId="4" fillId="2" borderId="0" xfId="0" applyNumberFormat="1" applyFont="1" applyFill="1"/>
    <xf numFmtId="1" fontId="4" fillId="0" borderId="0" xfId="0" applyNumberFormat="1" applyFont="1" applyFill="1" applyBorder="1"/>
    <xf numFmtId="172" fontId="0" fillId="0" borderId="0" xfId="1" applyNumberFormat="1" applyFont="1"/>
    <xf numFmtId="168" fontId="0" fillId="0" borderId="0" xfId="0" applyNumberFormat="1"/>
    <xf numFmtId="10" fontId="4" fillId="2" borderId="0" xfId="1" applyNumberFormat="1" applyFont="1" applyFill="1" applyAlignment="1"/>
    <xf numFmtId="173" fontId="4" fillId="2" borderId="0" xfId="1" applyNumberFormat="1" applyFont="1" applyFill="1"/>
    <xf numFmtId="0" fontId="0" fillId="7" borderId="0" xfId="0" applyFill="1" applyBorder="1"/>
    <xf numFmtId="168" fontId="4" fillId="0" borderId="0" xfId="0" applyNumberFormat="1" applyFont="1"/>
    <xf numFmtId="1" fontId="4" fillId="0" borderId="0" xfId="0" applyNumberFormat="1" applyFont="1" applyFill="1"/>
    <xf numFmtId="0" fontId="4" fillId="0" borderId="0" xfId="0" applyFont="1"/>
    <xf numFmtId="0" fontId="4" fillId="0" borderId="0" xfId="0" applyFont="1" applyAlignment="1">
      <alignment horizontal="center"/>
    </xf>
    <xf numFmtId="0" fontId="4" fillId="0" borderId="0" xfId="0" applyFont="1" applyFill="1"/>
    <xf numFmtId="0" fontId="4" fillId="0" borderId="0" xfId="0" applyFont="1" applyFill="1" applyBorder="1"/>
    <xf numFmtId="0" fontId="4" fillId="2" borderId="0" xfId="0" applyFont="1" applyFill="1"/>
    <xf numFmtId="169" fontId="4" fillId="0" borderId="0" xfId="0" applyNumberFormat="1" applyFont="1" applyFill="1"/>
    <xf numFmtId="0" fontId="0" fillId="0" borderId="0" xfId="0" applyAlignment="1">
      <alignment horizontal="center"/>
    </xf>
    <xf numFmtId="0" fontId="0" fillId="0" borderId="0" xfId="0" applyAlignment="1">
      <alignment horizontal="center"/>
    </xf>
    <xf numFmtId="0" fontId="2" fillId="0" borderId="0" xfId="0" applyFont="1"/>
    <xf numFmtId="0" fontId="0" fillId="0" borderId="3" xfId="0" applyBorder="1" applyAlignment="1">
      <alignment horizontal="center"/>
    </xf>
    <xf numFmtId="0" fontId="5" fillId="0" borderId="3" xfId="0" applyFont="1" applyBorder="1" applyAlignment="1">
      <alignment horizontal="center"/>
    </xf>
    <xf numFmtId="0" fontId="0" fillId="0" borderId="2" xfId="0" applyFont="1" applyBorder="1" applyAlignment="1">
      <alignment horizontal="center"/>
    </xf>
    <xf numFmtId="175" fontId="0" fillId="0" borderId="0" xfId="0" applyNumberFormat="1"/>
    <xf numFmtId="0" fontId="0" fillId="8" borderId="0" xfId="0" applyFill="1"/>
    <xf numFmtId="0" fontId="0" fillId="8" borderId="0" xfId="0" applyFill="1" applyBorder="1"/>
    <xf numFmtId="0" fontId="4" fillId="8" borderId="0" xfId="0" applyFont="1" applyFill="1" applyBorder="1"/>
    <xf numFmtId="0" fontId="0" fillId="0" borderId="0" xfId="0" applyFont="1" applyBorder="1" applyAlignment="1">
      <alignment horizontal="center"/>
    </xf>
    <xf numFmtId="1" fontId="4" fillId="2" borderId="0" xfId="1" applyNumberFormat="1" applyFont="1" applyFill="1"/>
    <xf numFmtId="176" fontId="0" fillId="0" borderId="0" xfId="0" applyNumberFormat="1"/>
    <xf numFmtId="174" fontId="0" fillId="0" borderId="0" xfId="0" applyNumberFormat="1" applyAlignment="1">
      <alignment horizontal="right" indent="2"/>
    </xf>
    <xf numFmtId="10" fontId="0" fillId="0" borderId="0" xfId="1" applyNumberFormat="1" applyFont="1" applyAlignment="1">
      <alignment horizontal="right" indent="2"/>
    </xf>
    <xf numFmtId="9" fontId="0" fillId="0" borderId="0" xfId="1" applyFont="1" applyAlignment="1">
      <alignment horizontal="right" indent="2"/>
    </xf>
    <xf numFmtId="168" fontId="0" fillId="0" borderId="0" xfId="0" applyNumberFormat="1" applyAlignment="1">
      <alignment horizontal="right" indent="2"/>
    </xf>
    <xf numFmtId="168" fontId="0" fillId="0" borderId="0" xfId="0" applyNumberFormat="1" applyBorder="1" applyAlignment="1">
      <alignment horizontal="right" indent="2"/>
    </xf>
    <xf numFmtId="0" fontId="0" fillId="0" borderId="0" xfId="0" applyBorder="1" applyAlignment="1">
      <alignment horizontal="left"/>
    </xf>
    <xf numFmtId="0" fontId="0" fillId="0" borderId="1" xfId="0" applyBorder="1" applyAlignment="1">
      <alignment horizontal="center"/>
    </xf>
    <xf numFmtId="175" fontId="0" fillId="0" borderId="0" xfId="0" applyNumberFormat="1" applyAlignment="1">
      <alignment horizontal="right" indent="3"/>
    </xf>
    <xf numFmtId="2" fontId="0" fillId="0" borderId="0" xfId="1" applyNumberFormat="1" applyFont="1"/>
    <xf numFmtId="0" fontId="4" fillId="0" borderId="0" xfId="0" applyFont="1"/>
    <xf numFmtId="0" fontId="4" fillId="0" borderId="0" xfId="0" applyFont="1" applyBorder="1"/>
    <xf numFmtId="0" fontId="0" fillId="0" borderId="0" xfId="0"/>
    <xf numFmtId="9" fontId="4" fillId="0" borderId="0" xfId="1" applyFont="1"/>
    <xf numFmtId="10" fontId="4" fillId="0" borderId="0" xfId="0" applyNumberFormat="1" applyFont="1" applyFill="1"/>
    <xf numFmtId="169" fontId="4" fillId="0" borderId="0" xfId="1" applyNumberFormat="1" applyFont="1"/>
    <xf numFmtId="0" fontId="4" fillId="0" borderId="0" xfId="0" quotePrefix="1" applyFont="1"/>
    <xf numFmtId="0" fontId="8" fillId="0" borderId="0" xfId="0" applyFont="1" applyAlignment="1">
      <alignment horizontal="centerContinuous"/>
    </xf>
    <xf numFmtId="0" fontId="6" fillId="0" borderId="0" xfId="0" applyFont="1"/>
    <xf numFmtId="9" fontId="4" fillId="3" borderId="0" xfId="0" applyNumberFormat="1" applyFont="1" applyFill="1"/>
    <xf numFmtId="0" fontId="6" fillId="0" borderId="0" xfId="0" applyFont="1" applyAlignment="1">
      <alignment horizontal="right" indent="2"/>
    </xf>
    <xf numFmtId="0" fontId="4" fillId="0" borderId="0" xfId="0" applyFont="1" applyAlignment="1">
      <alignment horizontal="right" indent="2"/>
    </xf>
    <xf numFmtId="166" fontId="4" fillId="0" borderId="0" xfId="1" applyNumberFormat="1" applyFont="1" applyAlignment="1">
      <alignment horizontal="right" indent="2"/>
    </xf>
    <xf numFmtId="0" fontId="4" fillId="0" borderId="0" xfId="0" applyFont="1" applyAlignment="1">
      <alignment horizontal="left"/>
    </xf>
    <xf numFmtId="10" fontId="4" fillId="0" borderId="0" xfId="1" applyNumberFormat="1" applyFont="1"/>
    <xf numFmtId="166" fontId="4" fillId="0" borderId="0" xfId="1" applyNumberFormat="1" applyFont="1"/>
    <xf numFmtId="1" fontId="4" fillId="0" borderId="0" xfId="1" applyNumberFormat="1" applyFont="1"/>
    <xf numFmtId="0" fontId="4" fillId="0" borderId="2" xfId="0" applyFont="1" applyFill="1" applyBorder="1"/>
    <xf numFmtId="0" fontId="4" fillId="0" borderId="2" xfId="0" applyFont="1" applyBorder="1"/>
    <xf numFmtId="168" fontId="4" fillId="0" borderId="0" xfId="0" applyNumberFormat="1" applyFont="1" applyAlignment="1"/>
    <xf numFmtId="168" fontId="4" fillId="0" borderId="0" xfId="1" applyNumberFormat="1" applyFont="1" applyFill="1" applyBorder="1"/>
    <xf numFmtId="168" fontId="4" fillId="0" borderId="0" xfId="0" applyNumberFormat="1" applyFont="1" applyFill="1" applyBorder="1"/>
    <xf numFmtId="168" fontId="4" fillId="0" borderId="0" xfId="11" applyNumberFormat="1" applyFont="1" applyFill="1" applyBorder="1"/>
    <xf numFmtId="168" fontId="4" fillId="0" borderId="0" xfId="0" applyNumberFormat="1" applyFont="1" applyFill="1"/>
    <xf numFmtId="2" fontId="4" fillId="0" borderId="0" xfId="0" applyNumberFormat="1" applyFont="1"/>
    <xf numFmtId="0" fontId="4" fillId="0" borderId="0" xfId="0" applyFont="1" applyAlignment="1">
      <alignment horizontal="right"/>
    </xf>
    <xf numFmtId="166" fontId="4" fillId="0" borderId="0" xfId="1" applyNumberFormat="1" applyFont="1" applyFill="1"/>
    <xf numFmtId="171" fontId="4" fillId="0" borderId="0" xfId="0" applyNumberFormat="1" applyFont="1" applyFill="1" applyBorder="1" applyAlignment="1">
      <alignment horizontal="center"/>
    </xf>
    <xf numFmtId="166" fontId="4" fillId="0" borderId="0" xfId="1" applyNumberFormat="1" applyFont="1" applyFill="1" applyBorder="1" applyAlignment="1">
      <alignment horizontal="center"/>
    </xf>
    <xf numFmtId="0" fontId="0" fillId="0" borderId="0" xfId="0" applyAlignment="1">
      <alignment horizontal="left" vertical="center" wrapText="1"/>
    </xf>
  </cellXfs>
  <cellStyles count="32">
    <cellStyle name="Comma" xfId="9" builtinId="3"/>
    <cellStyle name="Comma 2" xfId="3"/>
    <cellStyle name="Currency" xfId="11" builtinId="4"/>
    <cellStyle name="HeadlineStyle" xfId="13"/>
    <cellStyle name="HeadlineStyleJustified" xfId="14"/>
    <cellStyle name="Normal" xfId="0" builtinId="0"/>
    <cellStyle name="Normal 10" xfId="10"/>
    <cellStyle name="Normal 2" xfId="2"/>
    <cellStyle name="Normal 3" xfId="12"/>
    <cellStyle name="Normal 372" xfId="5"/>
    <cellStyle name="Normal 372 2" xfId="7"/>
    <cellStyle name="Percent" xfId="1" builtinId="5"/>
    <cellStyle name="Percent 2" xfId="4"/>
    <cellStyle name="Percent 216" xfId="6"/>
    <cellStyle name="Percent 216 2" xfId="8"/>
    <cellStyle name="Style 21" xfId="15"/>
    <cellStyle name="Style 22" xfId="16"/>
    <cellStyle name="Style 23" xfId="17"/>
    <cellStyle name="Style 24" xfId="18"/>
    <cellStyle name="Style 25" xfId="19"/>
    <cellStyle name="Style 26" xfId="20"/>
    <cellStyle name="Style 27" xfId="21"/>
    <cellStyle name="Style 28" xfId="22"/>
    <cellStyle name="Style 29" xfId="23"/>
    <cellStyle name="Style 30" xfId="24"/>
    <cellStyle name="Style 31" xfId="25"/>
    <cellStyle name="Style 32" xfId="26"/>
    <cellStyle name="Style 33" xfId="27"/>
    <cellStyle name="Style 34" xfId="28"/>
    <cellStyle name="Style 35" xfId="29"/>
    <cellStyle name="Style 36" xfId="30"/>
    <cellStyle name="Style 39" xfId="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5" x14ac:dyDescent="0.25"/>
  <sheetData>
    <row r="1" spans="1:1" x14ac:dyDescent="0.25">
      <c r="A1" t="s">
        <v>151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112"/>
  <sheetViews>
    <sheetView tabSelected="1" view="pageBreakPreview" zoomScale="85" zoomScaleNormal="100" zoomScaleSheetLayoutView="85" workbookViewId="0">
      <selection activeCell="E11" sqref="E11"/>
    </sheetView>
  </sheetViews>
  <sheetFormatPr defaultRowHeight="15" outlineLevelCol="2" x14ac:dyDescent="0.25"/>
  <cols>
    <col min="1" max="1" width="39.140625" style="72" customWidth="1" outlineLevel="1"/>
    <col min="2" max="3" width="10.85546875" style="72" customWidth="1" outlineLevel="2"/>
    <col min="4" max="4" width="9.140625" style="96"/>
    <col min="5" max="5" width="83.85546875" style="96" customWidth="1"/>
    <col min="6" max="6" width="11.140625" style="96" customWidth="1"/>
    <col min="7" max="7" width="11.5703125" style="96" customWidth="1"/>
    <col min="8" max="11" width="12.5703125" style="96" bestFit="1" customWidth="1"/>
    <col min="12" max="12" width="16.7109375" style="96" bestFit="1" customWidth="1"/>
    <col min="13" max="14" width="9.140625" style="96"/>
    <col min="15" max="15" width="10.7109375" style="96" customWidth="1"/>
    <col min="16" max="16384" width="9.140625" style="96"/>
  </cols>
  <sheetData>
    <row r="1" spans="1:21" x14ac:dyDescent="0.25">
      <c r="A1" s="72" t="s">
        <v>62</v>
      </c>
      <c r="B1" s="14">
        <v>8.7800000000000003E-2</v>
      </c>
      <c r="C1" s="14"/>
    </row>
    <row r="2" spans="1:21" x14ac:dyDescent="0.25">
      <c r="B2" s="14"/>
      <c r="C2" s="14"/>
    </row>
    <row r="4" spans="1:21" ht="18.75" x14ac:dyDescent="0.3">
      <c r="D4" s="3" t="s">
        <v>102</v>
      </c>
      <c r="E4" s="103"/>
      <c r="F4" s="10"/>
      <c r="G4" s="10"/>
      <c r="H4" s="10"/>
      <c r="I4" s="10"/>
      <c r="J4" s="10"/>
      <c r="K4" s="10"/>
      <c r="L4" s="10"/>
    </row>
    <row r="5" spans="1:21" ht="6" customHeight="1" thickBot="1" x14ac:dyDescent="0.35">
      <c r="D5" s="18"/>
      <c r="E5" s="18"/>
      <c r="F5" s="11"/>
      <c r="G5" s="11"/>
      <c r="H5" s="11"/>
      <c r="I5" s="11"/>
      <c r="J5" s="11"/>
      <c r="K5" s="11"/>
      <c r="L5" s="11"/>
    </row>
    <row r="6" spans="1:21" ht="6" customHeight="1" thickTop="1" x14ac:dyDescent="0.3">
      <c r="E6" s="19"/>
    </row>
    <row r="7" spans="1:21" ht="15" customHeight="1" x14ac:dyDescent="0.25">
      <c r="E7" s="104"/>
    </row>
    <row r="8" spans="1:21" ht="15" customHeight="1" x14ac:dyDescent="0.25">
      <c r="F8" s="70"/>
    </row>
    <row r="9" spans="1:21" x14ac:dyDescent="0.25">
      <c r="B9" s="105"/>
      <c r="C9" s="58"/>
      <c r="F9" s="70"/>
    </row>
    <row r="10" spans="1:21" x14ac:dyDescent="0.25">
      <c r="B10" s="58"/>
      <c r="C10" s="58"/>
      <c r="E10" s="104" t="s">
        <v>180</v>
      </c>
      <c r="F10" s="70"/>
    </row>
    <row r="11" spans="1:21" ht="14.25" customHeight="1" x14ac:dyDescent="0.25">
      <c r="A11" s="72" t="s">
        <v>84</v>
      </c>
      <c r="B11" s="20"/>
      <c r="C11" s="20"/>
      <c r="F11" s="106">
        <v>2015</v>
      </c>
      <c r="G11" s="106">
        <v>2016</v>
      </c>
      <c r="H11" s="106">
        <f>MAX($G11:G$11)+1</f>
        <v>2017</v>
      </c>
      <c r="I11" s="106">
        <f>MAX($G11:H$11)+1</f>
        <v>2018</v>
      </c>
      <c r="J11" s="106">
        <f>MAX($G11:I$11)+1</f>
        <v>2019</v>
      </c>
      <c r="K11" s="106">
        <f>MAX($G11:J$11)+1</f>
        <v>2020</v>
      </c>
      <c r="L11" s="106">
        <f>MAX($G11:K$11)+1</f>
        <v>2021</v>
      </c>
    </row>
    <row r="12" spans="1:21" ht="14.25" customHeight="1" x14ac:dyDescent="0.25">
      <c r="A12" s="72" t="s">
        <v>96</v>
      </c>
      <c r="B12" s="64">
        <f>F29/F13</f>
        <v>9.3877551020408161E-3</v>
      </c>
      <c r="C12" s="72">
        <v>97</v>
      </c>
      <c r="D12" s="69" t="str">
        <f t="shared" ref="D12:D41" si="0">IFERROR("["&amp;CHAR(C12)&amp;"]","")</f>
        <v>[a]</v>
      </c>
      <c r="E12" s="96" t="s">
        <v>4</v>
      </c>
      <c r="F12" s="107" t="s">
        <v>3</v>
      </c>
      <c r="G12" s="108">
        <f>(G13-F13)/F13</f>
        <v>4.0816326530612242E-2</v>
      </c>
      <c r="H12" s="108">
        <f t="shared" ref="H12:L12" si="1">(H13-G13)/G13</f>
        <v>5.8823529411764705E-2</v>
      </c>
      <c r="I12" s="108">
        <f t="shared" si="1"/>
        <v>1.8518518518518517E-2</v>
      </c>
      <c r="J12" s="108">
        <f>(J13-I13)/I13</f>
        <v>-9.0909090909090905E-3</v>
      </c>
      <c r="K12" s="108">
        <f t="shared" si="1"/>
        <v>0.38532110091743121</v>
      </c>
      <c r="L12" s="108">
        <f t="shared" si="1"/>
        <v>3.3112582781456956E-2</v>
      </c>
    </row>
    <row r="13" spans="1:21" ht="14.25" customHeight="1" x14ac:dyDescent="0.25">
      <c r="C13" s="72">
        <f>MAX($C$12:C12)+1</f>
        <v>98</v>
      </c>
      <c r="D13" s="69" t="str">
        <f t="shared" si="0"/>
        <v>[b]</v>
      </c>
      <c r="E13" s="96" t="s">
        <v>160</v>
      </c>
      <c r="F13" s="12">
        <v>9800</v>
      </c>
      <c r="G13" s="107">
        <v>10200</v>
      </c>
      <c r="H13" s="107">
        <v>10800</v>
      </c>
      <c r="I13" s="107">
        <v>11000</v>
      </c>
      <c r="J13" s="107">
        <v>10900</v>
      </c>
      <c r="K13" s="107">
        <v>15100</v>
      </c>
      <c r="L13" s="107">
        <v>15600</v>
      </c>
      <c r="N13" s="96" t="s">
        <v>103</v>
      </c>
    </row>
    <row r="14" spans="1:21" ht="14.25" customHeight="1" x14ac:dyDescent="0.25">
      <c r="C14" s="72">
        <f>MAX($C$12:C13)+1</f>
        <v>99</v>
      </c>
      <c r="D14" s="69" t="str">
        <f t="shared" si="0"/>
        <v>[c]</v>
      </c>
      <c r="E14" s="96" t="s">
        <v>9</v>
      </c>
      <c r="F14" s="107" t="s">
        <v>3</v>
      </c>
      <c r="G14" s="108">
        <f>(G15-F15)/F15</f>
        <v>0.150649904112508</v>
      </c>
      <c r="H14" s="108">
        <f t="shared" ref="H14:L14" si="2">(H15-G15)/G15</f>
        <v>0.22222222222222221</v>
      </c>
      <c r="I14" s="108">
        <f t="shared" si="2"/>
        <v>6.0606060606060608E-2</v>
      </c>
      <c r="J14" s="108">
        <f t="shared" si="2"/>
        <v>0</v>
      </c>
      <c r="K14" s="108">
        <f t="shared" si="2"/>
        <v>1.1428571428571428</v>
      </c>
      <c r="L14" s="108">
        <f t="shared" si="2"/>
        <v>6.6666666666666666E-2</v>
      </c>
    </row>
    <row r="15" spans="1:21" ht="14.25" customHeight="1" x14ac:dyDescent="0.25">
      <c r="C15" s="72">
        <f>MAX($C$12:C14)+1</f>
        <v>100</v>
      </c>
      <c r="D15" s="69" t="str">
        <f t="shared" si="0"/>
        <v>[d]</v>
      </c>
      <c r="E15" s="96" t="s">
        <v>20</v>
      </c>
      <c r="F15" s="96">
        <v>2346.5</v>
      </c>
      <c r="G15" s="96">
        <v>2700</v>
      </c>
      <c r="H15" s="96">
        <v>3300</v>
      </c>
      <c r="I15" s="96">
        <v>3500</v>
      </c>
      <c r="J15" s="96">
        <v>3500</v>
      </c>
      <c r="K15" s="96">
        <v>7500</v>
      </c>
      <c r="L15" s="96">
        <v>8000</v>
      </c>
    </row>
    <row r="16" spans="1:21" ht="14.25" customHeight="1" x14ac:dyDescent="0.25">
      <c r="C16" s="72">
        <f>MAX($C$12:C15)+1</f>
        <v>101</v>
      </c>
      <c r="D16" s="69" t="str">
        <f t="shared" si="0"/>
        <v>[e]</v>
      </c>
      <c r="E16" s="96" t="s">
        <v>75</v>
      </c>
      <c r="F16" s="43">
        <v>2.6700000000000002E-2</v>
      </c>
      <c r="G16" s="100">
        <f>$B$1</f>
        <v>8.7800000000000003E-2</v>
      </c>
      <c r="H16" s="100">
        <f t="shared" ref="H16:L16" si="3">$B$1</f>
        <v>8.7800000000000003E-2</v>
      </c>
      <c r="I16" s="100">
        <f t="shared" si="3"/>
        <v>8.7800000000000003E-2</v>
      </c>
      <c r="J16" s="100">
        <f t="shared" si="3"/>
        <v>8.7800000000000003E-2</v>
      </c>
      <c r="K16" s="100">
        <f t="shared" si="3"/>
        <v>8.7800000000000003E-2</v>
      </c>
      <c r="L16" s="100">
        <f t="shared" si="3"/>
        <v>8.7800000000000003E-2</v>
      </c>
      <c r="N16" s="96" t="s">
        <v>104</v>
      </c>
      <c r="O16" s="70"/>
      <c r="P16" s="70"/>
      <c r="Q16" s="70"/>
      <c r="R16" s="70"/>
      <c r="S16" s="70"/>
      <c r="T16" s="70"/>
      <c r="U16" s="70"/>
    </row>
    <row r="17" spans="1:21" ht="14.25" customHeight="1" x14ac:dyDescent="0.25">
      <c r="C17" s="72">
        <f>MAX($C$12:C16)+1</f>
        <v>102</v>
      </c>
      <c r="D17" s="69" t="str">
        <f t="shared" si="0"/>
        <v>[f]</v>
      </c>
      <c r="E17" s="96" t="s">
        <v>21</v>
      </c>
      <c r="F17" s="96">
        <v>0.45</v>
      </c>
      <c r="G17" s="96">
        <v>0.45</v>
      </c>
      <c r="H17" s="96">
        <v>0.45</v>
      </c>
      <c r="I17" s="96">
        <v>0.45</v>
      </c>
      <c r="J17" s="96">
        <v>0.45</v>
      </c>
      <c r="K17" s="96">
        <v>0.45</v>
      </c>
      <c r="L17" s="96">
        <v>0.45</v>
      </c>
      <c r="N17" s="96" t="s">
        <v>21</v>
      </c>
      <c r="O17" s="70"/>
      <c r="P17" s="70"/>
      <c r="Q17" s="70"/>
      <c r="R17" s="70"/>
      <c r="S17" s="70"/>
      <c r="T17" s="70"/>
      <c r="U17" s="70"/>
    </row>
    <row r="18" spans="1:21" ht="14.25" customHeight="1" x14ac:dyDescent="0.25">
      <c r="A18" s="72" t="s">
        <v>64</v>
      </c>
      <c r="B18" s="72">
        <v>0</v>
      </c>
      <c r="C18" s="72">
        <f>MAX($C$12:C17)+1</f>
        <v>103</v>
      </c>
      <c r="D18" s="69" t="str">
        <f t="shared" si="0"/>
        <v>[g]</v>
      </c>
      <c r="E18" s="96" t="s">
        <v>161</v>
      </c>
      <c r="F18" s="15">
        <v>417</v>
      </c>
      <c r="G18" s="73">
        <f t="shared" ref="G18:L18" si="4">((G$17*G$13)*G$16)</f>
        <v>403.00200000000001</v>
      </c>
      <c r="H18" s="15">
        <f t="shared" si="4"/>
        <v>426.70800000000003</v>
      </c>
      <c r="I18" s="15">
        <f t="shared" si="4"/>
        <v>434.61</v>
      </c>
      <c r="J18" s="15">
        <f>((J$17*J$13)*J$16)</f>
        <v>430.65899999999999</v>
      </c>
      <c r="K18" s="15">
        <f t="shared" si="4"/>
        <v>596.601</v>
      </c>
      <c r="L18" s="15">
        <f t="shared" si="4"/>
        <v>616.35599999999999</v>
      </c>
      <c r="N18" s="96" t="s">
        <v>12</v>
      </c>
      <c r="O18" s="70"/>
      <c r="P18" s="70"/>
      <c r="Q18" s="70"/>
      <c r="R18" s="70"/>
      <c r="S18" s="70"/>
      <c r="T18" s="70"/>
      <c r="U18" s="70"/>
    </row>
    <row r="19" spans="1:21" ht="14.25" customHeight="1" x14ac:dyDescent="0.25">
      <c r="A19" s="72" t="s">
        <v>63</v>
      </c>
      <c r="B19" s="72">
        <f>402+271</f>
        <v>673</v>
      </c>
      <c r="C19" s="72">
        <f>MAX($C$12:C18)+1</f>
        <v>104</v>
      </c>
      <c r="D19" s="69" t="str">
        <f t="shared" si="0"/>
        <v>[h]</v>
      </c>
      <c r="E19" s="96" t="s">
        <v>81</v>
      </c>
      <c r="F19" s="15">
        <v>673</v>
      </c>
      <c r="G19" s="15">
        <v>673</v>
      </c>
      <c r="H19" s="15">
        <v>673</v>
      </c>
      <c r="I19" s="15">
        <v>673</v>
      </c>
      <c r="J19" s="15">
        <v>673</v>
      </c>
      <c r="K19" s="15">
        <v>673</v>
      </c>
      <c r="L19" s="15">
        <v>673</v>
      </c>
      <c r="O19" s="71"/>
      <c r="P19" s="70"/>
      <c r="Q19" s="70"/>
      <c r="R19" s="70"/>
      <c r="S19" s="70"/>
      <c r="T19" s="70"/>
      <c r="U19" s="70"/>
    </row>
    <row r="20" spans="1:21" ht="14.25" customHeight="1" x14ac:dyDescent="0.25">
      <c r="C20" s="72">
        <f>MAX($C$12:C19)+1</f>
        <v>105</v>
      </c>
      <c r="D20" s="69" t="str">
        <f t="shared" si="0"/>
        <v>[i]</v>
      </c>
      <c r="E20" s="96" t="s">
        <v>65</v>
      </c>
      <c r="F20" s="15">
        <f>F18-F19</f>
        <v>-256</v>
      </c>
      <c r="G20" s="15">
        <f t="shared" ref="G20:L20" si="5">G18-G19</f>
        <v>-269.99799999999999</v>
      </c>
      <c r="H20" s="15">
        <f t="shared" si="5"/>
        <v>-246.29199999999997</v>
      </c>
      <c r="I20" s="15">
        <f t="shared" si="5"/>
        <v>-238.39</v>
      </c>
      <c r="J20" s="15">
        <f t="shared" si="5"/>
        <v>-242.34100000000001</v>
      </c>
      <c r="K20" s="15">
        <f t="shared" si="5"/>
        <v>-76.399000000000001</v>
      </c>
      <c r="L20" s="15">
        <f t="shared" si="5"/>
        <v>-56.644000000000005</v>
      </c>
      <c r="O20" s="70"/>
      <c r="P20" s="70"/>
      <c r="Q20" s="70"/>
      <c r="R20" s="70"/>
      <c r="S20" s="70"/>
      <c r="T20" s="70"/>
      <c r="U20" s="70"/>
    </row>
    <row r="21" spans="1:21" ht="14.25" customHeight="1" x14ac:dyDescent="0.25">
      <c r="C21" s="72">
        <f>MAX($C$12:C20)+1</f>
        <v>106</v>
      </c>
      <c r="D21" s="69" t="str">
        <f t="shared" si="0"/>
        <v>[j]</v>
      </c>
      <c r="E21" s="96" t="s">
        <v>86</v>
      </c>
      <c r="F21" s="15">
        <f>$F$20</f>
        <v>-256</v>
      </c>
      <c r="G21" s="15">
        <f>G20</f>
        <v>-269.99799999999999</v>
      </c>
      <c r="H21" s="15">
        <f t="shared" ref="H21:L21" si="6">H20</f>
        <v>-246.29199999999997</v>
      </c>
      <c r="I21" s="15">
        <f t="shared" si="6"/>
        <v>-238.39</v>
      </c>
      <c r="J21" s="15">
        <f t="shared" si="6"/>
        <v>-242.34100000000001</v>
      </c>
      <c r="K21" s="15">
        <f t="shared" si="6"/>
        <v>-76.399000000000001</v>
      </c>
      <c r="L21" s="15">
        <f t="shared" si="6"/>
        <v>-56.644000000000005</v>
      </c>
      <c r="O21" s="70"/>
      <c r="P21" s="70"/>
      <c r="Q21" s="70"/>
      <c r="R21" s="70"/>
      <c r="S21" s="70"/>
      <c r="T21" s="70"/>
      <c r="U21" s="70"/>
    </row>
    <row r="22" spans="1:21" s="97" customFormat="1" ht="14.25" customHeight="1" x14ac:dyDescent="0.25">
      <c r="A22" s="36"/>
      <c r="B22" s="36"/>
      <c r="C22" s="72">
        <f>MAX($C$12:C21)+1</f>
        <v>107</v>
      </c>
      <c r="D22" s="69" t="str">
        <f t="shared" si="0"/>
        <v>[k]</v>
      </c>
      <c r="E22" s="97" t="s">
        <v>23</v>
      </c>
      <c r="F22" s="37">
        <v>298</v>
      </c>
      <c r="G22" s="37">
        <v>293.60000000000002</v>
      </c>
      <c r="H22" s="37">
        <v>346.9</v>
      </c>
      <c r="I22" s="37">
        <v>378.7</v>
      </c>
      <c r="J22" s="37">
        <v>384</v>
      </c>
      <c r="K22" s="37">
        <v>524.9</v>
      </c>
      <c r="L22" s="37">
        <v>338.1</v>
      </c>
    </row>
    <row r="23" spans="1:21" ht="14.25" customHeight="1" x14ac:dyDescent="0.25">
      <c r="C23" s="72">
        <f>MAX($C$12:C22)+1</f>
        <v>108</v>
      </c>
      <c r="D23" s="69" t="str">
        <f t="shared" si="0"/>
        <v>[l]</v>
      </c>
      <c r="E23" s="96" t="s">
        <v>27</v>
      </c>
      <c r="F23" s="15">
        <v>419</v>
      </c>
      <c r="G23" s="15">
        <v>419</v>
      </c>
      <c r="H23" s="15">
        <v>419</v>
      </c>
      <c r="I23" s="15">
        <v>419</v>
      </c>
      <c r="J23" s="15">
        <v>419</v>
      </c>
      <c r="K23" s="15">
        <v>419</v>
      </c>
      <c r="L23" s="15">
        <v>419</v>
      </c>
    </row>
    <row r="24" spans="1:21" ht="14.25" customHeight="1" x14ac:dyDescent="0.25">
      <c r="C24" s="72">
        <f>MAX($C$12:C23)+1</f>
        <v>109</v>
      </c>
      <c r="D24" s="69" t="str">
        <f t="shared" si="0"/>
        <v>[m]</v>
      </c>
      <c r="E24" s="96" t="s">
        <v>163</v>
      </c>
      <c r="F24" s="15">
        <f>282+72+29</f>
        <v>383</v>
      </c>
      <c r="G24" s="15">
        <f t="shared" ref="G24:L24" si="7">282+72+29</f>
        <v>383</v>
      </c>
      <c r="H24" s="15">
        <f t="shared" si="7"/>
        <v>383</v>
      </c>
      <c r="I24" s="15">
        <f t="shared" si="7"/>
        <v>383</v>
      </c>
      <c r="J24" s="15">
        <f t="shared" si="7"/>
        <v>383</v>
      </c>
      <c r="K24" s="15">
        <f t="shared" si="7"/>
        <v>383</v>
      </c>
      <c r="L24" s="15">
        <f t="shared" si="7"/>
        <v>383</v>
      </c>
    </row>
    <row r="25" spans="1:21" ht="14.25" customHeight="1" x14ac:dyDescent="0.25">
      <c r="C25" s="72">
        <f>MAX($C$12:C24)+1</f>
        <v>110</v>
      </c>
      <c r="D25" s="69" t="str">
        <f t="shared" si="0"/>
        <v>[n]</v>
      </c>
      <c r="E25" s="96" t="s">
        <v>164</v>
      </c>
      <c r="F25" s="15">
        <f>SUM(F22:F24)</f>
        <v>1100</v>
      </c>
      <c r="G25" s="15">
        <f t="shared" ref="G25:L25" si="8">SUM(G22:G24)</f>
        <v>1095.5999999999999</v>
      </c>
      <c r="H25" s="15">
        <f t="shared" si="8"/>
        <v>1148.9000000000001</v>
      </c>
      <c r="I25" s="15">
        <f t="shared" si="8"/>
        <v>1180.7</v>
      </c>
      <c r="J25" s="15">
        <f t="shared" si="8"/>
        <v>1186</v>
      </c>
      <c r="K25" s="15">
        <f t="shared" si="8"/>
        <v>1326.9</v>
      </c>
      <c r="L25" s="15">
        <f t="shared" si="8"/>
        <v>1140.0999999999999</v>
      </c>
      <c r="N25" s="96" t="s">
        <v>22</v>
      </c>
    </row>
    <row r="26" spans="1:21" ht="14.25" customHeight="1" x14ac:dyDescent="0.25">
      <c r="C26" s="72">
        <f>MAX($C$12:C25)+1</f>
        <v>111</v>
      </c>
      <c r="D26" s="69" t="str">
        <f t="shared" si="0"/>
        <v>[o]</v>
      </c>
      <c r="E26" s="96" t="s">
        <v>5</v>
      </c>
      <c r="F26" s="15">
        <f>F$52-$B$43</f>
        <v>182</v>
      </c>
      <c r="G26" s="15">
        <f t="shared" ref="G26:K26" si="9">G$52-$B$43</f>
        <v>236.98543666666666</v>
      </c>
      <c r="H26" s="15">
        <f t="shared" si="9"/>
        <v>330.7047116666667</v>
      </c>
      <c r="I26" s="15">
        <f t="shared" si="9"/>
        <v>337.66696833333339</v>
      </c>
      <c r="J26" s="15">
        <f t="shared" si="9"/>
        <v>365.48412000000008</v>
      </c>
      <c r="K26" s="15">
        <f t="shared" si="9"/>
        <v>405.64830666666671</v>
      </c>
      <c r="L26" s="15">
        <f>L$52-$B$43</f>
        <v>400.65412833333335</v>
      </c>
      <c r="N26" s="96" t="s">
        <v>5</v>
      </c>
    </row>
    <row r="27" spans="1:21" ht="14.25" customHeight="1" x14ac:dyDescent="0.25">
      <c r="C27" s="72">
        <f>MAX($C$12:C26)+1</f>
        <v>112</v>
      </c>
      <c r="D27" s="69" t="str">
        <f t="shared" si="0"/>
        <v>[p]</v>
      </c>
      <c r="E27" s="96" t="s">
        <v>166</v>
      </c>
      <c r="F27" s="15">
        <v>-31.8</v>
      </c>
      <c r="G27" s="15">
        <v>-18.7</v>
      </c>
      <c r="H27" s="15">
        <v>-18.399999999999999</v>
      </c>
      <c r="I27" s="15">
        <v>-18.399999999999999</v>
      </c>
      <c r="J27" s="15">
        <v>-18.399999999999999</v>
      </c>
      <c r="K27" s="15">
        <v>51.2</v>
      </c>
      <c r="L27" s="15">
        <v>51.7</v>
      </c>
    </row>
    <row r="28" spans="1:21" ht="14.25" customHeight="1" x14ac:dyDescent="0.25">
      <c r="C28" s="72">
        <f>MAX($C$12:C27)+1</f>
        <v>113</v>
      </c>
      <c r="D28" s="69" t="str">
        <f t="shared" si="0"/>
        <v>[q]</v>
      </c>
      <c r="E28" s="70" t="s">
        <v>85</v>
      </c>
      <c r="F28" s="15">
        <v>51.2</v>
      </c>
      <c r="G28" s="15">
        <v>51.2</v>
      </c>
      <c r="H28" s="15">
        <v>51.2</v>
      </c>
      <c r="I28" s="15">
        <v>51.2</v>
      </c>
      <c r="J28" s="15">
        <v>51.2</v>
      </c>
      <c r="K28" s="15">
        <v>51.2</v>
      </c>
      <c r="L28" s="15">
        <v>51.2</v>
      </c>
    </row>
    <row r="29" spans="1:21" ht="14.25" customHeight="1" x14ac:dyDescent="0.25">
      <c r="C29" s="72">
        <f>MAX($C$12:C28)+1</f>
        <v>114</v>
      </c>
      <c r="D29" s="69" t="str">
        <f t="shared" si="0"/>
        <v>[r]</v>
      </c>
      <c r="E29" s="70" t="s">
        <v>83</v>
      </c>
      <c r="F29" s="15">
        <v>92</v>
      </c>
      <c r="G29" s="15">
        <f>$G$13*$B$12</f>
        <v>95.755102040816325</v>
      </c>
      <c r="H29" s="15">
        <f>H$28+H$27</f>
        <v>32.800000000000004</v>
      </c>
      <c r="I29" s="15">
        <f t="shared" ref="I29:K29" si="10">I$28+I$27</f>
        <v>32.800000000000004</v>
      </c>
      <c r="J29" s="15">
        <f t="shared" si="10"/>
        <v>32.800000000000004</v>
      </c>
      <c r="K29" s="15">
        <f t="shared" si="10"/>
        <v>102.4</v>
      </c>
      <c r="L29" s="15">
        <f>L$28+L$27</f>
        <v>102.9</v>
      </c>
      <c r="N29" s="70" t="s">
        <v>83</v>
      </c>
    </row>
    <row r="30" spans="1:21" ht="14.25" customHeight="1" x14ac:dyDescent="0.25">
      <c r="C30" s="72">
        <f>MAX($C$12:C29)+1</f>
        <v>115</v>
      </c>
      <c r="D30" s="69" t="str">
        <f t="shared" si="0"/>
        <v>[s]</v>
      </c>
      <c r="E30" s="96" t="s">
        <v>71</v>
      </c>
      <c r="F30" s="15">
        <f>F21+F25+F26+F29</f>
        <v>1118</v>
      </c>
      <c r="G30" s="15">
        <f t="shared" ref="G30:J30" si="11">G21+G25+G26+G29</f>
        <v>1158.3425387074828</v>
      </c>
      <c r="H30" s="15">
        <f t="shared" si="11"/>
        <v>1266.1127116666669</v>
      </c>
      <c r="I30" s="15">
        <f>I21+I25+I26+I29</f>
        <v>1312.7769683333333</v>
      </c>
      <c r="J30" s="15">
        <f t="shared" si="11"/>
        <v>1341.9431200000001</v>
      </c>
      <c r="K30" s="15">
        <f>K21+K25+K26+K29</f>
        <v>1758.549306666667</v>
      </c>
      <c r="L30" s="15">
        <f>L21+L25+L26+L29</f>
        <v>1587.0101283333333</v>
      </c>
    </row>
    <row r="31" spans="1:21" ht="14.25" customHeight="1" x14ac:dyDescent="0.25">
      <c r="C31" s="72">
        <f>MAX($C$12:C30)+1</f>
        <v>116</v>
      </c>
      <c r="D31" s="69" t="str">
        <f t="shared" si="0"/>
        <v>[t]</v>
      </c>
      <c r="E31" s="96" t="s">
        <v>72</v>
      </c>
      <c r="F31" s="15">
        <f>F21+F26+F29</f>
        <v>18</v>
      </c>
      <c r="G31" s="15">
        <f>G21+G26+G29</f>
        <v>62.742538707482993</v>
      </c>
      <c r="H31" s="15">
        <f t="shared" ref="H31:L31" si="12">H21+H26+H29</f>
        <v>117.21271166666673</v>
      </c>
      <c r="I31" s="15">
        <f t="shared" si="12"/>
        <v>132.07696833333341</v>
      </c>
      <c r="J31" s="15">
        <f>J21+J26+J29</f>
        <v>155.94312000000008</v>
      </c>
      <c r="K31" s="15">
        <f>K21+K26+K29</f>
        <v>431.64930666666669</v>
      </c>
      <c r="L31" s="15">
        <f t="shared" si="12"/>
        <v>446.91012833333332</v>
      </c>
    </row>
    <row r="32" spans="1:21" ht="14.25" customHeight="1" x14ac:dyDescent="0.25">
      <c r="D32" s="69" t="str">
        <f t="shared" si="0"/>
        <v/>
      </c>
      <c r="G32" s="15"/>
      <c r="H32" s="15"/>
      <c r="I32" s="15"/>
      <c r="J32" s="15"/>
      <c r="K32" s="15"/>
      <c r="L32" s="15"/>
    </row>
    <row r="33" spans="1:21" ht="14.25" customHeight="1" x14ac:dyDescent="0.25">
      <c r="D33" s="69"/>
      <c r="E33" s="104"/>
      <c r="F33" s="15"/>
      <c r="G33" s="15"/>
      <c r="H33" s="15"/>
      <c r="I33" s="15"/>
      <c r="J33" s="15"/>
      <c r="K33" s="15"/>
      <c r="L33" s="15"/>
    </row>
    <row r="34" spans="1:21" ht="14.25" customHeight="1" x14ac:dyDescent="0.25">
      <c r="D34" s="69"/>
      <c r="F34" s="15"/>
      <c r="G34" s="15"/>
      <c r="H34" s="15"/>
      <c r="I34" s="15"/>
      <c r="J34" s="15"/>
      <c r="K34" s="15"/>
      <c r="L34" s="15"/>
    </row>
    <row r="35" spans="1:21" ht="14.25" customHeight="1" x14ac:dyDescent="0.25">
      <c r="A35" s="72" t="s">
        <v>176</v>
      </c>
      <c r="B35" s="72">
        <v>33</v>
      </c>
      <c r="D35" s="69"/>
      <c r="F35" s="15"/>
      <c r="G35" s="15"/>
      <c r="H35" s="15"/>
      <c r="I35" s="15"/>
      <c r="J35" s="15"/>
      <c r="K35" s="15"/>
      <c r="L35" s="15"/>
    </row>
    <row r="36" spans="1:21" ht="14.25" customHeight="1" x14ac:dyDescent="0.25">
      <c r="D36" s="69"/>
      <c r="F36" s="42"/>
      <c r="G36" s="42"/>
      <c r="H36" s="42"/>
      <c r="I36" s="42"/>
      <c r="J36" s="42"/>
      <c r="K36" s="42"/>
      <c r="L36" s="42"/>
    </row>
    <row r="37" spans="1:21" ht="14.25" customHeight="1" x14ac:dyDescent="0.25">
      <c r="D37" s="69" t="str">
        <f t="shared" si="0"/>
        <v/>
      </c>
    </row>
    <row r="38" spans="1:21" ht="14.25" customHeight="1" x14ac:dyDescent="0.25">
      <c r="D38" s="69" t="str">
        <f t="shared" si="0"/>
        <v/>
      </c>
      <c r="E38" s="104" t="s">
        <v>74</v>
      </c>
      <c r="F38" s="25">
        <v>2015</v>
      </c>
      <c r="G38" s="25">
        <f>MAX($F38:F$38)+1</f>
        <v>2016</v>
      </c>
      <c r="H38" s="25">
        <f>MAX($F38:G$38)+1</f>
        <v>2017</v>
      </c>
      <c r="I38" s="25">
        <f>MAX($F38:H$38)+1</f>
        <v>2018</v>
      </c>
      <c r="J38" s="25">
        <f>MAX($F38:I$38)+1</f>
        <v>2019</v>
      </c>
      <c r="K38" s="25">
        <f>MAX($F38:J$38)+1</f>
        <v>2020</v>
      </c>
      <c r="L38" s="25">
        <f>MAX($F38:K$38)+1</f>
        <v>2021</v>
      </c>
    </row>
    <row r="39" spans="1:21" ht="14.25" customHeight="1" x14ac:dyDescent="0.25">
      <c r="D39" s="69" t="str">
        <f t="shared" si="0"/>
        <v/>
      </c>
    </row>
    <row r="40" spans="1:21" ht="14.25" customHeight="1" x14ac:dyDescent="0.25">
      <c r="A40" s="72" t="s">
        <v>56</v>
      </c>
      <c r="B40" s="72">
        <v>8</v>
      </c>
      <c r="C40" s="72">
        <f>MAX($C$12:C39)+1</f>
        <v>117</v>
      </c>
      <c r="D40" s="69" t="str">
        <f t="shared" si="0"/>
        <v>[u]</v>
      </c>
      <c r="E40" s="96" t="s">
        <v>107</v>
      </c>
      <c r="F40" s="67">
        <f>F21+F25+$B$35+F29+F26</f>
        <v>1151</v>
      </c>
      <c r="G40" s="67">
        <f t="shared" ref="G40:L40" si="13">G21+G25+$B$35+G29+G26</f>
        <v>1191.3425387074828</v>
      </c>
      <c r="H40" s="67">
        <f t="shared" si="13"/>
        <v>1299.1127116666669</v>
      </c>
      <c r="I40" s="67">
        <f t="shared" si="13"/>
        <v>1345.7769683333333</v>
      </c>
      <c r="J40" s="67">
        <f t="shared" si="13"/>
        <v>1374.9431199999999</v>
      </c>
      <c r="K40" s="67">
        <f t="shared" si="13"/>
        <v>1791.549306666667</v>
      </c>
      <c r="L40" s="67">
        <f t="shared" si="13"/>
        <v>1620.0101283333333</v>
      </c>
    </row>
    <row r="41" spans="1:21" ht="14.25" customHeight="1" x14ac:dyDescent="0.25">
      <c r="A41" s="72" t="s">
        <v>82</v>
      </c>
      <c r="B41" s="72">
        <f>189-B40</f>
        <v>181</v>
      </c>
      <c r="C41" s="72">
        <f>MAX($C$12:C40)+1</f>
        <v>118</v>
      </c>
      <c r="D41" s="69" t="str">
        <f t="shared" si="0"/>
        <v>[v]</v>
      </c>
      <c r="E41" s="96" t="s">
        <v>97</v>
      </c>
      <c r="F41" s="73">
        <f>F30-F29-(F$52-$B$43)</f>
        <v>844</v>
      </c>
      <c r="G41" s="73">
        <f t="shared" ref="G41:K41" si="14">G30-G29-(G$52-$B$43)</f>
        <v>825.60199999999986</v>
      </c>
      <c r="H41" s="73">
        <f t="shared" si="14"/>
        <v>902.60800000000017</v>
      </c>
      <c r="I41" s="73">
        <f t="shared" si="14"/>
        <v>942.31</v>
      </c>
      <c r="J41" s="73">
        <f t="shared" si="14"/>
        <v>943.65900000000011</v>
      </c>
      <c r="K41" s="73">
        <f t="shared" si="14"/>
        <v>1250.5010000000002</v>
      </c>
      <c r="L41" s="73">
        <f>L30-L29-(L$52-$B$43)</f>
        <v>1083.4559999999999</v>
      </c>
    </row>
    <row r="42" spans="1:21" ht="14.25" customHeight="1" x14ac:dyDescent="0.25">
      <c r="A42" s="72" t="s">
        <v>61</v>
      </c>
      <c r="B42" s="72">
        <f>B41+102</f>
        <v>283</v>
      </c>
      <c r="D42" s="69"/>
      <c r="E42" s="71"/>
    </row>
    <row r="43" spans="1:21" ht="14.25" customHeight="1" x14ac:dyDescent="0.25">
      <c r="A43" s="72" t="s">
        <v>98</v>
      </c>
      <c r="B43" s="72">
        <v>9</v>
      </c>
      <c r="D43" s="69"/>
      <c r="F43" s="70"/>
      <c r="P43" s="17" t="s">
        <v>15</v>
      </c>
      <c r="Q43" s="10"/>
      <c r="R43" s="10"/>
      <c r="S43" s="10"/>
      <c r="T43" s="10"/>
      <c r="U43" s="10"/>
    </row>
    <row r="44" spans="1:21" ht="14.25" customHeight="1" x14ac:dyDescent="0.25">
      <c r="A44" s="72" t="s">
        <v>106</v>
      </c>
      <c r="B44" s="85">
        <f>B42-B41</f>
        <v>102</v>
      </c>
      <c r="C44" s="14"/>
      <c r="D44" s="69"/>
      <c r="E44" s="30" t="s">
        <v>179</v>
      </c>
      <c r="Q44" s="69" t="s">
        <v>16</v>
      </c>
      <c r="R44" s="69" t="s">
        <v>17</v>
      </c>
      <c r="S44" s="69" t="s">
        <v>18</v>
      </c>
      <c r="T44" s="69" t="s">
        <v>19</v>
      </c>
      <c r="U44" s="96" t="s">
        <v>154</v>
      </c>
    </row>
    <row r="45" spans="1:21" ht="14.25" customHeight="1" x14ac:dyDescent="0.25">
      <c r="D45" s="69"/>
      <c r="F45" s="25">
        <v>2015</v>
      </c>
      <c r="G45" s="25">
        <f>MAX($F$45:F45)+1</f>
        <v>2016</v>
      </c>
      <c r="H45" s="25">
        <f>MAX($F$45:G45)+1</f>
        <v>2017</v>
      </c>
      <c r="I45" s="25">
        <f>MAX($F$45:H45)+1</f>
        <v>2018</v>
      </c>
      <c r="J45" s="25">
        <f>MAX($F$45:I45)+1</f>
        <v>2019</v>
      </c>
      <c r="K45" s="25">
        <f>MAX($F$45:J45)+1</f>
        <v>2020</v>
      </c>
      <c r="L45" s="25">
        <f>MAX($F$45:K45)+1</f>
        <v>2021</v>
      </c>
      <c r="P45" s="109">
        <v>2016</v>
      </c>
      <c r="Q45" s="110">
        <v>3.5900000000000001E-2</v>
      </c>
      <c r="R45" s="110">
        <v>3.7400000000000003E-2</v>
      </c>
      <c r="S45" s="110">
        <v>3.8100000000000002E-2</v>
      </c>
      <c r="T45" s="110">
        <v>3.8699999999999998E-2</v>
      </c>
      <c r="U45" s="110">
        <f>AVERAGE(Q45:T45)</f>
        <v>3.7525000000000003E-2</v>
      </c>
    </row>
    <row r="46" spans="1:21" ht="14.25" customHeight="1" x14ac:dyDescent="0.25">
      <c r="C46" s="72">
        <v>97</v>
      </c>
      <c r="D46" s="69" t="str">
        <f>IFERROR("["&amp;CHAR(C46)&amp;CHAR(C46)&amp;"]","")</f>
        <v>[aa]</v>
      </c>
      <c r="E46" s="96" t="s">
        <v>53</v>
      </c>
      <c r="G46" s="42">
        <f>$F$56*$B$56</f>
        <v>17.149999999999999</v>
      </c>
      <c r="H46" s="42">
        <f>(G56*$B$57)</f>
        <v>13.404299999999999</v>
      </c>
      <c r="I46" s="42">
        <f>(H56*$B$58)</f>
        <v>52.99915</v>
      </c>
      <c r="J46" s="42">
        <f>(I56*$B$59)</f>
        <v>20.974599999999999</v>
      </c>
      <c r="K46" s="42">
        <f>(J56*$B$60)</f>
        <v>20.019199999999998</v>
      </c>
      <c r="L46" s="42">
        <f>(K56*$B$61)</f>
        <v>30.232800000000001</v>
      </c>
      <c r="P46" s="109">
        <f>P45+1</f>
        <v>2017</v>
      </c>
      <c r="Q46" s="110">
        <v>3.9300000000000002E-2</v>
      </c>
      <c r="R46" s="110">
        <v>3.9699999999999999E-2</v>
      </c>
      <c r="S46" s="110">
        <v>0.04</v>
      </c>
      <c r="T46" s="110">
        <v>4.0899999999999999E-2</v>
      </c>
      <c r="U46" s="110">
        <f t="shared" ref="U46:U50" si="15">AVERAGE(Q46:T46)</f>
        <v>3.9974999999999997E-2</v>
      </c>
    </row>
    <row r="47" spans="1:21" ht="14.25" customHeight="1" x14ac:dyDescent="0.25">
      <c r="C47" s="72">
        <f>MAX($C$46:C46)+1</f>
        <v>98</v>
      </c>
      <c r="D47" s="69" t="str">
        <f t="shared" ref="D47:D64" si="16">IFERROR("["&amp;CHAR(C47)&amp;CHAR(C47)&amp;"]","")</f>
        <v>[bb]</v>
      </c>
      <c r="E47" s="71" t="s">
        <v>39</v>
      </c>
      <c r="F47" s="71"/>
      <c r="G47" s="111">
        <f>INDEX($U$45:$U$50,MATCH(G$55,$P$45:$P$50,0))</f>
        <v>3.7525000000000003E-2</v>
      </c>
      <c r="H47" s="111">
        <f t="shared" ref="H47:L47" si="17">INDEX($U$45:$U$50,MATCH(H$55,$P$45:$P$50,0))</f>
        <v>3.9974999999999997E-2</v>
      </c>
      <c r="I47" s="111">
        <f t="shared" si="17"/>
        <v>4.5499999999999999E-2</v>
      </c>
      <c r="J47" s="111">
        <f t="shared" si="17"/>
        <v>4.9299999999999997E-2</v>
      </c>
      <c r="K47" s="111">
        <f>INDEX($U$45:$U$50,MATCH(K$55,$P$45:$P$50,0))</f>
        <v>4.9299999999999997E-2</v>
      </c>
      <c r="L47" s="111">
        <f t="shared" si="17"/>
        <v>4.9299999999999997E-2</v>
      </c>
      <c r="P47" s="109">
        <f t="shared" ref="P47:P50" si="18">P46+1</f>
        <v>2018</v>
      </c>
      <c r="Q47" s="110">
        <v>4.2299999999999997E-2</v>
      </c>
      <c r="R47" s="110">
        <v>4.3999999999999997E-2</v>
      </c>
      <c r="S47" s="110">
        <v>4.6800000000000001E-2</v>
      </c>
      <c r="T47" s="110">
        <v>4.8899999999999999E-2</v>
      </c>
      <c r="U47" s="110">
        <f t="shared" si="15"/>
        <v>4.5499999999999999E-2</v>
      </c>
    </row>
    <row r="48" spans="1:21" x14ac:dyDescent="0.25">
      <c r="C48" s="72">
        <f>MAX($C$46:C47)+1</f>
        <v>99</v>
      </c>
      <c r="D48" s="69" t="str">
        <f t="shared" si="16"/>
        <v>[cc]</v>
      </c>
      <c r="E48" s="71" t="s">
        <v>100</v>
      </c>
      <c r="F48" s="71"/>
      <c r="G48" s="112">
        <f>G47*(G57+G56)</f>
        <v>25.254325000000001</v>
      </c>
      <c r="H48" s="112">
        <f t="shared" ref="H48:L48" si="19">H47*(H57+H56)</f>
        <v>104.054925</v>
      </c>
      <c r="I48" s="112">
        <f>I47*(I57+I56)</f>
        <v>56.783999999999999</v>
      </c>
      <c r="J48" s="112">
        <f t="shared" si="19"/>
        <v>47.722399999999993</v>
      </c>
      <c r="K48" s="112">
        <f t="shared" si="19"/>
        <v>59.800899999999999</v>
      </c>
      <c r="L48" s="112">
        <f t="shared" si="19"/>
        <v>25.142999999999997</v>
      </c>
      <c r="P48" s="109">
        <f t="shared" si="18"/>
        <v>2019</v>
      </c>
      <c r="Q48" s="110">
        <v>4.9299999999999997E-2</v>
      </c>
      <c r="R48" s="110">
        <v>4.9299999999999997E-2</v>
      </c>
      <c r="S48" s="110">
        <v>4.9299999999999997E-2</v>
      </c>
      <c r="T48" s="110">
        <v>4.9299999999999997E-2</v>
      </c>
      <c r="U48" s="110">
        <f t="shared" si="15"/>
        <v>4.9299999999999997E-2</v>
      </c>
    </row>
    <row r="49" spans="1:21" x14ac:dyDescent="0.25">
      <c r="C49" s="72">
        <f>MAX($C$46:C48)+1</f>
        <v>100</v>
      </c>
      <c r="D49" s="69" t="str">
        <f t="shared" si="16"/>
        <v>[dd]</v>
      </c>
      <c r="E49" s="71" t="s">
        <v>99</v>
      </c>
      <c r="F49" s="96">
        <v>285</v>
      </c>
      <c r="G49" s="42">
        <f>F49+G48-G46</f>
        <v>293.10432500000002</v>
      </c>
      <c r="H49" s="42">
        <f>G49+H48-H46</f>
        <v>383.75495000000006</v>
      </c>
      <c r="I49" s="42">
        <f t="shared" ref="I49:L49" si="20">H49+I48-I46</f>
        <v>387.53980000000007</v>
      </c>
      <c r="J49" s="42">
        <f t="shared" si="20"/>
        <v>414.28760000000005</v>
      </c>
      <c r="K49" s="42">
        <f t="shared" si="20"/>
        <v>454.06930000000006</v>
      </c>
      <c r="L49" s="42">
        <f t="shared" si="20"/>
        <v>448.97950000000003</v>
      </c>
      <c r="P49" s="109">
        <f t="shared" si="18"/>
        <v>2020</v>
      </c>
      <c r="Q49" s="110">
        <v>4.9299999999999997E-2</v>
      </c>
      <c r="R49" s="110">
        <v>4.9299999999999997E-2</v>
      </c>
      <c r="S49" s="110">
        <v>4.9299999999999997E-2</v>
      </c>
      <c r="T49" s="110">
        <v>4.9299999999999997E-2</v>
      </c>
      <c r="U49" s="110">
        <f t="shared" si="15"/>
        <v>4.9299999999999997E-2</v>
      </c>
    </row>
    <row r="50" spans="1:21" x14ac:dyDescent="0.25">
      <c r="C50" s="72">
        <f>MAX($C$46:C49)+1</f>
        <v>101</v>
      </c>
      <c r="D50" s="69" t="str">
        <f t="shared" si="16"/>
        <v>[ee]</v>
      </c>
      <c r="E50" s="71" t="s">
        <v>94</v>
      </c>
      <c r="F50" s="71">
        <f>$B$40</f>
        <v>8</v>
      </c>
      <c r="G50" s="101">
        <v>2.7</v>
      </c>
      <c r="H50" s="101">
        <v>2.9</v>
      </c>
      <c r="I50" s="101">
        <v>3.4</v>
      </c>
      <c r="J50" s="101">
        <v>3.8</v>
      </c>
      <c r="K50" s="101">
        <v>3.8</v>
      </c>
      <c r="L50" s="101">
        <v>3.8</v>
      </c>
      <c r="P50" s="109">
        <f t="shared" si="18"/>
        <v>2021</v>
      </c>
      <c r="Q50" s="110">
        <v>4.9299999999999997E-2</v>
      </c>
      <c r="R50" s="110">
        <v>4.9299999999999997E-2</v>
      </c>
      <c r="S50" s="110">
        <v>4.9299999999999997E-2</v>
      </c>
      <c r="T50" s="110">
        <v>4.9299999999999997E-2</v>
      </c>
      <c r="U50" s="110">
        <f t="shared" si="15"/>
        <v>4.9299999999999997E-2</v>
      </c>
    </row>
    <row r="51" spans="1:21" x14ac:dyDescent="0.25">
      <c r="C51" s="72">
        <f>MAX($C$46:C50)+1</f>
        <v>102</v>
      </c>
      <c r="D51" s="69" t="str">
        <f t="shared" si="16"/>
        <v>[ff]</v>
      </c>
      <c r="E51" s="96" t="s">
        <v>101</v>
      </c>
      <c r="F51" s="67">
        <v>102</v>
      </c>
      <c r="G51" s="66">
        <f t="shared" ref="G51:L51" si="21">$B$86*G$79</f>
        <v>49.818888333333334</v>
      </c>
      <c r="H51" s="66">
        <f t="shared" si="21"/>
        <v>46.950238333333331</v>
      </c>
      <c r="I51" s="66">
        <f t="shared" si="21"/>
        <v>44.272831666666669</v>
      </c>
      <c r="J51" s="66">
        <f t="shared" si="21"/>
        <v>43.603480000000005</v>
      </c>
      <c r="K51" s="66">
        <f t="shared" si="21"/>
        <v>43.220993333333332</v>
      </c>
      <c r="L51" s="66">
        <f t="shared" si="21"/>
        <v>43.125371666666666</v>
      </c>
      <c r="Q51" s="21"/>
      <c r="R51" s="21"/>
      <c r="S51" s="21"/>
      <c r="T51" s="21"/>
    </row>
    <row r="52" spans="1:21" x14ac:dyDescent="0.25">
      <c r="C52" s="72">
        <f>MAX($C$46:C51)+1</f>
        <v>103</v>
      </c>
      <c r="D52" s="69" t="str">
        <f t="shared" si="16"/>
        <v>[gg]</v>
      </c>
      <c r="E52" s="96" t="s">
        <v>70</v>
      </c>
      <c r="F52" s="66">
        <f>F49+F50-F51</f>
        <v>191</v>
      </c>
      <c r="G52" s="66">
        <f>G49+G50-G51</f>
        <v>245.98543666666666</v>
      </c>
      <c r="H52" s="66">
        <f t="shared" ref="H52:L52" si="22">H49+H50-H51</f>
        <v>339.7047116666667</v>
      </c>
      <c r="I52" s="66">
        <f t="shared" si="22"/>
        <v>346.66696833333339</v>
      </c>
      <c r="J52" s="66">
        <f t="shared" si="22"/>
        <v>374.48412000000008</v>
      </c>
      <c r="K52" s="66">
        <f t="shared" si="22"/>
        <v>414.64830666666671</v>
      </c>
      <c r="L52" s="66">
        <f t="shared" si="22"/>
        <v>409.65412833333335</v>
      </c>
      <c r="P52" s="96" t="s">
        <v>155</v>
      </c>
    </row>
    <row r="53" spans="1:21" x14ac:dyDescent="0.25">
      <c r="D53" s="69" t="str">
        <f t="shared" si="16"/>
        <v/>
      </c>
      <c r="F53" s="70"/>
      <c r="G53" s="70"/>
    </row>
    <row r="54" spans="1:21" x14ac:dyDescent="0.25">
      <c r="D54" s="69" t="str">
        <f t="shared" si="16"/>
        <v/>
      </c>
      <c r="E54" s="104" t="s">
        <v>7</v>
      </c>
      <c r="F54" s="70"/>
    </row>
    <row r="55" spans="1:21" x14ac:dyDescent="0.25">
      <c r="A55" s="72" t="s">
        <v>40</v>
      </c>
      <c r="B55" s="59">
        <f>'Cost of Debt'!$G$39</f>
        <v>4.8112152777777778E-2</v>
      </c>
      <c r="D55" s="69" t="str">
        <f t="shared" si="16"/>
        <v/>
      </c>
      <c r="F55" s="104">
        <v>2015</v>
      </c>
      <c r="G55" s="104">
        <f>MAX($F$55:F55)+1</f>
        <v>2016</v>
      </c>
      <c r="H55" s="104">
        <f>MAX($F$55:G55)+1</f>
        <v>2017</v>
      </c>
      <c r="I55" s="104">
        <f>MAX($F$55:H55)+1</f>
        <v>2018</v>
      </c>
      <c r="J55" s="104">
        <f>MAX($F$55:I55)+1</f>
        <v>2019</v>
      </c>
      <c r="K55" s="104">
        <f>MAX($F$55:J55)+1</f>
        <v>2020</v>
      </c>
      <c r="L55" s="104">
        <f>MAX($F$55:K55)+1</f>
        <v>2021</v>
      </c>
    </row>
    <row r="56" spans="1:21" x14ac:dyDescent="0.25">
      <c r="A56" s="72" t="s">
        <v>54</v>
      </c>
      <c r="B56" s="14">
        <v>3.4299999999999997E-2</v>
      </c>
      <c r="C56" s="72">
        <f>MAX($C$46:C55)+1</f>
        <v>104</v>
      </c>
      <c r="D56" s="69" t="str">
        <f t="shared" si="16"/>
        <v>[hh]</v>
      </c>
      <c r="E56" s="96" t="s">
        <v>6</v>
      </c>
      <c r="F56" s="96">
        <v>500</v>
      </c>
      <c r="G56" s="96">
        <v>273</v>
      </c>
      <c r="H56" s="96">
        <v>1103</v>
      </c>
      <c r="I56" s="96">
        <v>398</v>
      </c>
      <c r="J56" s="96">
        <v>368</v>
      </c>
      <c r="K56" s="96">
        <v>663</v>
      </c>
      <c r="L56" s="102">
        <f>'Cost of Debt'!$D$18+'Cost of Debt'!$D$32</f>
        <v>410</v>
      </c>
    </row>
    <row r="57" spans="1:21" x14ac:dyDescent="0.25">
      <c r="A57" s="72" t="s">
        <v>88</v>
      </c>
      <c r="B57" s="59">
        <v>4.9099999999999998E-2</v>
      </c>
      <c r="C57" s="72">
        <f>MAX($C$46:C56)+1</f>
        <v>105</v>
      </c>
      <c r="D57" s="69" t="str">
        <f t="shared" si="16"/>
        <v>[ii]</v>
      </c>
      <c r="E57" s="71" t="s">
        <v>173</v>
      </c>
      <c r="F57" s="71"/>
      <c r="G57" s="71">
        <v>400</v>
      </c>
      <c r="H57" s="71">
        <v>1500</v>
      </c>
      <c r="I57" s="71">
        <v>850</v>
      </c>
      <c r="J57" s="71">
        <v>600</v>
      </c>
      <c r="K57" s="71">
        <v>550</v>
      </c>
      <c r="L57" s="71">
        <v>100</v>
      </c>
      <c r="M57" s="96" t="s">
        <v>174</v>
      </c>
    </row>
    <row r="58" spans="1:21" x14ac:dyDescent="0.25">
      <c r="A58" s="72" t="s">
        <v>89</v>
      </c>
      <c r="B58" s="59">
        <v>4.8050000000000002E-2</v>
      </c>
      <c r="D58" s="69"/>
      <c r="E58" s="113"/>
      <c r="F58" s="113"/>
      <c r="G58" s="114"/>
      <c r="H58" s="114"/>
      <c r="I58" s="114"/>
      <c r="J58" s="114"/>
      <c r="K58" s="114"/>
      <c r="L58" s="114"/>
    </row>
    <row r="59" spans="1:21" x14ac:dyDescent="0.25">
      <c r="A59" s="72" t="s">
        <v>90</v>
      </c>
      <c r="B59" s="63">
        <v>5.2699999999999997E-2</v>
      </c>
      <c r="C59" s="72">
        <f>MAX($C$46:C58)+1</f>
        <v>106</v>
      </c>
      <c r="D59" s="69" t="str">
        <f t="shared" si="16"/>
        <v>[jj]</v>
      </c>
      <c r="E59" s="71" t="s">
        <v>51</v>
      </c>
      <c r="F59" s="96">
        <v>5472</v>
      </c>
      <c r="G59" s="96">
        <f>F59+G57</f>
        <v>5872</v>
      </c>
      <c r="H59" s="96">
        <f>G59+H57</f>
        <v>7372</v>
      </c>
      <c r="I59" s="96">
        <f>H59+I57</f>
        <v>8222</v>
      </c>
      <c r="J59" s="96">
        <f t="shared" ref="J59:L59" si="23">I59+J57</f>
        <v>8822</v>
      </c>
      <c r="K59" s="96">
        <f t="shared" si="23"/>
        <v>9372</v>
      </c>
      <c r="L59" s="96">
        <f t="shared" si="23"/>
        <v>9472</v>
      </c>
    </row>
    <row r="60" spans="1:21" x14ac:dyDescent="0.25">
      <c r="A60" s="72" t="s">
        <v>91</v>
      </c>
      <c r="B60" s="63">
        <v>5.4399999999999997E-2</v>
      </c>
      <c r="C60" s="72">
        <f>MAX($C$46:C59)+1</f>
        <v>107</v>
      </c>
      <c r="D60" s="69" t="str">
        <f t="shared" si="16"/>
        <v>[kk]</v>
      </c>
      <c r="E60" s="71" t="s">
        <v>52</v>
      </c>
      <c r="F60" s="96">
        <f>F59-F61</f>
        <v>5199</v>
      </c>
      <c r="G60" s="96">
        <f>G59-G61</f>
        <v>4769</v>
      </c>
      <c r="H60" s="96">
        <f>H59-H61</f>
        <v>6974</v>
      </c>
      <c r="I60" s="96">
        <f>I59-I61</f>
        <v>7854</v>
      </c>
      <c r="J60" s="96">
        <f t="shared" ref="J60:K60" si="24">J59-J61</f>
        <v>8159</v>
      </c>
      <c r="K60" s="96">
        <f t="shared" si="24"/>
        <v>8962</v>
      </c>
      <c r="L60" s="96">
        <f>L59-L61</f>
        <v>9322</v>
      </c>
    </row>
    <row r="61" spans="1:21" x14ac:dyDescent="0.25">
      <c r="A61" s="72" t="s">
        <v>92</v>
      </c>
      <c r="B61" s="63">
        <v>4.5600000000000002E-2</v>
      </c>
      <c r="C61" s="72">
        <f>MAX($C$46:C60)+1</f>
        <v>108</v>
      </c>
      <c r="D61" s="69" t="str">
        <f t="shared" si="16"/>
        <v>[ll]</v>
      </c>
      <c r="E61" s="71" t="s">
        <v>48</v>
      </c>
      <c r="F61" s="96">
        <f>G56</f>
        <v>273</v>
      </c>
      <c r="G61" s="96">
        <f>H56</f>
        <v>1103</v>
      </c>
      <c r="H61" s="96">
        <f t="shared" ref="H61:K61" si="25">I56</f>
        <v>398</v>
      </c>
      <c r="I61" s="96">
        <f t="shared" si="25"/>
        <v>368</v>
      </c>
      <c r="J61" s="96">
        <f t="shared" si="25"/>
        <v>663</v>
      </c>
      <c r="K61" s="96">
        <f t="shared" si="25"/>
        <v>410</v>
      </c>
      <c r="L61" s="96">
        <f>'Cost of Debt'!$D$19</f>
        <v>150</v>
      </c>
    </row>
    <row r="62" spans="1:21" x14ac:dyDescent="0.25">
      <c r="B62" s="59"/>
      <c r="C62" s="72">
        <f>MAX($C$46:C61)+1</f>
        <v>109</v>
      </c>
      <c r="D62" s="69" t="str">
        <f t="shared" si="16"/>
        <v>[mm]</v>
      </c>
      <c r="E62" s="71" t="s">
        <v>171</v>
      </c>
      <c r="F62" s="96">
        <v>225</v>
      </c>
      <c r="G62" s="96">
        <v>37.1</v>
      </c>
      <c r="H62" s="96">
        <v>37.1</v>
      </c>
      <c r="I62" s="96">
        <v>37.1</v>
      </c>
      <c r="J62" s="96">
        <v>37.1</v>
      </c>
      <c r="K62" s="96">
        <v>37.1</v>
      </c>
      <c r="L62" s="96">
        <v>37.1</v>
      </c>
      <c r="M62" s="96" t="s">
        <v>172</v>
      </c>
    </row>
    <row r="63" spans="1:21" x14ac:dyDescent="0.25">
      <c r="C63" s="72">
        <f>MAX($C$46:C62)+1</f>
        <v>110</v>
      </c>
      <c r="D63" s="69" t="str">
        <f t="shared" si="16"/>
        <v>[nn]</v>
      </c>
      <c r="E63" s="71" t="s">
        <v>170</v>
      </c>
      <c r="F63" s="70">
        <v>16</v>
      </c>
      <c r="G63" s="70">
        <v>16</v>
      </c>
      <c r="H63" s="70">
        <v>17</v>
      </c>
      <c r="I63" s="70">
        <v>17</v>
      </c>
      <c r="J63" s="70">
        <v>14</v>
      </c>
      <c r="K63" s="70">
        <v>14</v>
      </c>
      <c r="L63" s="70">
        <v>14</v>
      </c>
    </row>
    <row r="64" spans="1:21" x14ac:dyDescent="0.25">
      <c r="C64" s="72">
        <f>MAX($C$46:C63)+1</f>
        <v>111</v>
      </c>
      <c r="D64" s="69" t="str">
        <f t="shared" si="16"/>
        <v>[oo]</v>
      </c>
      <c r="E64" s="71" t="s">
        <v>8</v>
      </c>
      <c r="F64" s="96">
        <f>F63+F62+F61+F60</f>
        <v>5713</v>
      </c>
      <c r="G64" s="42">
        <f>G63+G62+G61+G60</f>
        <v>5925.1</v>
      </c>
      <c r="H64" s="42">
        <f>H63+H62+H61+H60</f>
        <v>7426.1</v>
      </c>
      <c r="I64" s="42">
        <f>I63+I62+I61+I60</f>
        <v>8276.1</v>
      </c>
      <c r="J64" s="42">
        <f t="shared" ref="J64:L64" si="26">J63+J62+J61+J60</f>
        <v>8873.1</v>
      </c>
      <c r="K64" s="42">
        <f t="shared" si="26"/>
        <v>9423.1</v>
      </c>
      <c r="L64" s="42">
        <f t="shared" si="26"/>
        <v>9523.1</v>
      </c>
      <c r="N64" s="42"/>
    </row>
    <row r="65" spans="1:12" x14ac:dyDescent="0.25">
      <c r="D65" s="69"/>
      <c r="E65" s="71"/>
      <c r="F65" s="71"/>
      <c r="G65" s="42"/>
      <c r="H65" s="42"/>
      <c r="I65" s="42"/>
      <c r="J65" s="42"/>
      <c r="K65" s="42"/>
      <c r="L65" s="42"/>
    </row>
    <row r="66" spans="1:12" x14ac:dyDescent="0.25">
      <c r="D66" s="69"/>
      <c r="E66" s="71"/>
      <c r="F66" s="71"/>
      <c r="G66" s="60"/>
      <c r="H66" s="60"/>
      <c r="I66" s="71"/>
      <c r="J66" s="71"/>
      <c r="K66" s="60"/>
      <c r="L66" s="71"/>
    </row>
    <row r="67" spans="1:12" x14ac:dyDescent="0.25">
      <c r="D67" s="69" t="str">
        <f t="shared" ref="D67:D79" si="27">IFERROR("["&amp;CHAR(C67)&amp;CHAR(C67)&amp;"]","")</f>
        <v/>
      </c>
      <c r="E67" s="71"/>
      <c r="F67" s="71"/>
      <c r="G67" s="42"/>
      <c r="H67" s="42"/>
      <c r="I67" s="42"/>
      <c r="J67" s="42"/>
      <c r="K67" s="42"/>
      <c r="L67" s="42"/>
    </row>
    <row r="68" spans="1:12" x14ac:dyDescent="0.25">
      <c r="D68" s="69" t="str">
        <f t="shared" si="27"/>
        <v/>
      </c>
      <c r="E68" s="30"/>
      <c r="F68" s="71"/>
      <c r="G68" s="42"/>
      <c r="H68" s="42"/>
      <c r="I68" s="42"/>
      <c r="J68" s="42"/>
      <c r="K68" s="42"/>
      <c r="L68" s="42"/>
    </row>
    <row r="69" spans="1:12" x14ac:dyDescent="0.25">
      <c r="D69" s="69" t="str">
        <f t="shared" si="27"/>
        <v/>
      </c>
      <c r="E69" s="30" t="s">
        <v>167</v>
      </c>
      <c r="F69" s="71"/>
      <c r="G69" s="42"/>
      <c r="H69" s="42"/>
      <c r="I69" s="42"/>
      <c r="J69" s="42"/>
      <c r="K69" s="42"/>
      <c r="L69" s="42"/>
    </row>
    <row r="70" spans="1:12" x14ac:dyDescent="0.25">
      <c r="A70" s="72" t="s">
        <v>59</v>
      </c>
      <c r="C70" s="72">
        <f>MAX($C$58:C69)+1</f>
        <v>112</v>
      </c>
      <c r="D70" s="69" t="str">
        <f t="shared" si="27"/>
        <v>[pp]</v>
      </c>
      <c r="E70" s="71" t="s">
        <v>76</v>
      </c>
      <c r="F70" s="40">
        <v>9800</v>
      </c>
      <c r="G70" s="115">
        <v>10200</v>
      </c>
      <c r="H70" s="115">
        <v>10800</v>
      </c>
      <c r="I70" s="115">
        <v>11000</v>
      </c>
      <c r="J70" s="115">
        <v>10900</v>
      </c>
      <c r="K70" s="115">
        <v>15100</v>
      </c>
      <c r="L70" s="115">
        <v>15600</v>
      </c>
    </row>
    <row r="71" spans="1:12" x14ac:dyDescent="0.25">
      <c r="A71" s="72" t="s">
        <v>60</v>
      </c>
      <c r="C71" s="72">
        <f>MAX($C$58:C70)+1</f>
        <v>113</v>
      </c>
      <c r="D71" s="69" t="str">
        <f t="shared" si="27"/>
        <v>[qq]</v>
      </c>
      <c r="E71" s="71" t="s">
        <v>66</v>
      </c>
      <c r="F71" s="38">
        <v>2.6700000000000002E-2</v>
      </c>
      <c r="G71" s="38">
        <f>G16</f>
        <v>8.7800000000000003E-2</v>
      </c>
      <c r="H71" s="38">
        <f t="shared" ref="H71:L71" si="28">H16</f>
        <v>8.7800000000000003E-2</v>
      </c>
      <c r="I71" s="38">
        <f t="shared" si="28"/>
        <v>8.7800000000000003E-2</v>
      </c>
      <c r="J71" s="38">
        <f t="shared" si="28"/>
        <v>8.7800000000000003E-2</v>
      </c>
      <c r="K71" s="38">
        <f t="shared" si="28"/>
        <v>8.7800000000000003E-2</v>
      </c>
      <c r="L71" s="38">
        <f t="shared" si="28"/>
        <v>8.7800000000000003E-2</v>
      </c>
    </row>
    <row r="72" spans="1:12" x14ac:dyDescent="0.25">
      <c r="C72" s="72">
        <f>MAX($C$58:C71)+1</f>
        <v>114</v>
      </c>
      <c r="D72" s="69" t="str">
        <f t="shared" si="27"/>
        <v>[rr]</v>
      </c>
      <c r="E72" s="71" t="s">
        <v>58</v>
      </c>
      <c r="F72" s="33">
        <v>0.55000000000000004</v>
      </c>
      <c r="G72" s="33">
        <v>0.55000000000000004</v>
      </c>
      <c r="H72" s="33">
        <f t="shared" ref="H72:L72" si="29">1-H73</f>
        <v>0.55000000000000004</v>
      </c>
      <c r="I72" s="33">
        <f t="shared" si="29"/>
        <v>0.55000000000000004</v>
      </c>
      <c r="J72" s="33">
        <f t="shared" si="29"/>
        <v>0.55000000000000004</v>
      </c>
      <c r="K72" s="33">
        <f t="shared" si="29"/>
        <v>0.55000000000000004</v>
      </c>
      <c r="L72" s="33">
        <f t="shared" si="29"/>
        <v>0.55000000000000004</v>
      </c>
    </row>
    <row r="73" spans="1:12" x14ac:dyDescent="0.25">
      <c r="C73" s="72">
        <f>MAX($C$58:C72)+1</f>
        <v>115</v>
      </c>
      <c r="D73" s="69" t="str">
        <f t="shared" si="27"/>
        <v>[ss]</v>
      </c>
      <c r="E73" s="71" t="s">
        <v>57</v>
      </c>
      <c r="F73" s="32">
        <v>0.45</v>
      </c>
      <c r="G73" s="32">
        <v>0.45</v>
      </c>
      <c r="H73" s="32">
        <v>0.45</v>
      </c>
      <c r="I73" s="32">
        <v>0.45</v>
      </c>
      <c r="J73" s="32">
        <v>0.45</v>
      </c>
      <c r="K73" s="32">
        <v>0.45</v>
      </c>
      <c r="L73" s="32">
        <v>0.45</v>
      </c>
    </row>
    <row r="74" spans="1:12" x14ac:dyDescent="0.25">
      <c r="A74" s="72" t="s">
        <v>93</v>
      </c>
      <c r="B74" s="72">
        <v>10045</v>
      </c>
      <c r="C74" s="72">
        <f>MAX($C$58:C73)+1</f>
        <v>116</v>
      </c>
      <c r="D74" s="69" t="str">
        <f t="shared" si="27"/>
        <v>[tt]</v>
      </c>
      <c r="E74" s="71" t="s">
        <v>11</v>
      </c>
      <c r="F74" s="116">
        <f>F$31</f>
        <v>18</v>
      </c>
      <c r="G74" s="116">
        <f t="shared" ref="G74:L74" si="30">G$31</f>
        <v>62.742538707482993</v>
      </c>
      <c r="H74" s="116">
        <f t="shared" si="30"/>
        <v>117.21271166666673</v>
      </c>
      <c r="I74" s="116">
        <f t="shared" si="30"/>
        <v>132.07696833333341</v>
      </c>
      <c r="J74" s="116">
        <f t="shared" si="30"/>
        <v>155.94312000000008</v>
      </c>
      <c r="K74" s="116">
        <f t="shared" si="30"/>
        <v>431.64930666666669</v>
      </c>
      <c r="L74" s="116">
        <f t="shared" si="30"/>
        <v>446.91012833333332</v>
      </c>
    </row>
    <row r="75" spans="1:12" s="97" customFormat="1" x14ac:dyDescent="0.25">
      <c r="A75" s="36"/>
      <c r="B75" s="36"/>
      <c r="C75" s="72">
        <f>MAX($C$58:C74)+1</f>
        <v>117</v>
      </c>
      <c r="D75" s="69" t="str">
        <f t="shared" si="27"/>
        <v>[uu]</v>
      </c>
      <c r="E75" s="71" t="s">
        <v>147</v>
      </c>
      <c r="F75" s="116">
        <f>F$41</f>
        <v>844</v>
      </c>
      <c r="G75" s="116">
        <f t="shared" ref="G75:L75" si="31">G$41</f>
        <v>825.60199999999986</v>
      </c>
      <c r="H75" s="116">
        <f t="shared" si="31"/>
        <v>902.60800000000017</v>
      </c>
      <c r="I75" s="116">
        <f t="shared" si="31"/>
        <v>942.31</v>
      </c>
      <c r="J75" s="116">
        <f t="shared" si="31"/>
        <v>943.65900000000011</v>
      </c>
      <c r="K75" s="116">
        <f t="shared" si="31"/>
        <v>1250.5010000000002</v>
      </c>
      <c r="L75" s="116">
        <f t="shared" si="31"/>
        <v>1083.4559999999999</v>
      </c>
    </row>
    <row r="76" spans="1:12" x14ac:dyDescent="0.25">
      <c r="C76" s="72">
        <f>MAX($C$58:C75)+1</f>
        <v>118</v>
      </c>
      <c r="D76" s="69" t="str">
        <f t="shared" si="27"/>
        <v>[vv]</v>
      </c>
      <c r="E76" s="71" t="s">
        <v>152</v>
      </c>
      <c r="F76" s="116">
        <f>F$40</f>
        <v>1151</v>
      </c>
      <c r="G76" s="116">
        <f t="shared" ref="G76:L76" si="32">G$40</f>
        <v>1191.3425387074828</v>
      </c>
      <c r="H76" s="116">
        <f t="shared" si="32"/>
        <v>1299.1127116666669</v>
      </c>
      <c r="I76" s="116">
        <f t="shared" si="32"/>
        <v>1345.7769683333333</v>
      </c>
      <c r="J76" s="116">
        <f t="shared" si="32"/>
        <v>1374.9431199999999</v>
      </c>
      <c r="K76" s="116">
        <f t="shared" si="32"/>
        <v>1791.549306666667</v>
      </c>
      <c r="L76" s="116">
        <f t="shared" si="32"/>
        <v>1620.0101283333333</v>
      </c>
    </row>
    <row r="77" spans="1:12" x14ac:dyDescent="0.25">
      <c r="C77" s="72">
        <f>MAX($C$58:C76)+1</f>
        <v>119</v>
      </c>
      <c r="D77" s="69" t="str">
        <f t="shared" si="27"/>
        <v>[ww]</v>
      </c>
      <c r="E77" s="71" t="s">
        <v>8</v>
      </c>
      <c r="F77" s="117">
        <f>F$64</f>
        <v>5713</v>
      </c>
      <c r="G77" s="117">
        <f t="shared" ref="G77:L77" si="33">G$64</f>
        <v>5925.1</v>
      </c>
      <c r="H77" s="117">
        <f t="shared" si="33"/>
        <v>7426.1</v>
      </c>
      <c r="I77" s="117">
        <f t="shared" si="33"/>
        <v>8276.1</v>
      </c>
      <c r="J77" s="117">
        <f t="shared" si="33"/>
        <v>8873.1</v>
      </c>
      <c r="K77" s="117">
        <f t="shared" si="33"/>
        <v>9423.1</v>
      </c>
      <c r="L77" s="117">
        <f t="shared" si="33"/>
        <v>9523.1</v>
      </c>
    </row>
    <row r="78" spans="1:12" x14ac:dyDescent="0.25">
      <c r="C78" s="72">
        <f>MAX($C$58:C77)+1</f>
        <v>120</v>
      </c>
      <c r="D78" s="69" t="str">
        <f t="shared" si="27"/>
        <v>[xx]</v>
      </c>
      <c r="E78" s="71" t="s">
        <v>159</v>
      </c>
      <c r="F78" s="118">
        <f>$B$74</f>
        <v>10045</v>
      </c>
      <c r="G78" s="118">
        <f t="shared" ref="G78:L78" si="34">$B$74</f>
        <v>10045</v>
      </c>
      <c r="H78" s="118">
        <f t="shared" si="34"/>
        <v>10045</v>
      </c>
      <c r="I78" s="118">
        <f t="shared" si="34"/>
        <v>10045</v>
      </c>
      <c r="J78" s="118">
        <f t="shared" si="34"/>
        <v>10045</v>
      </c>
      <c r="K78" s="118">
        <f t="shared" si="34"/>
        <v>10045</v>
      </c>
      <c r="L78" s="118">
        <f t="shared" si="34"/>
        <v>10045</v>
      </c>
    </row>
    <row r="79" spans="1:12" x14ac:dyDescent="0.25">
      <c r="C79" s="72">
        <f>MAX($C$58:C78)+1</f>
        <v>121</v>
      </c>
      <c r="D79" s="69" t="str">
        <f t="shared" si="27"/>
        <v>[yy]</v>
      </c>
      <c r="E79" s="71" t="s">
        <v>95</v>
      </c>
      <c r="F79" s="31">
        <v>5.1799999999999999E-2</v>
      </c>
      <c r="G79" s="31">
        <v>5.21E-2</v>
      </c>
      <c r="H79" s="31">
        <v>4.9099999999999998E-2</v>
      </c>
      <c r="I79" s="31">
        <v>4.6300000000000001E-2</v>
      </c>
      <c r="J79" s="31">
        <v>4.5600000000000002E-2</v>
      </c>
      <c r="K79" s="31">
        <v>4.5199999999999997E-2</v>
      </c>
      <c r="L79" s="31">
        <v>4.5100000000000001E-2</v>
      </c>
    </row>
    <row r="80" spans="1:12" x14ac:dyDescent="0.25">
      <c r="D80" s="69"/>
      <c r="E80" s="71"/>
      <c r="F80" s="117"/>
      <c r="G80" s="117"/>
      <c r="H80" s="117"/>
      <c r="I80" s="117"/>
      <c r="J80" s="117"/>
      <c r="K80" s="117"/>
      <c r="L80" s="117"/>
    </row>
    <row r="81" spans="1:12" x14ac:dyDescent="0.25">
      <c r="C81" s="72">
        <v>97</v>
      </c>
      <c r="D81" s="69" t="str">
        <f t="shared" ref="D81:D100" si="35">IFERROR("["&amp;CHAR(C81)&amp;CHAR(C81)&amp;CHAR(C81)&amp;"]","")</f>
        <v>[aaa]</v>
      </c>
      <c r="E81" s="71" t="s">
        <v>69</v>
      </c>
      <c r="F81" s="119"/>
      <c r="G81" s="66">
        <f>$B$86*G$79</f>
        <v>49.818888333333334</v>
      </c>
      <c r="H81" s="66">
        <f>$B$86*H$79</f>
        <v>46.950238333333331</v>
      </c>
      <c r="I81" s="66">
        <f>$B$86*I$79</f>
        <v>44.272831666666669</v>
      </c>
      <c r="J81" s="66">
        <f t="shared" ref="J81:L81" si="36">$B$86*J$79</f>
        <v>43.603480000000005</v>
      </c>
      <c r="K81" s="66">
        <f t="shared" si="36"/>
        <v>43.220993333333332</v>
      </c>
      <c r="L81" s="66">
        <f t="shared" si="36"/>
        <v>43.125371666666666</v>
      </c>
    </row>
    <row r="82" spans="1:12" x14ac:dyDescent="0.25">
      <c r="C82" s="72">
        <f>MAX($C$80:C81)+1</f>
        <v>98</v>
      </c>
      <c r="D82" s="69" t="str">
        <f t="shared" si="35"/>
        <v>[bbb]</v>
      </c>
      <c r="E82" s="71" t="s">
        <v>128</v>
      </c>
      <c r="F82" s="66">
        <f>F$52+F51</f>
        <v>293</v>
      </c>
      <c r="G82" s="66">
        <f t="shared" ref="G82:L82" si="37">G$52+G51</f>
        <v>295.80432500000001</v>
      </c>
      <c r="H82" s="66">
        <f t="shared" si="37"/>
        <v>386.65495000000004</v>
      </c>
      <c r="I82" s="66">
        <f t="shared" si="37"/>
        <v>390.93980000000005</v>
      </c>
      <c r="J82" s="66">
        <f t="shared" si="37"/>
        <v>418.08760000000007</v>
      </c>
      <c r="K82" s="66">
        <f t="shared" si="37"/>
        <v>457.86930000000007</v>
      </c>
      <c r="L82" s="66">
        <f t="shared" si="37"/>
        <v>452.77949999999998</v>
      </c>
    </row>
    <row r="83" spans="1:12" x14ac:dyDescent="0.25">
      <c r="A83" s="72" t="s">
        <v>158</v>
      </c>
      <c r="B83" s="72">
        <v>8129</v>
      </c>
      <c r="D83" s="69" t="str">
        <f t="shared" si="35"/>
        <v/>
      </c>
    </row>
    <row r="84" spans="1:12" x14ac:dyDescent="0.25">
      <c r="A84" s="72" t="s">
        <v>67</v>
      </c>
      <c r="B84" s="72">
        <v>2391.6999999999998</v>
      </c>
      <c r="D84" s="69" t="str">
        <f t="shared" si="35"/>
        <v/>
      </c>
      <c r="E84" s="30" t="s">
        <v>14</v>
      </c>
    </row>
    <row r="85" spans="1:12" x14ac:dyDescent="0.25">
      <c r="A85" s="72" t="s">
        <v>68</v>
      </c>
      <c r="B85" s="72">
        <f>B83-B84</f>
        <v>5737.3</v>
      </c>
      <c r="C85" s="72">
        <f>MAX($C$80:C84)+1</f>
        <v>99</v>
      </c>
      <c r="D85" s="69" t="str">
        <f t="shared" si="35"/>
        <v>[ccc]</v>
      </c>
      <c r="E85" s="96" t="s">
        <v>110</v>
      </c>
      <c r="F85" s="120">
        <f>F31/(F82)</f>
        <v>6.1433447098976107E-2</v>
      </c>
      <c r="G85" s="120">
        <f t="shared" ref="G85:L85" si="38">G31/(G82)</f>
        <v>0.2121082533444465</v>
      </c>
      <c r="H85" s="120">
        <f t="shared" si="38"/>
        <v>0.30314550910745286</v>
      </c>
      <c r="I85" s="120">
        <f t="shared" si="38"/>
        <v>0.33784477388419748</v>
      </c>
      <c r="J85" s="120">
        <f t="shared" si="38"/>
        <v>0.37299149747564875</v>
      </c>
      <c r="K85" s="120">
        <f t="shared" si="38"/>
        <v>0.94273476441129955</v>
      </c>
      <c r="L85" s="120">
        <f t="shared" si="38"/>
        <v>0.98703701985918824</v>
      </c>
    </row>
    <row r="86" spans="1:12" x14ac:dyDescent="0.25">
      <c r="A86" s="72" t="s">
        <v>153</v>
      </c>
      <c r="B86" s="20">
        <f>B85/6</f>
        <v>956.2166666666667</v>
      </c>
      <c r="C86" s="72">
        <f>MAX($C$80:C85)+1</f>
        <v>100</v>
      </c>
      <c r="D86" s="69" t="str">
        <f t="shared" si="35"/>
        <v>[ddd]</v>
      </c>
      <c r="E86" s="96" t="s">
        <v>109</v>
      </c>
      <c r="F86" s="121" t="s">
        <v>10</v>
      </c>
      <c r="G86" s="121" t="s">
        <v>10</v>
      </c>
      <c r="H86" s="121" t="s">
        <v>10</v>
      </c>
      <c r="I86" s="121" t="s">
        <v>10</v>
      </c>
      <c r="J86" s="121" t="s">
        <v>10</v>
      </c>
      <c r="K86" s="121" t="s">
        <v>10</v>
      </c>
      <c r="L86" s="121" t="s">
        <v>10</v>
      </c>
    </row>
    <row r="87" spans="1:12" x14ac:dyDescent="0.25">
      <c r="D87" s="69" t="str">
        <f t="shared" si="35"/>
        <v/>
      </c>
    </row>
    <row r="88" spans="1:12" x14ac:dyDescent="0.25">
      <c r="D88" s="69" t="str">
        <f t="shared" si="35"/>
        <v/>
      </c>
      <c r="E88" s="70"/>
      <c r="F88" s="122"/>
      <c r="G88" s="122"/>
      <c r="H88" s="122"/>
      <c r="I88" s="122"/>
      <c r="J88" s="122"/>
      <c r="K88" s="122"/>
      <c r="L88" s="122"/>
    </row>
    <row r="89" spans="1:12" x14ac:dyDescent="0.25">
      <c r="D89" s="69" t="str">
        <f t="shared" si="35"/>
        <v/>
      </c>
      <c r="E89" s="30" t="s">
        <v>24</v>
      </c>
    </row>
    <row r="90" spans="1:12" x14ac:dyDescent="0.25">
      <c r="C90" s="72">
        <f>MAX($C$80:C89)+1</f>
        <v>101</v>
      </c>
      <c r="D90" s="69" t="str">
        <f t="shared" si="35"/>
        <v>[eee]</v>
      </c>
      <c r="E90" s="96" t="s">
        <v>2</v>
      </c>
      <c r="F90" s="120">
        <f>F77/F30</f>
        <v>5.1100178890876569</v>
      </c>
      <c r="G90" s="120">
        <f t="shared" ref="G90:L90" si="39">G77/G30</f>
        <v>5.1151535940408648</v>
      </c>
      <c r="H90" s="120">
        <f t="shared" si="39"/>
        <v>5.8652756042742356</v>
      </c>
      <c r="I90" s="120">
        <f t="shared" si="39"/>
        <v>6.3042696510033354</v>
      </c>
      <c r="J90" s="120">
        <f t="shared" si="39"/>
        <v>6.6121282398318044</v>
      </c>
      <c r="K90" s="120">
        <f t="shared" si="39"/>
        <v>5.3584508346038371</v>
      </c>
      <c r="L90" s="120">
        <f t="shared" si="39"/>
        <v>6.0006548351402724</v>
      </c>
    </row>
    <row r="91" spans="1:12" x14ac:dyDescent="0.25">
      <c r="C91" s="72">
        <f>MAX($C$80:C90)+1</f>
        <v>102</v>
      </c>
      <c r="D91" s="69" t="str">
        <f t="shared" si="35"/>
        <v>[fff]</v>
      </c>
      <c r="E91" s="96" t="s">
        <v>25</v>
      </c>
      <c r="F91" s="69" t="s">
        <v>44</v>
      </c>
      <c r="G91" s="69" t="s">
        <v>44</v>
      </c>
      <c r="H91" s="69" t="s">
        <v>44</v>
      </c>
      <c r="I91" s="69" t="s">
        <v>45</v>
      </c>
      <c r="J91" s="69" t="s">
        <v>45</v>
      </c>
      <c r="K91" s="69" t="s">
        <v>44</v>
      </c>
      <c r="L91" s="69" t="s">
        <v>45</v>
      </c>
    </row>
    <row r="92" spans="1:12" x14ac:dyDescent="0.25">
      <c r="D92" s="69" t="str">
        <f t="shared" si="35"/>
        <v/>
      </c>
      <c r="E92" s="30"/>
      <c r="F92" s="69"/>
      <c r="G92" s="69"/>
      <c r="H92" s="69"/>
      <c r="I92" s="69"/>
      <c r="J92" s="69"/>
      <c r="K92" s="69"/>
      <c r="L92" s="69"/>
    </row>
    <row r="93" spans="1:12" x14ac:dyDescent="0.25">
      <c r="C93" s="72">
        <f>MAX($C$80:C92)+1</f>
        <v>103</v>
      </c>
      <c r="D93" s="69" t="str">
        <f t="shared" si="35"/>
        <v>[ggg]</v>
      </c>
      <c r="E93" s="96" t="s">
        <v>77</v>
      </c>
      <c r="F93" s="120">
        <f>F41/F26</f>
        <v>4.6373626373626378</v>
      </c>
      <c r="G93" s="120">
        <f t="shared" ref="G93:K93" si="40">G41/G26</f>
        <v>3.4837668154320194</v>
      </c>
      <c r="H93" s="120">
        <f t="shared" si="40"/>
        <v>2.7293472640625165</v>
      </c>
      <c r="I93" s="120">
        <f t="shared" si="40"/>
        <v>2.7906490369818568</v>
      </c>
      <c r="J93" s="120">
        <f t="shared" si="40"/>
        <v>2.581942547873215</v>
      </c>
      <c r="K93" s="120">
        <f t="shared" si="40"/>
        <v>3.0827221005203755</v>
      </c>
      <c r="L93" s="120">
        <f>L41/L26</f>
        <v>2.7042177363977991</v>
      </c>
    </row>
    <row r="94" spans="1:12" x14ac:dyDescent="0.25">
      <c r="C94" s="72">
        <f>MAX($C$80:C93)+1</f>
        <v>104</v>
      </c>
      <c r="D94" s="69" t="str">
        <f t="shared" si="35"/>
        <v>[hhh]</v>
      </c>
      <c r="E94" s="97" t="s">
        <v>108</v>
      </c>
      <c r="F94" s="123" t="s">
        <v>43</v>
      </c>
      <c r="G94" s="123" t="s">
        <v>43</v>
      </c>
      <c r="H94" s="123" t="s">
        <v>44</v>
      </c>
      <c r="I94" s="123" t="s">
        <v>44</v>
      </c>
      <c r="J94" s="123" t="s">
        <v>44</v>
      </c>
      <c r="K94" s="123" t="s">
        <v>43</v>
      </c>
      <c r="L94" s="123" t="s">
        <v>44</v>
      </c>
    </row>
    <row r="95" spans="1:12" x14ac:dyDescent="0.25">
      <c r="D95" s="69" t="str">
        <f t="shared" si="35"/>
        <v/>
      </c>
      <c r="F95" s="44"/>
      <c r="G95" s="44"/>
      <c r="H95" s="44"/>
      <c r="I95" s="44"/>
      <c r="J95" s="44"/>
      <c r="K95" s="44"/>
      <c r="L95" s="44"/>
    </row>
    <row r="96" spans="1:12" x14ac:dyDescent="0.25">
      <c r="C96" s="72">
        <f>MAX($C$80:C95)+1</f>
        <v>105</v>
      </c>
      <c r="D96" s="69" t="str">
        <f t="shared" si="35"/>
        <v>[iii]</v>
      </c>
      <c r="E96" s="96" t="s">
        <v>46</v>
      </c>
      <c r="F96" s="111">
        <f>F$41/Inputs!F77</f>
        <v>0.14773323997899526</v>
      </c>
      <c r="G96" s="111">
        <f>G$41/Inputs!G77</f>
        <v>0.13933975797876827</v>
      </c>
      <c r="H96" s="111">
        <f>H$41/Inputs!H77</f>
        <v>0.12154536028332505</v>
      </c>
      <c r="I96" s="111">
        <f>I$41/Inputs!I77</f>
        <v>0.11385918488176797</v>
      </c>
      <c r="J96" s="111">
        <f>J$41/Inputs!J77</f>
        <v>0.10635054265138454</v>
      </c>
      <c r="K96" s="111">
        <f>K$41/Inputs!K77</f>
        <v>0.13270590357737902</v>
      </c>
      <c r="L96" s="111">
        <f>L$41/Inputs!L77</f>
        <v>0.11377135596601945</v>
      </c>
    </row>
    <row r="97" spans="3:14" x14ac:dyDescent="0.25">
      <c r="C97" s="72">
        <f>MAX($C$80:C96)+1</f>
        <v>106</v>
      </c>
      <c r="D97" s="69" t="str">
        <f t="shared" si="35"/>
        <v>[jjj]</v>
      </c>
      <c r="E97" s="96" t="s">
        <v>73</v>
      </c>
      <c r="F97" s="44" t="s">
        <v>43</v>
      </c>
      <c r="G97" s="44" t="s">
        <v>43</v>
      </c>
      <c r="H97" s="44" t="s">
        <v>44</v>
      </c>
      <c r="I97" s="44" t="s">
        <v>44</v>
      </c>
      <c r="J97" s="44" t="s">
        <v>44</v>
      </c>
      <c r="K97" s="44" t="s">
        <v>43</v>
      </c>
      <c r="L97" s="44" t="s">
        <v>44</v>
      </c>
      <c r="M97" s="69"/>
      <c r="N97" s="69"/>
    </row>
    <row r="98" spans="3:14" x14ac:dyDescent="0.25">
      <c r="D98" s="69" t="str">
        <f t="shared" si="35"/>
        <v/>
      </c>
      <c r="F98" s="44"/>
      <c r="G98" s="44"/>
      <c r="H98" s="44"/>
      <c r="I98" s="44"/>
      <c r="J98" s="44"/>
      <c r="K98" s="44"/>
      <c r="L98" s="44"/>
      <c r="M98" s="69"/>
      <c r="N98" s="69"/>
    </row>
    <row r="99" spans="3:14" x14ac:dyDescent="0.25">
      <c r="C99" s="72">
        <f>MAX($C$80:C98)+1</f>
        <v>107</v>
      </c>
      <c r="D99" s="69" t="str">
        <f t="shared" si="35"/>
        <v>[kkk]</v>
      </c>
      <c r="E99" s="96" t="s">
        <v>47</v>
      </c>
      <c r="F99" s="124">
        <f>F$40/Inputs!F$77</f>
        <v>0.2014703308244355</v>
      </c>
      <c r="G99" s="124">
        <f>G$40/Inputs!G$77</f>
        <v>0.20106707713076283</v>
      </c>
      <c r="H99" s="124">
        <f>H$40/Inputs!H$77</f>
        <v>0.17493875811888701</v>
      </c>
      <c r="I99" s="124">
        <f>I$40/Inputs!I$77</f>
        <v>0.16261004196823786</v>
      </c>
      <c r="J99" s="124">
        <f>J$40/Inputs!J$77</f>
        <v>0.15495634220283777</v>
      </c>
      <c r="K99" s="124">
        <f>K$40/Inputs!K$77</f>
        <v>0.19012313428348068</v>
      </c>
      <c r="L99" s="124">
        <f>L$40/Inputs!L$77</f>
        <v>0.17011373694840265</v>
      </c>
    </row>
    <row r="100" spans="3:14" x14ac:dyDescent="0.25">
      <c r="C100" s="72">
        <f>MAX($C$80:C99)+1</f>
        <v>108</v>
      </c>
      <c r="D100" s="69" t="str">
        <f t="shared" si="35"/>
        <v>[lll]</v>
      </c>
      <c r="E100" s="96" t="s">
        <v>26</v>
      </c>
      <c r="F100" s="44" t="s">
        <v>42</v>
      </c>
      <c r="G100" s="44" t="s">
        <v>42</v>
      </c>
      <c r="H100" s="44" t="s">
        <v>43</v>
      </c>
      <c r="I100" s="44" t="s">
        <v>43</v>
      </c>
      <c r="J100" s="44" t="s">
        <v>43</v>
      </c>
      <c r="K100" s="44" t="s">
        <v>43</v>
      </c>
      <c r="L100" s="44" t="s">
        <v>43</v>
      </c>
      <c r="M100" s="69"/>
      <c r="N100" s="69"/>
    </row>
    <row r="101" spans="3:14" ht="6" customHeight="1" thickBot="1" x14ac:dyDescent="0.3">
      <c r="D101" s="22"/>
      <c r="E101" s="11"/>
      <c r="F101" s="23"/>
      <c r="G101" s="23"/>
      <c r="H101" s="23"/>
      <c r="I101" s="23"/>
      <c r="J101" s="23"/>
      <c r="K101" s="23"/>
      <c r="L101" s="23"/>
      <c r="M101" s="69"/>
      <c r="N101" s="69"/>
    </row>
    <row r="102" spans="3:14" ht="6" customHeight="1" thickTop="1" x14ac:dyDescent="0.25">
      <c r="D102" s="69"/>
      <c r="E102" s="71"/>
      <c r="F102" s="71"/>
      <c r="M102" s="69"/>
      <c r="N102" s="69"/>
    </row>
    <row r="103" spans="3:14" x14ac:dyDescent="0.25">
      <c r="D103" s="96" t="s">
        <v>0</v>
      </c>
      <c r="M103" s="69"/>
      <c r="N103" s="69"/>
    </row>
    <row r="104" spans="3:14" x14ac:dyDescent="0.25">
      <c r="D104" s="71" t="s">
        <v>156</v>
      </c>
    </row>
    <row r="105" spans="3:14" x14ac:dyDescent="0.25">
      <c r="D105" s="71" t="s">
        <v>157</v>
      </c>
    </row>
    <row r="106" spans="3:14" x14ac:dyDescent="0.25">
      <c r="D106" s="71" t="s">
        <v>162</v>
      </c>
    </row>
    <row r="107" spans="3:14" ht="15" customHeight="1" x14ac:dyDescent="0.25">
      <c r="D107" s="99" t="s">
        <v>87</v>
      </c>
    </row>
    <row r="108" spans="3:14" ht="15" customHeight="1" x14ac:dyDescent="0.25">
      <c r="D108" s="99" t="s">
        <v>169</v>
      </c>
    </row>
    <row r="109" spans="3:14" ht="15" customHeight="1" x14ac:dyDescent="0.25">
      <c r="D109" s="96" t="s">
        <v>168</v>
      </c>
    </row>
    <row r="110" spans="3:14" x14ac:dyDescent="0.25">
      <c r="D110" s="96" t="s">
        <v>165</v>
      </c>
    </row>
    <row r="111" spans="3:14" x14ac:dyDescent="0.25">
      <c r="D111" s="98" t="s">
        <v>178</v>
      </c>
    </row>
    <row r="112" spans="3:14" x14ac:dyDescent="0.25">
      <c r="D112" s="98" t="s">
        <v>177</v>
      </c>
    </row>
  </sheetData>
  <dataConsolidate/>
  <printOptions horizontalCentered="1" verticalCentered="1"/>
  <pageMargins left="0.70866141732283472" right="0.70866141732283472" top="0.74803149606299213" bottom="0.74803149606299213" header="0.31496062992125984" footer="0.31496062992125984"/>
  <pageSetup scale="44" orientation="portrait" r:id="rId1"/>
  <headerFooter>
    <oddHeader>&amp;RM3-3.1-OPG-4
Attachment 1
Inputs</oddHeader>
  </headerFooter>
  <colBreaks count="1" manualBreakCount="1">
    <brk id="12" max="11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000"/>
  </sheetPr>
  <dimension ref="A1"/>
  <sheetViews>
    <sheetView topLeftCell="A1048576" workbookViewId="0">
      <selection sqref="A1:XFD1048576"/>
    </sheetView>
  </sheetViews>
  <sheetFormatPr defaultRowHeight="15" zeroHeight="1" x14ac:dyDescent="0.25"/>
  <sheetData>
    <row r="1" x14ac:dyDescent="0.2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view="pageBreakPreview" zoomScaleNormal="100" zoomScaleSheetLayoutView="100" workbookViewId="0">
      <selection activeCell="C35" sqref="C35"/>
    </sheetView>
  </sheetViews>
  <sheetFormatPr defaultRowHeight="15" x14ac:dyDescent="0.25"/>
  <cols>
    <col min="1" max="1" width="9.140625" style="81"/>
    <col min="2" max="2" width="40.140625" style="81" bestFit="1" customWidth="1"/>
    <col min="4" max="4" width="3.5703125" customWidth="1"/>
    <col min="5" max="5" width="34" customWidth="1"/>
    <col min="6" max="12" width="14.140625" customWidth="1"/>
  </cols>
  <sheetData>
    <row r="1" spans="1:12" s="81" customFormat="1" x14ac:dyDescent="0.25">
      <c r="F1" s="81">
        <v>1</v>
      </c>
      <c r="G1" s="81">
        <f>MAX($F$1:F1)+1</f>
        <v>2</v>
      </c>
      <c r="H1" s="81">
        <f>MAX($F$1:G1)+1</f>
        <v>3</v>
      </c>
      <c r="I1" s="81">
        <f>MAX($F$1:H1)+1</f>
        <v>4</v>
      </c>
      <c r="J1" s="81">
        <f>MAX($F$1:I1)+1</f>
        <v>5</v>
      </c>
      <c r="K1" s="81">
        <f>MAX($F$1:J1)+1</f>
        <v>6</v>
      </c>
      <c r="L1" s="81">
        <f>MAX($F$1:K1)+1</f>
        <v>7</v>
      </c>
    </row>
    <row r="4" spans="1:12" ht="18.75" x14ac:dyDescent="0.3">
      <c r="D4" s="76" t="s">
        <v>122</v>
      </c>
    </row>
    <row r="5" spans="1:12" ht="6" customHeight="1" thickBot="1" x14ac:dyDescent="0.3">
      <c r="D5" s="1"/>
      <c r="E5" s="1"/>
      <c r="F5" s="1"/>
      <c r="G5" s="1"/>
      <c r="H5" s="1"/>
      <c r="I5" s="1"/>
      <c r="J5" s="1"/>
      <c r="K5" s="1"/>
      <c r="L5" s="1"/>
    </row>
    <row r="6" spans="1:12" ht="6" customHeight="1" thickTop="1" x14ac:dyDescent="0.25"/>
    <row r="7" spans="1:12" x14ac:dyDescent="0.25">
      <c r="D7" s="5"/>
      <c r="E7" s="5"/>
      <c r="F7" s="78">
        <v>2015</v>
      </c>
      <c r="G7" s="78">
        <v>2016</v>
      </c>
      <c r="H7" s="78">
        <v>2017</v>
      </c>
      <c r="I7" s="78">
        <v>2018</v>
      </c>
      <c r="J7" s="78">
        <v>2019</v>
      </c>
      <c r="K7" s="78">
        <v>2020</v>
      </c>
      <c r="L7" s="78">
        <v>2021</v>
      </c>
    </row>
    <row r="8" spans="1:12" x14ac:dyDescent="0.25">
      <c r="D8" s="4"/>
      <c r="E8" s="4"/>
      <c r="F8" s="79" t="str">
        <f>"["&amp;F1&amp;"]"</f>
        <v>[1]</v>
      </c>
      <c r="G8" s="79" t="str">
        <f t="shared" ref="G8:L8" si="0">"["&amp;G1&amp;"]"</f>
        <v>[2]</v>
      </c>
      <c r="H8" s="79" t="str">
        <f t="shared" si="0"/>
        <v>[3]</v>
      </c>
      <c r="I8" s="79" t="str">
        <f t="shared" si="0"/>
        <v>[4]</v>
      </c>
      <c r="J8" s="79" t="str">
        <f t="shared" si="0"/>
        <v>[5]</v>
      </c>
      <c r="K8" s="79" t="str">
        <f t="shared" si="0"/>
        <v>[6]</v>
      </c>
      <c r="L8" s="79" t="str">
        <f t="shared" si="0"/>
        <v>[7]</v>
      </c>
    </row>
    <row r="9" spans="1:12" ht="6" customHeight="1" x14ac:dyDescent="0.25">
      <c r="D9" s="9"/>
      <c r="E9" s="9"/>
      <c r="F9" s="84"/>
      <c r="G9" s="84"/>
      <c r="H9" s="84"/>
      <c r="I9" s="84"/>
      <c r="J9" s="84"/>
      <c r="K9" s="84"/>
      <c r="L9" s="84"/>
    </row>
    <row r="10" spans="1:12" ht="15" customHeight="1" x14ac:dyDescent="0.25">
      <c r="B10" s="83" t="s">
        <v>55</v>
      </c>
      <c r="D10" s="74" t="str">
        <f>"["&amp;CHAR(A11+96)&amp;"]"</f>
        <v>[a]</v>
      </c>
      <c r="E10" s="92" t="s">
        <v>124</v>
      </c>
      <c r="F10" s="94">
        <f>Inputs!F57</f>
        <v>0</v>
      </c>
      <c r="G10" s="94">
        <f>Inputs!G57</f>
        <v>400</v>
      </c>
      <c r="H10" s="94">
        <f>Inputs!H57</f>
        <v>1500</v>
      </c>
      <c r="I10" s="94">
        <f>Inputs!I57</f>
        <v>850</v>
      </c>
      <c r="J10" s="94">
        <f>Inputs!J57</f>
        <v>600</v>
      </c>
      <c r="K10" s="94">
        <f>Inputs!K57</f>
        <v>550</v>
      </c>
      <c r="L10" s="94">
        <f>Inputs!L57</f>
        <v>100</v>
      </c>
    </row>
    <row r="11" spans="1:12" x14ac:dyDescent="0.25">
      <c r="A11" s="81">
        <v>1</v>
      </c>
      <c r="B11" s="82" t="s">
        <v>52</v>
      </c>
      <c r="D11" s="74" t="s">
        <v>125</v>
      </c>
      <c r="E11" t="s">
        <v>28</v>
      </c>
      <c r="F11" s="94">
        <f>Inputs!F59</f>
        <v>5472</v>
      </c>
      <c r="G11" s="94">
        <f>Inputs!G59</f>
        <v>5872</v>
      </c>
      <c r="H11" s="94">
        <f>Inputs!H59</f>
        <v>7372</v>
      </c>
      <c r="I11" s="94">
        <f>Inputs!I59</f>
        <v>8222</v>
      </c>
      <c r="J11" s="94">
        <f>Inputs!J59</f>
        <v>8822</v>
      </c>
      <c r="K11" s="94">
        <f>Inputs!K59</f>
        <v>9372</v>
      </c>
      <c r="L11" s="94">
        <f>Inputs!L59</f>
        <v>9472</v>
      </c>
    </row>
    <row r="12" spans="1:12" x14ac:dyDescent="0.25">
      <c r="A12" s="81">
        <f>MAX(A$11:$B11)+1</f>
        <v>2</v>
      </c>
      <c r="B12" s="82" t="s">
        <v>50</v>
      </c>
      <c r="D12" s="74" t="str">
        <f>"["&amp;CHAR(A13+96)&amp;"]"</f>
        <v>[c]</v>
      </c>
      <c r="E12" t="s">
        <v>123</v>
      </c>
      <c r="F12" s="94">
        <f>Inputs!F62</f>
        <v>225</v>
      </c>
      <c r="G12" s="94">
        <f>Inputs!G62</f>
        <v>37.1</v>
      </c>
      <c r="H12" s="94">
        <f>Inputs!H62</f>
        <v>37.1</v>
      </c>
      <c r="I12" s="94">
        <f>Inputs!I62</f>
        <v>37.1</v>
      </c>
      <c r="J12" s="94">
        <f>Inputs!J62</f>
        <v>37.1</v>
      </c>
      <c r="K12" s="94">
        <f>Inputs!K62</f>
        <v>37.1</v>
      </c>
      <c r="L12" s="94">
        <f>Inputs!L62</f>
        <v>37.1</v>
      </c>
    </row>
    <row r="13" spans="1:12" x14ac:dyDescent="0.25">
      <c r="A13" s="81">
        <f>MAX(A$11:$B12)+1</f>
        <v>3</v>
      </c>
      <c r="B13" s="65" t="s">
        <v>49</v>
      </c>
      <c r="D13" s="74" t="str">
        <f>"["&amp;CHAR(A14+96)&amp;"]"</f>
        <v>[d]</v>
      </c>
      <c r="E13" t="s">
        <v>49</v>
      </c>
      <c r="F13" s="94">
        <f>Inputs!F63</f>
        <v>16</v>
      </c>
      <c r="G13" s="94">
        <f>Inputs!G63</f>
        <v>16</v>
      </c>
      <c r="H13" s="94">
        <f>Inputs!H63</f>
        <v>17</v>
      </c>
      <c r="I13" s="94">
        <f>Inputs!I63</f>
        <v>17</v>
      </c>
      <c r="J13" s="94">
        <f>Inputs!J63</f>
        <v>14</v>
      </c>
      <c r="K13" s="94">
        <f>Inputs!K63</f>
        <v>14</v>
      </c>
      <c r="L13" s="94">
        <f>Inputs!L63</f>
        <v>14</v>
      </c>
    </row>
    <row r="14" spans="1:12" x14ac:dyDescent="0.25">
      <c r="A14" s="81">
        <f>MAX(A$11:$B13)+1</f>
        <v>4</v>
      </c>
      <c r="B14" s="82"/>
      <c r="D14" s="74" t="str">
        <f>"["&amp;CHAR(A15+96)&amp;"]"</f>
        <v>[e]</v>
      </c>
      <c r="E14" t="s">
        <v>8</v>
      </c>
      <c r="F14" s="94">
        <f t="shared" ref="F14:L14" si="1">SUM(F11:F13)</f>
        <v>5713</v>
      </c>
      <c r="G14" s="94">
        <f t="shared" si="1"/>
        <v>5925.1</v>
      </c>
      <c r="H14" s="94">
        <f t="shared" si="1"/>
        <v>7426.1</v>
      </c>
      <c r="I14" s="94">
        <f t="shared" si="1"/>
        <v>8276.1</v>
      </c>
      <c r="J14" s="94">
        <f t="shared" si="1"/>
        <v>8873.1</v>
      </c>
      <c r="K14" s="94">
        <f t="shared" si="1"/>
        <v>9423.1</v>
      </c>
      <c r="L14" s="94">
        <f t="shared" si="1"/>
        <v>9523.1</v>
      </c>
    </row>
    <row r="15" spans="1:12" ht="6" customHeight="1" thickBot="1" x14ac:dyDescent="0.3">
      <c r="A15" s="81">
        <f>MAX(A$11:$B14)+1</f>
        <v>5</v>
      </c>
      <c r="D15" s="93"/>
      <c r="E15" s="1"/>
      <c r="F15" s="1"/>
      <c r="G15" s="1"/>
      <c r="H15" s="1"/>
      <c r="I15" s="1"/>
      <c r="J15" s="1"/>
      <c r="K15" s="1"/>
      <c r="L15" s="1"/>
    </row>
    <row r="16" spans="1:12" ht="6" customHeight="1" thickTop="1" x14ac:dyDescent="0.25">
      <c r="A16" s="81">
        <f>MAX(A$11:$B15)+1</f>
        <v>6</v>
      </c>
      <c r="D16" s="74"/>
      <c r="F16" s="80"/>
      <c r="G16" s="80"/>
      <c r="H16" s="80"/>
      <c r="I16" s="80"/>
      <c r="J16" s="80"/>
      <c r="K16" s="80"/>
      <c r="L16" s="80"/>
    </row>
    <row r="17" spans="1:12" x14ac:dyDescent="0.25">
      <c r="A17" s="81">
        <f>MAX(A$11:$B16)+1</f>
        <v>7</v>
      </c>
      <c r="D17" t="s">
        <v>0</v>
      </c>
    </row>
    <row r="18" spans="1:12" x14ac:dyDescent="0.25">
      <c r="A18" s="81">
        <f>MAX(A$11:$B17)+1</f>
        <v>8</v>
      </c>
      <c r="D18" s="8" t="s">
        <v>126</v>
      </c>
    </row>
    <row r="19" spans="1:12" x14ac:dyDescent="0.25">
      <c r="A19" s="81">
        <f>MAX(A$11:$B18)+1</f>
        <v>9</v>
      </c>
      <c r="D19" s="8" t="s">
        <v>142</v>
      </c>
    </row>
    <row r="20" spans="1:12" x14ac:dyDescent="0.25">
      <c r="A20" s="81">
        <f>MAX(A$11:$B19)+1</f>
        <v>10</v>
      </c>
      <c r="D20" t="s">
        <v>133</v>
      </c>
    </row>
    <row r="21" spans="1:12" x14ac:dyDescent="0.25">
      <c r="A21" s="81">
        <f>MAX(A$11:$B20)+1</f>
        <v>11</v>
      </c>
      <c r="D21" s="8" t="s">
        <v>127</v>
      </c>
    </row>
    <row r="22" spans="1:12" x14ac:dyDescent="0.25">
      <c r="A22" s="81">
        <f>MAX(A$11:$B21)+1</f>
        <v>12</v>
      </c>
      <c r="D22" s="125" t="s">
        <v>141</v>
      </c>
      <c r="E22" s="125"/>
      <c r="F22" s="125"/>
      <c r="G22" s="125"/>
      <c r="H22" s="125"/>
      <c r="I22" s="125"/>
      <c r="J22" s="125"/>
      <c r="K22" s="125"/>
      <c r="L22" s="125"/>
    </row>
    <row r="23" spans="1:12" x14ac:dyDescent="0.25">
      <c r="A23" s="81">
        <f>MAX(A$11:$B21)+1</f>
        <v>12</v>
      </c>
      <c r="D23" s="125"/>
      <c r="E23" s="125"/>
      <c r="F23" s="125"/>
      <c r="G23" s="125"/>
      <c r="H23" s="125"/>
      <c r="I23" s="125"/>
      <c r="J23" s="125"/>
      <c r="K23" s="125"/>
      <c r="L23" s="125"/>
    </row>
    <row r="24" spans="1:12" x14ac:dyDescent="0.25">
      <c r="A24" s="81">
        <f>MAX(A$11:$B23)+1</f>
        <v>13</v>
      </c>
      <c r="D24" s="74"/>
    </row>
  </sheetData>
  <mergeCells count="1">
    <mergeCell ref="D22:L23"/>
  </mergeCells>
  <pageMargins left="0.70866141732283472" right="0.70866141732283472" top="0.74803149606299213" bottom="0.74803149606299213" header="0.31496062992125984" footer="0.31496062992125984"/>
  <pageSetup scale="44" orientation="portrait" r:id="rId1"/>
  <headerFooter>
    <oddHeader>&amp;RM3-3.1-OPG-4
Attachment 1
Ex. BV-5b</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view="pageBreakPreview" zoomScale="115" zoomScaleNormal="100" zoomScaleSheetLayoutView="115" workbookViewId="0">
      <selection activeCell="D24" sqref="D24"/>
    </sheetView>
  </sheetViews>
  <sheetFormatPr defaultRowHeight="15" x14ac:dyDescent="0.25"/>
  <cols>
    <col min="1" max="1" width="11.28515625" style="81" bestFit="1" customWidth="1"/>
    <col min="2" max="2" width="9.140625" style="81"/>
    <col min="4" max="4" width="3.5703125" customWidth="1"/>
    <col min="5" max="5" width="43" customWidth="1"/>
    <col min="6" max="12" width="13.5703125" customWidth="1"/>
  </cols>
  <sheetData>
    <row r="1" spans="1:13" s="81" customFormat="1" x14ac:dyDescent="0.25">
      <c r="F1" s="81">
        <v>1</v>
      </c>
      <c r="G1" s="81">
        <f>MAX($F$1:F1)+1</f>
        <v>2</v>
      </c>
      <c r="H1" s="81">
        <f>MAX($F$1:G1)+1</f>
        <v>3</v>
      </c>
      <c r="I1" s="81">
        <f>MAX($F$1:H1)+1</f>
        <v>4</v>
      </c>
      <c r="J1" s="81">
        <f>MAX($F$1:I1)+1</f>
        <v>5</v>
      </c>
      <c r="K1" s="81">
        <f>MAX($F$1:J1)+1</f>
        <v>6</v>
      </c>
      <c r="L1" s="81">
        <f>MAX($F$1:K1)+1</f>
        <v>7</v>
      </c>
    </row>
    <row r="3" spans="1:13" ht="18.75" x14ac:dyDescent="0.3">
      <c r="D3" s="76" t="s">
        <v>114</v>
      </c>
    </row>
    <row r="4" spans="1:13" ht="6" customHeight="1" thickBot="1" x14ac:dyDescent="0.3">
      <c r="D4" s="1"/>
      <c r="E4" s="1"/>
      <c r="F4" s="1"/>
      <c r="G4" s="1"/>
      <c r="H4" s="1"/>
      <c r="I4" s="1"/>
      <c r="J4" s="1"/>
      <c r="K4" s="1"/>
      <c r="L4" s="1"/>
    </row>
    <row r="5" spans="1:13" ht="6" customHeight="1" thickTop="1" x14ac:dyDescent="0.25"/>
    <row r="6" spans="1:13" x14ac:dyDescent="0.25">
      <c r="D6" s="77"/>
      <c r="E6" s="77"/>
      <c r="F6" s="78">
        <v>2015</v>
      </c>
      <c r="G6" s="78">
        <v>2016</v>
      </c>
      <c r="H6" s="78">
        <v>2017</v>
      </c>
      <c r="I6" s="78">
        <v>2018</v>
      </c>
      <c r="J6" s="78">
        <v>2019</v>
      </c>
      <c r="K6" s="78">
        <v>2020</v>
      </c>
      <c r="L6" s="78">
        <v>2021</v>
      </c>
    </row>
    <row r="7" spans="1:13" x14ac:dyDescent="0.25">
      <c r="D7" s="4"/>
      <c r="E7" s="4"/>
      <c r="F7" s="79" t="str">
        <f>"["&amp;F1&amp;"]"</f>
        <v>[1]</v>
      </c>
      <c r="G7" s="79" t="str">
        <f t="shared" ref="G7:L7" si="0">"["&amp;G1&amp;"]"</f>
        <v>[2]</v>
      </c>
      <c r="H7" s="79" t="str">
        <f t="shared" si="0"/>
        <v>[3]</v>
      </c>
      <c r="I7" s="79" t="str">
        <f t="shared" si="0"/>
        <v>[4]</v>
      </c>
      <c r="J7" s="79" t="str">
        <f t="shared" si="0"/>
        <v>[5]</v>
      </c>
      <c r="K7" s="79" t="str">
        <f t="shared" si="0"/>
        <v>[6]</v>
      </c>
      <c r="L7" s="79" t="str">
        <f t="shared" si="0"/>
        <v>[7]</v>
      </c>
    </row>
    <row r="8" spans="1:13" ht="6" customHeight="1" x14ac:dyDescent="0.25">
      <c r="D8" s="9"/>
      <c r="E8" s="9"/>
      <c r="F8" s="9"/>
      <c r="G8" s="9"/>
      <c r="H8" s="9"/>
      <c r="I8" s="9"/>
      <c r="J8" s="9"/>
      <c r="K8" s="9"/>
      <c r="L8" s="9"/>
    </row>
    <row r="9" spans="1:13" x14ac:dyDescent="0.25">
      <c r="A9" s="81" t="s">
        <v>103</v>
      </c>
      <c r="B9" s="81">
        <v>1</v>
      </c>
      <c r="D9" s="74" t="str">
        <f>"["&amp;CHAR(B9+96)&amp;"]"</f>
        <v>[a]</v>
      </c>
      <c r="E9" t="s">
        <v>103</v>
      </c>
      <c r="F9" s="87">
        <f>INDEX(Inputs!$F$13:$L$31,MATCH($A9,Inputs!$N$13:$N$31,0),MATCH(F$6,Inputs!$F$11:$L$11,0))</f>
        <v>9800</v>
      </c>
      <c r="G9" s="87">
        <f>INDEX(Inputs!$F$13:$L$31,MATCH($A9,Inputs!$N$13:$N$31,0),MATCH(G$6,Inputs!$F$11:$L$11,0))</f>
        <v>10200</v>
      </c>
      <c r="H9" s="87">
        <f>INDEX(Inputs!$F$13:$L$31,MATCH($A9,Inputs!$N$13:$N$31,0),MATCH(H$6,Inputs!$F$11:$L$11,0))</f>
        <v>10800</v>
      </c>
      <c r="I9" s="87">
        <f>INDEX(Inputs!$F$13:$L$31,MATCH($A9,Inputs!$N$13:$N$31,0),MATCH(I$6,Inputs!$F$11:$L$11,0))</f>
        <v>11000</v>
      </c>
      <c r="J9" s="87">
        <f>INDEX(Inputs!$F$13:$L$31,MATCH($A9,Inputs!$N$13:$N$31,0),MATCH(J$6,Inputs!$F$11:$L$11,0))</f>
        <v>10900</v>
      </c>
      <c r="K9" s="87">
        <f>INDEX(Inputs!$F$13:$L$31,MATCH($A9,Inputs!$N$13:$N$31,0),MATCH(K$6,Inputs!$F$11:$L$11,0))</f>
        <v>15100</v>
      </c>
      <c r="L9" s="87">
        <f>INDEX(Inputs!$F$13:$L$31,MATCH($A9,Inputs!$N$13:$N$31,0),MATCH(L$6,Inputs!$F$11:$L$11,0))</f>
        <v>15600</v>
      </c>
    </row>
    <row r="10" spans="1:13" x14ac:dyDescent="0.25">
      <c r="A10" s="81" t="s">
        <v>104</v>
      </c>
      <c r="B10" s="81">
        <f>MAX($B$9:B9)+1</f>
        <v>2</v>
      </c>
      <c r="D10" s="74" t="str">
        <f t="shared" ref="D10:D19" si="1">"["&amp;CHAR(B10+96)&amp;"]"</f>
        <v>[b]</v>
      </c>
      <c r="E10" t="s">
        <v>104</v>
      </c>
      <c r="F10" s="88"/>
      <c r="G10" s="88">
        <f>INDEX(Inputs!$F$13:$L$31,MATCH($A10,Inputs!$N$13:$N$31,0),MATCH(G$6,Inputs!$F$11:$L$11,0))</f>
        <v>8.7800000000000003E-2</v>
      </c>
      <c r="H10" s="88">
        <f>INDEX(Inputs!$F$13:$L$31,MATCH($A10,Inputs!$N$13:$N$31,0),MATCH(H$6,Inputs!$F$11:$L$11,0))</f>
        <v>8.7800000000000003E-2</v>
      </c>
      <c r="I10" s="88">
        <f>INDEX(Inputs!$F$13:$L$31,MATCH($A10,Inputs!$N$13:$N$31,0),MATCH(I$6,Inputs!$F$11:$L$11,0))</f>
        <v>8.7800000000000003E-2</v>
      </c>
      <c r="J10" s="88">
        <f>INDEX(Inputs!$F$13:$L$31,MATCH($A10,Inputs!$N$13:$N$31,0),MATCH(J$6,Inputs!$F$11:$L$11,0))</f>
        <v>8.7800000000000003E-2</v>
      </c>
      <c r="K10" s="88">
        <f>INDEX(Inputs!$F$13:$L$31,MATCH($A10,Inputs!$N$13:$N$31,0),MATCH(K$6,Inputs!$F$11:$L$11,0))</f>
        <v>8.7800000000000003E-2</v>
      </c>
      <c r="L10" s="88">
        <f>INDEX(Inputs!$F$13:$L$31,MATCH($A10,Inputs!$N$13:$N$31,0),MATCH(L$6,Inputs!$F$11:$L$11,0))</f>
        <v>8.7800000000000003E-2</v>
      </c>
    </row>
    <row r="11" spans="1:13" x14ac:dyDescent="0.25">
      <c r="A11" s="81" t="s">
        <v>21</v>
      </c>
      <c r="B11" s="81">
        <f>MAX($B$9:B10)+1</f>
        <v>3</v>
      </c>
      <c r="D11" s="74" t="str">
        <f t="shared" si="1"/>
        <v>[c]</v>
      </c>
      <c r="E11" t="s">
        <v>21</v>
      </c>
      <c r="F11" s="89">
        <f>INDEX(Inputs!$F$13:$L$31,MATCH($A11,Inputs!$N$13:$N$31,0),MATCH(F$6,Inputs!$F$11:$L$11,0))</f>
        <v>0.45</v>
      </c>
      <c r="G11" s="89">
        <f>INDEX(Inputs!$F$13:$L$31,MATCH($A11,Inputs!$N$13:$N$31,0),MATCH(G$6,Inputs!$F$11:$L$11,0))</f>
        <v>0.45</v>
      </c>
      <c r="H11" s="89">
        <f>INDEX(Inputs!$F$13:$L$31,MATCH($A11,Inputs!$N$13:$N$31,0),MATCH(H$6,Inputs!$F$11:$L$11,0))</f>
        <v>0.45</v>
      </c>
      <c r="I11" s="89">
        <f>INDEX(Inputs!$F$13:$L$31,MATCH($A11,Inputs!$N$13:$N$31,0),MATCH(I$6,Inputs!$F$11:$L$11,0))</f>
        <v>0.45</v>
      </c>
      <c r="J11" s="89">
        <f>INDEX(Inputs!$F$13:$L$31,MATCH($A11,Inputs!$N$13:$N$31,0),MATCH(J$6,Inputs!$F$11:$L$11,0))</f>
        <v>0.45</v>
      </c>
      <c r="K11" s="89">
        <f>INDEX(Inputs!$F$13:$L$31,MATCH($A11,Inputs!$N$13:$N$31,0),MATCH(K$6,Inputs!$F$11:$L$11,0))</f>
        <v>0.45</v>
      </c>
      <c r="L11" s="89">
        <f>INDEX(Inputs!$F$13:$L$31,MATCH($A11,Inputs!$N$13:$N$31,0),MATCH(L$6,Inputs!$F$11:$L$11,0))</f>
        <v>0.45</v>
      </c>
    </row>
    <row r="12" spans="1:13" x14ac:dyDescent="0.25">
      <c r="A12" s="81" t="s">
        <v>12</v>
      </c>
      <c r="B12" s="81">
        <f>MAX($B$9:B11)+1</f>
        <v>4</v>
      </c>
      <c r="D12" s="74" t="str">
        <f t="shared" si="1"/>
        <v>[d]</v>
      </c>
      <c r="E12" t="s">
        <v>12</v>
      </c>
      <c r="F12" s="90">
        <f>INDEX(Inputs!$F$13:$L$31,MATCH($A12,Inputs!$N$13:$N$31,0),MATCH(F$6,Inputs!$F$11:$L$11,0))</f>
        <v>417</v>
      </c>
      <c r="G12" s="90">
        <f>INDEX(Inputs!$F$13:$L$31,MATCH($A12,Inputs!$N$13:$N$31,0),MATCH(G$6,Inputs!$F$11:$L$11,0))</f>
        <v>403.00200000000001</v>
      </c>
      <c r="H12" s="90">
        <f>INDEX(Inputs!$F$13:$L$31,MATCH($A12,Inputs!$N$13:$N$31,0),MATCH(H$6,Inputs!$F$11:$L$11,0))</f>
        <v>426.70800000000003</v>
      </c>
      <c r="I12" s="90">
        <f>INDEX(Inputs!$F$13:$L$31,MATCH($A12,Inputs!$N$13:$N$31,0),MATCH(I$6,Inputs!$F$11:$L$11,0))</f>
        <v>434.61</v>
      </c>
      <c r="J12" s="90">
        <f>INDEX(Inputs!$F$13:$L$31,MATCH($A12,Inputs!$N$13:$N$31,0),MATCH(J$6,Inputs!$F$11:$L$11,0))</f>
        <v>430.65899999999999</v>
      </c>
      <c r="K12" s="90">
        <f>INDEX(Inputs!$F$13:$L$31,MATCH($A12,Inputs!$N$13:$N$31,0),MATCH(K$6,Inputs!$F$11:$L$11,0))</f>
        <v>596.601</v>
      </c>
      <c r="L12" s="90">
        <f>INDEX(Inputs!$F$13:$L$31,MATCH($A12,Inputs!$N$13:$N$31,0),MATCH(L$6,Inputs!$F$11:$L$11,0))</f>
        <v>616.35599999999999</v>
      </c>
      <c r="M12" s="86"/>
    </row>
    <row r="13" spans="1:13" x14ac:dyDescent="0.25">
      <c r="B13" s="81">
        <f>MAX($B$9:B12)+1</f>
        <v>5</v>
      </c>
      <c r="D13" s="74" t="str">
        <f t="shared" si="1"/>
        <v>[e]</v>
      </c>
      <c r="E13" t="s">
        <v>111</v>
      </c>
      <c r="F13" s="90">
        <f>F12-673</f>
        <v>-256</v>
      </c>
      <c r="G13" s="90">
        <f t="shared" ref="G13:L13" si="2">G12-673</f>
        <v>-269.99799999999999</v>
      </c>
      <c r="H13" s="90">
        <f t="shared" si="2"/>
        <v>-246.29199999999997</v>
      </c>
      <c r="I13" s="90">
        <f t="shared" si="2"/>
        <v>-238.39</v>
      </c>
      <c r="J13" s="90">
        <f t="shared" si="2"/>
        <v>-242.34100000000001</v>
      </c>
      <c r="K13" s="90">
        <f t="shared" si="2"/>
        <v>-76.399000000000001</v>
      </c>
      <c r="L13" s="90">
        <f t="shared" si="2"/>
        <v>-56.644000000000005</v>
      </c>
    </row>
    <row r="14" spans="1:13" x14ac:dyDescent="0.25">
      <c r="A14" s="81" t="s">
        <v>5</v>
      </c>
      <c r="B14" s="81">
        <f>MAX($B$9:B13)+1</f>
        <v>6</v>
      </c>
      <c r="D14" s="74" t="str">
        <f t="shared" si="1"/>
        <v>[f]</v>
      </c>
      <c r="E14" t="s">
        <v>1</v>
      </c>
      <c r="F14" s="90">
        <f>INDEX(Inputs!$F$13:$L$31,MATCH($A14,Inputs!$N$13:$N$31,0),MATCH(F$6,Inputs!$F$11:$L$11,0))</f>
        <v>182</v>
      </c>
      <c r="G14" s="90">
        <f>INDEX(Inputs!$F$13:$L$31,MATCH($A14,Inputs!$N$13:$N$31,0),MATCH(G$6,Inputs!$F$11:$L$11,0))</f>
        <v>236.98543666666666</v>
      </c>
      <c r="H14" s="90">
        <f>INDEX(Inputs!$F$13:$L$31,MATCH($A14,Inputs!$N$13:$N$31,0),MATCH(H$6,Inputs!$F$11:$L$11,0))</f>
        <v>330.7047116666667</v>
      </c>
      <c r="I14" s="90">
        <f>INDEX(Inputs!$F$13:$L$31,MATCH($A14,Inputs!$N$13:$N$31,0),MATCH(I$6,Inputs!$F$11:$L$11,0))</f>
        <v>337.66696833333339</v>
      </c>
      <c r="J14" s="90">
        <f>INDEX(Inputs!$F$13:$L$31,MATCH($A14,Inputs!$N$13:$N$31,0),MATCH(J$6,Inputs!$F$11:$L$11,0))</f>
        <v>365.48412000000008</v>
      </c>
      <c r="K14" s="90">
        <f>INDEX(Inputs!$F$13:$L$31,MATCH($A14,Inputs!$N$13:$N$31,0),MATCH(K$6,Inputs!$F$11:$L$11,0))</f>
        <v>405.64830666666671</v>
      </c>
      <c r="L14" s="90">
        <f>INDEX(Inputs!$F$13:$L$31,MATCH($A14,Inputs!$N$13:$N$31,0),MATCH(L$6,Inputs!$F$11:$L$11,0))</f>
        <v>400.65412833333335</v>
      </c>
    </row>
    <row r="15" spans="1:13" x14ac:dyDescent="0.25">
      <c r="A15" s="81" t="s">
        <v>83</v>
      </c>
      <c r="B15" s="81">
        <f>MAX($B$9:B14)+1</f>
        <v>7</v>
      </c>
      <c r="D15" s="74" t="str">
        <f t="shared" si="1"/>
        <v>[g]</v>
      </c>
      <c r="E15" s="39" t="s">
        <v>83</v>
      </c>
      <c r="F15" s="90">
        <f>INDEX(Inputs!$F$13:$L$31,MATCH($A15,Inputs!$N$13:$N$31,0),MATCH(F$6,Inputs!$F$11:$L$11,0))</f>
        <v>92</v>
      </c>
      <c r="G15" s="90">
        <f>INDEX(Inputs!$F$13:$L$31,MATCH($A15,Inputs!$N$13:$N$31,0),MATCH(G$6,Inputs!$F$11:$L$11,0))</f>
        <v>95.755102040816325</v>
      </c>
      <c r="H15" s="90">
        <f>INDEX(Inputs!$F$13:$L$31,MATCH($A15,Inputs!$N$13:$N$31,0),MATCH(H$6,Inputs!$F$11:$L$11,0))</f>
        <v>32.800000000000004</v>
      </c>
      <c r="I15" s="90">
        <f>INDEX(Inputs!$F$13:$L$31,MATCH($A15,Inputs!$N$13:$N$31,0),MATCH(I$6,Inputs!$F$11:$L$11,0))</f>
        <v>32.800000000000004</v>
      </c>
      <c r="J15" s="90">
        <f>INDEX(Inputs!$F$13:$L$31,MATCH($A15,Inputs!$N$13:$N$31,0),MATCH(J$6,Inputs!$F$11:$L$11,0))</f>
        <v>32.800000000000004</v>
      </c>
      <c r="K15" s="90">
        <f>INDEX(Inputs!$F$13:$L$31,MATCH($A15,Inputs!$N$13:$N$31,0),MATCH(K$6,Inputs!$F$11:$L$11,0))</f>
        <v>102.4</v>
      </c>
      <c r="L15" s="90">
        <f>INDEX(Inputs!$F$13:$L$31,MATCH($A15,Inputs!$N$13:$N$31,0),MATCH(L$6,Inputs!$F$11:$L$11,0))</f>
        <v>102.9</v>
      </c>
    </row>
    <row r="16" spans="1:13" x14ac:dyDescent="0.25">
      <c r="A16" s="81" t="s">
        <v>22</v>
      </c>
      <c r="B16" s="81">
        <f>MAX($B$9:B15)+1</f>
        <v>8</v>
      </c>
      <c r="D16" s="74" t="str">
        <f t="shared" si="1"/>
        <v>[h]</v>
      </c>
      <c r="E16" t="s">
        <v>22</v>
      </c>
      <c r="F16" s="90">
        <f>INDEX(Inputs!$F$13:$L$31,MATCH($A16,Inputs!$N$13:$N$31,0),MATCH(F$6,Inputs!$F$11:$L$11,0))</f>
        <v>1100</v>
      </c>
      <c r="G16" s="90">
        <f>INDEX(Inputs!$F$13:$L$31,MATCH($A16,Inputs!$N$13:$N$31,0),MATCH(G$6,Inputs!$F$11:$L$11,0))</f>
        <v>1095.5999999999999</v>
      </c>
      <c r="H16" s="90">
        <f>INDEX(Inputs!$F$13:$L$31,MATCH($A16,Inputs!$N$13:$N$31,0),MATCH(H$6,Inputs!$F$11:$L$11,0))</f>
        <v>1148.9000000000001</v>
      </c>
      <c r="I16" s="90">
        <f>INDEX(Inputs!$F$13:$L$31,MATCH($A16,Inputs!$N$13:$N$31,0),MATCH(I$6,Inputs!$F$11:$L$11,0))</f>
        <v>1180.7</v>
      </c>
      <c r="J16" s="90">
        <f>INDEX(Inputs!$F$13:$L$31,MATCH($A16,Inputs!$N$13:$N$31,0),MATCH(J$6,Inputs!$F$11:$L$11,0))</f>
        <v>1186</v>
      </c>
      <c r="K16" s="90">
        <f>INDEX(Inputs!$F$13:$L$31,MATCH($A16,Inputs!$N$13:$N$31,0),MATCH(K$6,Inputs!$F$11:$L$11,0))</f>
        <v>1326.9</v>
      </c>
      <c r="L16" s="90">
        <f>INDEX(Inputs!$F$13:$L$31,MATCH($A16,Inputs!$N$13:$N$31,0),MATCH(L$6,Inputs!$F$11:$L$11,0))</f>
        <v>1140.0999999999999</v>
      </c>
    </row>
    <row r="17" spans="2:12" x14ac:dyDescent="0.25">
      <c r="B17" s="81">
        <f>MAX($B$9:B16)+1</f>
        <v>9</v>
      </c>
      <c r="D17" s="74" t="str">
        <f t="shared" si="1"/>
        <v>[i]</v>
      </c>
      <c r="E17" t="s">
        <v>105</v>
      </c>
      <c r="F17" s="90">
        <f>F13+F14+F15+F16</f>
        <v>1118</v>
      </c>
      <c r="G17" s="90">
        <f t="shared" ref="G17:L17" si="3">G13+G14+G15+G16</f>
        <v>1158.3425387074828</v>
      </c>
      <c r="H17" s="90">
        <f t="shared" si="3"/>
        <v>1266.1127116666669</v>
      </c>
      <c r="I17" s="90">
        <f t="shared" si="3"/>
        <v>1312.7769683333336</v>
      </c>
      <c r="J17" s="90">
        <f t="shared" si="3"/>
        <v>1341.9431200000001</v>
      </c>
      <c r="K17" s="90">
        <f t="shared" si="3"/>
        <v>1758.5493066666668</v>
      </c>
      <c r="L17" s="90">
        <f t="shared" si="3"/>
        <v>1587.0101283333333</v>
      </c>
    </row>
    <row r="18" spans="2:12" x14ac:dyDescent="0.25">
      <c r="B18" s="81">
        <f>MAX($B$9:B17)+1</f>
        <v>10</v>
      </c>
      <c r="D18" s="74" t="str">
        <f t="shared" si="1"/>
        <v>[j]</v>
      </c>
      <c r="E18" t="s">
        <v>112</v>
      </c>
      <c r="F18" s="90">
        <f>F17-F15-F14</f>
        <v>844</v>
      </c>
      <c r="G18" s="90">
        <f t="shared" ref="G18:L18" si="4">G17-G15-G14</f>
        <v>825.60199999999986</v>
      </c>
      <c r="H18" s="90">
        <f t="shared" si="4"/>
        <v>902.60800000000017</v>
      </c>
      <c r="I18" s="90">
        <f t="shared" si="4"/>
        <v>942.31000000000017</v>
      </c>
      <c r="J18" s="90">
        <f t="shared" si="4"/>
        <v>943.65900000000011</v>
      </c>
      <c r="K18" s="90">
        <f t="shared" si="4"/>
        <v>1250.501</v>
      </c>
      <c r="L18" s="90">
        <f t="shared" si="4"/>
        <v>1083.4559999999999</v>
      </c>
    </row>
    <row r="19" spans="2:12" x14ac:dyDescent="0.25">
      <c r="B19" s="81">
        <f>MAX($B$9:B18)+1</f>
        <v>11</v>
      </c>
      <c r="D19" s="9" t="str">
        <f t="shared" si="1"/>
        <v>[k]</v>
      </c>
      <c r="E19" s="7" t="s">
        <v>113</v>
      </c>
      <c r="F19" s="91">
        <f>F13+F15+F16+F14+33</f>
        <v>1151</v>
      </c>
      <c r="G19" s="91">
        <f t="shared" ref="G19:L19" si="5">G13+G15+G16+G14+33</f>
        <v>1191.3425387074828</v>
      </c>
      <c r="H19" s="91">
        <f t="shared" si="5"/>
        <v>1299.1127116666669</v>
      </c>
      <c r="I19" s="91">
        <f t="shared" si="5"/>
        <v>1345.7769683333336</v>
      </c>
      <c r="J19" s="91">
        <f t="shared" si="5"/>
        <v>1374.9431200000001</v>
      </c>
      <c r="K19" s="91">
        <f t="shared" si="5"/>
        <v>1791.5493066666668</v>
      </c>
      <c r="L19" s="91">
        <f t="shared" si="5"/>
        <v>1620.0101283333333</v>
      </c>
    </row>
    <row r="20" spans="2:12" ht="6" customHeight="1" thickBot="1" x14ac:dyDescent="0.3">
      <c r="D20" s="1"/>
      <c r="E20" s="1"/>
      <c r="F20" s="1"/>
      <c r="G20" s="1"/>
      <c r="H20" s="1"/>
      <c r="I20" s="1"/>
      <c r="J20" s="1"/>
      <c r="K20" s="1"/>
      <c r="L20" s="1"/>
    </row>
    <row r="21" spans="2:12" ht="6" customHeight="1" thickTop="1" x14ac:dyDescent="0.25"/>
    <row r="22" spans="2:12" ht="15" customHeight="1" x14ac:dyDescent="0.25">
      <c r="D22" t="s">
        <v>0</v>
      </c>
    </row>
    <row r="23" spans="2:12" x14ac:dyDescent="0.25">
      <c r="D23" t="s">
        <v>149</v>
      </c>
    </row>
    <row r="24" spans="2:12" x14ac:dyDescent="0.25">
      <c r="D24" t="s">
        <v>116</v>
      </c>
    </row>
    <row r="25" spans="2:12" x14ac:dyDescent="0.25">
      <c r="D25" t="s">
        <v>115</v>
      </c>
    </row>
    <row r="26" spans="2:12" x14ac:dyDescent="0.25">
      <c r="D26" t="str">
        <f>D12&amp;": "&amp;D9&amp;"x"&amp;D10&amp;"x"&amp;D11&amp;"; 2015 value taken from financial statement"</f>
        <v>[d]: [a]x[b]x[c]; 2015 value taken from financial statement</v>
      </c>
    </row>
    <row r="27" spans="2:12" x14ac:dyDescent="0.25">
      <c r="D27" t="str">
        <f>D13&amp;": "&amp;D12&amp;"-673, to be consistent with DBRS in their adjustment for earnings from nuclear waste management"</f>
        <v>[e]: [d]-673, to be consistent with DBRS in their adjustment for earnings from nuclear waste management</v>
      </c>
    </row>
    <row r="28" spans="2:12" x14ac:dyDescent="0.25">
      <c r="D28" t="s">
        <v>117</v>
      </c>
    </row>
    <row r="29" spans="2:12" x14ac:dyDescent="0.25">
      <c r="D29" t="s">
        <v>118</v>
      </c>
    </row>
    <row r="30" spans="2:12" x14ac:dyDescent="0.25">
      <c r="D30" t="s">
        <v>119</v>
      </c>
    </row>
    <row r="31" spans="2:12" x14ac:dyDescent="0.25">
      <c r="D31" t="s">
        <v>120</v>
      </c>
    </row>
    <row r="32" spans="2:12" x14ac:dyDescent="0.25">
      <c r="D32" t="s">
        <v>150</v>
      </c>
    </row>
    <row r="33" spans="4:4" x14ac:dyDescent="0.25">
      <c r="D33" t="s">
        <v>121</v>
      </c>
    </row>
  </sheetData>
  <pageMargins left="0.70866141732283472" right="0.70866141732283472" top="0.74803149606299213" bottom="0.74803149606299213" header="0.31496062992125984" footer="0.31496062992125984"/>
  <pageSetup scale="59" orientation="portrait" r:id="rId1"/>
  <headerFooter>
    <oddHeader>&amp;RM3-3.1-OPG-4
Attachment 1
Ex. BV-5a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P38"/>
  <sheetViews>
    <sheetView showGridLines="0" view="pageBreakPreview" zoomScaleNormal="100" zoomScaleSheetLayoutView="100" workbookViewId="0">
      <selection activeCell="C43" sqref="C43"/>
    </sheetView>
  </sheetViews>
  <sheetFormatPr defaultRowHeight="15" x14ac:dyDescent="0.25"/>
  <cols>
    <col min="2" max="2" width="7.7109375" customWidth="1"/>
    <col min="3" max="3" width="57.42578125" bestFit="1" customWidth="1"/>
    <col min="4" max="10" width="15.28515625" customWidth="1"/>
  </cols>
  <sheetData>
    <row r="1" spans="1:10" x14ac:dyDescent="0.25">
      <c r="D1">
        <f>MAX($C$1:C1)+1</f>
        <v>1</v>
      </c>
      <c r="E1">
        <f>MAX($C$1:D1)+1</f>
        <v>2</v>
      </c>
      <c r="F1">
        <f>MAX($C$1:E1)+1</f>
        <v>3</v>
      </c>
      <c r="G1">
        <f>MAX($C$1:F1)+1</f>
        <v>4</v>
      </c>
      <c r="H1">
        <f>MAX($C$1:G1)+1</f>
        <v>5</v>
      </c>
      <c r="I1">
        <f>MAX($C$1:H1)+1</f>
        <v>6</v>
      </c>
      <c r="J1">
        <f>MAX($C$1:I1)+1</f>
        <v>7</v>
      </c>
    </row>
    <row r="3" spans="1:10" ht="18.75" x14ac:dyDescent="0.3">
      <c r="B3" s="3" t="str">
        <f>"OPG Forecasted DBRS Credit Ratings at "&amp;TEXT(Inputs!$C$3,"0%")&amp;" Equity Capitalization (C$ Millions)"</f>
        <v>OPG Forecasted DBRS Credit Ratings at 0% Equity Capitalization (C$ Millions)</v>
      </c>
      <c r="C3" s="2"/>
      <c r="D3" s="3"/>
      <c r="E3" s="2"/>
      <c r="F3" s="2"/>
      <c r="G3" s="2"/>
      <c r="H3" s="2"/>
      <c r="I3" s="2"/>
      <c r="J3" s="2"/>
    </row>
    <row r="4" spans="1:10" ht="6" customHeight="1" thickBot="1" x14ac:dyDescent="0.3">
      <c r="B4" s="1"/>
      <c r="C4" s="1"/>
      <c r="D4" s="1"/>
      <c r="E4" s="1"/>
      <c r="F4" s="1"/>
      <c r="G4" s="1"/>
      <c r="H4" s="1"/>
      <c r="I4" s="1"/>
      <c r="J4" s="1"/>
    </row>
    <row r="5" spans="1:10" ht="6" customHeight="1" thickTop="1" x14ac:dyDescent="0.25"/>
    <row r="6" spans="1:10" x14ac:dyDescent="0.25">
      <c r="C6" s="34"/>
      <c r="D6" s="34">
        <v>2015</v>
      </c>
      <c r="E6" s="34">
        <f>MAX($D$6:D6)+1</f>
        <v>2016</v>
      </c>
      <c r="F6" s="34">
        <f>MAX($D$6:E6)+1</f>
        <v>2017</v>
      </c>
      <c r="G6" s="34">
        <f>MAX($D$6:F6)+1</f>
        <v>2018</v>
      </c>
      <c r="H6" s="34">
        <f>MAX($D$6:G6)+1</f>
        <v>2019</v>
      </c>
      <c r="I6" s="34">
        <f>MAX($D$6:H6)+1</f>
        <v>2020</v>
      </c>
      <c r="J6" s="34">
        <f>MAX($D$6:I6)+1</f>
        <v>2021</v>
      </c>
    </row>
    <row r="7" spans="1:10" x14ac:dyDescent="0.25">
      <c r="B7" s="4"/>
      <c r="C7" s="4"/>
      <c r="D7" s="4" t="str">
        <f t="shared" ref="D7:J7" si="0">"["&amp;D1&amp;"]"</f>
        <v>[1]</v>
      </c>
      <c r="E7" s="4" t="str">
        <f t="shared" si="0"/>
        <v>[2]</v>
      </c>
      <c r="F7" s="4" t="str">
        <f t="shared" si="0"/>
        <v>[3]</v>
      </c>
      <c r="G7" s="4" t="str">
        <f t="shared" si="0"/>
        <v>[4]</v>
      </c>
      <c r="H7" s="4" t="str">
        <f t="shared" si="0"/>
        <v>[5]</v>
      </c>
      <c r="I7" s="4" t="str">
        <f t="shared" si="0"/>
        <v>[6]</v>
      </c>
      <c r="J7" s="4" t="str">
        <f t="shared" si="0"/>
        <v>[7]</v>
      </c>
    </row>
    <row r="8" spans="1:10" ht="6" customHeight="1" x14ac:dyDescent="0.25"/>
    <row r="9" spans="1:10" ht="15" customHeight="1" x14ac:dyDescent="0.25">
      <c r="C9" s="56" t="s">
        <v>79</v>
      </c>
    </row>
    <row r="10" spans="1:10" x14ac:dyDescent="0.25">
      <c r="A10">
        <v>97</v>
      </c>
      <c r="B10" s="35" t="str">
        <f>IFERROR("["&amp;CHAR(A10)&amp;"]","")</f>
        <v>[a]</v>
      </c>
      <c r="C10" s="54" t="str">
        <f>Inputs!E70</f>
        <v>Total Rate Base</v>
      </c>
      <c r="D10" s="45">
        <f>Inputs!F70</f>
        <v>9800</v>
      </c>
      <c r="E10" s="45">
        <f>Inputs!G70</f>
        <v>10200</v>
      </c>
      <c r="F10" s="45">
        <f>Inputs!H70</f>
        <v>10800</v>
      </c>
      <c r="G10" s="45">
        <f>Inputs!I70</f>
        <v>11000</v>
      </c>
      <c r="H10" s="45">
        <f>Inputs!J70</f>
        <v>10900</v>
      </c>
      <c r="I10" s="45">
        <f>Inputs!K70</f>
        <v>15100</v>
      </c>
      <c r="J10" s="45">
        <f>Inputs!L70</f>
        <v>15600</v>
      </c>
    </row>
    <row r="11" spans="1:10" x14ac:dyDescent="0.25">
      <c r="A11">
        <f>MAX($A$10:A10)+1</f>
        <v>98</v>
      </c>
      <c r="B11" s="35" t="str">
        <f t="shared" ref="B11:B13" si="1">IFERROR("["&amp;CHAR(A11)&amp;"]","")</f>
        <v>[b]</v>
      </c>
      <c r="C11" s="54" t="str">
        <f>Inputs!E71</f>
        <v>Return on Equity</v>
      </c>
      <c r="D11" s="46">
        <f>Inputs!F71</f>
        <v>2.6700000000000002E-2</v>
      </c>
      <c r="E11" s="46">
        <f>Inputs!G71</f>
        <v>8.7800000000000003E-2</v>
      </c>
      <c r="F11" s="46">
        <f>Inputs!H71</f>
        <v>8.7800000000000003E-2</v>
      </c>
      <c r="G11" s="46">
        <f>Inputs!I71</f>
        <v>8.7800000000000003E-2</v>
      </c>
      <c r="H11" s="46">
        <f>Inputs!J71</f>
        <v>8.7800000000000003E-2</v>
      </c>
      <c r="I11" s="46">
        <f>Inputs!K71</f>
        <v>8.7800000000000003E-2</v>
      </c>
      <c r="J11" s="46">
        <f>Inputs!L71</f>
        <v>8.7800000000000003E-2</v>
      </c>
    </row>
    <row r="12" spans="1:10" x14ac:dyDescent="0.25">
      <c r="A12">
        <f>MAX($A$10:A11)+1</f>
        <v>99</v>
      </c>
      <c r="B12" s="35" t="str">
        <f t="shared" si="1"/>
        <v>[c]</v>
      </c>
      <c r="C12" s="54" t="str">
        <f>Inputs!E72</f>
        <v>Debt Share of Capital Structure</v>
      </c>
      <c r="D12" s="53">
        <f>Inputs!F72</f>
        <v>0.55000000000000004</v>
      </c>
      <c r="E12" s="53">
        <f>Inputs!G72</f>
        <v>0.55000000000000004</v>
      </c>
      <c r="F12" s="53">
        <f>Inputs!H72</f>
        <v>0.55000000000000004</v>
      </c>
      <c r="G12" s="53">
        <f>Inputs!I72</f>
        <v>0.55000000000000004</v>
      </c>
      <c r="H12" s="53">
        <f>Inputs!J72</f>
        <v>0.55000000000000004</v>
      </c>
      <c r="I12" s="53">
        <f>Inputs!K72</f>
        <v>0.55000000000000004</v>
      </c>
      <c r="J12" s="53">
        <f>Inputs!L72</f>
        <v>0.55000000000000004</v>
      </c>
    </row>
    <row r="13" spans="1:10" x14ac:dyDescent="0.25">
      <c r="A13">
        <f>MAX($A$10:A12)+1</f>
        <v>100</v>
      </c>
      <c r="B13" s="35" t="str">
        <f t="shared" si="1"/>
        <v>[d]</v>
      </c>
      <c r="C13" s="54" t="str">
        <f>Inputs!E73</f>
        <v>Equity Share of Capital Structure</v>
      </c>
      <c r="D13" s="53">
        <f>Inputs!F73</f>
        <v>0.45</v>
      </c>
      <c r="E13" s="53">
        <f>Inputs!G73</f>
        <v>0.45</v>
      </c>
      <c r="F13" s="53">
        <f>Inputs!H73</f>
        <v>0.45</v>
      </c>
      <c r="G13" s="53">
        <f>Inputs!I73</f>
        <v>0.45</v>
      </c>
      <c r="H13" s="53">
        <f>Inputs!J73</f>
        <v>0.45</v>
      </c>
      <c r="I13" s="53">
        <f>Inputs!K73</f>
        <v>0.45</v>
      </c>
      <c r="J13" s="53">
        <f>Inputs!L73</f>
        <v>0.45</v>
      </c>
    </row>
    <row r="14" spans="1:10" x14ac:dyDescent="0.25">
      <c r="A14">
        <f>MAX($A$10:A13)+1</f>
        <v>101</v>
      </c>
      <c r="B14" s="41" t="str">
        <f t="shared" ref="B14:B25" si="2">IFERROR("["&amp;CHAR(A14)&amp;"]","")</f>
        <v>[e]</v>
      </c>
      <c r="C14" s="54" t="str">
        <f>Inputs!E74</f>
        <v>EBIT</v>
      </c>
      <c r="D14" s="52">
        <f>Inputs!F74</f>
        <v>18</v>
      </c>
      <c r="E14" s="52">
        <f>Inputs!G74</f>
        <v>62.742538707482993</v>
      </c>
      <c r="F14" s="52">
        <f>Inputs!H74</f>
        <v>117.21271166666673</v>
      </c>
      <c r="G14" s="52">
        <f>Inputs!I74</f>
        <v>132.07696833333341</v>
      </c>
      <c r="H14" s="52">
        <f>Inputs!J74</f>
        <v>155.94312000000008</v>
      </c>
      <c r="I14" s="52">
        <f>Inputs!K74</f>
        <v>431.64930666666669</v>
      </c>
      <c r="J14" s="52">
        <f>Inputs!L74</f>
        <v>446.91012833333332</v>
      </c>
    </row>
    <row r="15" spans="1:10" ht="6" customHeight="1" x14ac:dyDescent="0.25">
      <c r="B15" s="41"/>
      <c r="C15" s="13"/>
      <c r="D15" s="52"/>
      <c r="E15" s="52"/>
      <c r="F15" s="52"/>
      <c r="G15" s="52"/>
      <c r="H15" s="52"/>
      <c r="I15" s="52"/>
      <c r="J15" s="52"/>
    </row>
    <row r="16" spans="1:10" x14ac:dyDescent="0.25">
      <c r="B16" s="41"/>
      <c r="C16" s="55" t="s">
        <v>78</v>
      </c>
      <c r="D16" s="52"/>
      <c r="E16" s="52"/>
      <c r="F16" s="52"/>
      <c r="G16" s="52"/>
      <c r="H16" s="52"/>
      <c r="I16" s="52"/>
      <c r="J16" s="52"/>
    </row>
    <row r="17" spans="1:16" x14ac:dyDescent="0.25">
      <c r="A17">
        <f>MAX($A$10:A16)+1</f>
        <v>102</v>
      </c>
      <c r="B17" s="41" t="str">
        <f t="shared" si="2"/>
        <v>[f]</v>
      </c>
      <c r="C17" s="54" t="str">
        <f>Inputs!E77</f>
        <v>Total Debt</v>
      </c>
      <c r="D17" s="52">
        <f>Inputs!F77</f>
        <v>5713</v>
      </c>
      <c r="E17" s="52">
        <f>Inputs!G77</f>
        <v>5925.1</v>
      </c>
      <c r="F17" s="52">
        <f>Inputs!H77</f>
        <v>7426.1</v>
      </c>
      <c r="G17" s="52">
        <f>Inputs!I77</f>
        <v>8276.1</v>
      </c>
      <c r="H17" s="52">
        <f>Inputs!J77</f>
        <v>8873.1</v>
      </c>
      <c r="I17" s="52">
        <f>Inputs!K77</f>
        <v>9423.1</v>
      </c>
      <c r="J17" s="52">
        <f>Inputs!L77</f>
        <v>9523.1</v>
      </c>
    </row>
    <row r="18" spans="1:16" x14ac:dyDescent="0.25">
      <c r="A18">
        <f>MAX($A$10:A17)+1</f>
        <v>103</v>
      </c>
      <c r="B18" s="41" t="str">
        <f t="shared" si="2"/>
        <v>[g]</v>
      </c>
      <c r="C18" s="54" t="str">
        <f>Inputs!E78</f>
        <v>Total Equity (assumed constant at 2015 level)</v>
      </c>
      <c r="D18" s="52">
        <f>Inputs!F78</f>
        <v>10045</v>
      </c>
      <c r="E18" s="52">
        <f>Inputs!G78</f>
        <v>10045</v>
      </c>
      <c r="F18" s="52">
        <f>Inputs!H78</f>
        <v>10045</v>
      </c>
      <c r="G18" s="52">
        <f>Inputs!I78</f>
        <v>10045</v>
      </c>
      <c r="H18" s="52">
        <f>Inputs!J78</f>
        <v>10045</v>
      </c>
      <c r="I18" s="52">
        <f>Inputs!K78</f>
        <v>10045</v>
      </c>
      <c r="J18" s="52">
        <f>Inputs!L78</f>
        <v>10045</v>
      </c>
    </row>
    <row r="19" spans="1:16" x14ac:dyDescent="0.25">
      <c r="A19">
        <f>MAX($A$10:A18)+1</f>
        <v>104</v>
      </c>
      <c r="B19" s="75" t="str">
        <f t="shared" si="2"/>
        <v>[h]</v>
      </c>
      <c r="C19" s="54" t="s">
        <v>99</v>
      </c>
      <c r="D19" s="52">
        <f>Inputs!F49</f>
        <v>285</v>
      </c>
      <c r="E19" s="52">
        <f>Inputs!G49</f>
        <v>293.10432500000002</v>
      </c>
      <c r="F19" s="52">
        <f>Inputs!H49</f>
        <v>383.75495000000006</v>
      </c>
      <c r="G19" s="52">
        <f>Inputs!I49</f>
        <v>387.53980000000007</v>
      </c>
      <c r="H19" s="52">
        <f>Inputs!J49</f>
        <v>414.28760000000005</v>
      </c>
      <c r="I19" s="52">
        <f>Inputs!K49</f>
        <v>454.06930000000006</v>
      </c>
      <c r="J19" s="52">
        <f>Inputs!L49</f>
        <v>448.97950000000003</v>
      </c>
    </row>
    <row r="20" spans="1:16" x14ac:dyDescent="0.25">
      <c r="A20">
        <f>MAX($A$10:A19)+1</f>
        <v>105</v>
      </c>
      <c r="B20" s="75" t="str">
        <f t="shared" si="2"/>
        <v>[i]</v>
      </c>
      <c r="C20" s="54" t="s">
        <v>130</v>
      </c>
      <c r="D20" s="52">
        <f>Inputs!F50</f>
        <v>8</v>
      </c>
      <c r="E20" s="52">
        <f>Inputs!G50</f>
        <v>2.7</v>
      </c>
      <c r="F20" s="52">
        <f>Inputs!H50</f>
        <v>2.9</v>
      </c>
      <c r="G20" s="52">
        <f>Inputs!I50</f>
        <v>3.4</v>
      </c>
      <c r="H20" s="52">
        <f>Inputs!J50</f>
        <v>3.8</v>
      </c>
      <c r="I20" s="52">
        <f>Inputs!K50</f>
        <v>3.8</v>
      </c>
      <c r="J20" s="52">
        <f>Inputs!L50</f>
        <v>3.8</v>
      </c>
    </row>
    <row r="21" spans="1:16" x14ac:dyDescent="0.25">
      <c r="A21">
        <f>MAX($A$10:A20)+1</f>
        <v>106</v>
      </c>
      <c r="B21" s="75" t="str">
        <f t="shared" si="2"/>
        <v>[j]</v>
      </c>
      <c r="C21" s="54" t="str">
        <f>Inputs!E82</f>
        <v>Gross Interest Expense</v>
      </c>
      <c r="D21" s="52">
        <f>D20+D19</f>
        <v>293</v>
      </c>
      <c r="E21" s="52">
        <f t="shared" ref="E21:J21" si="3">E20+E19</f>
        <v>295.80432500000001</v>
      </c>
      <c r="F21" s="52">
        <f t="shared" si="3"/>
        <v>386.65495000000004</v>
      </c>
      <c r="G21" s="52">
        <f t="shared" si="3"/>
        <v>390.93980000000005</v>
      </c>
      <c r="H21" s="52">
        <f t="shared" si="3"/>
        <v>418.08760000000007</v>
      </c>
      <c r="I21" s="52">
        <f t="shared" si="3"/>
        <v>457.86930000000007</v>
      </c>
      <c r="J21" s="52">
        <f t="shared" si="3"/>
        <v>452.77950000000004</v>
      </c>
      <c r="M21" s="95">
        <f>D14/D21</f>
        <v>6.1433447098976107E-2</v>
      </c>
      <c r="N21" s="95">
        <f>E14/E21</f>
        <v>0.2121082533444465</v>
      </c>
      <c r="O21" s="95">
        <f>F14/F21</f>
        <v>0.30314550910745286</v>
      </c>
      <c r="P21" s="95">
        <f>G14/G21</f>
        <v>0.33784477388419748</v>
      </c>
    </row>
    <row r="22" spans="1:16" ht="6" customHeight="1" x14ac:dyDescent="0.25">
      <c r="B22" s="41"/>
      <c r="C22" s="13"/>
      <c r="D22" s="47"/>
      <c r="E22" s="47"/>
      <c r="F22" s="47"/>
      <c r="G22" s="47"/>
      <c r="H22" s="47"/>
      <c r="I22" s="47"/>
      <c r="J22" s="47"/>
    </row>
    <row r="23" spans="1:16" x14ac:dyDescent="0.25">
      <c r="B23" s="41" t="str">
        <f t="shared" si="2"/>
        <v/>
      </c>
      <c r="C23" s="55" t="s">
        <v>129</v>
      </c>
      <c r="D23" s="47"/>
      <c r="E23" s="47"/>
      <c r="F23" s="47"/>
      <c r="G23" s="47"/>
      <c r="H23" s="47"/>
      <c r="I23" s="47"/>
      <c r="J23" s="47"/>
    </row>
    <row r="24" spans="1:16" x14ac:dyDescent="0.25">
      <c r="A24">
        <f>MAX($A$10:A23)+1</f>
        <v>107</v>
      </c>
      <c r="B24" s="41" t="str">
        <f t="shared" si="2"/>
        <v>[k]</v>
      </c>
      <c r="C24" s="54" t="str">
        <f>Inputs!E85</f>
        <v>EBIT / Gross Interest Expense (x)</v>
      </c>
      <c r="D24" s="57">
        <f>Inputs!F85</f>
        <v>6.1433447098976107E-2</v>
      </c>
      <c r="E24" s="57">
        <f>Inputs!G85</f>
        <v>0.2121082533444465</v>
      </c>
      <c r="F24" s="57">
        <f>Inputs!H85</f>
        <v>0.30314550910745286</v>
      </c>
      <c r="G24" s="57">
        <f>Inputs!I85</f>
        <v>0.33784477388419748</v>
      </c>
      <c r="H24" s="57">
        <f>Inputs!J85</f>
        <v>0.37299149747564875</v>
      </c>
      <c r="I24" s="57">
        <f>Inputs!K85</f>
        <v>0.94273476441129955</v>
      </c>
      <c r="J24" s="57">
        <f>Inputs!L85</f>
        <v>0.98703701985918824</v>
      </c>
    </row>
    <row r="25" spans="1:16" x14ac:dyDescent="0.25">
      <c r="A25">
        <f>MAX($A$10:A24)+1</f>
        <v>108</v>
      </c>
      <c r="B25" s="41" t="str">
        <f t="shared" si="2"/>
        <v>[l]</v>
      </c>
      <c r="C25" s="54" t="str">
        <f>Inputs!E86</f>
        <v>Predicted Credit Rating based on EBIT / Gross Interest Expense</v>
      </c>
      <c r="D25" s="47" t="str">
        <f>Inputs!F86</f>
        <v>BB/B</v>
      </c>
      <c r="E25" s="47" t="str">
        <f>Inputs!G86</f>
        <v>BB/B</v>
      </c>
      <c r="F25" s="47" t="str">
        <f>Inputs!H86</f>
        <v>BB/B</v>
      </c>
      <c r="G25" s="47" t="str">
        <f>Inputs!I86</f>
        <v>BB/B</v>
      </c>
      <c r="H25" s="47" t="str">
        <f>Inputs!J86</f>
        <v>BB/B</v>
      </c>
      <c r="I25" s="47" t="str">
        <f>Inputs!K86</f>
        <v>BB/B</v>
      </c>
      <c r="J25" s="47" t="str">
        <f>Inputs!L86</f>
        <v>BB/B</v>
      </c>
    </row>
    <row r="26" spans="1:16" x14ac:dyDescent="0.25">
      <c r="B26" s="41"/>
      <c r="C26" s="54"/>
      <c r="D26" s="47"/>
      <c r="E26" s="47"/>
      <c r="F26" s="47"/>
      <c r="G26" s="47"/>
      <c r="H26" s="47"/>
      <c r="I26" s="47"/>
      <c r="J26" s="47"/>
    </row>
    <row r="27" spans="1:16" ht="6" customHeight="1" thickBot="1" x14ac:dyDescent="0.3">
      <c r="B27" s="1"/>
      <c r="C27" s="1"/>
      <c r="D27" s="1"/>
      <c r="E27" s="1"/>
      <c r="F27" s="1"/>
      <c r="G27" s="1"/>
      <c r="H27" s="1"/>
      <c r="I27" s="1"/>
      <c r="J27" s="1"/>
    </row>
    <row r="28" spans="1:16" ht="6" customHeight="1" thickTop="1" x14ac:dyDescent="0.25"/>
    <row r="29" spans="1:16" x14ac:dyDescent="0.25">
      <c r="B29" t="s">
        <v>0</v>
      </c>
    </row>
    <row r="30" spans="1:16" x14ac:dyDescent="0.25">
      <c r="B30" t="s">
        <v>149</v>
      </c>
    </row>
    <row r="31" spans="1:16" x14ac:dyDescent="0.25">
      <c r="B31" t="s">
        <v>131</v>
      </c>
    </row>
    <row r="32" spans="1:16" x14ac:dyDescent="0.25">
      <c r="B32" t="s">
        <v>143</v>
      </c>
    </row>
    <row r="33" spans="2:2" x14ac:dyDescent="0.25">
      <c r="B33" t="s">
        <v>144</v>
      </c>
    </row>
    <row r="34" spans="2:2" x14ac:dyDescent="0.25">
      <c r="B34" t="s">
        <v>132</v>
      </c>
    </row>
    <row r="35" spans="2:2" x14ac:dyDescent="0.25">
      <c r="B35" t="s">
        <v>117</v>
      </c>
    </row>
    <row r="36" spans="2:2" x14ac:dyDescent="0.25">
      <c r="B36" t="s">
        <v>134</v>
      </c>
    </row>
    <row r="37" spans="2:2" x14ac:dyDescent="0.25">
      <c r="B37" t="s">
        <v>135</v>
      </c>
    </row>
    <row r="38" spans="2:2" x14ac:dyDescent="0.25">
      <c r="B38" t="s">
        <v>136</v>
      </c>
    </row>
  </sheetData>
  <pageMargins left="0.70866141732283472" right="0.70866141732283472" top="0.74803149606299213" bottom="0.74803149606299213" header="0.31496062992125984" footer="0.31496062992125984"/>
  <pageSetup scale="49" orientation="portrait" r:id="rId1"/>
  <headerFooter>
    <oddHeader>&amp;RM3-3.1-OPG-4
Attachment 1
Ex. BV-4b</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J46"/>
  <sheetViews>
    <sheetView showGridLines="0" view="pageBreakPreview" zoomScaleNormal="100" zoomScaleSheetLayoutView="100" workbookViewId="0">
      <selection activeCell="K44" sqref="K44"/>
    </sheetView>
  </sheetViews>
  <sheetFormatPr defaultRowHeight="15" x14ac:dyDescent="0.25"/>
  <cols>
    <col min="2" max="2" width="7.7109375" customWidth="1"/>
    <col min="3" max="3" width="48.7109375" bestFit="1" customWidth="1"/>
    <col min="4" max="10" width="15.28515625" customWidth="1"/>
  </cols>
  <sheetData>
    <row r="1" spans="1:10" x14ac:dyDescent="0.25">
      <c r="D1">
        <f>MAX($C$1:C1)+1</f>
        <v>1</v>
      </c>
      <c r="E1">
        <f>MAX($C$1:D1)+1</f>
        <v>2</v>
      </c>
      <c r="F1">
        <f>MAX($C$1:E1)+1</f>
        <v>3</v>
      </c>
      <c r="G1">
        <f>MAX($C$1:F1)+1</f>
        <v>4</v>
      </c>
      <c r="H1">
        <f>MAX($C$1:G1)+1</f>
        <v>5</v>
      </c>
      <c r="I1">
        <f>MAX($C$1:H1)+1</f>
        <v>6</v>
      </c>
      <c r="J1">
        <f>MAX($C$1:I1)+1</f>
        <v>7</v>
      </c>
    </row>
    <row r="3" spans="1:10" ht="18.75" x14ac:dyDescent="0.3">
      <c r="B3" s="3" t="str">
        <f>"OPG Forecasted S&amp;P Credit Ratings at "&amp;TEXT(Inputs!$C$3,"0%")&amp;" Equity Capitalization (C$ Millions)"</f>
        <v>OPG Forecasted S&amp;P Credit Ratings at 0% Equity Capitalization (C$ Millions)</v>
      </c>
      <c r="C3" s="2"/>
      <c r="D3" s="3"/>
      <c r="E3" s="2"/>
      <c r="F3" s="2"/>
      <c r="G3" s="2"/>
      <c r="H3" s="2"/>
      <c r="I3" s="2"/>
      <c r="J3" s="2"/>
    </row>
    <row r="4" spans="1:10" ht="6" customHeight="1" thickBot="1" x14ac:dyDescent="0.3">
      <c r="B4" s="1"/>
      <c r="C4" s="1"/>
      <c r="D4" s="1"/>
      <c r="E4" s="1"/>
      <c r="F4" s="1"/>
      <c r="G4" s="1"/>
      <c r="H4" s="1"/>
      <c r="I4" s="1"/>
      <c r="J4" s="1"/>
    </row>
    <row r="5" spans="1:10" ht="6" customHeight="1" thickTop="1" x14ac:dyDescent="0.25"/>
    <row r="6" spans="1:10" x14ac:dyDescent="0.25">
      <c r="C6" s="41"/>
      <c r="D6" s="41">
        <v>2015</v>
      </c>
      <c r="E6" s="41">
        <f>MAX($D$6:D6)+1</f>
        <v>2016</v>
      </c>
      <c r="F6" s="41">
        <f>MAX($D$6:E6)+1</f>
        <v>2017</v>
      </c>
      <c r="G6" s="41">
        <f>MAX($D$6:F6)+1</f>
        <v>2018</v>
      </c>
      <c r="H6" s="41">
        <f>MAX($D$6:G6)+1</f>
        <v>2019</v>
      </c>
      <c r="I6" s="41">
        <f>MAX($D$6:H6)+1</f>
        <v>2020</v>
      </c>
      <c r="J6" s="41">
        <f>MAX($D$6:I6)+1</f>
        <v>2021</v>
      </c>
    </row>
    <row r="7" spans="1:10" x14ac:dyDescent="0.25">
      <c r="B7" s="4"/>
      <c r="C7" s="4"/>
      <c r="D7" s="4" t="str">
        <f t="shared" ref="D7:J7" si="0">"["&amp;D1&amp;"]"</f>
        <v>[1]</v>
      </c>
      <c r="E7" s="4" t="str">
        <f t="shared" si="0"/>
        <v>[2]</v>
      </c>
      <c r="F7" s="4" t="str">
        <f t="shared" si="0"/>
        <v>[3]</v>
      </c>
      <c r="G7" s="4" t="str">
        <f t="shared" si="0"/>
        <v>[4]</v>
      </c>
      <c r="H7" s="4" t="str">
        <f t="shared" si="0"/>
        <v>[5]</v>
      </c>
      <c r="I7" s="4" t="str">
        <f t="shared" si="0"/>
        <v>[6]</v>
      </c>
      <c r="J7" s="4" t="str">
        <f t="shared" si="0"/>
        <v>[7]</v>
      </c>
    </row>
    <row r="8" spans="1:10" ht="6" customHeight="1" x14ac:dyDescent="0.25"/>
    <row r="9" spans="1:10" ht="15" customHeight="1" x14ac:dyDescent="0.25">
      <c r="C9" s="56" t="s">
        <v>79</v>
      </c>
    </row>
    <row r="10" spans="1:10" x14ac:dyDescent="0.25">
      <c r="A10">
        <v>97</v>
      </c>
      <c r="B10" s="41" t="str">
        <f>IFERROR("["&amp;CHAR(A10)&amp;"]","")</f>
        <v>[a]</v>
      </c>
      <c r="C10" s="54" t="str">
        <f>Inputs!E70</f>
        <v>Total Rate Base</v>
      </c>
      <c r="D10" s="45">
        <f>Inputs!F70</f>
        <v>9800</v>
      </c>
      <c r="E10" s="45">
        <f>Inputs!G70</f>
        <v>10200</v>
      </c>
      <c r="F10" s="45">
        <f>Inputs!H70</f>
        <v>10800</v>
      </c>
      <c r="G10" s="45">
        <f>Inputs!I70</f>
        <v>11000</v>
      </c>
      <c r="H10" s="45">
        <f>Inputs!J70</f>
        <v>10900</v>
      </c>
      <c r="I10" s="45">
        <f>Inputs!K70</f>
        <v>15100</v>
      </c>
      <c r="J10" s="45">
        <f>Inputs!L70</f>
        <v>15600</v>
      </c>
    </row>
    <row r="11" spans="1:10" x14ac:dyDescent="0.25">
      <c r="A11">
        <f>MAX($A$10:A10)+1</f>
        <v>98</v>
      </c>
      <c r="B11" s="41" t="str">
        <f t="shared" ref="B11:B21" si="1">IFERROR("["&amp;CHAR(A11)&amp;"]","")</f>
        <v>[b]</v>
      </c>
      <c r="C11" s="54" t="str">
        <f>Inputs!E71</f>
        <v>Return on Equity</v>
      </c>
      <c r="D11" s="46">
        <f>Inputs!F71</f>
        <v>2.6700000000000002E-2</v>
      </c>
      <c r="E11" s="46">
        <f>Inputs!G71</f>
        <v>8.7800000000000003E-2</v>
      </c>
      <c r="F11" s="46">
        <f>Inputs!H71</f>
        <v>8.7800000000000003E-2</v>
      </c>
      <c r="G11" s="46">
        <f>Inputs!I71</f>
        <v>8.7800000000000003E-2</v>
      </c>
      <c r="H11" s="46">
        <f>Inputs!J71</f>
        <v>8.7800000000000003E-2</v>
      </c>
      <c r="I11" s="46">
        <f>Inputs!K71</f>
        <v>8.7800000000000003E-2</v>
      </c>
      <c r="J11" s="46">
        <f>Inputs!L71</f>
        <v>8.7800000000000003E-2</v>
      </c>
    </row>
    <row r="12" spans="1:10" x14ac:dyDescent="0.25">
      <c r="A12">
        <f>MAX($A$10:A11)+1</f>
        <v>99</v>
      </c>
      <c r="B12" s="41" t="str">
        <f t="shared" si="1"/>
        <v>[c]</v>
      </c>
      <c r="C12" s="54" t="str">
        <f>Inputs!E72</f>
        <v>Debt Share of Capital Structure</v>
      </c>
      <c r="D12" s="51">
        <f>Inputs!F72</f>
        <v>0.55000000000000004</v>
      </c>
      <c r="E12" s="51">
        <f>Inputs!G72</f>
        <v>0.55000000000000004</v>
      </c>
      <c r="F12" s="51">
        <f>Inputs!H72</f>
        <v>0.55000000000000004</v>
      </c>
      <c r="G12" s="51">
        <f>Inputs!I72</f>
        <v>0.55000000000000004</v>
      </c>
      <c r="H12" s="51">
        <f>Inputs!J72</f>
        <v>0.55000000000000004</v>
      </c>
      <c r="I12" s="51">
        <f>Inputs!K72</f>
        <v>0.55000000000000004</v>
      </c>
      <c r="J12" s="51">
        <f>Inputs!L72</f>
        <v>0.55000000000000004</v>
      </c>
    </row>
    <row r="13" spans="1:10" x14ac:dyDescent="0.25">
      <c r="A13">
        <f>MAX($A$10:A12)+1</f>
        <v>100</v>
      </c>
      <c r="B13" s="41" t="str">
        <f t="shared" si="1"/>
        <v>[d]</v>
      </c>
      <c r="C13" s="54" t="str">
        <f>Inputs!E73</f>
        <v>Equity Share of Capital Structure</v>
      </c>
      <c r="D13" s="51">
        <f>Inputs!F73</f>
        <v>0.45</v>
      </c>
      <c r="E13" s="51">
        <f>Inputs!G73</f>
        <v>0.45</v>
      </c>
      <c r="F13" s="51">
        <f>Inputs!H73</f>
        <v>0.45</v>
      </c>
      <c r="G13" s="51">
        <f>Inputs!I73</f>
        <v>0.45</v>
      </c>
      <c r="H13" s="51">
        <f>Inputs!J73</f>
        <v>0.45</v>
      </c>
      <c r="I13" s="51">
        <f>Inputs!K73</f>
        <v>0.45</v>
      </c>
      <c r="J13" s="51">
        <f>Inputs!L73</f>
        <v>0.45</v>
      </c>
    </row>
    <row r="14" spans="1:10" x14ac:dyDescent="0.25">
      <c r="A14">
        <f>MAX($A$10:A13)+1</f>
        <v>101</v>
      </c>
      <c r="B14" s="41" t="str">
        <f t="shared" si="1"/>
        <v>[e]</v>
      </c>
      <c r="C14" s="54" t="s">
        <v>13</v>
      </c>
      <c r="D14" s="45">
        <f>Inputs!F30</f>
        <v>1118</v>
      </c>
      <c r="E14" s="45">
        <f>Inputs!G30</f>
        <v>1158.3425387074828</v>
      </c>
      <c r="F14" s="45">
        <f>Inputs!H30</f>
        <v>1266.1127116666669</v>
      </c>
      <c r="G14" s="45">
        <f>Inputs!I30</f>
        <v>1312.7769683333333</v>
      </c>
      <c r="H14" s="45">
        <f>Inputs!J30</f>
        <v>1341.9431200000001</v>
      </c>
      <c r="I14" s="45">
        <f>Inputs!K30</f>
        <v>1758.549306666667</v>
      </c>
      <c r="J14" s="45">
        <f>Inputs!L30</f>
        <v>1587.0101283333333</v>
      </c>
    </row>
    <row r="15" spans="1:10" ht="6" customHeight="1" x14ac:dyDescent="0.25">
      <c r="B15" s="41"/>
      <c r="C15" s="13"/>
      <c r="D15" s="45"/>
      <c r="E15" s="45"/>
      <c r="F15" s="45"/>
      <c r="G15" s="45"/>
      <c r="H15" s="45"/>
      <c r="I15" s="45"/>
      <c r="J15" s="45"/>
    </row>
    <row r="16" spans="1:10" x14ac:dyDescent="0.25">
      <c r="B16" s="41"/>
      <c r="C16" s="55" t="s">
        <v>78</v>
      </c>
      <c r="D16" s="45"/>
      <c r="E16" s="45"/>
      <c r="F16" s="45"/>
      <c r="G16" s="45"/>
      <c r="H16" s="45"/>
      <c r="I16" s="45"/>
      <c r="J16" s="45"/>
    </row>
    <row r="17" spans="1:10" x14ac:dyDescent="0.25">
      <c r="A17">
        <f>MAX($A$10:A14)+1</f>
        <v>102</v>
      </c>
      <c r="B17" s="41" t="str">
        <f t="shared" si="1"/>
        <v>[f]</v>
      </c>
      <c r="C17" s="54" t="str">
        <f>Inputs!E75</f>
        <v>Funds From Operations (FFO)</v>
      </c>
      <c r="D17" s="45">
        <f>Inputs!F75</f>
        <v>844</v>
      </c>
      <c r="E17" s="45">
        <f>Inputs!G75</f>
        <v>825.60199999999986</v>
      </c>
      <c r="F17" s="45">
        <f>Inputs!H75</f>
        <v>902.60800000000017</v>
      </c>
      <c r="G17" s="45">
        <f>Inputs!I75</f>
        <v>942.31</v>
      </c>
      <c r="H17" s="45">
        <f>Inputs!J75</f>
        <v>943.65900000000011</v>
      </c>
      <c r="I17" s="45">
        <f>Inputs!K75</f>
        <v>1250.5010000000002</v>
      </c>
      <c r="J17" s="45">
        <f>Inputs!L75</f>
        <v>1083.4559999999999</v>
      </c>
    </row>
    <row r="18" spans="1:10" x14ac:dyDescent="0.25">
      <c r="A18">
        <f>MAX($A$10:A17)+1</f>
        <v>103</v>
      </c>
      <c r="B18" s="41" t="str">
        <f t="shared" si="1"/>
        <v>[g]</v>
      </c>
      <c r="C18" s="54" t="s">
        <v>148</v>
      </c>
      <c r="D18" s="45">
        <f>Inputs!F40</f>
        <v>1151</v>
      </c>
      <c r="E18" s="45">
        <f>Inputs!G40</f>
        <v>1191.3425387074828</v>
      </c>
      <c r="F18" s="45">
        <f>Inputs!H40</f>
        <v>1299.1127116666669</v>
      </c>
      <c r="G18" s="45">
        <f>Inputs!I40</f>
        <v>1345.7769683333333</v>
      </c>
      <c r="H18" s="45">
        <f>Inputs!J40</f>
        <v>1374.9431199999999</v>
      </c>
      <c r="I18" s="45">
        <f>Inputs!K40</f>
        <v>1791.549306666667</v>
      </c>
      <c r="J18" s="45">
        <f>Inputs!L40</f>
        <v>1620.0101283333333</v>
      </c>
    </row>
    <row r="19" spans="1:10" x14ac:dyDescent="0.25">
      <c r="A19">
        <f>MAX($A$10:A18)+1</f>
        <v>104</v>
      </c>
      <c r="B19" s="41" t="str">
        <f t="shared" si="1"/>
        <v>[h]</v>
      </c>
      <c r="C19" s="54" t="str">
        <f>Inputs!E77</f>
        <v>Total Debt</v>
      </c>
      <c r="D19" s="45">
        <f>Inputs!F77</f>
        <v>5713</v>
      </c>
      <c r="E19" s="45">
        <f>Inputs!G77</f>
        <v>5925.1</v>
      </c>
      <c r="F19" s="45">
        <f>Inputs!H77</f>
        <v>7426.1</v>
      </c>
      <c r="G19" s="45">
        <f>Inputs!I77</f>
        <v>8276.1</v>
      </c>
      <c r="H19" s="45">
        <f>Inputs!J77</f>
        <v>8873.1</v>
      </c>
      <c r="I19" s="45">
        <f>Inputs!K77</f>
        <v>9423.1</v>
      </c>
      <c r="J19" s="45">
        <f>Inputs!L77</f>
        <v>9523.1</v>
      </c>
    </row>
    <row r="20" spans="1:10" x14ac:dyDescent="0.25">
      <c r="A20">
        <f>MAX($A$10:A19)+1</f>
        <v>105</v>
      </c>
      <c r="B20" s="41" t="str">
        <f t="shared" si="1"/>
        <v>[i]</v>
      </c>
      <c r="C20" s="54" t="str">
        <f>Inputs!E78</f>
        <v>Total Equity (assumed constant at 2015 level)</v>
      </c>
      <c r="D20" s="45">
        <f>Inputs!F78</f>
        <v>10045</v>
      </c>
      <c r="E20" s="45">
        <f>Inputs!G78</f>
        <v>10045</v>
      </c>
      <c r="F20" s="45">
        <f>Inputs!H78</f>
        <v>10045</v>
      </c>
      <c r="G20" s="45">
        <f>Inputs!I78</f>
        <v>10045</v>
      </c>
      <c r="H20" s="45">
        <f>Inputs!J78</f>
        <v>10045</v>
      </c>
      <c r="I20" s="45">
        <f>Inputs!K78</f>
        <v>10045</v>
      </c>
      <c r="J20" s="45">
        <f>Inputs!L78</f>
        <v>10045</v>
      </c>
    </row>
    <row r="21" spans="1:10" x14ac:dyDescent="0.25">
      <c r="A21">
        <f>MAX($A$10:A20)+1</f>
        <v>106</v>
      </c>
      <c r="B21" s="41" t="str">
        <f t="shared" si="1"/>
        <v>[j]</v>
      </c>
      <c r="C21" s="54" t="s">
        <v>1</v>
      </c>
      <c r="D21" s="52">
        <f>Inputs!F26</f>
        <v>182</v>
      </c>
      <c r="E21" s="52">
        <f>Inputs!G26</f>
        <v>236.98543666666666</v>
      </c>
      <c r="F21" s="52">
        <f>Inputs!H26</f>
        <v>330.7047116666667</v>
      </c>
      <c r="G21" s="52">
        <f>Inputs!I26</f>
        <v>337.66696833333339</v>
      </c>
      <c r="H21" s="52">
        <f>Inputs!J26</f>
        <v>365.48412000000008</v>
      </c>
      <c r="I21" s="52">
        <f>Inputs!K26</f>
        <v>405.64830666666671</v>
      </c>
      <c r="J21" s="52">
        <f>Inputs!L26</f>
        <v>400.65412833333335</v>
      </c>
    </row>
    <row r="22" spans="1:10" ht="6" customHeight="1" x14ac:dyDescent="0.25">
      <c r="B22" s="41"/>
      <c r="C22" s="13"/>
      <c r="D22" s="45"/>
      <c r="E22" s="45"/>
      <c r="F22" s="45"/>
      <c r="G22" s="45"/>
      <c r="H22" s="45"/>
      <c r="I22" s="45"/>
      <c r="J22" s="45"/>
    </row>
    <row r="23" spans="1:10" x14ac:dyDescent="0.25">
      <c r="B23" s="41" t="str">
        <f t="shared" ref="B23:B31" si="2">IFERROR("["&amp;CHAR(A23)&amp;"]","")</f>
        <v/>
      </c>
      <c r="C23" s="55" t="s">
        <v>80</v>
      </c>
      <c r="D23" s="13"/>
      <c r="E23" s="13"/>
      <c r="F23" s="13"/>
      <c r="G23" s="13"/>
      <c r="H23" s="13"/>
      <c r="I23" s="13"/>
      <c r="J23" s="13"/>
    </row>
    <row r="24" spans="1:10" x14ac:dyDescent="0.25">
      <c r="A24">
        <f>MAX($A$10:A23)+1</f>
        <v>107</v>
      </c>
      <c r="B24" s="41" t="str">
        <f t="shared" si="2"/>
        <v>[k]</v>
      </c>
      <c r="C24" s="54" t="str">
        <f>Inputs!E90</f>
        <v>Debt / EBITDA (x)</v>
      </c>
      <c r="D24" s="48">
        <f>Inputs!F90</f>
        <v>5.1100178890876569</v>
      </c>
      <c r="E24" s="48">
        <f>Inputs!G90</f>
        <v>5.1151535940408648</v>
      </c>
      <c r="F24" s="48">
        <f>Inputs!H90</f>
        <v>5.8652756042742356</v>
      </c>
      <c r="G24" s="48">
        <f>Inputs!I90</f>
        <v>6.3042696510033354</v>
      </c>
      <c r="H24" s="48">
        <f>Inputs!J90</f>
        <v>6.6121282398318044</v>
      </c>
      <c r="I24" s="48">
        <f>Inputs!K90</f>
        <v>5.3584508346038371</v>
      </c>
      <c r="J24" s="48">
        <f>Inputs!L90</f>
        <v>6.0006548351402724</v>
      </c>
    </row>
    <row r="25" spans="1:10" x14ac:dyDescent="0.25">
      <c r="A25">
        <f>MAX($A$10:A24)+1</f>
        <v>108</v>
      </c>
      <c r="B25" s="41" t="str">
        <f t="shared" si="2"/>
        <v>[l]</v>
      </c>
      <c r="C25" s="54" t="str">
        <f>Inputs!E91</f>
        <v>Predicted Financial Risk based on Debt / EBITDA</v>
      </c>
      <c r="D25" s="44" t="str">
        <f>Inputs!F91</f>
        <v>Significant</v>
      </c>
      <c r="E25" s="44" t="str">
        <f>Inputs!G91</f>
        <v>Significant</v>
      </c>
      <c r="F25" s="44" t="str">
        <f>Inputs!H91</f>
        <v>Significant</v>
      </c>
      <c r="G25" s="44" t="str">
        <f>Inputs!I91</f>
        <v>Aggressive</v>
      </c>
      <c r="H25" s="44" t="str">
        <f>Inputs!J91</f>
        <v>Aggressive</v>
      </c>
      <c r="I25" s="44" t="str">
        <f>Inputs!K91</f>
        <v>Significant</v>
      </c>
      <c r="J25" s="44" t="str">
        <f>Inputs!L91</f>
        <v>Aggressive</v>
      </c>
    </row>
    <row r="26" spans="1:10" x14ac:dyDescent="0.25">
      <c r="B26" s="41" t="str">
        <f t="shared" si="2"/>
        <v/>
      </c>
      <c r="C26" s="54"/>
      <c r="D26" s="50"/>
      <c r="E26" s="50"/>
      <c r="F26" s="50"/>
      <c r="G26" s="50"/>
      <c r="H26" s="50"/>
      <c r="I26" s="50"/>
      <c r="J26" s="50"/>
    </row>
    <row r="27" spans="1:10" x14ac:dyDescent="0.25">
      <c r="A27">
        <f>MAX($A$10:A26)+1</f>
        <v>109</v>
      </c>
      <c r="B27" s="41" t="str">
        <f t="shared" si="2"/>
        <v>[m]</v>
      </c>
      <c r="C27" s="54" t="str">
        <f>Inputs!E93</f>
        <v>FFO / Interest (x)</v>
      </c>
      <c r="D27" s="48">
        <f>Inputs!F93</f>
        <v>4.6373626373626378</v>
      </c>
      <c r="E27" s="48">
        <f>Inputs!G93</f>
        <v>3.4837668154320194</v>
      </c>
      <c r="F27" s="48">
        <f>Inputs!H93</f>
        <v>2.7293472640625165</v>
      </c>
      <c r="G27" s="48">
        <f>Inputs!I93</f>
        <v>2.7906490369818568</v>
      </c>
      <c r="H27" s="48">
        <f>Inputs!J93</f>
        <v>2.581942547873215</v>
      </c>
      <c r="I27" s="48">
        <f>Inputs!K93</f>
        <v>3.0827221005203755</v>
      </c>
      <c r="J27" s="48">
        <f>Inputs!L93</f>
        <v>2.7042177363977991</v>
      </c>
    </row>
    <row r="28" spans="1:10" x14ac:dyDescent="0.25">
      <c r="A28">
        <f>MAX($A$10:A27)+1</f>
        <v>110</v>
      </c>
      <c r="B28" s="41" t="str">
        <f t="shared" si="2"/>
        <v>[n]</v>
      </c>
      <c r="C28" s="54" t="str">
        <f>Inputs!E94</f>
        <v>Predicted Financial Risk based on FFO / Interest</v>
      </c>
      <c r="D28" s="44" t="str">
        <f>Inputs!F94</f>
        <v>Intermediate</v>
      </c>
      <c r="E28" s="44" t="str">
        <f>Inputs!G94</f>
        <v>Intermediate</v>
      </c>
      <c r="F28" s="44" t="str">
        <f>Inputs!H94</f>
        <v>Significant</v>
      </c>
      <c r="G28" s="44" t="str">
        <f>Inputs!I94</f>
        <v>Significant</v>
      </c>
      <c r="H28" s="44" t="str">
        <f>Inputs!J94</f>
        <v>Significant</v>
      </c>
      <c r="I28" s="44" t="str">
        <f>Inputs!K94</f>
        <v>Intermediate</v>
      </c>
      <c r="J28" s="44" t="str">
        <f>Inputs!L94</f>
        <v>Significant</v>
      </c>
    </row>
    <row r="29" spans="1:10" x14ac:dyDescent="0.25">
      <c r="B29" s="41" t="str">
        <f t="shared" si="2"/>
        <v/>
      </c>
      <c r="C29" s="54"/>
      <c r="D29" s="13"/>
      <c r="E29" s="13"/>
      <c r="F29" s="13"/>
      <c r="G29" s="13"/>
      <c r="H29" s="13"/>
      <c r="I29" s="13"/>
      <c r="J29" s="13"/>
    </row>
    <row r="30" spans="1:10" x14ac:dyDescent="0.25">
      <c r="A30">
        <f>MAX($A$10:A29)+1</f>
        <v>111</v>
      </c>
      <c r="B30" s="41" t="str">
        <f t="shared" si="2"/>
        <v>[o]</v>
      </c>
      <c r="C30" s="54" t="str">
        <f>Inputs!E96</f>
        <v>FFO / Debt (%)</v>
      </c>
      <c r="D30" s="49">
        <f>Inputs!F96</f>
        <v>0.14773323997899526</v>
      </c>
      <c r="E30" s="49">
        <f>Inputs!G96</f>
        <v>0.13933975797876827</v>
      </c>
      <c r="F30" s="49">
        <f>Inputs!H96</f>
        <v>0.12154536028332505</v>
      </c>
      <c r="G30" s="49">
        <f>Inputs!I96</f>
        <v>0.11385918488176797</v>
      </c>
      <c r="H30" s="49">
        <f>Inputs!J96</f>
        <v>0.10635054265138454</v>
      </c>
      <c r="I30" s="49">
        <f>Inputs!K96</f>
        <v>0.13270590357737902</v>
      </c>
      <c r="J30" s="49">
        <f>Inputs!L96</f>
        <v>0.11377135596601945</v>
      </c>
    </row>
    <row r="31" spans="1:10" x14ac:dyDescent="0.25">
      <c r="A31">
        <f>MAX($A$10:A30)+1</f>
        <v>112</v>
      </c>
      <c r="B31" s="41" t="str">
        <f t="shared" si="2"/>
        <v>[p]</v>
      </c>
      <c r="C31" s="54" t="str">
        <f>Inputs!E97</f>
        <v>Predicted Financial Risk based on FFO / Debt</v>
      </c>
      <c r="D31" s="44" t="str">
        <f>Inputs!F97</f>
        <v>Intermediate</v>
      </c>
      <c r="E31" s="44" t="str">
        <f>Inputs!G97</f>
        <v>Intermediate</v>
      </c>
      <c r="F31" s="44" t="str">
        <f>Inputs!H97</f>
        <v>Significant</v>
      </c>
      <c r="G31" s="44" t="str">
        <f>Inputs!I97</f>
        <v>Significant</v>
      </c>
      <c r="H31" s="44" t="str">
        <f>Inputs!J97</f>
        <v>Significant</v>
      </c>
      <c r="I31" s="44" t="str">
        <f>Inputs!K97</f>
        <v>Intermediate</v>
      </c>
      <c r="J31" s="44" t="str">
        <f>Inputs!L97</f>
        <v>Significant</v>
      </c>
    </row>
    <row r="32" spans="1:10" x14ac:dyDescent="0.25">
      <c r="B32" s="41" t="str">
        <f t="shared" ref="B32:B34" si="3">IFERROR("["&amp;CHAR(A32)&amp;"]","")</f>
        <v/>
      </c>
      <c r="C32" s="54"/>
      <c r="D32" s="44"/>
      <c r="E32" s="44"/>
      <c r="F32" s="44"/>
      <c r="G32" s="44"/>
      <c r="H32" s="44"/>
      <c r="I32" s="44"/>
      <c r="J32" s="44"/>
    </row>
    <row r="33" spans="1:10" x14ac:dyDescent="0.25">
      <c r="A33">
        <f>MAX($A$10:A32)+1</f>
        <v>113</v>
      </c>
      <c r="B33" s="41" t="str">
        <f t="shared" si="3"/>
        <v>[q]</v>
      </c>
      <c r="C33" s="54" t="str">
        <f>Inputs!E99</f>
        <v>CFO / Debt (%)</v>
      </c>
      <c r="D33" s="49">
        <f>Inputs!F99</f>
        <v>0.2014703308244355</v>
      </c>
      <c r="E33" s="49">
        <f>Inputs!G99</f>
        <v>0.20106707713076283</v>
      </c>
      <c r="F33" s="49">
        <f>Inputs!H99</f>
        <v>0.17493875811888701</v>
      </c>
      <c r="G33" s="49">
        <f>Inputs!I99</f>
        <v>0.16261004196823786</v>
      </c>
      <c r="H33" s="49">
        <f>Inputs!J99</f>
        <v>0.15495634220283777</v>
      </c>
      <c r="I33" s="49">
        <f>Inputs!K99</f>
        <v>0.19012313428348068</v>
      </c>
      <c r="J33" s="49">
        <f>Inputs!L99</f>
        <v>0.17011373694840265</v>
      </c>
    </row>
    <row r="34" spans="1:10" x14ac:dyDescent="0.25">
      <c r="A34">
        <f>MAX($A$10:A33)+1</f>
        <v>114</v>
      </c>
      <c r="B34" s="41" t="str">
        <f t="shared" si="3"/>
        <v>[r]</v>
      </c>
      <c r="C34" s="54" t="str">
        <f>Inputs!E100</f>
        <v>Predicted Financial Risk based on CFO / Debt</v>
      </c>
      <c r="D34" s="44" t="str">
        <f>Inputs!F100</f>
        <v>Modest</v>
      </c>
      <c r="E34" s="44" t="str">
        <f>Inputs!G100</f>
        <v>Modest</v>
      </c>
      <c r="F34" s="44" t="str">
        <f>Inputs!H100</f>
        <v>Intermediate</v>
      </c>
      <c r="G34" s="44" t="str">
        <f>Inputs!I100</f>
        <v>Intermediate</v>
      </c>
      <c r="H34" s="44" t="str">
        <f>Inputs!J100</f>
        <v>Intermediate</v>
      </c>
      <c r="I34" s="44" t="str">
        <f>Inputs!K100</f>
        <v>Intermediate</v>
      </c>
      <c r="J34" s="44" t="str">
        <f>Inputs!L100</f>
        <v>Intermediate</v>
      </c>
    </row>
    <row r="35" spans="1:10" ht="6" customHeight="1" thickBot="1" x14ac:dyDescent="0.3">
      <c r="B35" s="1"/>
      <c r="C35" s="1"/>
      <c r="D35" s="1"/>
      <c r="E35" s="1"/>
      <c r="F35" s="1"/>
      <c r="G35" s="1"/>
      <c r="H35" s="1"/>
      <c r="I35" s="1"/>
      <c r="J35" s="1"/>
    </row>
    <row r="36" spans="1:10" ht="6" customHeight="1" thickTop="1" x14ac:dyDescent="0.25"/>
    <row r="37" spans="1:10" x14ac:dyDescent="0.25">
      <c r="B37" t="s">
        <v>0</v>
      </c>
    </row>
    <row r="38" spans="1:10" x14ac:dyDescent="0.25">
      <c r="B38" t="s">
        <v>149</v>
      </c>
    </row>
    <row r="39" spans="1:10" x14ac:dyDescent="0.25">
      <c r="B39" t="s">
        <v>131</v>
      </c>
    </row>
    <row r="40" spans="1:10" x14ac:dyDescent="0.25">
      <c r="B40" t="s">
        <v>143</v>
      </c>
    </row>
    <row r="41" spans="1:10" x14ac:dyDescent="0.25">
      <c r="B41" t="s">
        <v>145</v>
      </c>
    </row>
    <row r="42" spans="1:10" x14ac:dyDescent="0.25">
      <c r="B42" t="s">
        <v>146</v>
      </c>
    </row>
    <row r="43" spans="1:10" x14ac:dyDescent="0.25">
      <c r="B43" t="s">
        <v>137</v>
      </c>
    </row>
    <row r="44" spans="1:10" x14ac:dyDescent="0.25">
      <c r="B44" t="s">
        <v>138</v>
      </c>
    </row>
    <row r="45" spans="1:10" x14ac:dyDescent="0.25">
      <c r="B45" t="s">
        <v>139</v>
      </c>
    </row>
    <row r="46" spans="1:10" x14ac:dyDescent="0.25">
      <c r="B46" t="s">
        <v>140</v>
      </c>
    </row>
  </sheetData>
  <pageMargins left="0.70866141732283472" right="0.70866141732283472" top="0.74803149606299213" bottom="0.74803149606299213" header="0.31496062992125984" footer="0.31496062992125984"/>
  <pageSetup scale="55" orientation="portrait" r:id="rId1"/>
  <headerFooter>
    <oddHeader>&amp;RM3-3.1-OPG-4
Attachment 1
Ex. BV-4a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C000"/>
  </sheetPr>
  <dimension ref="A1"/>
  <sheetViews>
    <sheetView topLeftCell="A1048576" workbookViewId="0">
      <selection sqref="A1:XFD1048576"/>
    </sheetView>
  </sheetViews>
  <sheetFormatPr defaultRowHeight="15" zeroHeight="1" x14ac:dyDescent="0.25"/>
  <sheetData>
    <row r="1" x14ac:dyDescent="0.25"/>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C1:I44"/>
  <sheetViews>
    <sheetView view="pageBreakPreview" zoomScaleNormal="100" zoomScaleSheetLayoutView="100" workbookViewId="0">
      <selection activeCell="G29" sqref="G29"/>
    </sheetView>
  </sheetViews>
  <sheetFormatPr defaultRowHeight="15" x14ac:dyDescent="0.25"/>
  <cols>
    <col min="3" max="3" width="30" customWidth="1"/>
    <col min="4" max="7" width="24.28515625" customWidth="1"/>
  </cols>
  <sheetData>
    <row r="1" spans="3:7" x14ac:dyDescent="0.25">
      <c r="C1">
        <v>1</v>
      </c>
      <c r="D1">
        <f>MAX(C$1:$C1)+1</f>
        <v>2</v>
      </c>
      <c r="E1">
        <f>MAX($C$1:D1)+1</f>
        <v>3</v>
      </c>
      <c r="F1">
        <f>MAX($C$1:E1)+1</f>
        <v>4</v>
      </c>
      <c r="G1">
        <f>MAX($C$1:F1)+1</f>
        <v>5</v>
      </c>
    </row>
    <row r="3" spans="3:7" s="26" customFormat="1" ht="17.25" x14ac:dyDescent="0.3">
      <c r="C3" s="16" t="s">
        <v>175</v>
      </c>
      <c r="D3" s="16"/>
      <c r="E3" s="16"/>
      <c r="F3" s="16"/>
      <c r="G3" s="16"/>
    </row>
    <row r="4" spans="3:7" ht="6" customHeight="1" thickBot="1" x14ac:dyDescent="0.3">
      <c r="C4" s="1"/>
      <c r="D4" s="1"/>
      <c r="E4" s="1"/>
      <c r="F4" s="1"/>
      <c r="G4" s="1"/>
    </row>
    <row r="5" spans="3:7" ht="6" customHeight="1" thickTop="1" x14ac:dyDescent="0.25"/>
    <row r="6" spans="3:7" x14ac:dyDescent="0.25">
      <c r="D6" s="24" t="s">
        <v>34</v>
      </c>
      <c r="E6" s="24" t="s">
        <v>30</v>
      </c>
      <c r="F6" s="24" t="s">
        <v>31</v>
      </c>
      <c r="G6" s="24" t="s">
        <v>32</v>
      </c>
    </row>
    <row r="7" spans="3:7" x14ac:dyDescent="0.25">
      <c r="C7" s="4" t="str">
        <f>"["&amp;C1&amp;"]"</f>
        <v>[1]</v>
      </c>
      <c r="D7" s="4" t="str">
        <f t="shared" ref="D7:G7" si="0">"["&amp;D1&amp;"]"</f>
        <v>[2]</v>
      </c>
      <c r="E7" s="4" t="str">
        <f t="shared" si="0"/>
        <v>[3]</v>
      </c>
      <c r="F7" s="4" t="str">
        <f t="shared" si="0"/>
        <v>[4]</v>
      </c>
      <c r="G7" s="4" t="str">
        <f t="shared" si="0"/>
        <v>[5]</v>
      </c>
    </row>
    <row r="8" spans="3:7" ht="6" customHeight="1" x14ac:dyDescent="0.25"/>
    <row r="9" spans="3:7" x14ac:dyDescent="0.25">
      <c r="C9" s="6" t="s">
        <v>7</v>
      </c>
    </row>
    <row r="11" spans="3:7" x14ac:dyDescent="0.25">
      <c r="C11" t="s">
        <v>29</v>
      </c>
    </row>
    <row r="13" spans="3:7" x14ac:dyDescent="0.25">
      <c r="C13" s="24"/>
      <c r="D13" s="29">
        <v>270</v>
      </c>
      <c r="E13" s="27">
        <v>2016</v>
      </c>
      <c r="F13" s="28">
        <v>4.9099999999999998E-2</v>
      </c>
      <c r="G13" s="28">
        <f>(F13*D13)/$D$39</f>
        <v>2.4226973684210525E-3</v>
      </c>
    </row>
    <row r="14" spans="3:7" x14ac:dyDescent="0.25">
      <c r="C14" s="24"/>
      <c r="D14" s="29">
        <v>900</v>
      </c>
      <c r="E14" s="27">
        <v>2017</v>
      </c>
      <c r="F14" s="28">
        <v>5.3499999999999999E-2</v>
      </c>
      <c r="G14" s="28">
        <f>(F14*D14)/$D$39</f>
        <v>8.7993421052631575E-3</v>
      </c>
    </row>
    <row r="15" spans="3:7" x14ac:dyDescent="0.25">
      <c r="C15" s="24"/>
      <c r="D15" s="29">
        <v>395</v>
      </c>
      <c r="E15" s="27">
        <v>2018</v>
      </c>
      <c r="F15" s="28">
        <v>5.2699999999999997E-2</v>
      </c>
      <c r="G15" s="28">
        <f>(F15*D15)/$D$39</f>
        <v>3.8041849415204674E-3</v>
      </c>
    </row>
    <row r="16" spans="3:7" x14ac:dyDescent="0.25">
      <c r="C16" s="24"/>
      <c r="D16" s="29">
        <v>365</v>
      </c>
      <c r="E16" s="27">
        <v>2019</v>
      </c>
      <c r="F16" s="28">
        <v>5.4399999999999997E-2</v>
      </c>
      <c r="G16" s="28">
        <f t="shared" ref="G16:G22" si="1">(F16*D16)/$D$39</f>
        <v>3.6286549707602337E-3</v>
      </c>
    </row>
    <row r="17" spans="3:9" x14ac:dyDescent="0.25">
      <c r="C17" s="24"/>
      <c r="D17" s="29">
        <v>660</v>
      </c>
      <c r="E17" s="27">
        <v>2020</v>
      </c>
      <c r="F17" s="28">
        <v>4.5600000000000002E-2</v>
      </c>
      <c r="G17" s="28">
        <f t="shared" si="1"/>
        <v>5.4999999999999997E-3</v>
      </c>
      <c r="I17" s="61"/>
    </row>
    <row r="18" spans="3:9" x14ac:dyDescent="0.25">
      <c r="C18" s="24"/>
      <c r="D18" s="29">
        <v>185</v>
      </c>
      <c r="E18" s="27">
        <v>2021</v>
      </c>
      <c r="F18" s="28">
        <v>4.2799999999999998E-2</v>
      </c>
      <c r="G18" s="28">
        <f t="shared" si="1"/>
        <v>1.4470029239766081E-3</v>
      </c>
    </row>
    <row r="19" spans="3:9" x14ac:dyDescent="0.25">
      <c r="C19" s="24"/>
      <c r="D19" s="29">
        <v>150</v>
      </c>
      <c r="E19" s="27">
        <v>2022</v>
      </c>
      <c r="F19" s="28">
        <v>3.3000000000000002E-2</v>
      </c>
      <c r="G19" s="28">
        <f t="shared" si="1"/>
        <v>9.0460526315789473E-4</v>
      </c>
    </row>
    <row r="20" spans="3:9" x14ac:dyDescent="0.25">
      <c r="C20" s="24"/>
      <c r="D20" s="29">
        <v>40</v>
      </c>
      <c r="E20" s="27">
        <v>2023</v>
      </c>
      <c r="F20" s="28">
        <v>3.1199999999999999E-2</v>
      </c>
      <c r="G20" s="28">
        <f t="shared" si="1"/>
        <v>2.2807017543859649E-4</v>
      </c>
    </row>
    <row r="21" spans="3:9" x14ac:dyDescent="0.25">
      <c r="C21" s="24"/>
      <c r="D21" s="29">
        <v>300</v>
      </c>
      <c r="E21" s="27">
        <v>2041</v>
      </c>
      <c r="F21" s="28">
        <v>5.0700000000000002E-2</v>
      </c>
      <c r="G21" s="28">
        <f t="shared" si="1"/>
        <v>2.7796052631578949E-3</v>
      </c>
      <c r="H21" s="62"/>
    </row>
    <row r="22" spans="3:9" x14ac:dyDescent="0.25">
      <c r="C22" s="24"/>
      <c r="D22" s="29">
        <v>200</v>
      </c>
      <c r="E22" s="27">
        <v>2042</v>
      </c>
      <c r="F22" s="28">
        <v>4.36E-2</v>
      </c>
      <c r="G22" s="28">
        <f t="shared" si="1"/>
        <v>1.5935672514619883E-3</v>
      </c>
      <c r="I22" s="61"/>
    </row>
    <row r="23" spans="3:9" x14ac:dyDescent="0.25">
      <c r="C23" s="24"/>
      <c r="D23" s="29"/>
      <c r="E23" s="27"/>
      <c r="F23" s="28"/>
      <c r="G23" s="28"/>
    </row>
    <row r="24" spans="3:9" x14ac:dyDescent="0.25">
      <c r="C24" s="8" t="s">
        <v>35</v>
      </c>
      <c r="D24" s="29"/>
      <c r="E24" s="27"/>
      <c r="F24" s="28"/>
      <c r="G24" s="28"/>
    </row>
    <row r="25" spans="3:9" x14ac:dyDescent="0.25">
      <c r="C25" s="24"/>
      <c r="D25" s="29">
        <v>187</v>
      </c>
      <c r="E25" s="27">
        <v>2041</v>
      </c>
      <c r="F25" s="28">
        <v>7.8600000000000003E-2</v>
      </c>
      <c r="G25" s="28">
        <f>(F25*D25)/$D$39</f>
        <v>2.6860745614035089E-3</v>
      </c>
    </row>
    <row r="26" spans="3:9" x14ac:dyDescent="0.25">
      <c r="C26" s="24"/>
      <c r="D26" s="29"/>
      <c r="E26" s="27"/>
      <c r="F26" s="28"/>
      <c r="G26" s="28"/>
    </row>
    <row r="27" spans="3:9" x14ac:dyDescent="0.25">
      <c r="C27" s="8" t="s">
        <v>36</v>
      </c>
      <c r="D27" s="29"/>
      <c r="E27" s="27"/>
      <c r="F27" s="28"/>
      <c r="G27" s="28"/>
    </row>
    <row r="28" spans="3:9" x14ac:dyDescent="0.25">
      <c r="C28" s="24"/>
      <c r="D28" s="29">
        <v>245</v>
      </c>
      <c r="E28" s="27">
        <v>2067</v>
      </c>
      <c r="F28" s="28">
        <v>4.9000000000000002E-2</v>
      </c>
      <c r="G28" s="28">
        <f>(F28*D28)/$D$39</f>
        <v>2.1938961988304095E-3</v>
      </c>
    </row>
    <row r="29" spans="3:9" x14ac:dyDescent="0.25">
      <c r="C29" s="24"/>
      <c r="D29" s="29"/>
      <c r="E29" s="27"/>
      <c r="F29" s="28"/>
      <c r="G29" s="28"/>
    </row>
    <row r="30" spans="3:9" x14ac:dyDescent="0.25">
      <c r="C30" s="8" t="s">
        <v>37</v>
      </c>
      <c r="D30" s="29"/>
      <c r="E30" s="27"/>
      <c r="F30" s="28"/>
      <c r="G30" s="28"/>
    </row>
    <row r="31" spans="3:9" x14ac:dyDescent="0.25">
      <c r="C31" s="24"/>
      <c r="D31" s="29">
        <v>200</v>
      </c>
      <c r="E31" s="27">
        <v>2017</v>
      </c>
      <c r="F31" s="28">
        <v>2.35E-2</v>
      </c>
      <c r="G31" s="28">
        <f t="shared" ref="G31:G37" si="2">(F31*D31)/$D$39</f>
        <v>8.5891812865497076E-4</v>
      </c>
    </row>
    <row r="32" spans="3:9" x14ac:dyDescent="0.25">
      <c r="C32" s="24"/>
      <c r="D32" s="29">
        <v>225</v>
      </c>
      <c r="E32" s="27">
        <v>2021</v>
      </c>
      <c r="F32" s="28">
        <v>4.4600000000000001E-2</v>
      </c>
      <c r="G32" s="28">
        <f t="shared" si="2"/>
        <v>1.8338815789473684E-3</v>
      </c>
    </row>
    <row r="33" spans="3:7" x14ac:dyDescent="0.25">
      <c r="C33" s="24"/>
      <c r="D33" s="29">
        <v>200</v>
      </c>
      <c r="E33" s="27">
        <v>2024</v>
      </c>
      <c r="F33" s="28">
        <v>3.5299999999999998E-2</v>
      </c>
      <c r="G33" s="28">
        <f>(F33*D33)/$D$39</f>
        <v>1.290204678362573E-3</v>
      </c>
    </row>
    <row r="34" spans="3:7" x14ac:dyDescent="0.25">
      <c r="C34" s="24"/>
      <c r="D34" s="29">
        <v>250</v>
      </c>
      <c r="E34" s="27">
        <v>2041</v>
      </c>
      <c r="F34" s="28">
        <v>5.2600000000000001E-2</v>
      </c>
      <c r="G34" s="28">
        <f t="shared" si="2"/>
        <v>2.4031432748538011E-3</v>
      </c>
    </row>
    <row r="35" spans="3:7" x14ac:dyDescent="0.25">
      <c r="C35" s="24"/>
      <c r="D35" s="29">
        <v>200</v>
      </c>
      <c r="E35" s="27">
        <v>2043</v>
      </c>
      <c r="F35" s="28">
        <v>5.0500000000000003E-2</v>
      </c>
      <c r="G35" s="28">
        <f>(F35*D35)/$D$39</f>
        <v>1.8457602339181289E-3</v>
      </c>
    </row>
    <row r="36" spans="3:7" x14ac:dyDescent="0.25">
      <c r="C36" s="24"/>
      <c r="D36" s="29">
        <v>275</v>
      </c>
      <c r="E36" s="27">
        <v>2046</v>
      </c>
      <c r="F36" s="28">
        <v>4.2599999999999999E-2</v>
      </c>
      <c r="G36" s="28">
        <f t="shared" si="2"/>
        <v>2.1408991228070175E-3</v>
      </c>
    </row>
    <row r="37" spans="3:7" x14ac:dyDescent="0.25">
      <c r="C37" s="24"/>
      <c r="D37" s="29">
        <v>225</v>
      </c>
      <c r="E37" s="27">
        <v>2052</v>
      </c>
      <c r="F37" s="28">
        <v>4.2599999999999999E-2</v>
      </c>
      <c r="G37" s="28">
        <f t="shared" si="2"/>
        <v>1.751644736842105E-3</v>
      </c>
    </row>
    <row r="38" spans="3:7" x14ac:dyDescent="0.25">
      <c r="D38" s="29"/>
      <c r="E38" s="27"/>
      <c r="F38" s="27"/>
      <c r="G38" s="28"/>
    </row>
    <row r="39" spans="3:7" x14ac:dyDescent="0.25">
      <c r="C39" s="6" t="s">
        <v>33</v>
      </c>
      <c r="D39" s="29">
        <f>SUM($D$13:$D$37)</f>
        <v>5472</v>
      </c>
      <c r="E39" s="27"/>
      <c r="F39" s="27"/>
      <c r="G39" s="28">
        <f>SUM(G13:G37)</f>
        <v>4.8112152777777778E-2</v>
      </c>
    </row>
    <row r="40" spans="3:7" ht="6" customHeight="1" thickBot="1" x14ac:dyDescent="0.3">
      <c r="C40" s="1"/>
      <c r="D40" s="1"/>
      <c r="E40" s="1"/>
      <c r="F40" s="1"/>
      <c r="G40" s="1"/>
    </row>
    <row r="41" spans="3:7" ht="6" customHeight="1" thickTop="1" x14ac:dyDescent="0.25"/>
    <row r="42" spans="3:7" x14ac:dyDescent="0.25">
      <c r="C42" t="s">
        <v>0</v>
      </c>
    </row>
    <row r="43" spans="3:7" x14ac:dyDescent="0.25">
      <c r="C43" t="s">
        <v>41</v>
      </c>
    </row>
    <row r="44" spans="3:7" x14ac:dyDescent="0.25">
      <c r="C44" s="68" t="s">
        <v>38</v>
      </c>
    </row>
  </sheetData>
  <pageMargins left="0.70866141732283472" right="0.70866141732283472" top="0.74803149606299213" bottom="0.74803149606299213" header="0.31496062992125984" footer="0.31496062992125984"/>
  <pageSetup scale="71" orientation="portrait" r:id="rId1"/>
  <headerFooter>
    <oddHeader>&amp;RM3-3.1-OPG-4
Attachment 1
Cost of Debt</oddHeader>
  </headerFooter>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Inputs</vt:lpstr>
      <vt:lpstr>Figures&gt;&gt;</vt:lpstr>
      <vt:lpstr>Ex. BV-5b</vt:lpstr>
      <vt:lpstr>Ex. BV-5a</vt:lpstr>
      <vt:lpstr>Ex. BV-4b</vt:lpstr>
      <vt:lpstr>Ex. BV-4a</vt:lpstr>
      <vt:lpstr>Intermediate&gt;</vt:lpstr>
      <vt:lpstr>Cost of Debt</vt:lpstr>
      <vt:lpstr>'Cost of Debt'!Print_Area</vt:lpstr>
      <vt:lpstr>'Ex. BV-4a'!Print_Area</vt:lpstr>
      <vt:lpstr>'Ex. BV-4b'!Print_Area</vt:lpstr>
      <vt:lpstr>'Ex. BV-5a'!Print_Area</vt:lpstr>
      <vt:lpstr>'Ex. BV-5b'!Print_Area</vt:lpstr>
      <vt:lpstr>Inputs!Print_Area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2016-12-13T18:31:30Z</dcterms:created>
  <dcterms:modified xsi:type="dcterms:W3CDTF">2016-12-14T13:43:41Z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{EC7863A9-CE25-404B-8031-7D666980CA3D}</vt:lpwstr>
  </property>
</Properties>
</file>