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9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0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11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1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14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1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drawings/drawing16.xml" ContentType="application/vnd.openxmlformats-officedocument.drawing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17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18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19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0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21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22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23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5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2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27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8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29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drawings/drawing30.xml" ContentType="application/vnd.openxmlformats-officedocument.drawing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drawings/drawing31.xml" ContentType="application/vnd.openxmlformats-officedocument.drawing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svr16\regaffairs\OEB Applications - Horizon\2017 Distribution Rates\Master Models\01'13'2017 - Final DRO\Live Models_No Links\"/>
    </mc:Choice>
  </mc:AlternateContent>
  <bookViews>
    <workbookView xWindow="240" yWindow="1260" windowWidth="15570" windowHeight="8070" tabRatio="942"/>
  </bookViews>
  <sheets>
    <sheet name="Summary (2)" sheetId="63" r:id="rId1"/>
    <sheet name="Summary (1)" sheetId="64" r:id="rId2"/>
    <sheet name="Bill Impacts - Residential 100" sheetId="11" r:id="rId3"/>
    <sheet name="Bill Impacts - Residential 200" sheetId="42" r:id="rId4"/>
    <sheet name="Bill Impacts - Residential 219" sheetId="65" r:id="rId5"/>
    <sheet name="Bill Impacts - Residential 500" sheetId="43" r:id="rId6"/>
    <sheet name="Bill Impacts - Residential 750" sheetId="44" r:id="rId7"/>
    <sheet name="Bill Impacts - Residential 1000" sheetId="45" r:id="rId8"/>
    <sheet name="Bill Impacts - Residential 1500" sheetId="46" r:id="rId9"/>
    <sheet name="Bill Impacts - Residential 2000" sheetId="47" r:id="rId10"/>
    <sheet name="Bill Impacts - GS &lt; 50 1000" sheetId="12" r:id="rId11"/>
    <sheet name="Bill Impacts - GS &lt; 50 2000" sheetId="48" r:id="rId12"/>
    <sheet name="Bill Impacts - GS &lt; 50 5000" sheetId="49" r:id="rId13"/>
    <sheet name="Bill Impacts - GS &lt; 50 10000" sheetId="50" r:id="rId14"/>
    <sheet name="Bill Impacts - GS &lt; 50 15000" sheetId="51" r:id="rId15"/>
    <sheet name="Bill Impacts - GS &gt; 50 100" sheetId="13" r:id="rId16"/>
    <sheet name="Bill Impacts - GS &gt; 50 250" sheetId="52" r:id="rId17"/>
    <sheet name="Bill Impacts - GS &gt; 50 350" sheetId="53" r:id="rId18"/>
    <sheet name="Bill Impacts - GS &gt; 50 2000" sheetId="54" r:id="rId19"/>
    <sheet name="Bill Impacts - GS &gt; 50 4000" sheetId="55" r:id="rId20"/>
    <sheet name="Bill Impacts - Large Use 5000" sheetId="66" r:id="rId21"/>
    <sheet name="Bill Impacts - Large Use 6500" sheetId="14" r:id="rId22"/>
    <sheet name="Bill Impacts - Large Use 7500" sheetId="56" r:id="rId23"/>
    <sheet name="Bill Impacts - Large Use 10000" sheetId="57" r:id="rId24"/>
    <sheet name="Bill Impacts - Large Use 12500" sheetId="58" r:id="rId25"/>
    <sheet name="Bill Impacts - Large Use2 15000" sheetId="37" r:id="rId26"/>
    <sheet name="Bill Impacts - Large Use2 20000" sheetId="59" r:id="rId27"/>
    <sheet name="Bill Impacts - USL 250" sheetId="15" r:id="rId28"/>
    <sheet name="Bill Impacts - USL 500" sheetId="60" r:id="rId29"/>
    <sheet name="Bill Impacts - Sentinel" sheetId="16" r:id="rId30"/>
    <sheet name="Bill Impacts - Sentinel (2)" sheetId="61" r:id="rId31"/>
    <sheet name="Bill Impacts - Street Light" sheetId="17" r:id="rId32"/>
    <sheet name="Bill Impacts - Street Light (2" sheetId="62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BI_LDCLIST">'[1]3. Rate Class Selection'!$B$19:$B$21</definedName>
    <definedName name="contactf" localSheetId="10">#REF!</definedName>
    <definedName name="contactf" localSheetId="13">#REF!</definedName>
    <definedName name="contactf" localSheetId="14">#REF!</definedName>
    <definedName name="contactf" localSheetId="11">#REF!</definedName>
    <definedName name="contactf" localSheetId="12">#REF!</definedName>
    <definedName name="contactf" localSheetId="15">#REF!</definedName>
    <definedName name="contactf" localSheetId="18">#REF!</definedName>
    <definedName name="contactf" localSheetId="16">#REF!</definedName>
    <definedName name="contactf" localSheetId="17">#REF!</definedName>
    <definedName name="contactf" localSheetId="19">#REF!</definedName>
    <definedName name="contactf" localSheetId="23">#REF!</definedName>
    <definedName name="contactf" localSheetId="24">#REF!</definedName>
    <definedName name="contactf" localSheetId="20">#REF!</definedName>
    <definedName name="contactf" localSheetId="21">#REF!</definedName>
    <definedName name="contactf" localSheetId="22">#REF!</definedName>
    <definedName name="contactf" localSheetId="25">#REF!</definedName>
    <definedName name="contactf" localSheetId="26">#REF!</definedName>
    <definedName name="contactf" localSheetId="2">#REF!</definedName>
    <definedName name="contactf" localSheetId="7">#REF!</definedName>
    <definedName name="contactf" localSheetId="8">#REF!</definedName>
    <definedName name="contactf" localSheetId="3">#REF!</definedName>
    <definedName name="contactf" localSheetId="9">#REF!</definedName>
    <definedName name="contactf" localSheetId="4">#REF!</definedName>
    <definedName name="contactf" localSheetId="5">#REF!</definedName>
    <definedName name="contactf" localSheetId="6">#REF!</definedName>
    <definedName name="contactf" localSheetId="29">#REF!</definedName>
    <definedName name="contactf" localSheetId="30">#REF!</definedName>
    <definedName name="contactf" localSheetId="31">#REF!</definedName>
    <definedName name="contactf" localSheetId="32">#REF!</definedName>
    <definedName name="contactf" localSheetId="27">#REF!</definedName>
    <definedName name="contactf" localSheetId="28">#REF!</definedName>
    <definedName name="contactf" localSheetId="1">#REF!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 localSheetId="10">#REF!</definedName>
    <definedName name="Incr2000" localSheetId="13">#REF!</definedName>
    <definedName name="Incr2000" localSheetId="14">#REF!</definedName>
    <definedName name="Incr2000" localSheetId="11">#REF!</definedName>
    <definedName name="Incr2000" localSheetId="12">#REF!</definedName>
    <definedName name="Incr2000" localSheetId="15">#REF!</definedName>
    <definedName name="Incr2000" localSheetId="18">#REF!</definedName>
    <definedName name="Incr2000" localSheetId="16">#REF!</definedName>
    <definedName name="Incr2000" localSheetId="17">#REF!</definedName>
    <definedName name="Incr2000" localSheetId="19">#REF!</definedName>
    <definedName name="Incr2000" localSheetId="23">#REF!</definedName>
    <definedName name="Incr2000" localSheetId="24">#REF!</definedName>
    <definedName name="Incr2000" localSheetId="20">#REF!</definedName>
    <definedName name="Incr2000" localSheetId="21">#REF!</definedName>
    <definedName name="Incr2000" localSheetId="22">#REF!</definedName>
    <definedName name="Incr2000" localSheetId="25">#REF!</definedName>
    <definedName name="Incr2000" localSheetId="26">#REF!</definedName>
    <definedName name="Incr2000" localSheetId="2">#REF!</definedName>
    <definedName name="Incr2000" localSheetId="7">#REF!</definedName>
    <definedName name="Incr2000" localSheetId="8">#REF!</definedName>
    <definedName name="Incr2000" localSheetId="3">#REF!</definedName>
    <definedName name="Incr2000" localSheetId="9">#REF!</definedName>
    <definedName name="Incr2000" localSheetId="4">#REF!</definedName>
    <definedName name="Incr2000" localSheetId="5">#REF!</definedName>
    <definedName name="Incr2000" localSheetId="6">#REF!</definedName>
    <definedName name="Incr2000" localSheetId="29">#REF!</definedName>
    <definedName name="Incr2000" localSheetId="30">#REF!</definedName>
    <definedName name="Incr2000" localSheetId="31">#REF!</definedName>
    <definedName name="Incr2000" localSheetId="32">#REF!</definedName>
    <definedName name="Incr2000" localSheetId="27">#REF!</definedName>
    <definedName name="Incr2000" localSheetId="28">#REF!</definedName>
    <definedName name="Incr2000" localSheetId="1">#REF!</definedName>
    <definedName name="Incr2000">#REF!</definedName>
    <definedName name="LDC_LIST">[4]lists!$AM$1:$AM$80</definedName>
    <definedName name="LIMIT" localSheetId="10">#REF!</definedName>
    <definedName name="LIMIT" localSheetId="13">#REF!</definedName>
    <definedName name="LIMIT" localSheetId="14">#REF!</definedName>
    <definedName name="LIMIT" localSheetId="11">#REF!</definedName>
    <definedName name="LIMIT" localSheetId="12">#REF!</definedName>
    <definedName name="LIMIT" localSheetId="15">#REF!</definedName>
    <definedName name="LIMIT" localSheetId="18">#REF!</definedName>
    <definedName name="LIMIT" localSheetId="16">#REF!</definedName>
    <definedName name="LIMIT" localSheetId="17">#REF!</definedName>
    <definedName name="LIMIT" localSheetId="19">#REF!</definedName>
    <definedName name="LIMIT" localSheetId="23">#REF!</definedName>
    <definedName name="LIMIT" localSheetId="24">#REF!</definedName>
    <definedName name="LIMIT" localSheetId="20">#REF!</definedName>
    <definedName name="LIMIT" localSheetId="21">#REF!</definedName>
    <definedName name="LIMIT" localSheetId="22">#REF!</definedName>
    <definedName name="LIMIT" localSheetId="25">#REF!</definedName>
    <definedName name="LIMIT" localSheetId="26">#REF!</definedName>
    <definedName name="LIMIT" localSheetId="2">#REF!</definedName>
    <definedName name="LIMIT" localSheetId="7">#REF!</definedName>
    <definedName name="LIMIT" localSheetId="8">#REF!</definedName>
    <definedName name="LIMIT" localSheetId="3">#REF!</definedName>
    <definedName name="LIMIT" localSheetId="9">#REF!</definedName>
    <definedName name="LIMIT" localSheetId="4">#REF!</definedName>
    <definedName name="LIMIT" localSheetId="5">#REF!</definedName>
    <definedName name="LIMIT" localSheetId="6">#REF!</definedName>
    <definedName name="LIMIT" localSheetId="29">#REF!</definedName>
    <definedName name="LIMIT" localSheetId="30">#REF!</definedName>
    <definedName name="LIMIT" localSheetId="31">#REF!</definedName>
    <definedName name="LIMIT" localSheetId="32">#REF!</definedName>
    <definedName name="LIMIT" localSheetId="27">#REF!</definedName>
    <definedName name="LIMIT" localSheetId="28">#REF!</definedName>
    <definedName name="LIMIT" localSheetId="1">#REF!</definedName>
    <definedName name="LIMIT">#REF!</definedName>
    <definedName name="LossFactors">[2]lists!$L$2:$L$15</definedName>
    <definedName name="man_beg_bud" localSheetId="10">#REF!</definedName>
    <definedName name="man_beg_bud" localSheetId="13">#REF!</definedName>
    <definedName name="man_beg_bud" localSheetId="14">#REF!</definedName>
    <definedName name="man_beg_bud" localSheetId="11">#REF!</definedName>
    <definedName name="man_beg_bud" localSheetId="12">#REF!</definedName>
    <definedName name="man_beg_bud" localSheetId="15">#REF!</definedName>
    <definedName name="man_beg_bud" localSheetId="18">#REF!</definedName>
    <definedName name="man_beg_bud" localSheetId="16">#REF!</definedName>
    <definedName name="man_beg_bud" localSheetId="17">#REF!</definedName>
    <definedName name="man_beg_bud" localSheetId="19">#REF!</definedName>
    <definedName name="man_beg_bud" localSheetId="23">#REF!</definedName>
    <definedName name="man_beg_bud" localSheetId="24">#REF!</definedName>
    <definedName name="man_beg_bud" localSheetId="20">#REF!</definedName>
    <definedName name="man_beg_bud" localSheetId="21">#REF!</definedName>
    <definedName name="man_beg_bud" localSheetId="22">#REF!</definedName>
    <definedName name="man_beg_bud" localSheetId="25">#REF!</definedName>
    <definedName name="man_beg_bud" localSheetId="26">#REF!</definedName>
    <definedName name="man_beg_bud" localSheetId="2">#REF!</definedName>
    <definedName name="man_beg_bud" localSheetId="7">#REF!</definedName>
    <definedName name="man_beg_bud" localSheetId="8">#REF!</definedName>
    <definedName name="man_beg_bud" localSheetId="3">#REF!</definedName>
    <definedName name="man_beg_bud" localSheetId="9">#REF!</definedName>
    <definedName name="man_beg_bud" localSheetId="4">#REF!</definedName>
    <definedName name="man_beg_bud" localSheetId="5">#REF!</definedName>
    <definedName name="man_beg_bud" localSheetId="6">#REF!</definedName>
    <definedName name="man_beg_bud" localSheetId="29">#REF!</definedName>
    <definedName name="man_beg_bud" localSheetId="30">#REF!</definedName>
    <definedName name="man_beg_bud" localSheetId="31">#REF!</definedName>
    <definedName name="man_beg_bud" localSheetId="32">#REF!</definedName>
    <definedName name="man_beg_bud" localSheetId="27">#REF!</definedName>
    <definedName name="man_beg_bud" localSheetId="28">#REF!</definedName>
    <definedName name="man_beg_bud" localSheetId="1">#REF!</definedName>
    <definedName name="man_beg_bud">#REF!</definedName>
    <definedName name="man_end_bud" localSheetId="10">#REF!</definedName>
    <definedName name="man_end_bud" localSheetId="13">#REF!</definedName>
    <definedName name="man_end_bud" localSheetId="14">#REF!</definedName>
    <definedName name="man_end_bud" localSheetId="11">#REF!</definedName>
    <definedName name="man_end_bud" localSheetId="12">#REF!</definedName>
    <definedName name="man_end_bud" localSheetId="15">#REF!</definedName>
    <definedName name="man_end_bud" localSheetId="18">#REF!</definedName>
    <definedName name="man_end_bud" localSheetId="16">#REF!</definedName>
    <definedName name="man_end_bud" localSheetId="17">#REF!</definedName>
    <definedName name="man_end_bud" localSheetId="19">#REF!</definedName>
    <definedName name="man_end_bud" localSheetId="23">#REF!</definedName>
    <definedName name="man_end_bud" localSheetId="24">#REF!</definedName>
    <definedName name="man_end_bud" localSheetId="20">#REF!</definedName>
    <definedName name="man_end_bud" localSheetId="21">#REF!</definedName>
    <definedName name="man_end_bud" localSheetId="22">#REF!</definedName>
    <definedName name="man_end_bud" localSheetId="25">#REF!</definedName>
    <definedName name="man_end_bud" localSheetId="26">#REF!</definedName>
    <definedName name="man_end_bud" localSheetId="2">#REF!</definedName>
    <definedName name="man_end_bud" localSheetId="7">#REF!</definedName>
    <definedName name="man_end_bud" localSheetId="8">#REF!</definedName>
    <definedName name="man_end_bud" localSheetId="3">#REF!</definedName>
    <definedName name="man_end_bud" localSheetId="9">#REF!</definedName>
    <definedName name="man_end_bud" localSheetId="4">#REF!</definedName>
    <definedName name="man_end_bud" localSheetId="5">#REF!</definedName>
    <definedName name="man_end_bud" localSheetId="6">#REF!</definedName>
    <definedName name="man_end_bud" localSheetId="29">#REF!</definedName>
    <definedName name="man_end_bud" localSheetId="30">#REF!</definedName>
    <definedName name="man_end_bud" localSheetId="31">#REF!</definedName>
    <definedName name="man_end_bud" localSheetId="32">#REF!</definedName>
    <definedName name="man_end_bud" localSheetId="27">#REF!</definedName>
    <definedName name="man_end_bud" localSheetId="28">#REF!</definedName>
    <definedName name="man_end_bud" localSheetId="1">#REF!</definedName>
    <definedName name="man_end_bud">#REF!</definedName>
    <definedName name="man12ACT" localSheetId="10">#REF!</definedName>
    <definedName name="man12ACT" localSheetId="13">#REF!</definedName>
    <definedName name="man12ACT" localSheetId="14">#REF!</definedName>
    <definedName name="man12ACT" localSheetId="11">#REF!</definedName>
    <definedName name="man12ACT" localSheetId="12">#REF!</definedName>
    <definedName name="man12ACT" localSheetId="15">#REF!</definedName>
    <definedName name="man12ACT" localSheetId="18">#REF!</definedName>
    <definedName name="man12ACT" localSheetId="16">#REF!</definedName>
    <definedName name="man12ACT" localSheetId="17">#REF!</definedName>
    <definedName name="man12ACT" localSheetId="19">#REF!</definedName>
    <definedName name="man12ACT" localSheetId="23">#REF!</definedName>
    <definedName name="man12ACT" localSheetId="24">#REF!</definedName>
    <definedName name="man12ACT" localSheetId="20">#REF!</definedName>
    <definedName name="man12ACT" localSheetId="21">#REF!</definedName>
    <definedName name="man12ACT" localSheetId="22">#REF!</definedName>
    <definedName name="man12ACT" localSheetId="25">#REF!</definedName>
    <definedName name="man12ACT" localSheetId="26">#REF!</definedName>
    <definedName name="man12ACT" localSheetId="2">#REF!</definedName>
    <definedName name="man12ACT" localSheetId="7">#REF!</definedName>
    <definedName name="man12ACT" localSheetId="8">#REF!</definedName>
    <definedName name="man12ACT" localSheetId="3">#REF!</definedName>
    <definedName name="man12ACT" localSheetId="9">#REF!</definedName>
    <definedName name="man12ACT" localSheetId="4">#REF!</definedName>
    <definedName name="man12ACT" localSheetId="5">#REF!</definedName>
    <definedName name="man12ACT" localSheetId="6">#REF!</definedName>
    <definedName name="man12ACT" localSheetId="29">#REF!</definedName>
    <definedName name="man12ACT" localSheetId="30">#REF!</definedName>
    <definedName name="man12ACT" localSheetId="31">#REF!</definedName>
    <definedName name="man12ACT" localSheetId="32">#REF!</definedName>
    <definedName name="man12ACT" localSheetId="27">#REF!</definedName>
    <definedName name="man12ACT" localSheetId="28">#REF!</definedName>
    <definedName name="man12ACT" localSheetId="1">#REF!</definedName>
    <definedName name="man12ACT">#REF!</definedName>
    <definedName name="MANBUD" localSheetId="10">#REF!</definedName>
    <definedName name="MANBUD" localSheetId="13">#REF!</definedName>
    <definedName name="MANBUD" localSheetId="14">#REF!</definedName>
    <definedName name="MANBUD" localSheetId="11">#REF!</definedName>
    <definedName name="MANBUD" localSheetId="12">#REF!</definedName>
    <definedName name="MANBUD" localSheetId="15">#REF!</definedName>
    <definedName name="MANBUD" localSheetId="18">#REF!</definedName>
    <definedName name="MANBUD" localSheetId="16">#REF!</definedName>
    <definedName name="MANBUD" localSheetId="17">#REF!</definedName>
    <definedName name="MANBUD" localSheetId="19">#REF!</definedName>
    <definedName name="MANBUD" localSheetId="23">#REF!</definedName>
    <definedName name="MANBUD" localSheetId="24">#REF!</definedName>
    <definedName name="MANBUD" localSheetId="20">#REF!</definedName>
    <definedName name="MANBUD" localSheetId="21">#REF!</definedName>
    <definedName name="MANBUD" localSheetId="22">#REF!</definedName>
    <definedName name="MANBUD" localSheetId="25">#REF!</definedName>
    <definedName name="MANBUD" localSheetId="26">#REF!</definedName>
    <definedName name="MANBUD" localSheetId="2">#REF!</definedName>
    <definedName name="MANBUD" localSheetId="7">#REF!</definedName>
    <definedName name="MANBUD" localSheetId="8">#REF!</definedName>
    <definedName name="MANBUD" localSheetId="3">#REF!</definedName>
    <definedName name="MANBUD" localSheetId="9">#REF!</definedName>
    <definedName name="MANBUD" localSheetId="4">#REF!</definedName>
    <definedName name="MANBUD" localSheetId="5">#REF!</definedName>
    <definedName name="MANBUD" localSheetId="6">#REF!</definedName>
    <definedName name="MANBUD" localSheetId="29">#REF!</definedName>
    <definedName name="MANBUD" localSheetId="30">#REF!</definedName>
    <definedName name="MANBUD" localSheetId="31">#REF!</definedName>
    <definedName name="MANBUD" localSheetId="32">#REF!</definedName>
    <definedName name="MANBUD" localSheetId="27">#REF!</definedName>
    <definedName name="MANBUD" localSheetId="28">#REF!</definedName>
    <definedName name="MANBUD" localSheetId="1">#REF!</definedName>
    <definedName name="MANBUD">#REF!</definedName>
    <definedName name="manCYACT" localSheetId="10">#REF!</definedName>
    <definedName name="manCYACT" localSheetId="13">#REF!</definedName>
    <definedName name="manCYACT" localSheetId="14">#REF!</definedName>
    <definedName name="manCYACT" localSheetId="11">#REF!</definedName>
    <definedName name="manCYACT" localSheetId="12">#REF!</definedName>
    <definedName name="manCYACT" localSheetId="15">#REF!</definedName>
    <definedName name="manCYACT" localSheetId="18">#REF!</definedName>
    <definedName name="manCYACT" localSheetId="16">#REF!</definedName>
    <definedName name="manCYACT" localSheetId="17">#REF!</definedName>
    <definedName name="manCYACT" localSheetId="19">#REF!</definedName>
    <definedName name="manCYACT" localSheetId="23">#REF!</definedName>
    <definedName name="manCYACT" localSheetId="24">#REF!</definedName>
    <definedName name="manCYACT" localSheetId="20">#REF!</definedName>
    <definedName name="manCYACT" localSheetId="21">#REF!</definedName>
    <definedName name="manCYACT" localSheetId="22">#REF!</definedName>
    <definedName name="manCYACT" localSheetId="25">#REF!</definedName>
    <definedName name="manCYACT" localSheetId="26">#REF!</definedName>
    <definedName name="manCYACT" localSheetId="2">#REF!</definedName>
    <definedName name="manCYACT" localSheetId="7">#REF!</definedName>
    <definedName name="manCYACT" localSheetId="8">#REF!</definedName>
    <definedName name="manCYACT" localSheetId="3">#REF!</definedName>
    <definedName name="manCYACT" localSheetId="9">#REF!</definedName>
    <definedName name="manCYACT" localSheetId="4">#REF!</definedName>
    <definedName name="manCYACT" localSheetId="5">#REF!</definedName>
    <definedName name="manCYACT" localSheetId="6">#REF!</definedName>
    <definedName name="manCYACT" localSheetId="29">#REF!</definedName>
    <definedName name="manCYACT" localSheetId="30">#REF!</definedName>
    <definedName name="manCYACT" localSheetId="31">#REF!</definedName>
    <definedName name="manCYACT" localSheetId="32">#REF!</definedName>
    <definedName name="manCYACT" localSheetId="27">#REF!</definedName>
    <definedName name="manCYACT" localSheetId="28">#REF!</definedName>
    <definedName name="manCYACT" localSheetId="1">#REF!</definedName>
    <definedName name="manCYACT">#REF!</definedName>
    <definedName name="manCYBUD" localSheetId="10">#REF!</definedName>
    <definedName name="manCYBUD" localSheetId="13">#REF!</definedName>
    <definedName name="manCYBUD" localSheetId="14">#REF!</definedName>
    <definedName name="manCYBUD" localSheetId="11">#REF!</definedName>
    <definedName name="manCYBUD" localSheetId="12">#REF!</definedName>
    <definedName name="manCYBUD" localSheetId="15">#REF!</definedName>
    <definedName name="manCYBUD" localSheetId="18">#REF!</definedName>
    <definedName name="manCYBUD" localSheetId="16">#REF!</definedName>
    <definedName name="manCYBUD" localSheetId="17">#REF!</definedName>
    <definedName name="manCYBUD" localSheetId="19">#REF!</definedName>
    <definedName name="manCYBUD" localSheetId="23">#REF!</definedName>
    <definedName name="manCYBUD" localSheetId="24">#REF!</definedName>
    <definedName name="manCYBUD" localSheetId="20">#REF!</definedName>
    <definedName name="manCYBUD" localSheetId="21">#REF!</definedName>
    <definedName name="manCYBUD" localSheetId="22">#REF!</definedName>
    <definedName name="manCYBUD" localSheetId="25">#REF!</definedName>
    <definedName name="manCYBUD" localSheetId="26">#REF!</definedName>
    <definedName name="manCYBUD" localSheetId="2">#REF!</definedName>
    <definedName name="manCYBUD" localSheetId="7">#REF!</definedName>
    <definedName name="manCYBUD" localSheetId="8">#REF!</definedName>
    <definedName name="manCYBUD" localSheetId="3">#REF!</definedName>
    <definedName name="manCYBUD" localSheetId="9">#REF!</definedName>
    <definedName name="manCYBUD" localSheetId="4">#REF!</definedName>
    <definedName name="manCYBUD" localSheetId="5">#REF!</definedName>
    <definedName name="manCYBUD" localSheetId="6">#REF!</definedName>
    <definedName name="manCYBUD" localSheetId="29">#REF!</definedName>
    <definedName name="manCYBUD" localSheetId="30">#REF!</definedName>
    <definedName name="manCYBUD" localSheetId="31">#REF!</definedName>
    <definedName name="manCYBUD" localSheetId="32">#REF!</definedName>
    <definedName name="manCYBUD" localSheetId="27">#REF!</definedName>
    <definedName name="manCYBUD" localSheetId="28">#REF!</definedName>
    <definedName name="manCYBUD" localSheetId="1">#REF!</definedName>
    <definedName name="manCYBUD">#REF!</definedName>
    <definedName name="manCYF" localSheetId="10">#REF!</definedName>
    <definedName name="manCYF" localSheetId="13">#REF!</definedName>
    <definedName name="manCYF" localSheetId="14">#REF!</definedName>
    <definedName name="manCYF" localSheetId="11">#REF!</definedName>
    <definedName name="manCYF" localSheetId="12">#REF!</definedName>
    <definedName name="manCYF" localSheetId="15">#REF!</definedName>
    <definedName name="manCYF" localSheetId="18">#REF!</definedName>
    <definedName name="manCYF" localSheetId="16">#REF!</definedName>
    <definedName name="manCYF" localSheetId="17">#REF!</definedName>
    <definedName name="manCYF" localSheetId="19">#REF!</definedName>
    <definedName name="manCYF" localSheetId="23">#REF!</definedName>
    <definedName name="manCYF" localSheetId="24">#REF!</definedName>
    <definedName name="manCYF" localSheetId="20">#REF!</definedName>
    <definedName name="manCYF" localSheetId="21">#REF!</definedName>
    <definedName name="manCYF" localSheetId="22">#REF!</definedName>
    <definedName name="manCYF" localSheetId="25">#REF!</definedName>
    <definedName name="manCYF" localSheetId="26">#REF!</definedName>
    <definedName name="manCYF" localSheetId="2">#REF!</definedName>
    <definedName name="manCYF" localSheetId="7">#REF!</definedName>
    <definedName name="manCYF" localSheetId="8">#REF!</definedName>
    <definedName name="manCYF" localSheetId="3">#REF!</definedName>
    <definedName name="manCYF" localSheetId="9">#REF!</definedName>
    <definedName name="manCYF" localSheetId="4">#REF!</definedName>
    <definedName name="manCYF" localSheetId="5">#REF!</definedName>
    <definedName name="manCYF" localSheetId="6">#REF!</definedName>
    <definedName name="manCYF" localSheetId="29">#REF!</definedName>
    <definedName name="manCYF" localSheetId="30">#REF!</definedName>
    <definedName name="manCYF" localSheetId="31">#REF!</definedName>
    <definedName name="manCYF" localSheetId="32">#REF!</definedName>
    <definedName name="manCYF" localSheetId="27">#REF!</definedName>
    <definedName name="manCYF" localSheetId="28">#REF!</definedName>
    <definedName name="manCYF" localSheetId="1">#REF!</definedName>
    <definedName name="manCYF">#REF!</definedName>
    <definedName name="MANEND" localSheetId="10">#REF!</definedName>
    <definedName name="MANEND" localSheetId="13">#REF!</definedName>
    <definedName name="MANEND" localSheetId="14">#REF!</definedName>
    <definedName name="MANEND" localSheetId="11">#REF!</definedName>
    <definedName name="MANEND" localSheetId="12">#REF!</definedName>
    <definedName name="MANEND" localSheetId="15">#REF!</definedName>
    <definedName name="MANEND" localSheetId="18">#REF!</definedName>
    <definedName name="MANEND" localSheetId="16">#REF!</definedName>
    <definedName name="MANEND" localSheetId="17">#REF!</definedName>
    <definedName name="MANEND" localSheetId="19">#REF!</definedName>
    <definedName name="MANEND" localSheetId="23">#REF!</definedName>
    <definedName name="MANEND" localSheetId="24">#REF!</definedName>
    <definedName name="MANEND" localSheetId="20">#REF!</definedName>
    <definedName name="MANEND" localSheetId="21">#REF!</definedName>
    <definedName name="MANEND" localSheetId="22">#REF!</definedName>
    <definedName name="MANEND" localSheetId="25">#REF!</definedName>
    <definedName name="MANEND" localSheetId="26">#REF!</definedName>
    <definedName name="MANEND" localSheetId="2">#REF!</definedName>
    <definedName name="MANEND" localSheetId="7">#REF!</definedName>
    <definedName name="MANEND" localSheetId="8">#REF!</definedName>
    <definedName name="MANEND" localSheetId="3">#REF!</definedName>
    <definedName name="MANEND" localSheetId="9">#REF!</definedName>
    <definedName name="MANEND" localSheetId="4">#REF!</definedName>
    <definedName name="MANEND" localSheetId="5">#REF!</definedName>
    <definedName name="MANEND" localSheetId="6">#REF!</definedName>
    <definedName name="MANEND" localSheetId="29">#REF!</definedName>
    <definedName name="MANEND" localSheetId="30">#REF!</definedName>
    <definedName name="MANEND" localSheetId="31">#REF!</definedName>
    <definedName name="MANEND" localSheetId="32">#REF!</definedName>
    <definedName name="MANEND" localSheetId="27">#REF!</definedName>
    <definedName name="MANEND" localSheetId="28">#REF!</definedName>
    <definedName name="MANEND" localSheetId="1">#REF!</definedName>
    <definedName name="MANEND">#REF!</definedName>
    <definedName name="manNYbud" localSheetId="10">#REF!</definedName>
    <definedName name="manNYbud" localSheetId="13">#REF!</definedName>
    <definedName name="manNYbud" localSheetId="14">#REF!</definedName>
    <definedName name="manNYbud" localSheetId="11">#REF!</definedName>
    <definedName name="manNYbud" localSheetId="12">#REF!</definedName>
    <definedName name="manNYbud" localSheetId="15">#REF!</definedName>
    <definedName name="manNYbud" localSheetId="18">#REF!</definedName>
    <definedName name="manNYbud" localSheetId="16">#REF!</definedName>
    <definedName name="manNYbud" localSheetId="17">#REF!</definedName>
    <definedName name="manNYbud" localSheetId="19">#REF!</definedName>
    <definedName name="manNYbud" localSheetId="23">#REF!</definedName>
    <definedName name="manNYbud" localSheetId="24">#REF!</definedName>
    <definedName name="manNYbud" localSheetId="20">#REF!</definedName>
    <definedName name="manNYbud" localSheetId="21">#REF!</definedName>
    <definedName name="manNYbud" localSheetId="22">#REF!</definedName>
    <definedName name="manNYbud" localSheetId="25">#REF!</definedName>
    <definedName name="manNYbud" localSheetId="26">#REF!</definedName>
    <definedName name="manNYbud" localSheetId="2">#REF!</definedName>
    <definedName name="manNYbud" localSheetId="7">#REF!</definedName>
    <definedName name="manNYbud" localSheetId="8">#REF!</definedName>
    <definedName name="manNYbud" localSheetId="3">#REF!</definedName>
    <definedName name="manNYbud" localSheetId="9">#REF!</definedName>
    <definedName name="manNYbud" localSheetId="4">#REF!</definedName>
    <definedName name="manNYbud" localSheetId="5">#REF!</definedName>
    <definedName name="manNYbud" localSheetId="6">#REF!</definedName>
    <definedName name="manNYbud" localSheetId="29">#REF!</definedName>
    <definedName name="manNYbud" localSheetId="30">#REF!</definedName>
    <definedName name="manNYbud" localSheetId="31">#REF!</definedName>
    <definedName name="manNYbud" localSheetId="32">#REF!</definedName>
    <definedName name="manNYbud" localSheetId="27">#REF!</definedName>
    <definedName name="manNYbud" localSheetId="28">#REF!</definedName>
    <definedName name="manNYbud" localSheetId="1">#REF!</definedName>
    <definedName name="manNYbud">#REF!</definedName>
    <definedName name="manpower_costs" localSheetId="10">#REF!</definedName>
    <definedName name="manpower_costs" localSheetId="13">#REF!</definedName>
    <definedName name="manpower_costs" localSheetId="14">#REF!</definedName>
    <definedName name="manpower_costs" localSheetId="11">#REF!</definedName>
    <definedName name="manpower_costs" localSheetId="12">#REF!</definedName>
    <definedName name="manpower_costs" localSheetId="15">#REF!</definedName>
    <definedName name="manpower_costs" localSheetId="18">#REF!</definedName>
    <definedName name="manpower_costs" localSheetId="16">#REF!</definedName>
    <definedName name="manpower_costs" localSheetId="17">#REF!</definedName>
    <definedName name="manpower_costs" localSheetId="19">#REF!</definedName>
    <definedName name="manpower_costs" localSheetId="23">#REF!</definedName>
    <definedName name="manpower_costs" localSheetId="24">#REF!</definedName>
    <definedName name="manpower_costs" localSheetId="20">#REF!</definedName>
    <definedName name="manpower_costs" localSheetId="21">#REF!</definedName>
    <definedName name="manpower_costs" localSheetId="22">#REF!</definedName>
    <definedName name="manpower_costs" localSheetId="25">#REF!</definedName>
    <definedName name="manpower_costs" localSheetId="26">#REF!</definedName>
    <definedName name="manpower_costs" localSheetId="2">#REF!</definedName>
    <definedName name="manpower_costs" localSheetId="7">#REF!</definedName>
    <definedName name="manpower_costs" localSheetId="8">#REF!</definedName>
    <definedName name="manpower_costs" localSheetId="3">#REF!</definedName>
    <definedName name="manpower_costs" localSheetId="9">#REF!</definedName>
    <definedName name="manpower_costs" localSheetId="4">#REF!</definedName>
    <definedName name="manpower_costs" localSheetId="5">#REF!</definedName>
    <definedName name="manpower_costs" localSheetId="6">#REF!</definedName>
    <definedName name="manpower_costs" localSheetId="29">#REF!</definedName>
    <definedName name="manpower_costs" localSheetId="30">#REF!</definedName>
    <definedName name="manpower_costs" localSheetId="31">#REF!</definedName>
    <definedName name="manpower_costs" localSheetId="32">#REF!</definedName>
    <definedName name="manpower_costs" localSheetId="27">#REF!</definedName>
    <definedName name="manpower_costs" localSheetId="28">#REF!</definedName>
    <definedName name="manpower_costs" localSheetId="1">#REF!</definedName>
    <definedName name="manpower_costs">#REF!</definedName>
    <definedName name="manPYACT" localSheetId="10">#REF!</definedName>
    <definedName name="manPYACT" localSheetId="13">#REF!</definedName>
    <definedName name="manPYACT" localSheetId="14">#REF!</definedName>
    <definedName name="manPYACT" localSheetId="11">#REF!</definedName>
    <definedName name="manPYACT" localSheetId="12">#REF!</definedName>
    <definedName name="manPYACT" localSheetId="15">#REF!</definedName>
    <definedName name="manPYACT" localSheetId="18">#REF!</definedName>
    <definedName name="manPYACT" localSheetId="16">#REF!</definedName>
    <definedName name="manPYACT" localSheetId="17">#REF!</definedName>
    <definedName name="manPYACT" localSheetId="19">#REF!</definedName>
    <definedName name="manPYACT" localSheetId="23">#REF!</definedName>
    <definedName name="manPYACT" localSheetId="24">#REF!</definedName>
    <definedName name="manPYACT" localSheetId="20">#REF!</definedName>
    <definedName name="manPYACT" localSheetId="21">#REF!</definedName>
    <definedName name="manPYACT" localSheetId="22">#REF!</definedName>
    <definedName name="manPYACT" localSheetId="25">#REF!</definedName>
    <definedName name="manPYACT" localSheetId="26">#REF!</definedName>
    <definedName name="manPYACT" localSheetId="2">#REF!</definedName>
    <definedName name="manPYACT" localSheetId="7">#REF!</definedName>
    <definedName name="manPYACT" localSheetId="8">#REF!</definedName>
    <definedName name="manPYACT" localSheetId="3">#REF!</definedName>
    <definedName name="manPYACT" localSheetId="9">#REF!</definedName>
    <definedName name="manPYACT" localSheetId="4">#REF!</definedName>
    <definedName name="manPYACT" localSheetId="5">#REF!</definedName>
    <definedName name="manPYACT" localSheetId="6">#REF!</definedName>
    <definedName name="manPYACT" localSheetId="29">#REF!</definedName>
    <definedName name="manPYACT" localSheetId="30">#REF!</definedName>
    <definedName name="manPYACT" localSheetId="31">#REF!</definedName>
    <definedName name="manPYACT" localSheetId="32">#REF!</definedName>
    <definedName name="manPYACT" localSheetId="27">#REF!</definedName>
    <definedName name="manPYACT" localSheetId="28">#REF!</definedName>
    <definedName name="manPYACT" localSheetId="1">#REF!</definedName>
    <definedName name="manPYACT">#REF!</definedName>
    <definedName name="MANSTART" localSheetId="10">#REF!</definedName>
    <definedName name="MANSTART" localSheetId="13">#REF!</definedName>
    <definedName name="MANSTART" localSheetId="14">#REF!</definedName>
    <definedName name="MANSTART" localSheetId="11">#REF!</definedName>
    <definedName name="MANSTART" localSheetId="12">#REF!</definedName>
    <definedName name="MANSTART" localSheetId="15">#REF!</definedName>
    <definedName name="MANSTART" localSheetId="18">#REF!</definedName>
    <definedName name="MANSTART" localSheetId="16">#REF!</definedName>
    <definedName name="MANSTART" localSheetId="17">#REF!</definedName>
    <definedName name="MANSTART" localSheetId="19">#REF!</definedName>
    <definedName name="MANSTART" localSheetId="23">#REF!</definedName>
    <definedName name="MANSTART" localSheetId="24">#REF!</definedName>
    <definedName name="MANSTART" localSheetId="20">#REF!</definedName>
    <definedName name="MANSTART" localSheetId="21">#REF!</definedName>
    <definedName name="MANSTART" localSheetId="22">#REF!</definedName>
    <definedName name="MANSTART" localSheetId="25">#REF!</definedName>
    <definedName name="MANSTART" localSheetId="26">#REF!</definedName>
    <definedName name="MANSTART" localSheetId="2">#REF!</definedName>
    <definedName name="MANSTART" localSheetId="7">#REF!</definedName>
    <definedName name="MANSTART" localSheetId="8">#REF!</definedName>
    <definedName name="MANSTART" localSheetId="3">#REF!</definedName>
    <definedName name="MANSTART" localSheetId="9">#REF!</definedName>
    <definedName name="MANSTART" localSheetId="4">#REF!</definedName>
    <definedName name="MANSTART" localSheetId="5">#REF!</definedName>
    <definedName name="MANSTART" localSheetId="6">#REF!</definedName>
    <definedName name="MANSTART" localSheetId="29">#REF!</definedName>
    <definedName name="MANSTART" localSheetId="30">#REF!</definedName>
    <definedName name="MANSTART" localSheetId="31">#REF!</definedName>
    <definedName name="MANSTART" localSheetId="32">#REF!</definedName>
    <definedName name="MANSTART" localSheetId="27">#REF!</definedName>
    <definedName name="MANSTART" localSheetId="28">#REF!</definedName>
    <definedName name="MANSTART" localSheetId="1">#REF!</definedName>
    <definedName name="MANSTART">#REF!</definedName>
    <definedName name="mat_beg_bud" localSheetId="10">#REF!</definedName>
    <definedName name="mat_beg_bud" localSheetId="13">#REF!</definedName>
    <definedName name="mat_beg_bud" localSheetId="14">#REF!</definedName>
    <definedName name="mat_beg_bud" localSheetId="11">#REF!</definedName>
    <definedName name="mat_beg_bud" localSheetId="12">#REF!</definedName>
    <definedName name="mat_beg_bud" localSheetId="15">#REF!</definedName>
    <definedName name="mat_beg_bud" localSheetId="18">#REF!</definedName>
    <definedName name="mat_beg_bud" localSheetId="16">#REF!</definedName>
    <definedName name="mat_beg_bud" localSheetId="17">#REF!</definedName>
    <definedName name="mat_beg_bud" localSheetId="19">#REF!</definedName>
    <definedName name="mat_beg_bud" localSheetId="23">#REF!</definedName>
    <definedName name="mat_beg_bud" localSheetId="24">#REF!</definedName>
    <definedName name="mat_beg_bud" localSheetId="20">#REF!</definedName>
    <definedName name="mat_beg_bud" localSheetId="21">#REF!</definedName>
    <definedName name="mat_beg_bud" localSheetId="22">#REF!</definedName>
    <definedName name="mat_beg_bud" localSheetId="25">#REF!</definedName>
    <definedName name="mat_beg_bud" localSheetId="26">#REF!</definedName>
    <definedName name="mat_beg_bud" localSheetId="2">#REF!</definedName>
    <definedName name="mat_beg_bud" localSheetId="7">#REF!</definedName>
    <definedName name="mat_beg_bud" localSheetId="8">#REF!</definedName>
    <definedName name="mat_beg_bud" localSheetId="3">#REF!</definedName>
    <definedName name="mat_beg_bud" localSheetId="9">#REF!</definedName>
    <definedName name="mat_beg_bud" localSheetId="4">#REF!</definedName>
    <definedName name="mat_beg_bud" localSheetId="5">#REF!</definedName>
    <definedName name="mat_beg_bud" localSheetId="6">#REF!</definedName>
    <definedName name="mat_beg_bud" localSheetId="29">#REF!</definedName>
    <definedName name="mat_beg_bud" localSheetId="30">#REF!</definedName>
    <definedName name="mat_beg_bud" localSheetId="31">#REF!</definedName>
    <definedName name="mat_beg_bud" localSheetId="32">#REF!</definedName>
    <definedName name="mat_beg_bud" localSheetId="27">#REF!</definedName>
    <definedName name="mat_beg_bud" localSheetId="28">#REF!</definedName>
    <definedName name="mat_beg_bud" localSheetId="1">#REF!</definedName>
    <definedName name="mat_beg_bud">#REF!</definedName>
    <definedName name="mat_end_bud" localSheetId="10">#REF!</definedName>
    <definedName name="mat_end_bud" localSheetId="13">#REF!</definedName>
    <definedName name="mat_end_bud" localSheetId="14">#REF!</definedName>
    <definedName name="mat_end_bud" localSheetId="11">#REF!</definedName>
    <definedName name="mat_end_bud" localSheetId="12">#REF!</definedName>
    <definedName name="mat_end_bud" localSheetId="15">#REF!</definedName>
    <definedName name="mat_end_bud" localSheetId="18">#REF!</definedName>
    <definedName name="mat_end_bud" localSheetId="16">#REF!</definedName>
    <definedName name="mat_end_bud" localSheetId="17">#REF!</definedName>
    <definedName name="mat_end_bud" localSheetId="19">#REF!</definedName>
    <definedName name="mat_end_bud" localSheetId="23">#REF!</definedName>
    <definedName name="mat_end_bud" localSheetId="24">#REF!</definedName>
    <definedName name="mat_end_bud" localSheetId="20">#REF!</definedName>
    <definedName name="mat_end_bud" localSheetId="21">#REF!</definedName>
    <definedName name="mat_end_bud" localSheetId="22">#REF!</definedName>
    <definedName name="mat_end_bud" localSheetId="25">#REF!</definedName>
    <definedName name="mat_end_bud" localSheetId="26">#REF!</definedName>
    <definedName name="mat_end_bud" localSheetId="2">#REF!</definedName>
    <definedName name="mat_end_bud" localSheetId="7">#REF!</definedName>
    <definedName name="mat_end_bud" localSheetId="8">#REF!</definedName>
    <definedName name="mat_end_bud" localSheetId="3">#REF!</definedName>
    <definedName name="mat_end_bud" localSheetId="9">#REF!</definedName>
    <definedName name="mat_end_bud" localSheetId="4">#REF!</definedName>
    <definedName name="mat_end_bud" localSheetId="5">#REF!</definedName>
    <definedName name="mat_end_bud" localSheetId="6">#REF!</definedName>
    <definedName name="mat_end_bud" localSheetId="29">#REF!</definedName>
    <definedName name="mat_end_bud" localSheetId="30">#REF!</definedName>
    <definedName name="mat_end_bud" localSheetId="31">#REF!</definedName>
    <definedName name="mat_end_bud" localSheetId="32">#REF!</definedName>
    <definedName name="mat_end_bud" localSheetId="27">#REF!</definedName>
    <definedName name="mat_end_bud" localSheetId="28">#REF!</definedName>
    <definedName name="mat_end_bud" localSheetId="1">#REF!</definedName>
    <definedName name="mat_end_bud">#REF!</definedName>
    <definedName name="mat12ACT" localSheetId="10">#REF!</definedName>
    <definedName name="mat12ACT" localSheetId="13">#REF!</definedName>
    <definedName name="mat12ACT" localSheetId="14">#REF!</definedName>
    <definedName name="mat12ACT" localSheetId="11">#REF!</definedName>
    <definedName name="mat12ACT" localSheetId="12">#REF!</definedName>
    <definedName name="mat12ACT" localSheetId="15">#REF!</definedName>
    <definedName name="mat12ACT" localSheetId="18">#REF!</definedName>
    <definedName name="mat12ACT" localSheetId="16">#REF!</definedName>
    <definedName name="mat12ACT" localSheetId="17">#REF!</definedName>
    <definedName name="mat12ACT" localSheetId="19">#REF!</definedName>
    <definedName name="mat12ACT" localSheetId="23">#REF!</definedName>
    <definedName name="mat12ACT" localSheetId="24">#REF!</definedName>
    <definedName name="mat12ACT" localSheetId="20">#REF!</definedName>
    <definedName name="mat12ACT" localSheetId="21">#REF!</definedName>
    <definedName name="mat12ACT" localSheetId="22">#REF!</definedName>
    <definedName name="mat12ACT" localSheetId="25">#REF!</definedName>
    <definedName name="mat12ACT" localSheetId="26">#REF!</definedName>
    <definedName name="mat12ACT" localSheetId="2">#REF!</definedName>
    <definedName name="mat12ACT" localSheetId="7">#REF!</definedName>
    <definedName name="mat12ACT" localSheetId="8">#REF!</definedName>
    <definedName name="mat12ACT" localSheetId="3">#REF!</definedName>
    <definedName name="mat12ACT" localSheetId="9">#REF!</definedName>
    <definedName name="mat12ACT" localSheetId="4">#REF!</definedName>
    <definedName name="mat12ACT" localSheetId="5">#REF!</definedName>
    <definedName name="mat12ACT" localSheetId="6">#REF!</definedName>
    <definedName name="mat12ACT" localSheetId="29">#REF!</definedName>
    <definedName name="mat12ACT" localSheetId="30">#REF!</definedName>
    <definedName name="mat12ACT" localSheetId="31">#REF!</definedName>
    <definedName name="mat12ACT" localSheetId="32">#REF!</definedName>
    <definedName name="mat12ACT" localSheetId="27">#REF!</definedName>
    <definedName name="mat12ACT" localSheetId="28">#REF!</definedName>
    <definedName name="mat12ACT" localSheetId="1">#REF!</definedName>
    <definedName name="mat12ACT">#REF!</definedName>
    <definedName name="MATBUD" localSheetId="10">#REF!</definedName>
    <definedName name="MATBUD" localSheetId="13">#REF!</definedName>
    <definedName name="MATBUD" localSheetId="14">#REF!</definedName>
    <definedName name="MATBUD" localSheetId="11">#REF!</definedName>
    <definedName name="MATBUD" localSheetId="12">#REF!</definedName>
    <definedName name="MATBUD" localSheetId="15">#REF!</definedName>
    <definedName name="MATBUD" localSheetId="18">#REF!</definedName>
    <definedName name="MATBUD" localSheetId="16">#REF!</definedName>
    <definedName name="MATBUD" localSheetId="17">#REF!</definedName>
    <definedName name="MATBUD" localSheetId="19">#REF!</definedName>
    <definedName name="MATBUD" localSheetId="23">#REF!</definedName>
    <definedName name="MATBUD" localSheetId="24">#REF!</definedName>
    <definedName name="MATBUD" localSheetId="20">#REF!</definedName>
    <definedName name="MATBUD" localSheetId="21">#REF!</definedName>
    <definedName name="MATBUD" localSheetId="22">#REF!</definedName>
    <definedName name="MATBUD" localSheetId="25">#REF!</definedName>
    <definedName name="MATBUD" localSheetId="26">#REF!</definedName>
    <definedName name="MATBUD" localSheetId="2">#REF!</definedName>
    <definedName name="MATBUD" localSheetId="7">#REF!</definedName>
    <definedName name="MATBUD" localSheetId="8">#REF!</definedName>
    <definedName name="MATBUD" localSheetId="3">#REF!</definedName>
    <definedName name="MATBUD" localSheetId="9">#REF!</definedName>
    <definedName name="MATBUD" localSheetId="4">#REF!</definedName>
    <definedName name="MATBUD" localSheetId="5">#REF!</definedName>
    <definedName name="MATBUD" localSheetId="6">#REF!</definedName>
    <definedName name="MATBUD" localSheetId="29">#REF!</definedName>
    <definedName name="MATBUD" localSheetId="30">#REF!</definedName>
    <definedName name="MATBUD" localSheetId="31">#REF!</definedName>
    <definedName name="MATBUD" localSheetId="32">#REF!</definedName>
    <definedName name="MATBUD" localSheetId="27">#REF!</definedName>
    <definedName name="MATBUD" localSheetId="28">#REF!</definedName>
    <definedName name="MATBUD" localSheetId="1">#REF!</definedName>
    <definedName name="MATBUD">#REF!</definedName>
    <definedName name="matCYACT" localSheetId="10">#REF!</definedName>
    <definedName name="matCYACT" localSheetId="13">#REF!</definedName>
    <definedName name="matCYACT" localSheetId="14">#REF!</definedName>
    <definedName name="matCYACT" localSheetId="11">#REF!</definedName>
    <definedName name="matCYACT" localSheetId="12">#REF!</definedName>
    <definedName name="matCYACT" localSheetId="15">#REF!</definedName>
    <definedName name="matCYACT" localSheetId="18">#REF!</definedName>
    <definedName name="matCYACT" localSheetId="16">#REF!</definedName>
    <definedName name="matCYACT" localSheetId="17">#REF!</definedName>
    <definedName name="matCYACT" localSheetId="19">#REF!</definedName>
    <definedName name="matCYACT" localSheetId="23">#REF!</definedName>
    <definedName name="matCYACT" localSheetId="24">#REF!</definedName>
    <definedName name="matCYACT" localSheetId="20">#REF!</definedName>
    <definedName name="matCYACT" localSheetId="21">#REF!</definedName>
    <definedName name="matCYACT" localSheetId="22">#REF!</definedName>
    <definedName name="matCYACT" localSheetId="25">#REF!</definedName>
    <definedName name="matCYACT" localSheetId="26">#REF!</definedName>
    <definedName name="matCYACT" localSheetId="2">#REF!</definedName>
    <definedName name="matCYACT" localSheetId="7">#REF!</definedName>
    <definedName name="matCYACT" localSheetId="8">#REF!</definedName>
    <definedName name="matCYACT" localSheetId="3">#REF!</definedName>
    <definedName name="matCYACT" localSheetId="9">#REF!</definedName>
    <definedName name="matCYACT" localSheetId="4">#REF!</definedName>
    <definedName name="matCYACT" localSheetId="5">#REF!</definedName>
    <definedName name="matCYACT" localSheetId="6">#REF!</definedName>
    <definedName name="matCYACT" localSheetId="29">#REF!</definedName>
    <definedName name="matCYACT" localSheetId="30">#REF!</definedName>
    <definedName name="matCYACT" localSheetId="31">#REF!</definedName>
    <definedName name="matCYACT" localSheetId="32">#REF!</definedName>
    <definedName name="matCYACT" localSheetId="27">#REF!</definedName>
    <definedName name="matCYACT" localSheetId="28">#REF!</definedName>
    <definedName name="matCYACT" localSheetId="1">#REF!</definedName>
    <definedName name="matCYACT">#REF!</definedName>
    <definedName name="matCYBUD" localSheetId="10">#REF!</definedName>
    <definedName name="matCYBUD" localSheetId="13">#REF!</definedName>
    <definedName name="matCYBUD" localSheetId="14">#REF!</definedName>
    <definedName name="matCYBUD" localSheetId="11">#REF!</definedName>
    <definedName name="matCYBUD" localSheetId="12">#REF!</definedName>
    <definedName name="matCYBUD" localSheetId="15">#REF!</definedName>
    <definedName name="matCYBUD" localSheetId="18">#REF!</definedName>
    <definedName name="matCYBUD" localSheetId="16">#REF!</definedName>
    <definedName name="matCYBUD" localSheetId="17">#REF!</definedName>
    <definedName name="matCYBUD" localSheetId="19">#REF!</definedName>
    <definedName name="matCYBUD" localSheetId="23">#REF!</definedName>
    <definedName name="matCYBUD" localSheetId="24">#REF!</definedName>
    <definedName name="matCYBUD" localSheetId="20">#REF!</definedName>
    <definedName name="matCYBUD" localSheetId="21">#REF!</definedName>
    <definedName name="matCYBUD" localSheetId="22">#REF!</definedName>
    <definedName name="matCYBUD" localSheetId="25">#REF!</definedName>
    <definedName name="matCYBUD" localSheetId="26">#REF!</definedName>
    <definedName name="matCYBUD" localSheetId="2">#REF!</definedName>
    <definedName name="matCYBUD" localSheetId="7">#REF!</definedName>
    <definedName name="matCYBUD" localSheetId="8">#REF!</definedName>
    <definedName name="matCYBUD" localSheetId="3">#REF!</definedName>
    <definedName name="matCYBUD" localSheetId="9">#REF!</definedName>
    <definedName name="matCYBUD" localSheetId="4">#REF!</definedName>
    <definedName name="matCYBUD" localSheetId="5">#REF!</definedName>
    <definedName name="matCYBUD" localSheetId="6">#REF!</definedName>
    <definedName name="matCYBUD" localSheetId="29">#REF!</definedName>
    <definedName name="matCYBUD" localSheetId="30">#REF!</definedName>
    <definedName name="matCYBUD" localSheetId="31">#REF!</definedName>
    <definedName name="matCYBUD" localSheetId="32">#REF!</definedName>
    <definedName name="matCYBUD" localSheetId="27">#REF!</definedName>
    <definedName name="matCYBUD" localSheetId="28">#REF!</definedName>
    <definedName name="matCYBUD" localSheetId="1">#REF!</definedName>
    <definedName name="matCYBUD">#REF!</definedName>
    <definedName name="matCYF" localSheetId="10">#REF!</definedName>
    <definedName name="matCYF" localSheetId="13">#REF!</definedName>
    <definedName name="matCYF" localSheetId="14">#REF!</definedName>
    <definedName name="matCYF" localSheetId="11">#REF!</definedName>
    <definedName name="matCYF" localSheetId="12">#REF!</definedName>
    <definedName name="matCYF" localSheetId="15">#REF!</definedName>
    <definedName name="matCYF" localSheetId="18">#REF!</definedName>
    <definedName name="matCYF" localSheetId="16">#REF!</definedName>
    <definedName name="matCYF" localSheetId="17">#REF!</definedName>
    <definedName name="matCYF" localSheetId="19">#REF!</definedName>
    <definedName name="matCYF" localSheetId="23">#REF!</definedName>
    <definedName name="matCYF" localSheetId="24">#REF!</definedName>
    <definedName name="matCYF" localSheetId="20">#REF!</definedName>
    <definedName name="matCYF" localSheetId="21">#REF!</definedName>
    <definedName name="matCYF" localSheetId="22">#REF!</definedName>
    <definedName name="matCYF" localSheetId="25">#REF!</definedName>
    <definedName name="matCYF" localSheetId="26">#REF!</definedName>
    <definedName name="matCYF" localSheetId="2">#REF!</definedName>
    <definedName name="matCYF" localSheetId="7">#REF!</definedName>
    <definedName name="matCYF" localSheetId="8">#REF!</definedName>
    <definedName name="matCYF" localSheetId="3">#REF!</definedName>
    <definedName name="matCYF" localSheetId="9">#REF!</definedName>
    <definedName name="matCYF" localSheetId="4">#REF!</definedName>
    <definedName name="matCYF" localSheetId="5">#REF!</definedName>
    <definedName name="matCYF" localSheetId="6">#REF!</definedName>
    <definedName name="matCYF" localSheetId="29">#REF!</definedName>
    <definedName name="matCYF" localSheetId="30">#REF!</definedName>
    <definedName name="matCYF" localSheetId="31">#REF!</definedName>
    <definedName name="matCYF" localSheetId="32">#REF!</definedName>
    <definedName name="matCYF" localSheetId="27">#REF!</definedName>
    <definedName name="matCYF" localSheetId="28">#REF!</definedName>
    <definedName name="matCYF" localSheetId="1">#REF!</definedName>
    <definedName name="matCYF">#REF!</definedName>
    <definedName name="MATEND" localSheetId="10">#REF!</definedName>
    <definedName name="MATEND" localSheetId="13">#REF!</definedName>
    <definedName name="MATEND" localSheetId="14">#REF!</definedName>
    <definedName name="MATEND" localSheetId="11">#REF!</definedName>
    <definedName name="MATEND" localSheetId="12">#REF!</definedName>
    <definedName name="MATEND" localSheetId="15">#REF!</definedName>
    <definedName name="MATEND" localSheetId="18">#REF!</definedName>
    <definedName name="MATEND" localSheetId="16">#REF!</definedName>
    <definedName name="MATEND" localSheetId="17">#REF!</definedName>
    <definedName name="MATEND" localSheetId="19">#REF!</definedName>
    <definedName name="MATEND" localSheetId="23">#REF!</definedName>
    <definedName name="MATEND" localSheetId="24">#REF!</definedName>
    <definedName name="MATEND" localSheetId="20">#REF!</definedName>
    <definedName name="MATEND" localSheetId="21">#REF!</definedName>
    <definedName name="MATEND" localSheetId="22">#REF!</definedName>
    <definedName name="MATEND" localSheetId="25">#REF!</definedName>
    <definedName name="MATEND" localSheetId="26">#REF!</definedName>
    <definedName name="MATEND" localSheetId="2">#REF!</definedName>
    <definedName name="MATEND" localSheetId="7">#REF!</definedName>
    <definedName name="MATEND" localSheetId="8">#REF!</definedName>
    <definedName name="MATEND" localSheetId="3">#REF!</definedName>
    <definedName name="MATEND" localSheetId="9">#REF!</definedName>
    <definedName name="MATEND" localSheetId="4">#REF!</definedName>
    <definedName name="MATEND" localSheetId="5">#REF!</definedName>
    <definedName name="MATEND" localSheetId="6">#REF!</definedName>
    <definedName name="MATEND" localSheetId="29">#REF!</definedName>
    <definedName name="MATEND" localSheetId="30">#REF!</definedName>
    <definedName name="MATEND" localSheetId="31">#REF!</definedName>
    <definedName name="MATEND" localSheetId="32">#REF!</definedName>
    <definedName name="MATEND" localSheetId="27">#REF!</definedName>
    <definedName name="MATEND" localSheetId="28">#REF!</definedName>
    <definedName name="MATEND" localSheetId="1">#REF!</definedName>
    <definedName name="MATEND">#REF!</definedName>
    <definedName name="material_costs" localSheetId="10">#REF!</definedName>
    <definedName name="material_costs" localSheetId="13">#REF!</definedName>
    <definedName name="material_costs" localSheetId="14">#REF!</definedName>
    <definedName name="material_costs" localSheetId="11">#REF!</definedName>
    <definedName name="material_costs" localSheetId="12">#REF!</definedName>
    <definedName name="material_costs" localSheetId="15">#REF!</definedName>
    <definedName name="material_costs" localSheetId="18">#REF!</definedName>
    <definedName name="material_costs" localSheetId="16">#REF!</definedName>
    <definedName name="material_costs" localSheetId="17">#REF!</definedName>
    <definedName name="material_costs" localSheetId="19">#REF!</definedName>
    <definedName name="material_costs" localSheetId="23">#REF!</definedName>
    <definedName name="material_costs" localSheetId="24">#REF!</definedName>
    <definedName name="material_costs" localSheetId="20">#REF!</definedName>
    <definedName name="material_costs" localSheetId="21">#REF!</definedName>
    <definedName name="material_costs" localSheetId="22">#REF!</definedName>
    <definedName name="material_costs" localSheetId="25">#REF!</definedName>
    <definedName name="material_costs" localSheetId="26">#REF!</definedName>
    <definedName name="material_costs" localSheetId="2">#REF!</definedName>
    <definedName name="material_costs" localSheetId="7">#REF!</definedName>
    <definedName name="material_costs" localSheetId="8">#REF!</definedName>
    <definedName name="material_costs" localSheetId="3">#REF!</definedName>
    <definedName name="material_costs" localSheetId="9">#REF!</definedName>
    <definedName name="material_costs" localSheetId="4">#REF!</definedName>
    <definedName name="material_costs" localSheetId="5">#REF!</definedName>
    <definedName name="material_costs" localSheetId="6">#REF!</definedName>
    <definedName name="material_costs" localSheetId="29">#REF!</definedName>
    <definedName name="material_costs" localSheetId="30">#REF!</definedName>
    <definedName name="material_costs" localSheetId="31">#REF!</definedName>
    <definedName name="material_costs" localSheetId="32">#REF!</definedName>
    <definedName name="material_costs" localSheetId="27">#REF!</definedName>
    <definedName name="material_costs" localSheetId="28">#REF!</definedName>
    <definedName name="material_costs" localSheetId="1">#REF!</definedName>
    <definedName name="material_costs">#REF!</definedName>
    <definedName name="matNYbud" localSheetId="10">#REF!</definedName>
    <definedName name="matNYbud" localSheetId="13">#REF!</definedName>
    <definedName name="matNYbud" localSheetId="14">#REF!</definedName>
    <definedName name="matNYbud" localSheetId="11">#REF!</definedName>
    <definedName name="matNYbud" localSheetId="12">#REF!</definedName>
    <definedName name="matNYbud" localSheetId="15">#REF!</definedName>
    <definedName name="matNYbud" localSheetId="18">#REF!</definedName>
    <definedName name="matNYbud" localSheetId="16">#REF!</definedName>
    <definedName name="matNYbud" localSheetId="17">#REF!</definedName>
    <definedName name="matNYbud" localSheetId="19">#REF!</definedName>
    <definedName name="matNYbud" localSheetId="23">#REF!</definedName>
    <definedName name="matNYbud" localSheetId="24">#REF!</definedName>
    <definedName name="matNYbud" localSheetId="20">#REF!</definedName>
    <definedName name="matNYbud" localSheetId="21">#REF!</definedName>
    <definedName name="matNYbud" localSheetId="22">#REF!</definedName>
    <definedName name="matNYbud" localSheetId="25">#REF!</definedName>
    <definedName name="matNYbud" localSheetId="26">#REF!</definedName>
    <definedName name="matNYbud" localSheetId="2">#REF!</definedName>
    <definedName name="matNYbud" localSheetId="7">#REF!</definedName>
    <definedName name="matNYbud" localSheetId="8">#REF!</definedName>
    <definedName name="matNYbud" localSheetId="3">#REF!</definedName>
    <definedName name="matNYbud" localSheetId="9">#REF!</definedName>
    <definedName name="matNYbud" localSheetId="4">#REF!</definedName>
    <definedName name="matNYbud" localSheetId="5">#REF!</definedName>
    <definedName name="matNYbud" localSheetId="6">#REF!</definedName>
    <definedName name="matNYbud" localSheetId="29">#REF!</definedName>
    <definedName name="matNYbud" localSheetId="30">#REF!</definedName>
    <definedName name="matNYbud" localSheetId="31">#REF!</definedName>
    <definedName name="matNYbud" localSheetId="32">#REF!</definedName>
    <definedName name="matNYbud" localSheetId="27">#REF!</definedName>
    <definedName name="matNYbud" localSheetId="28">#REF!</definedName>
    <definedName name="matNYbud" localSheetId="1">#REF!</definedName>
    <definedName name="matNYbud">#REF!</definedName>
    <definedName name="matPYACT" localSheetId="10">#REF!</definedName>
    <definedName name="matPYACT" localSheetId="13">#REF!</definedName>
    <definedName name="matPYACT" localSheetId="14">#REF!</definedName>
    <definedName name="matPYACT" localSheetId="11">#REF!</definedName>
    <definedName name="matPYACT" localSheetId="12">#REF!</definedName>
    <definedName name="matPYACT" localSheetId="15">#REF!</definedName>
    <definedName name="matPYACT" localSheetId="18">#REF!</definedName>
    <definedName name="matPYACT" localSheetId="16">#REF!</definedName>
    <definedName name="matPYACT" localSheetId="17">#REF!</definedName>
    <definedName name="matPYACT" localSheetId="19">#REF!</definedName>
    <definedName name="matPYACT" localSheetId="23">#REF!</definedName>
    <definedName name="matPYACT" localSheetId="24">#REF!</definedName>
    <definedName name="matPYACT" localSheetId="20">#REF!</definedName>
    <definedName name="matPYACT" localSheetId="21">#REF!</definedName>
    <definedName name="matPYACT" localSheetId="22">#REF!</definedName>
    <definedName name="matPYACT" localSheetId="25">#REF!</definedName>
    <definedName name="matPYACT" localSheetId="26">#REF!</definedName>
    <definedName name="matPYACT" localSheetId="2">#REF!</definedName>
    <definedName name="matPYACT" localSheetId="7">#REF!</definedName>
    <definedName name="matPYACT" localSheetId="8">#REF!</definedName>
    <definedName name="matPYACT" localSheetId="3">#REF!</definedName>
    <definedName name="matPYACT" localSheetId="9">#REF!</definedName>
    <definedName name="matPYACT" localSheetId="4">#REF!</definedName>
    <definedName name="matPYACT" localSheetId="5">#REF!</definedName>
    <definedName name="matPYACT" localSheetId="6">#REF!</definedName>
    <definedName name="matPYACT" localSheetId="29">#REF!</definedName>
    <definedName name="matPYACT" localSheetId="30">#REF!</definedName>
    <definedName name="matPYACT" localSheetId="31">#REF!</definedName>
    <definedName name="matPYACT" localSheetId="32">#REF!</definedName>
    <definedName name="matPYACT" localSheetId="27">#REF!</definedName>
    <definedName name="matPYACT" localSheetId="28">#REF!</definedName>
    <definedName name="matPYACT" localSheetId="1">#REF!</definedName>
    <definedName name="matPYACT">#REF!</definedName>
    <definedName name="MATSTART" localSheetId="10">#REF!</definedName>
    <definedName name="MATSTART" localSheetId="13">#REF!</definedName>
    <definedName name="MATSTART" localSheetId="14">#REF!</definedName>
    <definedName name="MATSTART" localSheetId="11">#REF!</definedName>
    <definedName name="MATSTART" localSheetId="12">#REF!</definedName>
    <definedName name="MATSTART" localSheetId="15">#REF!</definedName>
    <definedName name="MATSTART" localSheetId="18">#REF!</definedName>
    <definedName name="MATSTART" localSheetId="16">#REF!</definedName>
    <definedName name="MATSTART" localSheetId="17">#REF!</definedName>
    <definedName name="MATSTART" localSheetId="19">#REF!</definedName>
    <definedName name="MATSTART" localSheetId="23">#REF!</definedName>
    <definedName name="MATSTART" localSheetId="24">#REF!</definedName>
    <definedName name="MATSTART" localSheetId="20">#REF!</definedName>
    <definedName name="MATSTART" localSheetId="21">#REF!</definedName>
    <definedName name="MATSTART" localSheetId="22">#REF!</definedName>
    <definedName name="MATSTART" localSheetId="25">#REF!</definedName>
    <definedName name="MATSTART" localSheetId="26">#REF!</definedName>
    <definedName name="MATSTART" localSheetId="2">#REF!</definedName>
    <definedName name="MATSTART" localSheetId="7">#REF!</definedName>
    <definedName name="MATSTART" localSheetId="8">#REF!</definedName>
    <definedName name="MATSTART" localSheetId="3">#REF!</definedName>
    <definedName name="MATSTART" localSheetId="9">#REF!</definedName>
    <definedName name="MATSTART" localSheetId="4">#REF!</definedName>
    <definedName name="MATSTART" localSheetId="5">#REF!</definedName>
    <definedName name="MATSTART" localSheetId="6">#REF!</definedName>
    <definedName name="MATSTART" localSheetId="29">#REF!</definedName>
    <definedName name="MATSTART" localSheetId="30">#REF!</definedName>
    <definedName name="MATSTART" localSheetId="31">#REF!</definedName>
    <definedName name="MATSTART" localSheetId="32">#REF!</definedName>
    <definedName name="MATSTART" localSheetId="27">#REF!</definedName>
    <definedName name="MATSTART" localSheetId="28">#REF!</definedName>
    <definedName name="MATSTART" localSheetId="1">#REF!</definedName>
    <definedName name="MATSTART">#REF!</definedName>
    <definedName name="NonPayment">[2]lists!$AA$1:$AA$71</definedName>
    <definedName name="oth_beg_bud" localSheetId="10">#REF!</definedName>
    <definedName name="oth_beg_bud" localSheetId="13">#REF!</definedName>
    <definedName name="oth_beg_bud" localSheetId="14">#REF!</definedName>
    <definedName name="oth_beg_bud" localSheetId="11">#REF!</definedName>
    <definedName name="oth_beg_bud" localSheetId="12">#REF!</definedName>
    <definedName name="oth_beg_bud" localSheetId="15">#REF!</definedName>
    <definedName name="oth_beg_bud" localSheetId="18">#REF!</definedName>
    <definedName name="oth_beg_bud" localSheetId="16">#REF!</definedName>
    <definedName name="oth_beg_bud" localSheetId="17">#REF!</definedName>
    <definedName name="oth_beg_bud" localSheetId="19">#REF!</definedName>
    <definedName name="oth_beg_bud" localSheetId="23">#REF!</definedName>
    <definedName name="oth_beg_bud" localSheetId="24">#REF!</definedName>
    <definedName name="oth_beg_bud" localSheetId="20">#REF!</definedName>
    <definedName name="oth_beg_bud" localSheetId="21">#REF!</definedName>
    <definedName name="oth_beg_bud" localSheetId="22">#REF!</definedName>
    <definedName name="oth_beg_bud" localSheetId="25">#REF!</definedName>
    <definedName name="oth_beg_bud" localSheetId="26">#REF!</definedName>
    <definedName name="oth_beg_bud" localSheetId="2">#REF!</definedName>
    <definedName name="oth_beg_bud" localSheetId="7">#REF!</definedName>
    <definedName name="oth_beg_bud" localSheetId="8">#REF!</definedName>
    <definedName name="oth_beg_bud" localSheetId="3">#REF!</definedName>
    <definedName name="oth_beg_bud" localSheetId="9">#REF!</definedName>
    <definedName name="oth_beg_bud" localSheetId="4">#REF!</definedName>
    <definedName name="oth_beg_bud" localSheetId="5">#REF!</definedName>
    <definedName name="oth_beg_bud" localSheetId="6">#REF!</definedName>
    <definedName name="oth_beg_bud" localSheetId="29">#REF!</definedName>
    <definedName name="oth_beg_bud" localSheetId="30">#REF!</definedName>
    <definedName name="oth_beg_bud" localSheetId="31">#REF!</definedName>
    <definedName name="oth_beg_bud" localSheetId="32">#REF!</definedName>
    <definedName name="oth_beg_bud" localSheetId="27">#REF!</definedName>
    <definedName name="oth_beg_bud" localSheetId="28">#REF!</definedName>
    <definedName name="oth_beg_bud" localSheetId="1">#REF!</definedName>
    <definedName name="oth_beg_bud">#REF!</definedName>
    <definedName name="oth_end_bud" localSheetId="10">#REF!</definedName>
    <definedName name="oth_end_bud" localSheetId="13">#REF!</definedName>
    <definedName name="oth_end_bud" localSheetId="14">#REF!</definedName>
    <definedName name="oth_end_bud" localSheetId="11">#REF!</definedName>
    <definedName name="oth_end_bud" localSheetId="12">#REF!</definedName>
    <definedName name="oth_end_bud" localSheetId="15">#REF!</definedName>
    <definedName name="oth_end_bud" localSheetId="18">#REF!</definedName>
    <definedName name="oth_end_bud" localSheetId="16">#REF!</definedName>
    <definedName name="oth_end_bud" localSheetId="17">#REF!</definedName>
    <definedName name="oth_end_bud" localSheetId="19">#REF!</definedName>
    <definedName name="oth_end_bud" localSheetId="23">#REF!</definedName>
    <definedName name="oth_end_bud" localSheetId="24">#REF!</definedName>
    <definedName name="oth_end_bud" localSheetId="20">#REF!</definedName>
    <definedName name="oth_end_bud" localSheetId="21">#REF!</definedName>
    <definedName name="oth_end_bud" localSheetId="22">#REF!</definedName>
    <definedName name="oth_end_bud" localSheetId="25">#REF!</definedName>
    <definedName name="oth_end_bud" localSheetId="26">#REF!</definedName>
    <definedName name="oth_end_bud" localSheetId="2">#REF!</definedName>
    <definedName name="oth_end_bud" localSheetId="7">#REF!</definedName>
    <definedName name="oth_end_bud" localSheetId="8">#REF!</definedName>
    <definedName name="oth_end_bud" localSheetId="3">#REF!</definedName>
    <definedName name="oth_end_bud" localSheetId="9">#REF!</definedName>
    <definedName name="oth_end_bud" localSheetId="4">#REF!</definedName>
    <definedName name="oth_end_bud" localSheetId="5">#REF!</definedName>
    <definedName name="oth_end_bud" localSheetId="6">#REF!</definedName>
    <definedName name="oth_end_bud" localSheetId="29">#REF!</definedName>
    <definedName name="oth_end_bud" localSheetId="30">#REF!</definedName>
    <definedName name="oth_end_bud" localSheetId="31">#REF!</definedName>
    <definedName name="oth_end_bud" localSheetId="32">#REF!</definedName>
    <definedName name="oth_end_bud" localSheetId="27">#REF!</definedName>
    <definedName name="oth_end_bud" localSheetId="28">#REF!</definedName>
    <definedName name="oth_end_bud" localSheetId="1">#REF!</definedName>
    <definedName name="oth_end_bud">#REF!</definedName>
    <definedName name="oth12ACT" localSheetId="10">#REF!</definedName>
    <definedName name="oth12ACT" localSheetId="13">#REF!</definedName>
    <definedName name="oth12ACT" localSheetId="14">#REF!</definedName>
    <definedName name="oth12ACT" localSheetId="11">#REF!</definedName>
    <definedName name="oth12ACT" localSheetId="12">#REF!</definedName>
    <definedName name="oth12ACT" localSheetId="15">#REF!</definedName>
    <definedName name="oth12ACT" localSheetId="18">#REF!</definedName>
    <definedName name="oth12ACT" localSheetId="16">#REF!</definedName>
    <definedName name="oth12ACT" localSheetId="17">#REF!</definedName>
    <definedName name="oth12ACT" localSheetId="19">#REF!</definedName>
    <definedName name="oth12ACT" localSheetId="23">#REF!</definedName>
    <definedName name="oth12ACT" localSheetId="24">#REF!</definedName>
    <definedName name="oth12ACT" localSheetId="20">#REF!</definedName>
    <definedName name="oth12ACT" localSheetId="21">#REF!</definedName>
    <definedName name="oth12ACT" localSheetId="22">#REF!</definedName>
    <definedName name="oth12ACT" localSheetId="25">#REF!</definedName>
    <definedName name="oth12ACT" localSheetId="26">#REF!</definedName>
    <definedName name="oth12ACT" localSheetId="2">#REF!</definedName>
    <definedName name="oth12ACT" localSheetId="7">#REF!</definedName>
    <definedName name="oth12ACT" localSheetId="8">#REF!</definedName>
    <definedName name="oth12ACT" localSheetId="3">#REF!</definedName>
    <definedName name="oth12ACT" localSheetId="9">#REF!</definedName>
    <definedName name="oth12ACT" localSheetId="4">#REF!</definedName>
    <definedName name="oth12ACT" localSheetId="5">#REF!</definedName>
    <definedName name="oth12ACT" localSheetId="6">#REF!</definedName>
    <definedName name="oth12ACT" localSheetId="29">#REF!</definedName>
    <definedName name="oth12ACT" localSheetId="30">#REF!</definedName>
    <definedName name="oth12ACT" localSheetId="31">#REF!</definedName>
    <definedName name="oth12ACT" localSheetId="32">#REF!</definedName>
    <definedName name="oth12ACT" localSheetId="27">#REF!</definedName>
    <definedName name="oth12ACT" localSheetId="28">#REF!</definedName>
    <definedName name="oth12ACT" localSheetId="1">#REF!</definedName>
    <definedName name="oth12ACT">#REF!</definedName>
    <definedName name="othCYACT" localSheetId="10">#REF!</definedName>
    <definedName name="othCYACT" localSheetId="13">#REF!</definedName>
    <definedName name="othCYACT" localSheetId="14">#REF!</definedName>
    <definedName name="othCYACT" localSheetId="11">#REF!</definedName>
    <definedName name="othCYACT" localSheetId="12">#REF!</definedName>
    <definedName name="othCYACT" localSheetId="15">#REF!</definedName>
    <definedName name="othCYACT" localSheetId="18">#REF!</definedName>
    <definedName name="othCYACT" localSheetId="16">#REF!</definedName>
    <definedName name="othCYACT" localSheetId="17">#REF!</definedName>
    <definedName name="othCYACT" localSheetId="19">#REF!</definedName>
    <definedName name="othCYACT" localSheetId="23">#REF!</definedName>
    <definedName name="othCYACT" localSheetId="24">#REF!</definedName>
    <definedName name="othCYACT" localSheetId="20">#REF!</definedName>
    <definedName name="othCYACT" localSheetId="21">#REF!</definedName>
    <definedName name="othCYACT" localSheetId="22">#REF!</definedName>
    <definedName name="othCYACT" localSheetId="25">#REF!</definedName>
    <definedName name="othCYACT" localSheetId="26">#REF!</definedName>
    <definedName name="othCYACT" localSheetId="2">#REF!</definedName>
    <definedName name="othCYACT" localSheetId="7">#REF!</definedName>
    <definedName name="othCYACT" localSheetId="8">#REF!</definedName>
    <definedName name="othCYACT" localSheetId="3">#REF!</definedName>
    <definedName name="othCYACT" localSheetId="9">#REF!</definedName>
    <definedName name="othCYACT" localSheetId="4">#REF!</definedName>
    <definedName name="othCYACT" localSheetId="5">#REF!</definedName>
    <definedName name="othCYACT" localSheetId="6">#REF!</definedName>
    <definedName name="othCYACT" localSheetId="29">#REF!</definedName>
    <definedName name="othCYACT" localSheetId="30">#REF!</definedName>
    <definedName name="othCYACT" localSheetId="31">#REF!</definedName>
    <definedName name="othCYACT" localSheetId="32">#REF!</definedName>
    <definedName name="othCYACT" localSheetId="27">#REF!</definedName>
    <definedName name="othCYACT" localSheetId="28">#REF!</definedName>
    <definedName name="othCYACT" localSheetId="1">#REF!</definedName>
    <definedName name="othCYACT">#REF!</definedName>
    <definedName name="othCYBUD" localSheetId="10">#REF!</definedName>
    <definedName name="othCYBUD" localSheetId="13">#REF!</definedName>
    <definedName name="othCYBUD" localSheetId="14">#REF!</definedName>
    <definedName name="othCYBUD" localSheetId="11">#REF!</definedName>
    <definedName name="othCYBUD" localSheetId="12">#REF!</definedName>
    <definedName name="othCYBUD" localSheetId="15">#REF!</definedName>
    <definedName name="othCYBUD" localSheetId="18">#REF!</definedName>
    <definedName name="othCYBUD" localSheetId="16">#REF!</definedName>
    <definedName name="othCYBUD" localSheetId="17">#REF!</definedName>
    <definedName name="othCYBUD" localSheetId="19">#REF!</definedName>
    <definedName name="othCYBUD" localSheetId="23">#REF!</definedName>
    <definedName name="othCYBUD" localSheetId="24">#REF!</definedName>
    <definedName name="othCYBUD" localSheetId="20">#REF!</definedName>
    <definedName name="othCYBUD" localSheetId="21">#REF!</definedName>
    <definedName name="othCYBUD" localSheetId="22">#REF!</definedName>
    <definedName name="othCYBUD" localSheetId="25">#REF!</definedName>
    <definedName name="othCYBUD" localSheetId="26">#REF!</definedName>
    <definedName name="othCYBUD" localSheetId="2">#REF!</definedName>
    <definedName name="othCYBUD" localSheetId="7">#REF!</definedName>
    <definedName name="othCYBUD" localSheetId="8">#REF!</definedName>
    <definedName name="othCYBUD" localSheetId="3">#REF!</definedName>
    <definedName name="othCYBUD" localSheetId="9">#REF!</definedName>
    <definedName name="othCYBUD" localSheetId="4">#REF!</definedName>
    <definedName name="othCYBUD" localSheetId="5">#REF!</definedName>
    <definedName name="othCYBUD" localSheetId="6">#REF!</definedName>
    <definedName name="othCYBUD" localSheetId="29">#REF!</definedName>
    <definedName name="othCYBUD" localSheetId="30">#REF!</definedName>
    <definedName name="othCYBUD" localSheetId="31">#REF!</definedName>
    <definedName name="othCYBUD" localSheetId="32">#REF!</definedName>
    <definedName name="othCYBUD" localSheetId="27">#REF!</definedName>
    <definedName name="othCYBUD" localSheetId="28">#REF!</definedName>
    <definedName name="othCYBUD" localSheetId="1">#REF!</definedName>
    <definedName name="othCYBUD">#REF!</definedName>
    <definedName name="othCYF" localSheetId="10">#REF!</definedName>
    <definedName name="othCYF" localSheetId="13">#REF!</definedName>
    <definedName name="othCYF" localSheetId="14">#REF!</definedName>
    <definedName name="othCYF" localSheetId="11">#REF!</definedName>
    <definedName name="othCYF" localSheetId="12">#REF!</definedName>
    <definedName name="othCYF" localSheetId="15">#REF!</definedName>
    <definedName name="othCYF" localSheetId="18">#REF!</definedName>
    <definedName name="othCYF" localSheetId="16">#REF!</definedName>
    <definedName name="othCYF" localSheetId="17">#REF!</definedName>
    <definedName name="othCYF" localSheetId="19">#REF!</definedName>
    <definedName name="othCYF" localSheetId="23">#REF!</definedName>
    <definedName name="othCYF" localSheetId="24">#REF!</definedName>
    <definedName name="othCYF" localSheetId="20">#REF!</definedName>
    <definedName name="othCYF" localSheetId="21">#REF!</definedName>
    <definedName name="othCYF" localSheetId="22">#REF!</definedName>
    <definedName name="othCYF" localSheetId="25">#REF!</definedName>
    <definedName name="othCYF" localSheetId="26">#REF!</definedName>
    <definedName name="othCYF" localSheetId="2">#REF!</definedName>
    <definedName name="othCYF" localSheetId="7">#REF!</definedName>
    <definedName name="othCYF" localSheetId="8">#REF!</definedName>
    <definedName name="othCYF" localSheetId="3">#REF!</definedName>
    <definedName name="othCYF" localSheetId="9">#REF!</definedName>
    <definedName name="othCYF" localSheetId="4">#REF!</definedName>
    <definedName name="othCYF" localSheetId="5">#REF!</definedName>
    <definedName name="othCYF" localSheetId="6">#REF!</definedName>
    <definedName name="othCYF" localSheetId="29">#REF!</definedName>
    <definedName name="othCYF" localSheetId="30">#REF!</definedName>
    <definedName name="othCYF" localSheetId="31">#REF!</definedName>
    <definedName name="othCYF" localSheetId="32">#REF!</definedName>
    <definedName name="othCYF" localSheetId="27">#REF!</definedName>
    <definedName name="othCYF" localSheetId="28">#REF!</definedName>
    <definedName name="othCYF" localSheetId="1">#REF!</definedName>
    <definedName name="othCYF">#REF!</definedName>
    <definedName name="OTHEND" localSheetId="10">#REF!</definedName>
    <definedName name="OTHEND" localSheetId="13">#REF!</definedName>
    <definedName name="OTHEND" localSheetId="14">#REF!</definedName>
    <definedName name="OTHEND" localSheetId="11">#REF!</definedName>
    <definedName name="OTHEND" localSheetId="12">#REF!</definedName>
    <definedName name="OTHEND" localSheetId="15">#REF!</definedName>
    <definedName name="OTHEND" localSheetId="18">#REF!</definedName>
    <definedName name="OTHEND" localSheetId="16">#REF!</definedName>
    <definedName name="OTHEND" localSheetId="17">#REF!</definedName>
    <definedName name="OTHEND" localSheetId="19">#REF!</definedName>
    <definedName name="OTHEND" localSheetId="23">#REF!</definedName>
    <definedName name="OTHEND" localSheetId="24">#REF!</definedName>
    <definedName name="OTHEND" localSheetId="20">#REF!</definedName>
    <definedName name="OTHEND" localSheetId="21">#REF!</definedName>
    <definedName name="OTHEND" localSheetId="22">#REF!</definedName>
    <definedName name="OTHEND" localSheetId="25">#REF!</definedName>
    <definedName name="OTHEND" localSheetId="26">#REF!</definedName>
    <definedName name="OTHEND" localSheetId="2">#REF!</definedName>
    <definedName name="OTHEND" localSheetId="7">#REF!</definedName>
    <definedName name="OTHEND" localSheetId="8">#REF!</definedName>
    <definedName name="OTHEND" localSheetId="3">#REF!</definedName>
    <definedName name="OTHEND" localSheetId="9">#REF!</definedName>
    <definedName name="OTHEND" localSheetId="4">#REF!</definedName>
    <definedName name="OTHEND" localSheetId="5">#REF!</definedName>
    <definedName name="OTHEND" localSheetId="6">#REF!</definedName>
    <definedName name="OTHEND" localSheetId="29">#REF!</definedName>
    <definedName name="OTHEND" localSheetId="30">#REF!</definedName>
    <definedName name="OTHEND" localSheetId="31">#REF!</definedName>
    <definedName name="OTHEND" localSheetId="32">#REF!</definedName>
    <definedName name="OTHEND" localSheetId="27">#REF!</definedName>
    <definedName name="OTHEND" localSheetId="28">#REF!</definedName>
    <definedName name="OTHEND" localSheetId="1">#REF!</definedName>
    <definedName name="OTHEND">#REF!</definedName>
    <definedName name="other_costs" localSheetId="10">#REF!</definedName>
    <definedName name="other_costs" localSheetId="13">#REF!</definedName>
    <definedName name="other_costs" localSheetId="14">#REF!</definedName>
    <definedName name="other_costs" localSheetId="11">#REF!</definedName>
    <definedName name="other_costs" localSheetId="12">#REF!</definedName>
    <definedName name="other_costs" localSheetId="15">#REF!</definedName>
    <definedName name="other_costs" localSheetId="18">#REF!</definedName>
    <definedName name="other_costs" localSheetId="16">#REF!</definedName>
    <definedName name="other_costs" localSheetId="17">#REF!</definedName>
    <definedName name="other_costs" localSheetId="19">#REF!</definedName>
    <definedName name="other_costs" localSheetId="23">#REF!</definedName>
    <definedName name="other_costs" localSheetId="24">#REF!</definedName>
    <definedName name="other_costs" localSheetId="20">#REF!</definedName>
    <definedName name="other_costs" localSheetId="21">#REF!</definedName>
    <definedName name="other_costs" localSheetId="22">#REF!</definedName>
    <definedName name="other_costs" localSheetId="25">#REF!</definedName>
    <definedName name="other_costs" localSheetId="26">#REF!</definedName>
    <definedName name="other_costs" localSheetId="2">#REF!</definedName>
    <definedName name="other_costs" localSheetId="7">#REF!</definedName>
    <definedName name="other_costs" localSheetId="8">#REF!</definedName>
    <definedName name="other_costs" localSheetId="3">#REF!</definedName>
    <definedName name="other_costs" localSheetId="9">#REF!</definedName>
    <definedName name="other_costs" localSheetId="4">#REF!</definedName>
    <definedName name="other_costs" localSheetId="5">#REF!</definedName>
    <definedName name="other_costs" localSheetId="6">#REF!</definedName>
    <definedName name="other_costs" localSheetId="29">#REF!</definedName>
    <definedName name="other_costs" localSheetId="30">#REF!</definedName>
    <definedName name="other_costs" localSheetId="31">#REF!</definedName>
    <definedName name="other_costs" localSheetId="32">#REF!</definedName>
    <definedName name="other_costs" localSheetId="27">#REF!</definedName>
    <definedName name="other_costs" localSheetId="28">#REF!</definedName>
    <definedName name="other_costs" localSheetId="1">#REF!</definedName>
    <definedName name="other_costs">#REF!</definedName>
    <definedName name="OTHERBUD" localSheetId="10">#REF!</definedName>
    <definedName name="OTHERBUD" localSheetId="13">#REF!</definedName>
    <definedName name="OTHERBUD" localSheetId="14">#REF!</definedName>
    <definedName name="OTHERBUD" localSheetId="11">#REF!</definedName>
    <definedName name="OTHERBUD" localSheetId="12">#REF!</definedName>
    <definedName name="OTHERBUD" localSheetId="15">#REF!</definedName>
    <definedName name="OTHERBUD" localSheetId="18">#REF!</definedName>
    <definedName name="OTHERBUD" localSheetId="16">#REF!</definedName>
    <definedName name="OTHERBUD" localSheetId="17">#REF!</definedName>
    <definedName name="OTHERBUD" localSheetId="19">#REF!</definedName>
    <definedName name="OTHERBUD" localSheetId="23">#REF!</definedName>
    <definedName name="OTHERBUD" localSheetId="24">#REF!</definedName>
    <definedName name="OTHERBUD" localSheetId="20">#REF!</definedName>
    <definedName name="OTHERBUD" localSheetId="21">#REF!</definedName>
    <definedName name="OTHERBUD" localSheetId="22">#REF!</definedName>
    <definedName name="OTHERBUD" localSheetId="25">#REF!</definedName>
    <definedName name="OTHERBUD" localSheetId="26">#REF!</definedName>
    <definedName name="OTHERBUD" localSheetId="2">#REF!</definedName>
    <definedName name="OTHERBUD" localSheetId="7">#REF!</definedName>
    <definedName name="OTHERBUD" localSheetId="8">#REF!</definedName>
    <definedName name="OTHERBUD" localSheetId="3">#REF!</definedName>
    <definedName name="OTHERBUD" localSheetId="9">#REF!</definedName>
    <definedName name="OTHERBUD" localSheetId="4">#REF!</definedName>
    <definedName name="OTHERBUD" localSheetId="5">#REF!</definedName>
    <definedName name="OTHERBUD" localSheetId="6">#REF!</definedName>
    <definedName name="OTHERBUD" localSheetId="29">#REF!</definedName>
    <definedName name="OTHERBUD" localSheetId="30">#REF!</definedName>
    <definedName name="OTHERBUD" localSheetId="31">#REF!</definedName>
    <definedName name="OTHERBUD" localSheetId="32">#REF!</definedName>
    <definedName name="OTHERBUD" localSheetId="27">#REF!</definedName>
    <definedName name="OTHERBUD" localSheetId="28">#REF!</definedName>
    <definedName name="OTHERBUD" localSheetId="1">#REF!</definedName>
    <definedName name="OTHERBUD">#REF!</definedName>
    <definedName name="othNYbud" localSheetId="10">#REF!</definedName>
    <definedName name="othNYbud" localSheetId="13">#REF!</definedName>
    <definedName name="othNYbud" localSheetId="14">#REF!</definedName>
    <definedName name="othNYbud" localSheetId="11">#REF!</definedName>
    <definedName name="othNYbud" localSheetId="12">#REF!</definedName>
    <definedName name="othNYbud" localSheetId="15">#REF!</definedName>
    <definedName name="othNYbud" localSheetId="18">#REF!</definedName>
    <definedName name="othNYbud" localSheetId="16">#REF!</definedName>
    <definedName name="othNYbud" localSheetId="17">#REF!</definedName>
    <definedName name="othNYbud" localSheetId="19">#REF!</definedName>
    <definedName name="othNYbud" localSheetId="23">#REF!</definedName>
    <definedName name="othNYbud" localSheetId="24">#REF!</definedName>
    <definedName name="othNYbud" localSheetId="20">#REF!</definedName>
    <definedName name="othNYbud" localSheetId="21">#REF!</definedName>
    <definedName name="othNYbud" localSheetId="22">#REF!</definedName>
    <definedName name="othNYbud" localSheetId="25">#REF!</definedName>
    <definedName name="othNYbud" localSheetId="26">#REF!</definedName>
    <definedName name="othNYbud" localSheetId="2">#REF!</definedName>
    <definedName name="othNYbud" localSheetId="7">#REF!</definedName>
    <definedName name="othNYbud" localSheetId="8">#REF!</definedName>
    <definedName name="othNYbud" localSheetId="3">#REF!</definedName>
    <definedName name="othNYbud" localSheetId="9">#REF!</definedName>
    <definedName name="othNYbud" localSheetId="4">#REF!</definedName>
    <definedName name="othNYbud" localSheetId="5">#REF!</definedName>
    <definedName name="othNYbud" localSheetId="6">#REF!</definedName>
    <definedName name="othNYbud" localSheetId="29">#REF!</definedName>
    <definedName name="othNYbud" localSheetId="30">#REF!</definedName>
    <definedName name="othNYbud" localSheetId="31">#REF!</definedName>
    <definedName name="othNYbud" localSheetId="32">#REF!</definedName>
    <definedName name="othNYbud" localSheetId="27">#REF!</definedName>
    <definedName name="othNYbud" localSheetId="28">#REF!</definedName>
    <definedName name="othNYbud" localSheetId="1">#REF!</definedName>
    <definedName name="othNYbud">#REF!</definedName>
    <definedName name="othPYACT" localSheetId="10">#REF!</definedName>
    <definedName name="othPYACT" localSheetId="13">#REF!</definedName>
    <definedName name="othPYACT" localSheetId="14">#REF!</definedName>
    <definedName name="othPYACT" localSheetId="11">#REF!</definedName>
    <definedName name="othPYACT" localSheetId="12">#REF!</definedName>
    <definedName name="othPYACT" localSheetId="15">#REF!</definedName>
    <definedName name="othPYACT" localSheetId="18">#REF!</definedName>
    <definedName name="othPYACT" localSheetId="16">#REF!</definedName>
    <definedName name="othPYACT" localSheetId="17">#REF!</definedName>
    <definedName name="othPYACT" localSheetId="19">#REF!</definedName>
    <definedName name="othPYACT" localSheetId="23">#REF!</definedName>
    <definedName name="othPYACT" localSheetId="24">#REF!</definedName>
    <definedName name="othPYACT" localSheetId="20">#REF!</definedName>
    <definedName name="othPYACT" localSheetId="21">#REF!</definedName>
    <definedName name="othPYACT" localSheetId="22">#REF!</definedName>
    <definedName name="othPYACT" localSheetId="25">#REF!</definedName>
    <definedName name="othPYACT" localSheetId="26">#REF!</definedName>
    <definedName name="othPYACT" localSheetId="2">#REF!</definedName>
    <definedName name="othPYACT" localSheetId="7">#REF!</definedName>
    <definedName name="othPYACT" localSheetId="8">#REF!</definedName>
    <definedName name="othPYACT" localSheetId="3">#REF!</definedName>
    <definedName name="othPYACT" localSheetId="9">#REF!</definedName>
    <definedName name="othPYACT" localSheetId="4">#REF!</definedName>
    <definedName name="othPYACT" localSheetId="5">#REF!</definedName>
    <definedName name="othPYACT" localSheetId="6">#REF!</definedName>
    <definedName name="othPYACT" localSheetId="29">#REF!</definedName>
    <definedName name="othPYACT" localSheetId="30">#REF!</definedName>
    <definedName name="othPYACT" localSheetId="31">#REF!</definedName>
    <definedName name="othPYACT" localSheetId="32">#REF!</definedName>
    <definedName name="othPYACT" localSheetId="27">#REF!</definedName>
    <definedName name="othPYACT" localSheetId="28">#REF!</definedName>
    <definedName name="othPYACT" localSheetId="1">#REF!</definedName>
    <definedName name="othPYACT">#REF!</definedName>
    <definedName name="OTHSTART" localSheetId="10">#REF!</definedName>
    <definedName name="OTHSTART" localSheetId="13">#REF!</definedName>
    <definedName name="OTHSTART" localSheetId="14">#REF!</definedName>
    <definedName name="OTHSTART" localSheetId="11">#REF!</definedName>
    <definedName name="OTHSTART" localSheetId="12">#REF!</definedName>
    <definedName name="OTHSTART" localSheetId="15">#REF!</definedName>
    <definedName name="OTHSTART" localSheetId="18">#REF!</definedName>
    <definedName name="OTHSTART" localSheetId="16">#REF!</definedName>
    <definedName name="OTHSTART" localSheetId="17">#REF!</definedName>
    <definedName name="OTHSTART" localSheetId="19">#REF!</definedName>
    <definedName name="OTHSTART" localSheetId="23">#REF!</definedName>
    <definedName name="OTHSTART" localSheetId="24">#REF!</definedName>
    <definedName name="OTHSTART" localSheetId="20">#REF!</definedName>
    <definedName name="OTHSTART" localSheetId="21">#REF!</definedName>
    <definedName name="OTHSTART" localSheetId="22">#REF!</definedName>
    <definedName name="OTHSTART" localSheetId="25">#REF!</definedName>
    <definedName name="OTHSTART" localSheetId="26">#REF!</definedName>
    <definedName name="OTHSTART" localSheetId="2">#REF!</definedName>
    <definedName name="OTHSTART" localSheetId="7">#REF!</definedName>
    <definedName name="OTHSTART" localSheetId="8">#REF!</definedName>
    <definedName name="OTHSTART" localSheetId="3">#REF!</definedName>
    <definedName name="OTHSTART" localSheetId="9">#REF!</definedName>
    <definedName name="OTHSTART" localSheetId="4">#REF!</definedName>
    <definedName name="OTHSTART" localSheetId="5">#REF!</definedName>
    <definedName name="OTHSTART" localSheetId="6">#REF!</definedName>
    <definedName name="OTHSTART" localSheetId="29">#REF!</definedName>
    <definedName name="OTHSTART" localSheetId="30">#REF!</definedName>
    <definedName name="OTHSTART" localSheetId="31">#REF!</definedName>
    <definedName name="OTHSTART" localSheetId="32">#REF!</definedName>
    <definedName name="OTHSTART" localSheetId="27">#REF!</definedName>
    <definedName name="OTHSTART" localSheetId="28">#REF!</definedName>
    <definedName name="OTHSTART" localSheetId="1">#REF!</definedName>
    <definedName name="OTHSTART">#REF!</definedName>
    <definedName name="_xlnm.Print_Area" localSheetId="10">'Bill Impacts - GS &lt; 50 1000'!$A$1:$AL$63</definedName>
    <definedName name="_xlnm.Print_Area" localSheetId="13">'Bill Impacts - GS &lt; 50 10000'!$A$1:$AL$63</definedName>
    <definedName name="_xlnm.Print_Area" localSheetId="14">'Bill Impacts - GS &lt; 50 15000'!$A$1:$AL$63</definedName>
    <definedName name="_xlnm.Print_Area" localSheetId="11">'Bill Impacts - GS &lt; 50 2000'!$A$1:$AL$63</definedName>
    <definedName name="_xlnm.Print_Area" localSheetId="12">'Bill Impacts - GS &lt; 50 5000'!$A$1:$AL$63</definedName>
    <definedName name="_xlnm.Print_Area" localSheetId="15">'Bill Impacts - GS &gt; 50 100'!$A$1:$AL$63</definedName>
    <definedName name="_xlnm.Print_Area" localSheetId="18">'Bill Impacts - GS &gt; 50 2000'!$A$1:$AL$63</definedName>
    <definedName name="_xlnm.Print_Area" localSheetId="16">'Bill Impacts - GS &gt; 50 250'!$A$1:$AL$63</definedName>
    <definedName name="_xlnm.Print_Area" localSheetId="17">'Bill Impacts - GS &gt; 50 350'!$A$1:$AL$63</definedName>
    <definedName name="_xlnm.Print_Area" localSheetId="19">'Bill Impacts - GS &gt; 50 4000'!$A$1:$AL$63</definedName>
    <definedName name="_xlnm.Print_Area" localSheetId="23">'Bill Impacts - Large Use 10000'!$A$1:$AL$63</definedName>
    <definedName name="_xlnm.Print_Area" localSheetId="24">'Bill Impacts - Large Use 12500'!$A$1:$AL$63</definedName>
    <definedName name="_xlnm.Print_Area" localSheetId="20">'Bill Impacts - Large Use 5000'!$A$1:$AL$63</definedName>
    <definedName name="_xlnm.Print_Area" localSheetId="21">'Bill Impacts - Large Use 6500'!$A$1:$AL$63</definedName>
    <definedName name="_xlnm.Print_Area" localSheetId="22">'Bill Impacts - Large Use 7500'!$A$1:$AL$63</definedName>
    <definedName name="_xlnm.Print_Area" localSheetId="25">'Bill Impacts - Large Use2 15000'!$A$1:$AL$63</definedName>
    <definedName name="_xlnm.Print_Area" localSheetId="26">'Bill Impacts - Large Use2 20000'!$A$1:$AL$63</definedName>
    <definedName name="_xlnm.Print_Area" localSheetId="2">'Bill Impacts - Residential 100'!$A$1:$AI$63</definedName>
    <definedName name="_xlnm.Print_Area" localSheetId="7">'Bill Impacts - Residential 1000'!$A$1:$AL$63</definedName>
    <definedName name="_xlnm.Print_Area" localSheetId="8">'Bill Impacts - Residential 1500'!$A$1:$AL$63</definedName>
    <definedName name="_xlnm.Print_Area" localSheetId="3">'Bill Impacts - Residential 200'!$A$1:$AL$63</definedName>
    <definedName name="_xlnm.Print_Area" localSheetId="9">'Bill Impacts - Residential 2000'!$A$1:$AL$63</definedName>
    <definedName name="_xlnm.Print_Area" localSheetId="4">'Bill Impacts - Residential 219'!$A$1:$AL$63</definedName>
    <definedName name="_xlnm.Print_Area" localSheetId="5">'Bill Impacts - Residential 500'!$A$1:$AL$63</definedName>
    <definedName name="_xlnm.Print_Area" localSheetId="6">'Bill Impacts - Residential 750'!$A$1:$AL$63</definedName>
    <definedName name="_xlnm.Print_Area" localSheetId="29">'Bill Impacts - Sentinel'!$A$1:$AL$63</definedName>
    <definedName name="_xlnm.Print_Area" localSheetId="30">'Bill Impacts - Sentinel (2)'!$A$1:$AL$63</definedName>
    <definedName name="_xlnm.Print_Area" localSheetId="31">'Bill Impacts - Street Light'!$A$1:$AL$63</definedName>
    <definedName name="_xlnm.Print_Area" localSheetId="32">'Bill Impacts - Street Light (2'!$A$1:$AL$63</definedName>
    <definedName name="_xlnm.Print_Area" localSheetId="27">'Bill Impacts - USL 250'!$A$1:$AL$63</definedName>
    <definedName name="_xlnm.Print_Area" localSheetId="28">'Bill Impacts - USL 500'!$A$1:$AL$63</definedName>
    <definedName name="print_end" localSheetId="10">#REF!</definedName>
    <definedName name="print_end" localSheetId="13">#REF!</definedName>
    <definedName name="print_end" localSheetId="14">#REF!</definedName>
    <definedName name="print_end" localSheetId="11">#REF!</definedName>
    <definedName name="print_end" localSheetId="12">#REF!</definedName>
    <definedName name="print_end" localSheetId="15">#REF!</definedName>
    <definedName name="print_end" localSheetId="18">#REF!</definedName>
    <definedName name="print_end" localSheetId="16">#REF!</definedName>
    <definedName name="print_end" localSheetId="17">#REF!</definedName>
    <definedName name="print_end" localSheetId="19">#REF!</definedName>
    <definedName name="print_end" localSheetId="23">#REF!</definedName>
    <definedName name="print_end" localSheetId="24">#REF!</definedName>
    <definedName name="print_end" localSheetId="20">#REF!</definedName>
    <definedName name="print_end" localSheetId="21">#REF!</definedName>
    <definedName name="print_end" localSheetId="22">#REF!</definedName>
    <definedName name="print_end" localSheetId="25">#REF!</definedName>
    <definedName name="print_end" localSheetId="26">#REF!</definedName>
    <definedName name="print_end" localSheetId="2">#REF!</definedName>
    <definedName name="print_end" localSheetId="7">#REF!</definedName>
    <definedName name="print_end" localSheetId="8">#REF!</definedName>
    <definedName name="print_end" localSheetId="3">#REF!</definedName>
    <definedName name="print_end" localSheetId="9">#REF!</definedName>
    <definedName name="print_end" localSheetId="4">#REF!</definedName>
    <definedName name="print_end" localSheetId="5">#REF!</definedName>
    <definedName name="print_end" localSheetId="6">#REF!</definedName>
    <definedName name="print_end" localSheetId="29">#REF!</definedName>
    <definedName name="print_end" localSheetId="30">#REF!</definedName>
    <definedName name="print_end" localSheetId="31">#REF!</definedName>
    <definedName name="print_end" localSheetId="32">#REF!</definedName>
    <definedName name="print_end" localSheetId="27">#REF!</definedName>
    <definedName name="print_end" localSheetId="28">#REF!</definedName>
    <definedName name="print_end" localSheetId="1">#REF!</definedName>
    <definedName name="print_end">#REF!</definedName>
    <definedName name="Rate_Class">[2]lists!$A$1:$A$104</definedName>
    <definedName name="ratedescription">[5]hidden1!$D$1:$D$122</definedName>
    <definedName name="SALBENF" localSheetId="10">#REF!</definedName>
    <definedName name="SALBENF" localSheetId="13">#REF!</definedName>
    <definedName name="SALBENF" localSheetId="14">#REF!</definedName>
    <definedName name="SALBENF" localSheetId="11">#REF!</definedName>
    <definedName name="SALBENF" localSheetId="12">#REF!</definedName>
    <definedName name="SALBENF" localSheetId="15">#REF!</definedName>
    <definedName name="SALBENF" localSheetId="18">#REF!</definedName>
    <definedName name="SALBENF" localSheetId="16">#REF!</definedName>
    <definedName name="SALBENF" localSheetId="17">#REF!</definedName>
    <definedName name="SALBENF" localSheetId="19">#REF!</definedName>
    <definedName name="SALBENF" localSheetId="23">#REF!</definedName>
    <definedName name="SALBENF" localSheetId="24">#REF!</definedName>
    <definedName name="SALBENF" localSheetId="20">#REF!</definedName>
    <definedName name="SALBENF" localSheetId="21">#REF!</definedName>
    <definedName name="SALBENF" localSheetId="22">#REF!</definedName>
    <definedName name="SALBENF" localSheetId="25">#REF!</definedName>
    <definedName name="SALBENF" localSheetId="26">#REF!</definedName>
    <definedName name="SALBENF" localSheetId="2">#REF!</definedName>
    <definedName name="SALBENF" localSheetId="7">#REF!</definedName>
    <definedName name="SALBENF" localSheetId="8">#REF!</definedName>
    <definedName name="SALBENF" localSheetId="3">#REF!</definedName>
    <definedName name="SALBENF" localSheetId="9">#REF!</definedName>
    <definedName name="SALBENF" localSheetId="4">#REF!</definedName>
    <definedName name="SALBENF" localSheetId="5">#REF!</definedName>
    <definedName name="SALBENF" localSheetId="6">#REF!</definedName>
    <definedName name="SALBENF" localSheetId="29">#REF!</definedName>
    <definedName name="SALBENF" localSheetId="30">#REF!</definedName>
    <definedName name="SALBENF" localSheetId="31">#REF!</definedName>
    <definedName name="SALBENF" localSheetId="32">#REF!</definedName>
    <definedName name="SALBENF" localSheetId="27">#REF!</definedName>
    <definedName name="SALBENF" localSheetId="28">#REF!</definedName>
    <definedName name="SALBENF" localSheetId="1">#REF!</definedName>
    <definedName name="SALBENF">#REF!</definedName>
    <definedName name="salreg" localSheetId="10">#REF!</definedName>
    <definedName name="salreg" localSheetId="13">#REF!</definedName>
    <definedName name="salreg" localSheetId="14">#REF!</definedName>
    <definedName name="salreg" localSheetId="11">#REF!</definedName>
    <definedName name="salreg" localSheetId="12">#REF!</definedName>
    <definedName name="salreg" localSheetId="15">#REF!</definedName>
    <definedName name="salreg" localSheetId="18">#REF!</definedName>
    <definedName name="salreg" localSheetId="16">#REF!</definedName>
    <definedName name="salreg" localSheetId="17">#REF!</definedName>
    <definedName name="salreg" localSheetId="19">#REF!</definedName>
    <definedName name="salreg" localSheetId="23">#REF!</definedName>
    <definedName name="salreg" localSheetId="24">#REF!</definedName>
    <definedName name="salreg" localSheetId="20">#REF!</definedName>
    <definedName name="salreg" localSheetId="21">#REF!</definedName>
    <definedName name="salreg" localSheetId="22">#REF!</definedName>
    <definedName name="salreg" localSheetId="25">#REF!</definedName>
    <definedName name="salreg" localSheetId="26">#REF!</definedName>
    <definedName name="salreg" localSheetId="2">#REF!</definedName>
    <definedName name="salreg" localSheetId="7">#REF!</definedName>
    <definedName name="salreg" localSheetId="8">#REF!</definedName>
    <definedName name="salreg" localSheetId="3">#REF!</definedName>
    <definedName name="salreg" localSheetId="9">#REF!</definedName>
    <definedName name="salreg" localSheetId="4">#REF!</definedName>
    <definedName name="salreg" localSheetId="5">#REF!</definedName>
    <definedName name="salreg" localSheetId="6">#REF!</definedName>
    <definedName name="salreg" localSheetId="29">#REF!</definedName>
    <definedName name="salreg" localSheetId="30">#REF!</definedName>
    <definedName name="salreg" localSheetId="31">#REF!</definedName>
    <definedName name="salreg" localSheetId="32">#REF!</definedName>
    <definedName name="salreg" localSheetId="27">#REF!</definedName>
    <definedName name="salreg" localSheetId="28">#REF!</definedName>
    <definedName name="salreg" localSheetId="1">#REF!</definedName>
    <definedName name="salreg">#REF!</definedName>
    <definedName name="SALREGF" localSheetId="10">#REF!</definedName>
    <definedName name="SALREGF" localSheetId="13">#REF!</definedName>
    <definedName name="SALREGF" localSheetId="14">#REF!</definedName>
    <definedName name="SALREGF" localSheetId="11">#REF!</definedName>
    <definedName name="SALREGF" localSheetId="12">#REF!</definedName>
    <definedName name="SALREGF" localSheetId="15">#REF!</definedName>
    <definedName name="SALREGF" localSheetId="18">#REF!</definedName>
    <definedName name="SALREGF" localSheetId="16">#REF!</definedName>
    <definedName name="SALREGF" localSheetId="17">#REF!</definedName>
    <definedName name="SALREGF" localSheetId="19">#REF!</definedName>
    <definedName name="SALREGF" localSheetId="23">#REF!</definedName>
    <definedName name="SALREGF" localSheetId="24">#REF!</definedName>
    <definedName name="SALREGF" localSheetId="20">#REF!</definedName>
    <definedName name="SALREGF" localSheetId="21">#REF!</definedName>
    <definedName name="SALREGF" localSheetId="22">#REF!</definedName>
    <definedName name="SALREGF" localSheetId="25">#REF!</definedName>
    <definedName name="SALREGF" localSheetId="26">#REF!</definedName>
    <definedName name="SALREGF" localSheetId="2">#REF!</definedName>
    <definedName name="SALREGF" localSheetId="7">#REF!</definedName>
    <definedName name="SALREGF" localSheetId="8">#REF!</definedName>
    <definedName name="SALREGF" localSheetId="3">#REF!</definedName>
    <definedName name="SALREGF" localSheetId="9">#REF!</definedName>
    <definedName name="SALREGF" localSheetId="4">#REF!</definedName>
    <definedName name="SALREGF" localSheetId="5">#REF!</definedName>
    <definedName name="SALREGF" localSheetId="6">#REF!</definedName>
    <definedName name="SALREGF" localSheetId="29">#REF!</definedName>
    <definedName name="SALREGF" localSheetId="30">#REF!</definedName>
    <definedName name="SALREGF" localSheetId="31">#REF!</definedName>
    <definedName name="SALREGF" localSheetId="32">#REF!</definedName>
    <definedName name="SALREGF" localSheetId="27">#REF!</definedName>
    <definedName name="SALREGF" localSheetId="28">#REF!</definedName>
    <definedName name="SALREGF" localSheetId="1">#REF!</definedName>
    <definedName name="SALREGF">#REF!</definedName>
    <definedName name="TEMPA" localSheetId="10">#REF!</definedName>
    <definedName name="TEMPA" localSheetId="13">#REF!</definedName>
    <definedName name="TEMPA" localSheetId="14">#REF!</definedName>
    <definedName name="TEMPA" localSheetId="11">#REF!</definedName>
    <definedName name="TEMPA" localSheetId="12">#REF!</definedName>
    <definedName name="TEMPA" localSheetId="15">#REF!</definedName>
    <definedName name="TEMPA" localSheetId="18">#REF!</definedName>
    <definedName name="TEMPA" localSheetId="16">#REF!</definedName>
    <definedName name="TEMPA" localSheetId="17">#REF!</definedName>
    <definedName name="TEMPA" localSheetId="19">#REF!</definedName>
    <definedName name="TEMPA" localSheetId="23">#REF!</definedName>
    <definedName name="TEMPA" localSheetId="24">#REF!</definedName>
    <definedName name="TEMPA" localSheetId="20">#REF!</definedName>
    <definedName name="TEMPA" localSheetId="21">#REF!</definedName>
    <definedName name="TEMPA" localSheetId="22">#REF!</definedName>
    <definedName name="TEMPA" localSheetId="25">#REF!</definedName>
    <definedName name="TEMPA" localSheetId="26">#REF!</definedName>
    <definedName name="TEMPA" localSheetId="2">#REF!</definedName>
    <definedName name="TEMPA" localSheetId="7">#REF!</definedName>
    <definedName name="TEMPA" localSheetId="8">#REF!</definedName>
    <definedName name="TEMPA" localSheetId="3">#REF!</definedName>
    <definedName name="TEMPA" localSheetId="9">#REF!</definedName>
    <definedName name="TEMPA" localSheetId="4">#REF!</definedName>
    <definedName name="TEMPA" localSheetId="5">#REF!</definedName>
    <definedName name="TEMPA" localSheetId="6">#REF!</definedName>
    <definedName name="TEMPA" localSheetId="29">#REF!</definedName>
    <definedName name="TEMPA" localSheetId="30">#REF!</definedName>
    <definedName name="TEMPA" localSheetId="31">#REF!</definedName>
    <definedName name="TEMPA" localSheetId="32">#REF!</definedName>
    <definedName name="TEMPA" localSheetId="27">#REF!</definedName>
    <definedName name="TEMPA" localSheetId="28">#REF!</definedName>
    <definedName name="TEMPA" localSheetId="1">#REF!</definedName>
    <definedName name="TEMPA">#REF!</definedName>
    <definedName name="TestYear">'[2]LDC Info'!$E$24</definedName>
    <definedName name="total_dept" localSheetId="10">#REF!</definedName>
    <definedName name="total_dept" localSheetId="13">#REF!</definedName>
    <definedName name="total_dept" localSheetId="14">#REF!</definedName>
    <definedName name="total_dept" localSheetId="11">#REF!</definedName>
    <definedName name="total_dept" localSheetId="12">#REF!</definedName>
    <definedName name="total_dept" localSheetId="15">#REF!</definedName>
    <definedName name="total_dept" localSheetId="18">#REF!</definedName>
    <definedName name="total_dept" localSheetId="16">#REF!</definedName>
    <definedName name="total_dept" localSheetId="17">#REF!</definedName>
    <definedName name="total_dept" localSheetId="19">#REF!</definedName>
    <definedName name="total_dept" localSheetId="23">#REF!</definedName>
    <definedName name="total_dept" localSheetId="24">#REF!</definedName>
    <definedName name="total_dept" localSheetId="20">#REF!</definedName>
    <definedName name="total_dept" localSheetId="21">#REF!</definedName>
    <definedName name="total_dept" localSheetId="22">#REF!</definedName>
    <definedName name="total_dept" localSheetId="25">#REF!</definedName>
    <definedName name="total_dept" localSheetId="26">#REF!</definedName>
    <definedName name="total_dept" localSheetId="2">#REF!</definedName>
    <definedName name="total_dept" localSheetId="7">#REF!</definedName>
    <definedName name="total_dept" localSheetId="8">#REF!</definedName>
    <definedName name="total_dept" localSheetId="3">#REF!</definedName>
    <definedName name="total_dept" localSheetId="9">#REF!</definedName>
    <definedName name="total_dept" localSheetId="4">#REF!</definedName>
    <definedName name="total_dept" localSheetId="5">#REF!</definedName>
    <definedName name="total_dept" localSheetId="6">#REF!</definedName>
    <definedName name="total_dept" localSheetId="29">#REF!</definedName>
    <definedName name="total_dept" localSheetId="30">#REF!</definedName>
    <definedName name="total_dept" localSheetId="31">#REF!</definedName>
    <definedName name="total_dept" localSheetId="32">#REF!</definedName>
    <definedName name="total_dept" localSheetId="27">#REF!</definedName>
    <definedName name="total_dept" localSheetId="28">#REF!</definedName>
    <definedName name="total_dept" localSheetId="1">#REF!</definedName>
    <definedName name="total_dept">#REF!</definedName>
    <definedName name="total_manpower" localSheetId="10">#REF!</definedName>
    <definedName name="total_manpower" localSheetId="13">#REF!</definedName>
    <definedName name="total_manpower" localSheetId="14">#REF!</definedName>
    <definedName name="total_manpower" localSheetId="11">#REF!</definedName>
    <definedName name="total_manpower" localSheetId="12">#REF!</definedName>
    <definedName name="total_manpower" localSheetId="15">#REF!</definedName>
    <definedName name="total_manpower" localSheetId="18">#REF!</definedName>
    <definedName name="total_manpower" localSheetId="16">#REF!</definedName>
    <definedName name="total_manpower" localSheetId="17">#REF!</definedName>
    <definedName name="total_manpower" localSheetId="19">#REF!</definedName>
    <definedName name="total_manpower" localSheetId="23">#REF!</definedName>
    <definedName name="total_manpower" localSheetId="24">#REF!</definedName>
    <definedName name="total_manpower" localSheetId="20">#REF!</definedName>
    <definedName name="total_manpower" localSheetId="21">#REF!</definedName>
    <definedName name="total_manpower" localSheetId="22">#REF!</definedName>
    <definedName name="total_manpower" localSheetId="25">#REF!</definedName>
    <definedName name="total_manpower" localSheetId="26">#REF!</definedName>
    <definedName name="total_manpower" localSheetId="2">#REF!</definedName>
    <definedName name="total_manpower" localSheetId="7">#REF!</definedName>
    <definedName name="total_manpower" localSheetId="8">#REF!</definedName>
    <definedName name="total_manpower" localSheetId="3">#REF!</definedName>
    <definedName name="total_manpower" localSheetId="9">#REF!</definedName>
    <definedName name="total_manpower" localSheetId="4">#REF!</definedName>
    <definedName name="total_manpower" localSheetId="5">#REF!</definedName>
    <definedName name="total_manpower" localSheetId="6">#REF!</definedName>
    <definedName name="total_manpower" localSheetId="29">#REF!</definedName>
    <definedName name="total_manpower" localSheetId="30">#REF!</definedName>
    <definedName name="total_manpower" localSheetId="31">#REF!</definedName>
    <definedName name="total_manpower" localSheetId="32">#REF!</definedName>
    <definedName name="total_manpower" localSheetId="27">#REF!</definedName>
    <definedName name="total_manpower" localSheetId="28">#REF!</definedName>
    <definedName name="total_manpower" localSheetId="1">#REF!</definedName>
    <definedName name="total_manpower">#REF!</definedName>
    <definedName name="total_material" localSheetId="10">#REF!</definedName>
    <definedName name="total_material" localSheetId="13">#REF!</definedName>
    <definedName name="total_material" localSheetId="14">#REF!</definedName>
    <definedName name="total_material" localSheetId="11">#REF!</definedName>
    <definedName name="total_material" localSheetId="12">#REF!</definedName>
    <definedName name="total_material" localSheetId="15">#REF!</definedName>
    <definedName name="total_material" localSheetId="18">#REF!</definedName>
    <definedName name="total_material" localSheetId="16">#REF!</definedName>
    <definedName name="total_material" localSheetId="17">#REF!</definedName>
    <definedName name="total_material" localSheetId="19">#REF!</definedName>
    <definedName name="total_material" localSheetId="23">#REF!</definedName>
    <definedName name="total_material" localSheetId="24">#REF!</definedName>
    <definedName name="total_material" localSheetId="20">#REF!</definedName>
    <definedName name="total_material" localSheetId="21">#REF!</definedName>
    <definedName name="total_material" localSheetId="22">#REF!</definedName>
    <definedName name="total_material" localSheetId="25">#REF!</definedName>
    <definedName name="total_material" localSheetId="26">#REF!</definedName>
    <definedName name="total_material" localSheetId="2">#REF!</definedName>
    <definedName name="total_material" localSheetId="7">#REF!</definedName>
    <definedName name="total_material" localSheetId="8">#REF!</definedName>
    <definedName name="total_material" localSheetId="3">#REF!</definedName>
    <definedName name="total_material" localSheetId="9">#REF!</definedName>
    <definedName name="total_material" localSheetId="4">#REF!</definedName>
    <definedName name="total_material" localSheetId="5">#REF!</definedName>
    <definedName name="total_material" localSheetId="6">#REF!</definedName>
    <definedName name="total_material" localSheetId="29">#REF!</definedName>
    <definedName name="total_material" localSheetId="30">#REF!</definedName>
    <definedName name="total_material" localSheetId="31">#REF!</definedName>
    <definedName name="total_material" localSheetId="32">#REF!</definedName>
    <definedName name="total_material" localSheetId="27">#REF!</definedName>
    <definedName name="total_material" localSheetId="28">#REF!</definedName>
    <definedName name="total_material" localSheetId="1">#REF!</definedName>
    <definedName name="total_material">#REF!</definedName>
    <definedName name="total_other" localSheetId="10">#REF!</definedName>
    <definedName name="total_other" localSheetId="13">#REF!</definedName>
    <definedName name="total_other" localSheetId="14">#REF!</definedName>
    <definedName name="total_other" localSheetId="11">#REF!</definedName>
    <definedName name="total_other" localSheetId="12">#REF!</definedName>
    <definedName name="total_other" localSheetId="15">#REF!</definedName>
    <definedName name="total_other" localSheetId="18">#REF!</definedName>
    <definedName name="total_other" localSheetId="16">#REF!</definedName>
    <definedName name="total_other" localSheetId="17">#REF!</definedName>
    <definedName name="total_other" localSheetId="19">#REF!</definedName>
    <definedName name="total_other" localSheetId="23">#REF!</definedName>
    <definedName name="total_other" localSheetId="24">#REF!</definedName>
    <definedName name="total_other" localSheetId="20">#REF!</definedName>
    <definedName name="total_other" localSheetId="21">#REF!</definedName>
    <definedName name="total_other" localSheetId="22">#REF!</definedName>
    <definedName name="total_other" localSheetId="25">#REF!</definedName>
    <definedName name="total_other" localSheetId="26">#REF!</definedName>
    <definedName name="total_other" localSheetId="2">#REF!</definedName>
    <definedName name="total_other" localSheetId="7">#REF!</definedName>
    <definedName name="total_other" localSheetId="8">#REF!</definedName>
    <definedName name="total_other" localSheetId="3">#REF!</definedName>
    <definedName name="total_other" localSheetId="9">#REF!</definedName>
    <definedName name="total_other" localSheetId="4">#REF!</definedName>
    <definedName name="total_other" localSheetId="5">#REF!</definedName>
    <definedName name="total_other" localSheetId="6">#REF!</definedName>
    <definedName name="total_other" localSheetId="29">#REF!</definedName>
    <definedName name="total_other" localSheetId="30">#REF!</definedName>
    <definedName name="total_other" localSheetId="31">#REF!</definedName>
    <definedName name="total_other" localSheetId="32">#REF!</definedName>
    <definedName name="total_other" localSheetId="27">#REF!</definedName>
    <definedName name="total_other" localSheetId="28">#REF!</definedName>
    <definedName name="total_other" localSheetId="1">#REF!</definedName>
    <definedName name="total_other">#REF!</definedName>
    <definedName name="total_transportation" localSheetId="10">#REF!</definedName>
    <definedName name="total_transportation" localSheetId="13">#REF!</definedName>
    <definedName name="total_transportation" localSheetId="14">#REF!</definedName>
    <definedName name="total_transportation" localSheetId="11">#REF!</definedName>
    <definedName name="total_transportation" localSheetId="12">#REF!</definedName>
    <definedName name="total_transportation" localSheetId="15">#REF!</definedName>
    <definedName name="total_transportation" localSheetId="18">#REF!</definedName>
    <definedName name="total_transportation" localSheetId="16">#REF!</definedName>
    <definedName name="total_transportation" localSheetId="17">#REF!</definedName>
    <definedName name="total_transportation" localSheetId="19">#REF!</definedName>
    <definedName name="total_transportation" localSheetId="23">#REF!</definedName>
    <definedName name="total_transportation" localSheetId="24">#REF!</definedName>
    <definedName name="total_transportation" localSheetId="20">#REF!</definedName>
    <definedName name="total_transportation" localSheetId="21">#REF!</definedName>
    <definedName name="total_transportation" localSheetId="22">#REF!</definedName>
    <definedName name="total_transportation" localSheetId="25">#REF!</definedName>
    <definedName name="total_transportation" localSheetId="26">#REF!</definedName>
    <definedName name="total_transportation" localSheetId="2">#REF!</definedName>
    <definedName name="total_transportation" localSheetId="7">#REF!</definedName>
    <definedName name="total_transportation" localSheetId="8">#REF!</definedName>
    <definedName name="total_transportation" localSheetId="3">#REF!</definedName>
    <definedName name="total_transportation" localSheetId="9">#REF!</definedName>
    <definedName name="total_transportation" localSheetId="4">#REF!</definedName>
    <definedName name="total_transportation" localSheetId="5">#REF!</definedName>
    <definedName name="total_transportation" localSheetId="6">#REF!</definedName>
    <definedName name="total_transportation" localSheetId="29">#REF!</definedName>
    <definedName name="total_transportation" localSheetId="30">#REF!</definedName>
    <definedName name="total_transportation" localSheetId="31">#REF!</definedName>
    <definedName name="total_transportation" localSheetId="32">#REF!</definedName>
    <definedName name="total_transportation" localSheetId="27">#REF!</definedName>
    <definedName name="total_transportation" localSheetId="28">#REF!</definedName>
    <definedName name="total_transportation" localSheetId="1">#REF!</definedName>
    <definedName name="total_transportation">#REF!</definedName>
    <definedName name="TRANBUD" localSheetId="10">#REF!</definedName>
    <definedName name="TRANBUD" localSheetId="13">#REF!</definedName>
    <definedName name="TRANBUD" localSheetId="14">#REF!</definedName>
    <definedName name="TRANBUD" localSheetId="11">#REF!</definedName>
    <definedName name="TRANBUD" localSheetId="12">#REF!</definedName>
    <definedName name="TRANBUD" localSheetId="15">#REF!</definedName>
    <definedName name="TRANBUD" localSheetId="18">#REF!</definedName>
    <definedName name="TRANBUD" localSheetId="16">#REF!</definedName>
    <definedName name="TRANBUD" localSheetId="17">#REF!</definedName>
    <definedName name="TRANBUD" localSheetId="19">#REF!</definedName>
    <definedName name="TRANBUD" localSheetId="23">#REF!</definedName>
    <definedName name="TRANBUD" localSheetId="24">#REF!</definedName>
    <definedName name="TRANBUD" localSheetId="20">#REF!</definedName>
    <definedName name="TRANBUD" localSheetId="21">#REF!</definedName>
    <definedName name="TRANBUD" localSheetId="22">#REF!</definedName>
    <definedName name="TRANBUD" localSheetId="25">#REF!</definedName>
    <definedName name="TRANBUD" localSheetId="26">#REF!</definedName>
    <definedName name="TRANBUD" localSheetId="2">#REF!</definedName>
    <definedName name="TRANBUD" localSheetId="7">#REF!</definedName>
    <definedName name="TRANBUD" localSheetId="8">#REF!</definedName>
    <definedName name="TRANBUD" localSheetId="3">#REF!</definedName>
    <definedName name="TRANBUD" localSheetId="9">#REF!</definedName>
    <definedName name="TRANBUD" localSheetId="4">#REF!</definedName>
    <definedName name="TRANBUD" localSheetId="5">#REF!</definedName>
    <definedName name="TRANBUD" localSheetId="6">#REF!</definedName>
    <definedName name="TRANBUD" localSheetId="29">#REF!</definedName>
    <definedName name="TRANBUD" localSheetId="30">#REF!</definedName>
    <definedName name="TRANBUD" localSheetId="31">#REF!</definedName>
    <definedName name="TRANBUD" localSheetId="32">#REF!</definedName>
    <definedName name="TRANBUD" localSheetId="27">#REF!</definedName>
    <definedName name="TRANBUD" localSheetId="28">#REF!</definedName>
    <definedName name="TRANBUD" localSheetId="1">#REF!</definedName>
    <definedName name="TRANBUD">#REF!</definedName>
    <definedName name="TRANEND" localSheetId="10">#REF!</definedName>
    <definedName name="TRANEND" localSheetId="13">#REF!</definedName>
    <definedName name="TRANEND" localSheetId="14">#REF!</definedName>
    <definedName name="TRANEND" localSheetId="11">#REF!</definedName>
    <definedName name="TRANEND" localSheetId="12">#REF!</definedName>
    <definedName name="TRANEND" localSheetId="15">#REF!</definedName>
    <definedName name="TRANEND" localSheetId="18">#REF!</definedName>
    <definedName name="TRANEND" localSheetId="16">#REF!</definedName>
    <definedName name="TRANEND" localSheetId="17">#REF!</definedName>
    <definedName name="TRANEND" localSheetId="19">#REF!</definedName>
    <definedName name="TRANEND" localSheetId="23">#REF!</definedName>
    <definedName name="TRANEND" localSheetId="24">#REF!</definedName>
    <definedName name="TRANEND" localSheetId="20">#REF!</definedName>
    <definedName name="TRANEND" localSheetId="21">#REF!</definedName>
    <definedName name="TRANEND" localSheetId="22">#REF!</definedName>
    <definedName name="TRANEND" localSheetId="25">#REF!</definedName>
    <definedName name="TRANEND" localSheetId="26">#REF!</definedName>
    <definedName name="TRANEND" localSheetId="2">#REF!</definedName>
    <definedName name="TRANEND" localSheetId="7">#REF!</definedName>
    <definedName name="TRANEND" localSheetId="8">#REF!</definedName>
    <definedName name="TRANEND" localSheetId="3">#REF!</definedName>
    <definedName name="TRANEND" localSheetId="9">#REF!</definedName>
    <definedName name="TRANEND" localSheetId="4">#REF!</definedName>
    <definedName name="TRANEND" localSheetId="5">#REF!</definedName>
    <definedName name="TRANEND" localSheetId="6">#REF!</definedName>
    <definedName name="TRANEND" localSheetId="29">#REF!</definedName>
    <definedName name="TRANEND" localSheetId="30">#REF!</definedName>
    <definedName name="TRANEND" localSheetId="31">#REF!</definedName>
    <definedName name="TRANEND" localSheetId="32">#REF!</definedName>
    <definedName name="TRANEND" localSheetId="27">#REF!</definedName>
    <definedName name="TRANEND" localSheetId="28">#REF!</definedName>
    <definedName name="TRANEND" localSheetId="1">#REF!</definedName>
    <definedName name="TRANEND">#REF!</definedName>
    <definedName name="transportation_costs" localSheetId="10">#REF!</definedName>
    <definedName name="transportation_costs" localSheetId="13">#REF!</definedName>
    <definedName name="transportation_costs" localSheetId="14">#REF!</definedName>
    <definedName name="transportation_costs" localSheetId="11">#REF!</definedName>
    <definedName name="transportation_costs" localSheetId="12">#REF!</definedName>
    <definedName name="transportation_costs" localSheetId="15">#REF!</definedName>
    <definedName name="transportation_costs" localSheetId="18">#REF!</definedName>
    <definedName name="transportation_costs" localSheetId="16">#REF!</definedName>
    <definedName name="transportation_costs" localSheetId="17">#REF!</definedName>
    <definedName name="transportation_costs" localSheetId="19">#REF!</definedName>
    <definedName name="transportation_costs" localSheetId="23">#REF!</definedName>
    <definedName name="transportation_costs" localSheetId="24">#REF!</definedName>
    <definedName name="transportation_costs" localSheetId="20">#REF!</definedName>
    <definedName name="transportation_costs" localSheetId="21">#REF!</definedName>
    <definedName name="transportation_costs" localSheetId="22">#REF!</definedName>
    <definedName name="transportation_costs" localSheetId="25">#REF!</definedName>
    <definedName name="transportation_costs" localSheetId="26">#REF!</definedName>
    <definedName name="transportation_costs" localSheetId="2">#REF!</definedName>
    <definedName name="transportation_costs" localSheetId="7">#REF!</definedName>
    <definedName name="transportation_costs" localSheetId="8">#REF!</definedName>
    <definedName name="transportation_costs" localSheetId="3">#REF!</definedName>
    <definedName name="transportation_costs" localSheetId="9">#REF!</definedName>
    <definedName name="transportation_costs" localSheetId="4">#REF!</definedName>
    <definedName name="transportation_costs" localSheetId="5">#REF!</definedName>
    <definedName name="transportation_costs" localSheetId="6">#REF!</definedName>
    <definedName name="transportation_costs" localSheetId="29">#REF!</definedName>
    <definedName name="transportation_costs" localSheetId="30">#REF!</definedName>
    <definedName name="transportation_costs" localSheetId="31">#REF!</definedName>
    <definedName name="transportation_costs" localSheetId="32">#REF!</definedName>
    <definedName name="transportation_costs" localSheetId="27">#REF!</definedName>
    <definedName name="transportation_costs" localSheetId="28">#REF!</definedName>
    <definedName name="transportation_costs" localSheetId="1">#REF!</definedName>
    <definedName name="transportation_costs">#REF!</definedName>
    <definedName name="TRANSTART" localSheetId="10">#REF!</definedName>
    <definedName name="TRANSTART" localSheetId="13">#REF!</definedName>
    <definedName name="TRANSTART" localSheetId="14">#REF!</definedName>
    <definedName name="TRANSTART" localSheetId="11">#REF!</definedName>
    <definedName name="TRANSTART" localSheetId="12">#REF!</definedName>
    <definedName name="TRANSTART" localSheetId="15">#REF!</definedName>
    <definedName name="TRANSTART" localSheetId="18">#REF!</definedName>
    <definedName name="TRANSTART" localSheetId="16">#REF!</definedName>
    <definedName name="TRANSTART" localSheetId="17">#REF!</definedName>
    <definedName name="TRANSTART" localSheetId="19">#REF!</definedName>
    <definedName name="TRANSTART" localSheetId="23">#REF!</definedName>
    <definedName name="TRANSTART" localSheetId="24">#REF!</definedName>
    <definedName name="TRANSTART" localSheetId="20">#REF!</definedName>
    <definedName name="TRANSTART" localSheetId="21">#REF!</definedName>
    <definedName name="TRANSTART" localSheetId="22">#REF!</definedName>
    <definedName name="TRANSTART" localSheetId="25">#REF!</definedName>
    <definedName name="TRANSTART" localSheetId="26">#REF!</definedName>
    <definedName name="TRANSTART" localSheetId="2">#REF!</definedName>
    <definedName name="TRANSTART" localSheetId="7">#REF!</definedName>
    <definedName name="TRANSTART" localSheetId="8">#REF!</definedName>
    <definedName name="TRANSTART" localSheetId="3">#REF!</definedName>
    <definedName name="TRANSTART" localSheetId="9">#REF!</definedName>
    <definedName name="TRANSTART" localSheetId="4">#REF!</definedName>
    <definedName name="TRANSTART" localSheetId="5">#REF!</definedName>
    <definedName name="TRANSTART" localSheetId="6">#REF!</definedName>
    <definedName name="TRANSTART" localSheetId="29">#REF!</definedName>
    <definedName name="TRANSTART" localSheetId="30">#REF!</definedName>
    <definedName name="TRANSTART" localSheetId="31">#REF!</definedName>
    <definedName name="TRANSTART" localSheetId="32">#REF!</definedName>
    <definedName name="TRANSTART" localSheetId="27">#REF!</definedName>
    <definedName name="TRANSTART" localSheetId="28">#REF!</definedName>
    <definedName name="TRANSTART" localSheetId="1">#REF!</definedName>
    <definedName name="TRANSTART">#REF!</definedName>
    <definedName name="trn_beg_bud" localSheetId="10">#REF!</definedName>
    <definedName name="trn_beg_bud" localSheetId="13">#REF!</definedName>
    <definedName name="trn_beg_bud" localSheetId="14">#REF!</definedName>
    <definedName name="trn_beg_bud" localSheetId="11">#REF!</definedName>
    <definedName name="trn_beg_bud" localSheetId="12">#REF!</definedName>
    <definedName name="trn_beg_bud" localSheetId="15">#REF!</definedName>
    <definedName name="trn_beg_bud" localSheetId="18">#REF!</definedName>
    <definedName name="trn_beg_bud" localSheetId="16">#REF!</definedName>
    <definedName name="trn_beg_bud" localSheetId="17">#REF!</definedName>
    <definedName name="trn_beg_bud" localSheetId="19">#REF!</definedName>
    <definedName name="trn_beg_bud" localSheetId="23">#REF!</definedName>
    <definedName name="trn_beg_bud" localSheetId="24">#REF!</definedName>
    <definedName name="trn_beg_bud" localSheetId="20">#REF!</definedName>
    <definedName name="trn_beg_bud" localSheetId="21">#REF!</definedName>
    <definedName name="trn_beg_bud" localSheetId="22">#REF!</definedName>
    <definedName name="trn_beg_bud" localSheetId="25">#REF!</definedName>
    <definedName name="trn_beg_bud" localSheetId="26">#REF!</definedName>
    <definedName name="trn_beg_bud" localSheetId="2">#REF!</definedName>
    <definedName name="trn_beg_bud" localSheetId="7">#REF!</definedName>
    <definedName name="trn_beg_bud" localSheetId="8">#REF!</definedName>
    <definedName name="trn_beg_bud" localSheetId="3">#REF!</definedName>
    <definedName name="trn_beg_bud" localSheetId="9">#REF!</definedName>
    <definedName name="trn_beg_bud" localSheetId="4">#REF!</definedName>
    <definedName name="trn_beg_bud" localSheetId="5">#REF!</definedName>
    <definedName name="trn_beg_bud" localSheetId="6">#REF!</definedName>
    <definedName name="trn_beg_bud" localSheetId="29">#REF!</definedName>
    <definedName name="trn_beg_bud" localSheetId="30">#REF!</definedName>
    <definedName name="trn_beg_bud" localSheetId="31">#REF!</definedName>
    <definedName name="trn_beg_bud" localSheetId="32">#REF!</definedName>
    <definedName name="trn_beg_bud" localSheetId="27">#REF!</definedName>
    <definedName name="trn_beg_bud" localSheetId="28">#REF!</definedName>
    <definedName name="trn_beg_bud" localSheetId="1">#REF!</definedName>
    <definedName name="trn_beg_bud">#REF!</definedName>
    <definedName name="trn_end_bud" localSheetId="10">#REF!</definedName>
    <definedName name="trn_end_bud" localSheetId="13">#REF!</definedName>
    <definedName name="trn_end_bud" localSheetId="14">#REF!</definedName>
    <definedName name="trn_end_bud" localSheetId="11">#REF!</definedName>
    <definedName name="trn_end_bud" localSheetId="12">#REF!</definedName>
    <definedName name="trn_end_bud" localSheetId="15">#REF!</definedName>
    <definedName name="trn_end_bud" localSheetId="18">#REF!</definedName>
    <definedName name="trn_end_bud" localSheetId="16">#REF!</definedName>
    <definedName name="trn_end_bud" localSheetId="17">#REF!</definedName>
    <definedName name="trn_end_bud" localSheetId="19">#REF!</definedName>
    <definedName name="trn_end_bud" localSheetId="23">#REF!</definedName>
    <definedName name="trn_end_bud" localSheetId="24">#REF!</definedName>
    <definedName name="trn_end_bud" localSheetId="20">#REF!</definedName>
    <definedName name="trn_end_bud" localSheetId="21">#REF!</definedName>
    <definedName name="trn_end_bud" localSheetId="22">#REF!</definedName>
    <definedName name="trn_end_bud" localSheetId="25">#REF!</definedName>
    <definedName name="trn_end_bud" localSheetId="26">#REF!</definedName>
    <definedName name="trn_end_bud" localSheetId="2">#REF!</definedName>
    <definedName name="trn_end_bud" localSheetId="7">#REF!</definedName>
    <definedName name="trn_end_bud" localSheetId="8">#REF!</definedName>
    <definedName name="trn_end_bud" localSheetId="3">#REF!</definedName>
    <definedName name="trn_end_bud" localSheetId="9">#REF!</definedName>
    <definedName name="trn_end_bud" localSheetId="4">#REF!</definedName>
    <definedName name="trn_end_bud" localSheetId="5">#REF!</definedName>
    <definedName name="trn_end_bud" localSheetId="6">#REF!</definedName>
    <definedName name="trn_end_bud" localSheetId="29">#REF!</definedName>
    <definedName name="trn_end_bud" localSheetId="30">#REF!</definedName>
    <definedName name="trn_end_bud" localSheetId="31">#REF!</definedName>
    <definedName name="trn_end_bud" localSheetId="32">#REF!</definedName>
    <definedName name="trn_end_bud" localSheetId="27">#REF!</definedName>
    <definedName name="trn_end_bud" localSheetId="28">#REF!</definedName>
    <definedName name="trn_end_bud" localSheetId="1">#REF!</definedName>
    <definedName name="trn_end_bud">#REF!</definedName>
    <definedName name="trn12ACT" localSheetId="10">#REF!</definedName>
    <definedName name="trn12ACT" localSheetId="13">#REF!</definedName>
    <definedName name="trn12ACT" localSheetId="14">#REF!</definedName>
    <definedName name="trn12ACT" localSheetId="11">#REF!</definedName>
    <definedName name="trn12ACT" localSheetId="12">#REF!</definedName>
    <definedName name="trn12ACT" localSheetId="15">#REF!</definedName>
    <definedName name="trn12ACT" localSheetId="18">#REF!</definedName>
    <definedName name="trn12ACT" localSheetId="16">#REF!</definedName>
    <definedName name="trn12ACT" localSheetId="17">#REF!</definedName>
    <definedName name="trn12ACT" localSheetId="19">#REF!</definedName>
    <definedName name="trn12ACT" localSheetId="23">#REF!</definedName>
    <definedName name="trn12ACT" localSheetId="24">#REF!</definedName>
    <definedName name="trn12ACT" localSheetId="20">#REF!</definedName>
    <definedName name="trn12ACT" localSheetId="21">#REF!</definedName>
    <definedName name="trn12ACT" localSheetId="22">#REF!</definedName>
    <definedName name="trn12ACT" localSheetId="25">#REF!</definedName>
    <definedName name="trn12ACT" localSheetId="26">#REF!</definedName>
    <definedName name="trn12ACT" localSheetId="2">#REF!</definedName>
    <definedName name="trn12ACT" localSheetId="7">#REF!</definedName>
    <definedName name="trn12ACT" localSheetId="8">#REF!</definedName>
    <definedName name="trn12ACT" localSheetId="3">#REF!</definedName>
    <definedName name="trn12ACT" localSheetId="9">#REF!</definedName>
    <definedName name="trn12ACT" localSheetId="4">#REF!</definedName>
    <definedName name="trn12ACT" localSheetId="5">#REF!</definedName>
    <definedName name="trn12ACT" localSheetId="6">#REF!</definedName>
    <definedName name="trn12ACT" localSheetId="29">#REF!</definedName>
    <definedName name="trn12ACT" localSheetId="30">#REF!</definedName>
    <definedName name="trn12ACT" localSheetId="31">#REF!</definedName>
    <definedName name="trn12ACT" localSheetId="32">#REF!</definedName>
    <definedName name="trn12ACT" localSheetId="27">#REF!</definedName>
    <definedName name="trn12ACT" localSheetId="28">#REF!</definedName>
    <definedName name="trn12ACT" localSheetId="1">#REF!</definedName>
    <definedName name="trn12ACT">#REF!</definedName>
    <definedName name="trnCYACT" localSheetId="10">#REF!</definedName>
    <definedName name="trnCYACT" localSheetId="13">#REF!</definedName>
    <definedName name="trnCYACT" localSheetId="14">#REF!</definedName>
    <definedName name="trnCYACT" localSheetId="11">#REF!</definedName>
    <definedName name="trnCYACT" localSheetId="12">#REF!</definedName>
    <definedName name="trnCYACT" localSheetId="15">#REF!</definedName>
    <definedName name="trnCYACT" localSheetId="18">#REF!</definedName>
    <definedName name="trnCYACT" localSheetId="16">#REF!</definedName>
    <definedName name="trnCYACT" localSheetId="17">#REF!</definedName>
    <definedName name="trnCYACT" localSheetId="19">#REF!</definedName>
    <definedName name="trnCYACT" localSheetId="23">#REF!</definedName>
    <definedName name="trnCYACT" localSheetId="24">#REF!</definedName>
    <definedName name="trnCYACT" localSheetId="20">#REF!</definedName>
    <definedName name="trnCYACT" localSheetId="21">#REF!</definedName>
    <definedName name="trnCYACT" localSheetId="22">#REF!</definedName>
    <definedName name="trnCYACT" localSheetId="25">#REF!</definedName>
    <definedName name="trnCYACT" localSheetId="26">#REF!</definedName>
    <definedName name="trnCYACT" localSheetId="2">#REF!</definedName>
    <definedName name="trnCYACT" localSheetId="7">#REF!</definedName>
    <definedName name="trnCYACT" localSheetId="8">#REF!</definedName>
    <definedName name="trnCYACT" localSheetId="3">#REF!</definedName>
    <definedName name="trnCYACT" localSheetId="9">#REF!</definedName>
    <definedName name="trnCYACT" localSheetId="4">#REF!</definedName>
    <definedName name="trnCYACT" localSheetId="5">#REF!</definedName>
    <definedName name="trnCYACT" localSheetId="6">#REF!</definedName>
    <definedName name="trnCYACT" localSheetId="29">#REF!</definedName>
    <definedName name="trnCYACT" localSheetId="30">#REF!</definedName>
    <definedName name="trnCYACT" localSheetId="31">#REF!</definedName>
    <definedName name="trnCYACT" localSheetId="32">#REF!</definedName>
    <definedName name="trnCYACT" localSheetId="27">#REF!</definedName>
    <definedName name="trnCYACT" localSheetId="28">#REF!</definedName>
    <definedName name="trnCYACT" localSheetId="1">#REF!</definedName>
    <definedName name="trnCYACT">#REF!</definedName>
    <definedName name="trnCYBUD" localSheetId="10">#REF!</definedName>
    <definedName name="trnCYBUD" localSheetId="13">#REF!</definedName>
    <definedName name="trnCYBUD" localSheetId="14">#REF!</definedName>
    <definedName name="trnCYBUD" localSheetId="11">#REF!</definedName>
    <definedName name="trnCYBUD" localSheetId="12">#REF!</definedName>
    <definedName name="trnCYBUD" localSheetId="15">#REF!</definedName>
    <definedName name="trnCYBUD" localSheetId="18">#REF!</definedName>
    <definedName name="trnCYBUD" localSheetId="16">#REF!</definedName>
    <definedName name="trnCYBUD" localSheetId="17">#REF!</definedName>
    <definedName name="trnCYBUD" localSheetId="19">#REF!</definedName>
    <definedName name="trnCYBUD" localSheetId="23">#REF!</definedName>
    <definedName name="trnCYBUD" localSheetId="24">#REF!</definedName>
    <definedName name="trnCYBUD" localSheetId="20">#REF!</definedName>
    <definedName name="trnCYBUD" localSheetId="21">#REF!</definedName>
    <definedName name="trnCYBUD" localSheetId="22">#REF!</definedName>
    <definedName name="trnCYBUD" localSheetId="25">#REF!</definedName>
    <definedName name="trnCYBUD" localSheetId="26">#REF!</definedName>
    <definedName name="trnCYBUD" localSheetId="2">#REF!</definedName>
    <definedName name="trnCYBUD" localSheetId="7">#REF!</definedName>
    <definedName name="trnCYBUD" localSheetId="8">#REF!</definedName>
    <definedName name="trnCYBUD" localSheetId="3">#REF!</definedName>
    <definedName name="trnCYBUD" localSheetId="9">#REF!</definedName>
    <definedName name="trnCYBUD" localSheetId="4">#REF!</definedName>
    <definedName name="trnCYBUD" localSheetId="5">#REF!</definedName>
    <definedName name="trnCYBUD" localSheetId="6">#REF!</definedName>
    <definedName name="trnCYBUD" localSheetId="29">#REF!</definedName>
    <definedName name="trnCYBUD" localSheetId="30">#REF!</definedName>
    <definedName name="trnCYBUD" localSheetId="31">#REF!</definedName>
    <definedName name="trnCYBUD" localSheetId="32">#REF!</definedName>
    <definedName name="trnCYBUD" localSheetId="27">#REF!</definedName>
    <definedName name="trnCYBUD" localSheetId="28">#REF!</definedName>
    <definedName name="trnCYBUD" localSheetId="1">#REF!</definedName>
    <definedName name="trnCYBUD">#REF!</definedName>
    <definedName name="trnCYF" localSheetId="10">#REF!</definedName>
    <definedName name="trnCYF" localSheetId="13">#REF!</definedName>
    <definedName name="trnCYF" localSheetId="14">#REF!</definedName>
    <definedName name="trnCYF" localSheetId="11">#REF!</definedName>
    <definedName name="trnCYF" localSheetId="12">#REF!</definedName>
    <definedName name="trnCYF" localSheetId="15">#REF!</definedName>
    <definedName name="trnCYF" localSheetId="18">#REF!</definedName>
    <definedName name="trnCYF" localSheetId="16">#REF!</definedName>
    <definedName name="trnCYF" localSheetId="17">#REF!</definedName>
    <definedName name="trnCYF" localSheetId="19">#REF!</definedName>
    <definedName name="trnCYF" localSheetId="23">#REF!</definedName>
    <definedName name="trnCYF" localSheetId="24">#REF!</definedName>
    <definedName name="trnCYF" localSheetId="20">#REF!</definedName>
    <definedName name="trnCYF" localSheetId="21">#REF!</definedName>
    <definedName name="trnCYF" localSheetId="22">#REF!</definedName>
    <definedName name="trnCYF" localSheetId="25">#REF!</definedName>
    <definedName name="trnCYF" localSheetId="26">#REF!</definedName>
    <definedName name="trnCYF" localSheetId="2">#REF!</definedName>
    <definedName name="trnCYF" localSheetId="7">#REF!</definedName>
    <definedName name="trnCYF" localSheetId="8">#REF!</definedName>
    <definedName name="trnCYF" localSheetId="3">#REF!</definedName>
    <definedName name="trnCYF" localSheetId="9">#REF!</definedName>
    <definedName name="trnCYF" localSheetId="4">#REF!</definedName>
    <definedName name="trnCYF" localSheetId="5">#REF!</definedName>
    <definedName name="trnCYF" localSheetId="6">#REF!</definedName>
    <definedName name="trnCYF" localSheetId="29">#REF!</definedName>
    <definedName name="trnCYF" localSheetId="30">#REF!</definedName>
    <definedName name="trnCYF" localSheetId="31">#REF!</definedName>
    <definedName name="trnCYF" localSheetId="32">#REF!</definedName>
    <definedName name="trnCYF" localSheetId="27">#REF!</definedName>
    <definedName name="trnCYF" localSheetId="28">#REF!</definedName>
    <definedName name="trnCYF" localSheetId="1">#REF!</definedName>
    <definedName name="trnCYF">#REF!</definedName>
    <definedName name="trnNYbud" localSheetId="10">#REF!</definedName>
    <definedName name="trnNYbud" localSheetId="13">#REF!</definedName>
    <definedName name="trnNYbud" localSheetId="14">#REF!</definedName>
    <definedName name="trnNYbud" localSheetId="11">#REF!</definedName>
    <definedName name="trnNYbud" localSheetId="12">#REF!</definedName>
    <definedName name="trnNYbud" localSheetId="15">#REF!</definedName>
    <definedName name="trnNYbud" localSheetId="18">#REF!</definedName>
    <definedName name="trnNYbud" localSheetId="16">#REF!</definedName>
    <definedName name="trnNYbud" localSheetId="17">#REF!</definedName>
    <definedName name="trnNYbud" localSheetId="19">#REF!</definedName>
    <definedName name="trnNYbud" localSheetId="23">#REF!</definedName>
    <definedName name="trnNYbud" localSheetId="24">#REF!</definedName>
    <definedName name="trnNYbud" localSheetId="20">#REF!</definedName>
    <definedName name="trnNYbud" localSheetId="21">#REF!</definedName>
    <definedName name="trnNYbud" localSheetId="22">#REF!</definedName>
    <definedName name="trnNYbud" localSheetId="25">#REF!</definedName>
    <definedName name="trnNYbud" localSheetId="26">#REF!</definedName>
    <definedName name="trnNYbud" localSheetId="2">#REF!</definedName>
    <definedName name="trnNYbud" localSheetId="7">#REF!</definedName>
    <definedName name="trnNYbud" localSheetId="8">#REF!</definedName>
    <definedName name="trnNYbud" localSheetId="3">#REF!</definedName>
    <definedName name="trnNYbud" localSheetId="9">#REF!</definedName>
    <definedName name="trnNYbud" localSheetId="4">#REF!</definedName>
    <definedName name="trnNYbud" localSheetId="5">#REF!</definedName>
    <definedName name="trnNYbud" localSheetId="6">#REF!</definedName>
    <definedName name="trnNYbud" localSheetId="29">#REF!</definedName>
    <definedName name="trnNYbud" localSheetId="30">#REF!</definedName>
    <definedName name="trnNYbud" localSheetId="31">#REF!</definedName>
    <definedName name="trnNYbud" localSheetId="32">#REF!</definedName>
    <definedName name="trnNYbud" localSheetId="27">#REF!</definedName>
    <definedName name="trnNYbud" localSheetId="28">#REF!</definedName>
    <definedName name="trnNYbud" localSheetId="1">#REF!</definedName>
    <definedName name="trnNYbud">#REF!</definedName>
    <definedName name="trnPYACT" localSheetId="10">#REF!</definedName>
    <definedName name="trnPYACT" localSheetId="13">#REF!</definedName>
    <definedName name="trnPYACT" localSheetId="14">#REF!</definedName>
    <definedName name="trnPYACT" localSheetId="11">#REF!</definedName>
    <definedName name="trnPYACT" localSheetId="12">#REF!</definedName>
    <definedName name="trnPYACT" localSheetId="15">#REF!</definedName>
    <definedName name="trnPYACT" localSheetId="18">#REF!</definedName>
    <definedName name="trnPYACT" localSheetId="16">#REF!</definedName>
    <definedName name="trnPYACT" localSheetId="17">#REF!</definedName>
    <definedName name="trnPYACT" localSheetId="19">#REF!</definedName>
    <definedName name="trnPYACT" localSheetId="23">#REF!</definedName>
    <definedName name="trnPYACT" localSheetId="24">#REF!</definedName>
    <definedName name="trnPYACT" localSheetId="20">#REF!</definedName>
    <definedName name="trnPYACT" localSheetId="21">#REF!</definedName>
    <definedName name="trnPYACT" localSheetId="22">#REF!</definedName>
    <definedName name="trnPYACT" localSheetId="25">#REF!</definedName>
    <definedName name="trnPYACT" localSheetId="26">#REF!</definedName>
    <definedName name="trnPYACT" localSheetId="2">#REF!</definedName>
    <definedName name="trnPYACT" localSheetId="7">#REF!</definedName>
    <definedName name="trnPYACT" localSheetId="8">#REF!</definedName>
    <definedName name="trnPYACT" localSheetId="3">#REF!</definedName>
    <definedName name="trnPYACT" localSheetId="9">#REF!</definedName>
    <definedName name="trnPYACT" localSheetId="4">#REF!</definedName>
    <definedName name="trnPYACT" localSheetId="5">#REF!</definedName>
    <definedName name="trnPYACT" localSheetId="6">#REF!</definedName>
    <definedName name="trnPYACT" localSheetId="29">#REF!</definedName>
    <definedName name="trnPYACT" localSheetId="30">#REF!</definedName>
    <definedName name="trnPYACT" localSheetId="31">#REF!</definedName>
    <definedName name="trnPYACT" localSheetId="32">#REF!</definedName>
    <definedName name="trnPYACT" localSheetId="27">#REF!</definedName>
    <definedName name="trnPYACT" localSheetId="28">#REF!</definedName>
    <definedName name="trnPYACT" localSheetId="1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 localSheetId="10">#REF!</definedName>
    <definedName name="WAGBENF" localSheetId="13">#REF!</definedName>
    <definedName name="WAGBENF" localSheetId="14">#REF!</definedName>
    <definedName name="WAGBENF" localSheetId="11">#REF!</definedName>
    <definedName name="WAGBENF" localSheetId="12">#REF!</definedName>
    <definedName name="WAGBENF" localSheetId="15">#REF!</definedName>
    <definedName name="WAGBENF" localSheetId="18">#REF!</definedName>
    <definedName name="WAGBENF" localSheetId="16">#REF!</definedName>
    <definedName name="WAGBENF" localSheetId="17">#REF!</definedName>
    <definedName name="WAGBENF" localSheetId="19">#REF!</definedName>
    <definedName name="WAGBENF" localSheetId="23">#REF!</definedName>
    <definedName name="WAGBENF" localSheetId="24">#REF!</definedName>
    <definedName name="WAGBENF" localSheetId="20">#REF!</definedName>
    <definedName name="WAGBENF" localSheetId="21">#REF!</definedName>
    <definedName name="WAGBENF" localSheetId="22">#REF!</definedName>
    <definedName name="WAGBENF" localSheetId="25">#REF!</definedName>
    <definedName name="WAGBENF" localSheetId="26">#REF!</definedName>
    <definedName name="WAGBENF" localSheetId="2">#REF!</definedName>
    <definedName name="WAGBENF" localSheetId="7">#REF!</definedName>
    <definedName name="WAGBENF" localSheetId="8">#REF!</definedName>
    <definedName name="WAGBENF" localSheetId="3">#REF!</definedName>
    <definedName name="WAGBENF" localSheetId="9">#REF!</definedName>
    <definedName name="WAGBENF" localSheetId="4">#REF!</definedName>
    <definedName name="WAGBENF" localSheetId="5">#REF!</definedName>
    <definedName name="WAGBENF" localSheetId="6">#REF!</definedName>
    <definedName name="WAGBENF" localSheetId="29">#REF!</definedName>
    <definedName name="WAGBENF" localSheetId="30">#REF!</definedName>
    <definedName name="WAGBENF" localSheetId="31">#REF!</definedName>
    <definedName name="WAGBENF" localSheetId="32">#REF!</definedName>
    <definedName name="WAGBENF" localSheetId="27">#REF!</definedName>
    <definedName name="WAGBENF" localSheetId="28">#REF!</definedName>
    <definedName name="WAGBENF" localSheetId="1">#REF!</definedName>
    <definedName name="WAGBENF">#REF!</definedName>
    <definedName name="wagdob" localSheetId="10">#REF!</definedName>
    <definedName name="wagdob" localSheetId="13">#REF!</definedName>
    <definedName name="wagdob" localSheetId="14">#REF!</definedName>
    <definedName name="wagdob" localSheetId="11">#REF!</definedName>
    <definedName name="wagdob" localSheetId="12">#REF!</definedName>
    <definedName name="wagdob" localSheetId="15">#REF!</definedName>
    <definedName name="wagdob" localSheetId="18">#REF!</definedName>
    <definedName name="wagdob" localSheetId="16">#REF!</definedName>
    <definedName name="wagdob" localSheetId="17">#REF!</definedName>
    <definedName name="wagdob" localSheetId="19">#REF!</definedName>
    <definedName name="wagdob" localSheetId="23">#REF!</definedName>
    <definedName name="wagdob" localSheetId="24">#REF!</definedName>
    <definedName name="wagdob" localSheetId="20">#REF!</definedName>
    <definedName name="wagdob" localSheetId="21">#REF!</definedName>
    <definedName name="wagdob" localSheetId="22">#REF!</definedName>
    <definedName name="wagdob" localSheetId="25">#REF!</definedName>
    <definedName name="wagdob" localSheetId="26">#REF!</definedName>
    <definedName name="wagdob" localSheetId="2">#REF!</definedName>
    <definedName name="wagdob" localSheetId="7">#REF!</definedName>
    <definedName name="wagdob" localSheetId="8">#REF!</definedName>
    <definedName name="wagdob" localSheetId="3">#REF!</definedName>
    <definedName name="wagdob" localSheetId="9">#REF!</definedName>
    <definedName name="wagdob" localSheetId="4">#REF!</definedName>
    <definedName name="wagdob" localSheetId="5">#REF!</definedName>
    <definedName name="wagdob" localSheetId="6">#REF!</definedName>
    <definedName name="wagdob" localSheetId="29">#REF!</definedName>
    <definedName name="wagdob" localSheetId="30">#REF!</definedName>
    <definedName name="wagdob" localSheetId="31">#REF!</definedName>
    <definedName name="wagdob" localSheetId="32">#REF!</definedName>
    <definedName name="wagdob" localSheetId="27">#REF!</definedName>
    <definedName name="wagdob" localSheetId="28">#REF!</definedName>
    <definedName name="wagdob" localSheetId="1">#REF!</definedName>
    <definedName name="wagdob">#REF!</definedName>
    <definedName name="wagdobf" localSheetId="10">#REF!</definedName>
    <definedName name="wagdobf" localSheetId="13">#REF!</definedName>
    <definedName name="wagdobf" localSheetId="14">#REF!</definedName>
    <definedName name="wagdobf" localSheetId="11">#REF!</definedName>
    <definedName name="wagdobf" localSheetId="12">#REF!</definedName>
    <definedName name="wagdobf" localSheetId="15">#REF!</definedName>
    <definedName name="wagdobf" localSheetId="18">#REF!</definedName>
    <definedName name="wagdobf" localSheetId="16">#REF!</definedName>
    <definedName name="wagdobf" localSheetId="17">#REF!</definedName>
    <definedName name="wagdobf" localSheetId="19">#REF!</definedName>
    <definedName name="wagdobf" localSheetId="23">#REF!</definedName>
    <definedName name="wagdobf" localSheetId="24">#REF!</definedName>
    <definedName name="wagdobf" localSheetId="20">#REF!</definedName>
    <definedName name="wagdobf" localSheetId="21">#REF!</definedName>
    <definedName name="wagdobf" localSheetId="22">#REF!</definedName>
    <definedName name="wagdobf" localSheetId="25">#REF!</definedName>
    <definedName name="wagdobf" localSheetId="26">#REF!</definedName>
    <definedName name="wagdobf" localSheetId="2">#REF!</definedName>
    <definedName name="wagdobf" localSheetId="7">#REF!</definedName>
    <definedName name="wagdobf" localSheetId="8">#REF!</definedName>
    <definedName name="wagdobf" localSheetId="3">#REF!</definedName>
    <definedName name="wagdobf" localSheetId="9">#REF!</definedName>
    <definedName name="wagdobf" localSheetId="4">#REF!</definedName>
    <definedName name="wagdobf" localSheetId="5">#REF!</definedName>
    <definedName name="wagdobf" localSheetId="6">#REF!</definedName>
    <definedName name="wagdobf" localSheetId="29">#REF!</definedName>
    <definedName name="wagdobf" localSheetId="30">#REF!</definedName>
    <definedName name="wagdobf" localSheetId="31">#REF!</definedName>
    <definedName name="wagdobf" localSheetId="32">#REF!</definedName>
    <definedName name="wagdobf" localSheetId="27">#REF!</definedName>
    <definedName name="wagdobf" localSheetId="28">#REF!</definedName>
    <definedName name="wagdobf" localSheetId="1">#REF!</definedName>
    <definedName name="wagdobf">#REF!</definedName>
    <definedName name="wagreg" localSheetId="10">#REF!</definedName>
    <definedName name="wagreg" localSheetId="13">#REF!</definedName>
    <definedName name="wagreg" localSheetId="14">#REF!</definedName>
    <definedName name="wagreg" localSheetId="11">#REF!</definedName>
    <definedName name="wagreg" localSheetId="12">#REF!</definedName>
    <definedName name="wagreg" localSheetId="15">#REF!</definedName>
    <definedName name="wagreg" localSheetId="18">#REF!</definedName>
    <definedName name="wagreg" localSheetId="16">#REF!</definedName>
    <definedName name="wagreg" localSheetId="17">#REF!</definedName>
    <definedName name="wagreg" localSheetId="19">#REF!</definedName>
    <definedName name="wagreg" localSheetId="23">#REF!</definedName>
    <definedName name="wagreg" localSheetId="24">#REF!</definedName>
    <definedName name="wagreg" localSheetId="20">#REF!</definedName>
    <definedName name="wagreg" localSheetId="21">#REF!</definedName>
    <definedName name="wagreg" localSheetId="22">#REF!</definedName>
    <definedName name="wagreg" localSheetId="25">#REF!</definedName>
    <definedName name="wagreg" localSheetId="26">#REF!</definedName>
    <definedName name="wagreg" localSheetId="2">#REF!</definedName>
    <definedName name="wagreg" localSheetId="7">#REF!</definedName>
    <definedName name="wagreg" localSheetId="8">#REF!</definedName>
    <definedName name="wagreg" localSheetId="3">#REF!</definedName>
    <definedName name="wagreg" localSheetId="9">#REF!</definedName>
    <definedName name="wagreg" localSheetId="4">#REF!</definedName>
    <definedName name="wagreg" localSheetId="5">#REF!</definedName>
    <definedName name="wagreg" localSheetId="6">#REF!</definedName>
    <definedName name="wagreg" localSheetId="29">#REF!</definedName>
    <definedName name="wagreg" localSheetId="30">#REF!</definedName>
    <definedName name="wagreg" localSheetId="31">#REF!</definedName>
    <definedName name="wagreg" localSheetId="32">#REF!</definedName>
    <definedName name="wagreg" localSheetId="27">#REF!</definedName>
    <definedName name="wagreg" localSheetId="28">#REF!</definedName>
    <definedName name="wagreg" localSheetId="1">#REF!</definedName>
    <definedName name="wagreg">#REF!</definedName>
    <definedName name="wagregf" localSheetId="10">#REF!</definedName>
    <definedName name="wagregf" localSheetId="13">#REF!</definedName>
    <definedName name="wagregf" localSheetId="14">#REF!</definedName>
    <definedName name="wagregf" localSheetId="11">#REF!</definedName>
    <definedName name="wagregf" localSheetId="12">#REF!</definedName>
    <definedName name="wagregf" localSheetId="15">#REF!</definedName>
    <definedName name="wagregf" localSheetId="18">#REF!</definedName>
    <definedName name="wagregf" localSheetId="16">#REF!</definedName>
    <definedName name="wagregf" localSheetId="17">#REF!</definedName>
    <definedName name="wagregf" localSheetId="19">#REF!</definedName>
    <definedName name="wagregf" localSheetId="23">#REF!</definedName>
    <definedName name="wagregf" localSheetId="24">#REF!</definedName>
    <definedName name="wagregf" localSheetId="20">#REF!</definedName>
    <definedName name="wagregf" localSheetId="21">#REF!</definedName>
    <definedName name="wagregf" localSheetId="22">#REF!</definedName>
    <definedName name="wagregf" localSheetId="25">#REF!</definedName>
    <definedName name="wagregf" localSheetId="26">#REF!</definedName>
    <definedName name="wagregf" localSheetId="2">#REF!</definedName>
    <definedName name="wagregf" localSheetId="7">#REF!</definedName>
    <definedName name="wagregf" localSheetId="8">#REF!</definedName>
    <definedName name="wagregf" localSheetId="3">#REF!</definedName>
    <definedName name="wagregf" localSheetId="9">#REF!</definedName>
    <definedName name="wagregf" localSheetId="4">#REF!</definedName>
    <definedName name="wagregf" localSheetId="5">#REF!</definedName>
    <definedName name="wagregf" localSheetId="6">#REF!</definedName>
    <definedName name="wagregf" localSheetId="29">#REF!</definedName>
    <definedName name="wagregf" localSheetId="30">#REF!</definedName>
    <definedName name="wagregf" localSheetId="31">#REF!</definedName>
    <definedName name="wagregf" localSheetId="32">#REF!</definedName>
    <definedName name="wagregf" localSheetId="27">#REF!</definedName>
    <definedName name="wagregf" localSheetId="28">#REF!</definedName>
    <definedName name="wagregf" localSheetId="1">#REF!</definedName>
    <definedName name="wagregf">#REF!</definedName>
  </definedNames>
  <calcPr calcId="152511"/>
</workbook>
</file>

<file path=xl/calcChain.xml><?xml version="1.0" encoding="utf-8"?>
<calcChain xmlns="http://schemas.openxmlformats.org/spreadsheetml/2006/main">
  <c r="N20" i="52" l="1"/>
  <c r="N20" i="53"/>
  <c r="N20" i="54"/>
  <c r="N20" i="55"/>
  <c r="N20" i="13"/>
  <c r="G8" i="59" l="1"/>
  <c r="G7" i="59"/>
  <c r="G8" i="37"/>
  <c r="G7" i="37"/>
  <c r="G8" i="58"/>
  <c r="G7" i="58"/>
  <c r="G8" i="57"/>
  <c r="G7" i="57"/>
  <c r="G8" i="56"/>
  <c r="G7" i="56"/>
  <c r="G8" i="14"/>
  <c r="G7" i="14"/>
  <c r="L19" i="64"/>
  <c r="K19" i="64"/>
  <c r="L59" i="64"/>
  <c r="K59" i="64"/>
  <c r="L29" i="64"/>
  <c r="K29" i="64"/>
  <c r="G7" i="17"/>
  <c r="N59" i="66"/>
  <c r="M59" i="66"/>
  <c r="AE55" i="66"/>
  <c r="Y55" i="66"/>
  <c r="S55" i="66"/>
  <c r="M55" i="66"/>
  <c r="N53" i="66"/>
  <c r="M53" i="66"/>
  <c r="AE49" i="66"/>
  <c r="Y49" i="66"/>
  <c r="S49" i="66"/>
  <c r="M49" i="66"/>
  <c r="J48" i="66"/>
  <c r="J47" i="66"/>
  <c r="J46" i="66"/>
  <c r="J45" i="66"/>
  <c r="J44" i="66"/>
  <c r="F43" i="66"/>
  <c r="AC42" i="66"/>
  <c r="W42" i="66"/>
  <c r="Q42" i="66"/>
  <c r="K42" i="66"/>
  <c r="H42" i="66"/>
  <c r="AC35" i="66"/>
  <c r="W35" i="66"/>
  <c r="Q35" i="66"/>
  <c r="K35" i="66"/>
  <c r="H35" i="66"/>
  <c r="F27" i="66"/>
  <c r="F24" i="66"/>
  <c r="F20" i="66"/>
  <c r="AC18" i="66"/>
  <c r="AE18" i="66" s="1"/>
  <c r="Z18" i="66"/>
  <c r="Y18" i="66"/>
  <c r="W18" i="66"/>
  <c r="AF18" i="66" s="1"/>
  <c r="T18" i="66"/>
  <c r="Q18" i="66"/>
  <c r="S18" i="66" s="1"/>
  <c r="K18" i="66"/>
  <c r="H18" i="66"/>
  <c r="M18" i="66" s="1"/>
  <c r="AF17" i="66"/>
  <c r="AC17" i="66"/>
  <c r="AE17" i="66" s="1"/>
  <c r="W17" i="66"/>
  <c r="T17" i="66"/>
  <c r="S17" i="66"/>
  <c r="Q17" i="66"/>
  <c r="Z17" i="66" s="1"/>
  <c r="K17" i="66"/>
  <c r="H17" i="66"/>
  <c r="AC16" i="66"/>
  <c r="W16" i="66"/>
  <c r="AF16" i="66" s="1"/>
  <c r="T16" i="66"/>
  <c r="S16" i="66"/>
  <c r="Q16" i="66"/>
  <c r="Z16" i="66" s="1"/>
  <c r="M16" i="66"/>
  <c r="K16" i="66"/>
  <c r="H16" i="66"/>
  <c r="N16" i="66" s="1"/>
  <c r="AC15" i="66"/>
  <c r="W15" i="66"/>
  <c r="AF15" i="66" s="1"/>
  <c r="Q15" i="66"/>
  <c r="Z15" i="66" s="1"/>
  <c r="K15" i="66"/>
  <c r="H15" i="66"/>
  <c r="N15" i="66" s="1"/>
  <c r="AF14" i="66"/>
  <c r="AC14" i="66"/>
  <c r="W14" i="66"/>
  <c r="AE14" i="66" s="1"/>
  <c r="Q14" i="66"/>
  <c r="K14" i="66"/>
  <c r="H14" i="66"/>
  <c r="N14" i="66" s="1"/>
  <c r="AF13" i="66"/>
  <c r="AC13" i="66"/>
  <c r="AE13" i="66" s="1"/>
  <c r="W13" i="66"/>
  <c r="Q13" i="66"/>
  <c r="K13" i="66"/>
  <c r="S13" i="66" s="1"/>
  <c r="H13" i="66"/>
  <c r="N13" i="66" s="1"/>
  <c r="F31" i="66"/>
  <c r="K42" i="17"/>
  <c r="G34" i="42"/>
  <c r="G34" i="65"/>
  <c r="G34" i="43"/>
  <c r="G34" i="44"/>
  <c r="G34" i="45"/>
  <c r="G34" i="46"/>
  <c r="G34" i="47"/>
  <c r="G34" i="12"/>
  <c r="G34" i="48"/>
  <c r="G34" i="49"/>
  <c r="G34" i="50"/>
  <c r="G34" i="51"/>
  <c r="G34" i="15"/>
  <c r="G34" i="60"/>
  <c r="G34" i="16"/>
  <c r="G34" i="61"/>
  <c r="G34" i="11"/>
  <c r="J48" i="42"/>
  <c r="J48" i="65"/>
  <c r="J48" i="43"/>
  <c r="J48" i="44"/>
  <c r="J48" i="45"/>
  <c r="J48" i="46"/>
  <c r="J48" i="47"/>
  <c r="J48" i="12"/>
  <c r="J48" i="48"/>
  <c r="J48" i="49"/>
  <c r="J48" i="50"/>
  <c r="J48" i="51"/>
  <c r="J48" i="13"/>
  <c r="J48" i="52"/>
  <c r="J48" i="53"/>
  <c r="J48" i="54"/>
  <c r="J48" i="55"/>
  <c r="J48" i="14"/>
  <c r="J48" i="56"/>
  <c r="J48" i="57"/>
  <c r="J48" i="58"/>
  <c r="J48" i="37"/>
  <c r="J48" i="59"/>
  <c r="J48" i="15"/>
  <c r="J48" i="60"/>
  <c r="J48" i="16"/>
  <c r="J48" i="61"/>
  <c r="J48" i="17"/>
  <c r="J48" i="62"/>
  <c r="J48" i="11"/>
  <c r="J47" i="42"/>
  <c r="J47" i="65"/>
  <c r="J47" i="43"/>
  <c r="J47" i="44"/>
  <c r="J47" i="45"/>
  <c r="J47" i="46"/>
  <c r="J47" i="47"/>
  <c r="J47" i="12"/>
  <c r="J47" i="48"/>
  <c r="J47" i="49"/>
  <c r="J47" i="50"/>
  <c r="J47" i="51"/>
  <c r="J47" i="13"/>
  <c r="J47" i="52"/>
  <c r="J47" i="53"/>
  <c r="J47" i="54"/>
  <c r="J47" i="55"/>
  <c r="J47" i="14"/>
  <c r="J47" i="56"/>
  <c r="J47" i="57"/>
  <c r="J47" i="58"/>
  <c r="J47" i="37"/>
  <c r="J47" i="59"/>
  <c r="J47" i="15"/>
  <c r="J47" i="60"/>
  <c r="J47" i="16"/>
  <c r="J47" i="61"/>
  <c r="J47" i="17"/>
  <c r="J47" i="62"/>
  <c r="J47" i="11"/>
  <c r="J46" i="42"/>
  <c r="J46" i="65"/>
  <c r="J46" i="43"/>
  <c r="J46" i="44"/>
  <c r="J46" i="45"/>
  <c r="J46" i="46"/>
  <c r="J46" i="47"/>
  <c r="J46" i="12"/>
  <c r="J46" i="48"/>
  <c r="J46" i="49"/>
  <c r="J46" i="50"/>
  <c r="J46" i="51"/>
  <c r="J46" i="13"/>
  <c r="J46" i="52"/>
  <c r="J46" i="53"/>
  <c r="J46" i="54"/>
  <c r="J46" i="55"/>
  <c r="J46" i="14"/>
  <c r="J46" i="56"/>
  <c r="J46" i="57"/>
  <c r="J46" i="58"/>
  <c r="J46" i="37"/>
  <c r="J46" i="59"/>
  <c r="J46" i="15"/>
  <c r="J46" i="60"/>
  <c r="J46" i="16"/>
  <c r="J46" i="61"/>
  <c r="J46" i="17"/>
  <c r="J46" i="62"/>
  <c r="J46" i="11"/>
  <c r="J45" i="42"/>
  <c r="J45" i="65"/>
  <c r="J45" i="43"/>
  <c r="J45" i="44"/>
  <c r="J45" i="45"/>
  <c r="J45" i="46"/>
  <c r="J45" i="47"/>
  <c r="J45" i="12"/>
  <c r="J45" i="48"/>
  <c r="J45" i="49"/>
  <c r="J45" i="50"/>
  <c r="J45" i="51"/>
  <c r="J45" i="13"/>
  <c r="J45" i="52"/>
  <c r="J45" i="53"/>
  <c r="J45" i="54"/>
  <c r="J45" i="55"/>
  <c r="J45" i="14"/>
  <c r="J45" i="56"/>
  <c r="J45" i="57"/>
  <c r="J45" i="58"/>
  <c r="J45" i="37"/>
  <c r="J45" i="59"/>
  <c r="J45" i="15"/>
  <c r="J45" i="60"/>
  <c r="J45" i="16"/>
  <c r="J45" i="61"/>
  <c r="J45" i="17"/>
  <c r="J45" i="62"/>
  <c r="J45" i="11"/>
  <c r="J44" i="42"/>
  <c r="J44" i="65"/>
  <c r="J44" i="43"/>
  <c r="J44" i="44"/>
  <c r="J44" i="45"/>
  <c r="J44" i="46"/>
  <c r="J44" i="47"/>
  <c r="J44" i="12"/>
  <c r="J44" i="48"/>
  <c r="J44" i="49"/>
  <c r="J44" i="50"/>
  <c r="J44" i="51"/>
  <c r="J44" i="13"/>
  <c r="J44" i="52"/>
  <c r="J44" i="53"/>
  <c r="J44" i="54"/>
  <c r="J44" i="55"/>
  <c r="J44" i="14"/>
  <c r="J44" i="56"/>
  <c r="J44" i="57"/>
  <c r="J44" i="58"/>
  <c r="J44" i="37"/>
  <c r="J44" i="59"/>
  <c r="J44" i="15"/>
  <c r="J44" i="60"/>
  <c r="J44" i="16"/>
  <c r="J44" i="61"/>
  <c r="J44" i="17"/>
  <c r="J44" i="62"/>
  <c r="J44" i="11"/>
  <c r="G8" i="17" l="1"/>
  <c r="H24" i="66"/>
  <c r="N24" i="66" s="1"/>
  <c r="S35" i="66"/>
  <c r="M35" i="66"/>
  <c r="Y13" i="66"/>
  <c r="Y14" i="66"/>
  <c r="Y16" i="66"/>
  <c r="N18" i="66"/>
  <c r="Y17" i="66"/>
  <c r="Q24" i="66"/>
  <c r="Z13" i="66"/>
  <c r="AE16" i="66"/>
  <c r="W24" i="66"/>
  <c r="AF24" i="66" s="1"/>
  <c r="Y35" i="66"/>
  <c r="Y42" i="66"/>
  <c r="Z42" i="66" s="1"/>
  <c r="M42" i="66"/>
  <c r="N42" i="66" s="1"/>
  <c r="T15" i="66"/>
  <c r="M15" i="66"/>
  <c r="AE15" i="66"/>
  <c r="AE42" i="66"/>
  <c r="AF42" i="66" s="1"/>
  <c r="AC27" i="66"/>
  <c r="K27" i="66"/>
  <c r="AC31" i="66"/>
  <c r="Q31" i="66"/>
  <c r="W31" i="66"/>
  <c r="K31" i="66"/>
  <c r="K20" i="66"/>
  <c r="H20" i="66"/>
  <c r="N20" i="66" s="1"/>
  <c r="Q20" i="66"/>
  <c r="H27" i="66"/>
  <c r="N27" i="66" s="1"/>
  <c r="H31" i="66"/>
  <c r="N31" i="66" s="1"/>
  <c r="F44" i="66"/>
  <c r="F46" i="66"/>
  <c r="F45" i="66"/>
  <c r="F47" i="66"/>
  <c r="F41" i="66"/>
  <c r="F48" i="66"/>
  <c r="M13" i="66"/>
  <c r="S15" i="66"/>
  <c r="Q27" i="66"/>
  <c r="F34" i="66"/>
  <c r="T13" i="66"/>
  <c r="W20" i="66"/>
  <c r="F40" i="66"/>
  <c r="M14" i="66"/>
  <c r="T14" i="66"/>
  <c r="N17" i="66"/>
  <c r="M17" i="66"/>
  <c r="W27" i="66"/>
  <c r="Q43" i="66"/>
  <c r="AC43" i="66"/>
  <c r="K43" i="66"/>
  <c r="H43" i="66"/>
  <c r="S14" i="66"/>
  <c r="Y15" i="66"/>
  <c r="AC20" i="66"/>
  <c r="AE20" i="66" s="1"/>
  <c r="AC24" i="66"/>
  <c r="S42" i="66"/>
  <c r="T42" i="66" s="1"/>
  <c r="W43" i="66"/>
  <c r="Z14" i="66"/>
  <c r="K24" i="66"/>
  <c r="AE35" i="66"/>
  <c r="F19" i="66"/>
  <c r="F26" i="66"/>
  <c r="F32" i="66"/>
  <c r="F33" i="66"/>
  <c r="F21" i="66"/>
  <c r="F29" i="66"/>
  <c r="F25" i="66"/>
  <c r="F30" i="66"/>
  <c r="F37" i="66"/>
  <c r="AE24" i="66" l="1"/>
  <c r="Y24" i="66"/>
  <c r="Z24" i="66"/>
  <c r="S43" i="66"/>
  <c r="T43" i="66" s="1"/>
  <c r="M31" i="66"/>
  <c r="T31" i="66"/>
  <c r="W29" i="66"/>
  <c r="AC29" i="66"/>
  <c r="AF27" i="66"/>
  <c r="Y27" i="66"/>
  <c r="W46" i="66"/>
  <c r="H46" i="66"/>
  <c r="Q46" i="66"/>
  <c r="AC46" i="66"/>
  <c r="AE46" i="66" s="1"/>
  <c r="K46" i="66"/>
  <c r="Y31" i="66"/>
  <c r="AF31" i="66"/>
  <c r="AC21" i="66"/>
  <c r="H21" i="66"/>
  <c r="N21" i="66" s="1"/>
  <c r="W21" i="66"/>
  <c r="K21" i="66"/>
  <c r="Q21" i="66"/>
  <c r="S27" i="66"/>
  <c r="Z27" i="66"/>
  <c r="AC44" i="66"/>
  <c r="K44" i="66"/>
  <c r="W44" i="66"/>
  <c r="H44" i="66"/>
  <c r="Q44" i="66"/>
  <c r="S31" i="66"/>
  <c r="Z31" i="66"/>
  <c r="M24" i="66"/>
  <c r="T24" i="66"/>
  <c r="H40" i="66"/>
  <c r="K40" i="66"/>
  <c r="AC40" i="66"/>
  <c r="W40" i="66"/>
  <c r="Q40" i="66"/>
  <c r="AE31" i="66"/>
  <c r="AC25" i="66"/>
  <c r="K25" i="66"/>
  <c r="W25" i="66"/>
  <c r="H25" i="66"/>
  <c r="N25" i="66" s="1"/>
  <c r="Q25" i="66"/>
  <c r="W45" i="66"/>
  <c r="H45" i="66"/>
  <c r="Q45" i="66"/>
  <c r="AC45" i="66"/>
  <c r="K45" i="66"/>
  <c r="Y20" i="66"/>
  <c r="AF20" i="66"/>
  <c r="Q26" i="66"/>
  <c r="K26" i="66"/>
  <c r="H26" i="66"/>
  <c r="N26" i="66" s="1"/>
  <c r="W26" i="66"/>
  <c r="AC26" i="66"/>
  <c r="AC48" i="66"/>
  <c r="AE48" i="66" s="1"/>
  <c r="K48" i="66"/>
  <c r="G34" i="66"/>
  <c r="H34" i="66" s="1"/>
  <c r="W48" i="66"/>
  <c r="H48" i="66"/>
  <c r="AB34" i="66"/>
  <c r="AC34" i="66" s="1"/>
  <c r="P34" i="66"/>
  <c r="Q34" i="66" s="1"/>
  <c r="Q48" i="66"/>
  <c r="V34" i="66"/>
  <c r="W34" i="66" s="1"/>
  <c r="J34" i="66"/>
  <c r="K34" i="66" s="1"/>
  <c r="Z20" i="66"/>
  <c r="S20" i="66"/>
  <c r="T20" i="66" s="1"/>
  <c r="AE27" i="66"/>
  <c r="W33" i="66"/>
  <c r="K33" i="66"/>
  <c r="H33" i="66"/>
  <c r="AC33" i="66"/>
  <c r="Q33" i="66"/>
  <c r="AC32" i="66"/>
  <c r="W32" i="66"/>
  <c r="Q32" i="66"/>
  <c r="T27" i="66"/>
  <c r="M27" i="66"/>
  <c r="M43" i="66"/>
  <c r="N43" i="66" s="1"/>
  <c r="H41" i="66"/>
  <c r="AC41" i="66"/>
  <c r="Q41" i="66"/>
  <c r="W41" i="66"/>
  <c r="K41" i="66"/>
  <c r="S24" i="66"/>
  <c r="Y43" i="66"/>
  <c r="Z43" i="66" s="1"/>
  <c r="F38" i="66"/>
  <c r="H30" i="66"/>
  <c r="N30" i="66" s="1"/>
  <c r="AC30" i="66"/>
  <c r="K30" i="66"/>
  <c r="W30" i="66"/>
  <c r="AE43" i="66"/>
  <c r="AF43" i="66" s="1"/>
  <c r="K47" i="66"/>
  <c r="W47" i="66"/>
  <c r="H47" i="66"/>
  <c r="Q47" i="66"/>
  <c r="AC47" i="66"/>
  <c r="M20" i="66"/>
  <c r="AE45" i="66" l="1"/>
  <c r="AE30" i="66"/>
  <c r="AE34" i="66"/>
  <c r="AE41" i="66"/>
  <c r="AF41" i="66" s="1"/>
  <c r="AE21" i="66"/>
  <c r="M34" i="66"/>
  <c r="N34" i="66" s="1"/>
  <c r="S34" i="66"/>
  <c r="T34" i="66" s="1"/>
  <c r="Y47" i="66"/>
  <c r="Z47" i="66" s="1"/>
  <c r="S41" i="66"/>
  <c r="T41" i="66" s="1"/>
  <c r="M44" i="66"/>
  <c r="S47" i="66"/>
  <c r="M41" i="66"/>
  <c r="N41" i="66" s="1"/>
  <c r="S48" i="66"/>
  <c r="M45" i="66"/>
  <c r="N45" i="66" s="1"/>
  <c r="M25" i="66"/>
  <c r="T25" i="66"/>
  <c r="AE44" i="66"/>
  <c r="AF44" i="66" s="1"/>
  <c r="AE29" i="66"/>
  <c r="Y33" i="66"/>
  <c r="Z33" i="66" s="1"/>
  <c r="T30" i="66"/>
  <c r="M30" i="66"/>
  <c r="AE47" i="66"/>
  <c r="AF47" i="66" s="1"/>
  <c r="AE33" i="66"/>
  <c r="AF33" i="66" s="1"/>
  <c r="AF25" i="66"/>
  <c r="Y25" i="66"/>
  <c r="Y41" i="66"/>
  <c r="Z41" i="66" s="1"/>
  <c r="Z32" i="66"/>
  <c r="M33" i="66"/>
  <c r="N33" i="66" s="1"/>
  <c r="AE26" i="66"/>
  <c r="AE25" i="66"/>
  <c r="S45" i="66"/>
  <c r="T45" i="66" s="1"/>
  <c r="AF29" i="66"/>
  <c r="AF32" i="66"/>
  <c r="Y32" i="66"/>
  <c r="S40" i="66"/>
  <c r="T40" i="66" s="1"/>
  <c r="Z21" i="66"/>
  <c r="S21" i="66"/>
  <c r="Y48" i="66"/>
  <c r="Z48" i="66" s="1"/>
  <c r="AF48" i="66"/>
  <c r="T26" i="66"/>
  <c r="M26" i="66"/>
  <c r="AF45" i="66"/>
  <c r="Y45" i="66"/>
  <c r="Z45" i="66" s="1"/>
  <c r="Y40" i="66"/>
  <c r="Z40" i="66" s="1"/>
  <c r="S44" i="66"/>
  <c r="T44" i="66" s="1"/>
  <c r="M21" i="66"/>
  <c r="T21" i="66"/>
  <c r="S46" i="66"/>
  <c r="T46" i="66" s="1"/>
  <c r="AF26" i="66"/>
  <c r="Y26" i="66"/>
  <c r="M46" i="66"/>
  <c r="AF34" i="66"/>
  <c r="Y34" i="66"/>
  <c r="Z34" i="66" s="1"/>
  <c r="T47" i="66"/>
  <c r="M47" i="66"/>
  <c r="N47" i="66" s="1"/>
  <c r="AF30" i="66"/>
  <c r="AE32" i="66"/>
  <c r="Z26" i="66"/>
  <c r="S26" i="66"/>
  <c r="Z25" i="66"/>
  <c r="S25" i="66"/>
  <c r="AE40" i="66"/>
  <c r="AF40" i="66" s="1"/>
  <c r="N44" i="66"/>
  <c r="Y21" i="66"/>
  <c r="AF21" i="66"/>
  <c r="N46" i="66"/>
  <c r="S33" i="66"/>
  <c r="T33" i="66" s="1"/>
  <c r="M48" i="66"/>
  <c r="N48" i="66" s="1"/>
  <c r="T48" i="66"/>
  <c r="M40" i="66"/>
  <c r="N40" i="66" s="1"/>
  <c r="Y44" i="66"/>
  <c r="Z44" i="66" s="1"/>
  <c r="Y46" i="66"/>
  <c r="Z46" i="66" s="1"/>
  <c r="AF46" i="66"/>
  <c r="AE55" i="65" l="1"/>
  <c r="Y55" i="65"/>
  <c r="S55" i="65"/>
  <c r="AE49" i="65"/>
  <c r="Y49" i="65"/>
  <c r="S49" i="65"/>
  <c r="M49" i="65"/>
  <c r="F48" i="65"/>
  <c r="H48" i="65" s="1"/>
  <c r="F47" i="65"/>
  <c r="Q47" i="65" s="1"/>
  <c r="F46" i="65"/>
  <c r="AC46" i="65" s="1"/>
  <c r="F45" i="65"/>
  <c r="H45" i="65" s="1"/>
  <c r="F44" i="65"/>
  <c r="AC44" i="65" s="1"/>
  <c r="F43" i="65"/>
  <c r="Q43" i="65" s="1"/>
  <c r="Z43" i="65" s="1"/>
  <c r="AC42" i="65"/>
  <c r="W42" i="65"/>
  <c r="Q42" i="65"/>
  <c r="K42" i="65"/>
  <c r="H42" i="65"/>
  <c r="F37" i="65"/>
  <c r="F38" i="65" s="1"/>
  <c r="AC35" i="65"/>
  <c r="W35" i="65"/>
  <c r="Q35" i="65"/>
  <c r="K35" i="65"/>
  <c r="H35" i="65"/>
  <c r="AB34" i="65"/>
  <c r="V34" i="65"/>
  <c r="P34" i="65"/>
  <c r="J34" i="65"/>
  <c r="F34" i="65"/>
  <c r="H34" i="65" s="1"/>
  <c r="W33" i="65"/>
  <c r="F33" i="65"/>
  <c r="F32" i="65"/>
  <c r="W32" i="65" s="1"/>
  <c r="F31" i="65"/>
  <c r="F30" i="65"/>
  <c r="H30" i="65" s="1"/>
  <c r="N30" i="65" s="1"/>
  <c r="F29" i="65"/>
  <c r="F27" i="65"/>
  <c r="AC27" i="65" s="1"/>
  <c r="F26" i="65"/>
  <c r="W26" i="65" s="1"/>
  <c r="F25" i="65"/>
  <c r="K25" i="65" s="1"/>
  <c r="F24" i="65"/>
  <c r="F21" i="65"/>
  <c r="Q21" i="65" s="1"/>
  <c r="AC20" i="65"/>
  <c r="W20" i="65"/>
  <c r="AF20" i="65" s="1"/>
  <c r="Q20" i="65"/>
  <c r="Z20" i="65" s="1"/>
  <c r="K20" i="65"/>
  <c r="T20" i="65" s="1"/>
  <c r="H20" i="65"/>
  <c r="F19" i="65"/>
  <c r="AC18" i="65"/>
  <c r="W18" i="65"/>
  <c r="AF18" i="65" s="1"/>
  <c r="Q18" i="65"/>
  <c r="K18" i="65"/>
  <c r="T18" i="65" s="1"/>
  <c r="H18" i="65"/>
  <c r="N18" i="65" s="1"/>
  <c r="AC17" i="65"/>
  <c r="AE17" i="65" s="1"/>
  <c r="W17" i="65"/>
  <c r="AF17" i="65" s="1"/>
  <c r="Q17" i="65"/>
  <c r="Z17" i="65" s="1"/>
  <c r="K17" i="65"/>
  <c r="H17" i="65"/>
  <c r="N17" i="65" s="1"/>
  <c r="AC16" i="65"/>
  <c r="W16" i="65"/>
  <c r="AF16" i="65" s="1"/>
  <c r="Q16" i="65"/>
  <c r="Z16" i="65" s="1"/>
  <c r="K16" i="65"/>
  <c r="H16" i="65"/>
  <c r="N16" i="65" s="1"/>
  <c r="AC15" i="65"/>
  <c r="W15" i="65"/>
  <c r="Q15" i="65"/>
  <c r="K15" i="65"/>
  <c r="H15" i="65"/>
  <c r="N15" i="65" s="1"/>
  <c r="AC14" i="65"/>
  <c r="W14" i="65"/>
  <c r="Q14" i="65"/>
  <c r="Z14" i="65" s="1"/>
  <c r="K14" i="65"/>
  <c r="H14" i="65"/>
  <c r="N14" i="65" s="1"/>
  <c r="AC13" i="65"/>
  <c r="W13" i="65"/>
  <c r="H13" i="65"/>
  <c r="AC34" i="65" l="1"/>
  <c r="AC32" i="65"/>
  <c r="AE18" i="65"/>
  <c r="Q25" i="65"/>
  <c r="Z25" i="65" s="1"/>
  <c r="W21" i="65"/>
  <c r="AF21" i="65" s="1"/>
  <c r="H44" i="65"/>
  <c r="H25" i="65"/>
  <c r="N25" i="65" s="1"/>
  <c r="M20" i="65"/>
  <c r="N20" i="65" s="1"/>
  <c r="W44" i="65"/>
  <c r="AE44" i="65" s="1"/>
  <c r="AF44" i="65" s="1"/>
  <c r="Y16" i="65"/>
  <c r="AC29" i="65"/>
  <c r="AE15" i="65"/>
  <c r="AE35" i="65"/>
  <c r="AE14" i="65"/>
  <c r="AE13" i="65"/>
  <c r="S20" i="65"/>
  <c r="Y17" i="65"/>
  <c r="AC25" i="65"/>
  <c r="AE20" i="65"/>
  <c r="K30" i="65"/>
  <c r="M30" i="65" s="1"/>
  <c r="H32" i="65"/>
  <c r="N32" i="65" s="1"/>
  <c r="Q46" i="65"/>
  <c r="M18" i="65"/>
  <c r="H33" i="65"/>
  <c r="K31" i="65"/>
  <c r="T31" i="65" s="1"/>
  <c r="K45" i="65"/>
  <c r="M45" i="65" s="1"/>
  <c r="N45" i="65" s="1"/>
  <c r="K33" i="65"/>
  <c r="Q34" i="65"/>
  <c r="K43" i="65"/>
  <c r="S43" i="65" s="1"/>
  <c r="T43" i="65" s="1"/>
  <c r="AC45" i="65"/>
  <c r="M25" i="65"/>
  <c r="H24" i="65"/>
  <c r="N24" i="65" s="1"/>
  <c r="H31" i="65"/>
  <c r="H47" i="65"/>
  <c r="K47" i="65"/>
  <c r="S47" i="65" s="1"/>
  <c r="T47" i="65" s="1"/>
  <c r="H26" i="65"/>
  <c r="N26" i="65" s="1"/>
  <c r="W31" i="65"/>
  <c r="AF31" i="65" s="1"/>
  <c r="H43" i="65"/>
  <c r="Q45" i="65"/>
  <c r="AC33" i="65"/>
  <c r="AE33" i="65" s="1"/>
  <c r="AF33" i="65" s="1"/>
  <c r="M35" i="65"/>
  <c r="S42" i="65"/>
  <c r="T42" i="65" s="1"/>
  <c r="Y14" i="65"/>
  <c r="S35" i="65"/>
  <c r="W24" i="65"/>
  <c r="AF24" i="65" s="1"/>
  <c r="AE42" i="65"/>
  <c r="AF42" i="65" s="1"/>
  <c r="AF14" i="65"/>
  <c r="AC31" i="65"/>
  <c r="Z15" i="65"/>
  <c r="S15" i="65"/>
  <c r="M14" i="65"/>
  <c r="T14" i="65"/>
  <c r="AE32" i="65"/>
  <c r="M15" i="65"/>
  <c r="T15" i="65"/>
  <c r="M16" i="65"/>
  <c r="T16" i="65"/>
  <c r="S16" i="65"/>
  <c r="Z21" i="65"/>
  <c r="AF26" i="65"/>
  <c r="AF32" i="65"/>
  <c r="Z18" i="65"/>
  <c r="S18" i="65"/>
  <c r="W27" i="65"/>
  <c r="Y42" i="65"/>
  <c r="Z42" i="65" s="1"/>
  <c r="AC48" i="65"/>
  <c r="S25" i="65"/>
  <c r="Y18" i="65"/>
  <c r="T25" i="65"/>
  <c r="W29" i="65"/>
  <c r="W34" i="65"/>
  <c r="K34" i="65"/>
  <c r="Y35" i="65"/>
  <c r="Q44" i="65"/>
  <c r="K44" i="65"/>
  <c r="Q27" i="65"/>
  <c r="H27" i="65"/>
  <c r="N27" i="65" s="1"/>
  <c r="AC26" i="65"/>
  <c r="AE26" i="65" s="1"/>
  <c r="K26" i="65"/>
  <c r="K27" i="65"/>
  <c r="Q32" i="65"/>
  <c r="K32" i="65"/>
  <c r="Q48" i="65"/>
  <c r="K48" i="65"/>
  <c r="T17" i="65"/>
  <c r="M17" i="65"/>
  <c r="AF13" i="65"/>
  <c r="Y15" i="65"/>
  <c r="AF15" i="65"/>
  <c r="W48" i="65"/>
  <c r="M42" i="65"/>
  <c r="N42" i="65" s="1"/>
  <c r="Y21" i="65"/>
  <c r="S17" i="65"/>
  <c r="S14" i="65"/>
  <c r="AC21" i="65"/>
  <c r="AE21" i="65" s="1"/>
  <c r="K21" i="65"/>
  <c r="H21" i="65"/>
  <c r="Q26" i="65"/>
  <c r="Q24" i="65"/>
  <c r="AC24" i="65"/>
  <c r="F40" i="65"/>
  <c r="W43" i="65"/>
  <c r="W47" i="65"/>
  <c r="W25" i="65"/>
  <c r="AE25" i="65" s="1"/>
  <c r="Q31" i="65"/>
  <c r="F41" i="65"/>
  <c r="AC43" i="65"/>
  <c r="H46" i="65"/>
  <c r="AC47" i="65"/>
  <c r="AE16" i="65"/>
  <c r="Y20" i="65"/>
  <c r="K24" i="65"/>
  <c r="Q33" i="65"/>
  <c r="W45" i="65"/>
  <c r="K46" i="65"/>
  <c r="W46" i="65"/>
  <c r="F32" i="62"/>
  <c r="H32" i="62" s="1"/>
  <c r="F32" i="61"/>
  <c r="H32" i="61" s="1"/>
  <c r="F32" i="16"/>
  <c r="H32" i="16" s="1"/>
  <c r="H32" i="60"/>
  <c r="F32" i="60"/>
  <c r="F32" i="15"/>
  <c r="H32" i="15" s="1"/>
  <c r="F30" i="55"/>
  <c r="F30" i="54"/>
  <c r="F30" i="53"/>
  <c r="F30" i="52"/>
  <c r="F30" i="13"/>
  <c r="H30" i="51"/>
  <c r="F30" i="51"/>
  <c r="K30" i="51" s="1"/>
  <c r="F30" i="50"/>
  <c r="H30" i="50" s="1"/>
  <c r="F30" i="49"/>
  <c r="K30" i="48"/>
  <c r="H30" i="48"/>
  <c r="F30" i="48"/>
  <c r="F30" i="12"/>
  <c r="H30" i="12" s="1"/>
  <c r="K30" i="47"/>
  <c r="H30" i="47"/>
  <c r="F30" i="47"/>
  <c r="F30" i="46"/>
  <c r="H30" i="46" s="1"/>
  <c r="K30" i="45"/>
  <c r="H30" i="45"/>
  <c r="F30" i="45"/>
  <c r="F30" i="44"/>
  <c r="H30" i="44" s="1"/>
  <c r="H30" i="43"/>
  <c r="F30" i="43"/>
  <c r="F30" i="42"/>
  <c r="H30" i="42" s="1"/>
  <c r="N30" i="11"/>
  <c r="F30" i="11"/>
  <c r="S45" i="65" l="1"/>
  <c r="T45" i="65" s="1"/>
  <c r="M31" i="65"/>
  <c r="N31" i="65" s="1"/>
  <c r="M33" i="65"/>
  <c r="N33" i="65" s="1"/>
  <c r="K30" i="44"/>
  <c r="M30" i="44" s="1"/>
  <c r="N30" i="44" s="1"/>
  <c r="K32" i="15"/>
  <c r="M32" i="15" s="1"/>
  <c r="N32" i="15" s="1"/>
  <c r="K32" i="16"/>
  <c r="M32" i="16" s="1"/>
  <c r="N32" i="16" s="1"/>
  <c r="S46" i="65"/>
  <c r="T46" i="65" s="1"/>
  <c r="K30" i="46"/>
  <c r="M30" i="46" s="1"/>
  <c r="N30" i="46" s="1"/>
  <c r="K30" i="50"/>
  <c r="M30" i="50" s="1"/>
  <c r="N30" i="50" s="1"/>
  <c r="AE43" i="65"/>
  <c r="K30" i="12"/>
  <c r="M30" i="12" s="1"/>
  <c r="N30" i="12" s="1"/>
  <c r="K30" i="43"/>
  <c r="M30" i="43" s="1"/>
  <c r="N30" i="43" s="1"/>
  <c r="K32" i="60"/>
  <c r="M32" i="60" s="1"/>
  <c r="N32" i="60" s="1"/>
  <c r="K32" i="61"/>
  <c r="M32" i="61" s="1"/>
  <c r="N32" i="61" s="1"/>
  <c r="K32" i="62"/>
  <c r="M32" i="62" s="1"/>
  <c r="N32" i="62" s="1"/>
  <c r="AE45" i="65"/>
  <c r="AF45" i="65" s="1"/>
  <c r="S34" i="65"/>
  <c r="T34" i="65" s="1"/>
  <c r="M47" i="65"/>
  <c r="N47" i="65" s="1"/>
  <c r="M43" i="65"/>
  <c r="N43" i="65" s="1"/>
  <c r="AE24" i="65"/>
  <c r="Y24" i="65"/>
  <c r="AE31" i="65"/>
  <c r="S31" i="65"/>
  <c r="Z31" i="65"/>
  <c r="M48" i="65"/>
  <c r="N48" i="65" s="1"/>
  <c r="S32" i="65"/>
  <c r="Z32" i="65"/>
  <c r="Y34" i="65"/>
  <c r="Z34" i="65" s="1"/>
  <c r="Y32" i="65"/>
  <c r="Y47" i="65"/>
  <c r="Z47" i="65" s="1"/>
  <c r="Y48" i="65"/>
  <c r="Z48" i="65" s="1"/>
  <c r="S48" i="65"/>
  <c r="T48" i="65" s="1"/>
  <c r="S27" i="65"/>
  <c r="Z27" i="65"/>
  <c r="AF29" i="65"/>
  <c r="AF27" i="65"/>
  <c r="Y27" i="65"/>
  <c r="Y46" i="65"/>
  <c r="Z46" i="65" s="1"/>
  <c r="AE46" i="65"/>
  <c r="AF46" i="65" s="1"/>
  <c r="AF43" i="65"/>
  <c r="Y43" i="65"/>
  <c r="M21" i="65"/>
  <c r="N21" i="65" s="1"/>
  <c r="T21" i="65"/>
  <c r="AE27" i="65"/>
  <c r="S21" i="65"/>
  <c r="AE29" i="65"/>
  <c r="T32" i="65"/>
  <c r="M32" i="65"/>
  <c r="Y31" i="65"/>
  <c r="Y25" i="65"/>
  <c r="AF25" i="65"/>
  <c r="AE47" i="65"/>
  <c r="AF47" i="65" s="1"/>
  <c r="Y45" i="65"/>
  <c r="Z45" i="65" s="1"/>
  <c r="M26" i="65"/>
  <c r="T26" i="65"/>
  <c r="M44" i="65"/>
  <c r="N44" i="65" s="1"/>
  <c r="AE48" i="65"/>
  <c r="AF48" i="65" s="1"/>
  <c r="M24" i="65"/>
  <c r="T24" i="65"/>
  <c r="Z26" i="65"/>
  <c r="S26" i="65"/>
  <c r="W40" i="65"/>
  <c r="K40" i="65"/>
  <c r="H40" i="65"/>
  <c r="AC40" i="65"/>
  <c r="Q40" i="65"/>
  <c r="AE34" i="65"/>
  <c r="AF34" i="65" s="1"/>
  <c r="S44" i="65"/>
  <c r="T44" i="65" s="1"/>
  <c r="Y44" i="65"/>
  <c r="Z44" i="65" s="1"/>
  <c r="S24" i="65"/>
  <c r="Z24" i="65"/>
  <c r="M34" i="65"/>
  <c r="N34" i="65" s="1"/>
  <c r="M46" i="65"/>
  <c r="N46" i="65" s="1"/>
  <c r="T27" i="65"/>
  <c r="M27" i="65"/>
  <c r="S33" i="65"/>
  <c r="T33" i="65" s="1"/>
  <c r="Y33" i="65"/>
  <c r="Z33" i="65" s="1"/>
  <c r="H41" i="65"/>
  <c r="AC41" i="65"/>
  <c r="Q41" i="65"/>
  <c r="W41" i="65"/>
  <c r="K41" i="65"/>
  <c r="Y26" i="65"/>
  <c r="K30" i="42"/>
  <c r="M30" i="42" s="1"/>
  <c r="N30" i="42" s="1"/>
  <c r="K30" i="11"/>
  <c r="M30" i="11" s="1"/>
  <c r="K30" i="49"/>
  <c r="M30" i="51"/>
  <c r="N30" i="51" s="1"/>
  <c r="H30" i="49"/>
  <c r="M30" i="48"/>
  <c r="N30" i="48" s="1"/>
  <c r="M30" i="47"/>
  <c r="N30" i="47" s="1"/>
  <c r="M30" i="45"/>
  <c r="N30" i="45" s="1"/>
  <c r="Y41" i="65" l="1"/>
  <c r="Z41" i="65" s="1"/>
  <c r="S40" i="65"/>
  <c r="T40" i="65" s="1"/>
  <c r="M41" i="65"/>
  <c r="N41" i="65" s="1"/>
  <c r="S41" i="65"/>
  <c r="T41" i="65" s="1"/>
  <c r="AE40" i="65"/>
  <c r="AF40" i="65" s="1"/>
  <c r="AE41" i="65"/>
  <c r="AF41" i="65" s="1"/>
  <c r="M40" i="65"/>
  <c r="N40" i="65" s="1"/>
  <c r="Y40" i="65"/>
  <c r="Z40" i="65" s="1"/>
  <c r="M30" i="49"/>
  <c r="N30" i="49" s="1"/>
  <c r="F41" i="62" l="1"/>
  <c r="F41" i="61"/>
  <c r="F41" i="16"/>
  <c r="W42" i="62" l="1"/>
  <c r="Q42" i="62"/>
  <c r="K42" i="62"/>
  <c r="H42" i="62"/>
  <c r="W41" i="62"/>
  <c r="Q41" i="62"/>
  <c r="K41" i="62"/>
  <c r="H41" i="62"/>
  <c r="W32" i="62"/>
  <c r="Q32" i="62"/>
  <c r="W15" i="62"/>
  <c r="Q15" i="62"/>
  <c r="K15" i="62"/>
  <c r="H15" i="62"/>
  <c r="N15" i="62" s="1"/>
  <c r="H42" i="17"/>
  <c r="W41" i="61"/>
  <c r="Q41" i="61"/>
  <c r="K41" i="61"/>
  <c r="H41" i="61"/>
  <c r="AB34" i="61"/>
  <c r="V34" i="61"/>
  <c r="P34" i="61"/>
  <c r="J34" i="61"/>
  <c r="W32" i="61"/>
  <c r="Q32" i="61"/>
  <c r="W42" i="60"/>
  <c r="Q42" i="60"/>
  <c r="K42" i="60"/>
  <c r="H42" i="60"/>
  <c r="W35" i="60"/>
  <c r="Q35" i="60"/>
  <c r="K35" i="60"/>
  <c r="H35" i="60"/>
  <c r="AB34" i="60"/>
  <c r="V34" i="60"/>
  <c r="P34" i="60"/>
  <c r="J34" i="60"/>
  <c r="W32" i="60"/>
  <c r="Q32" i="60"/>
  <c r="Z32" i="60" s="1"/>
  <c r="W18" i="60"/>
  <c r="Q18" i="60"/>
  <c r="K18" i="60"/>
  <c r="T18" i="60" s="1"/>
  <c r="H18" i="60"/>
  <c r="N18" i="60" s="1"/>
  <c r="W17" i="60"/>
  <c r="Q17" i="60"/>
  <c r="K17" i="60"/>
  <c r="T17" i="60" s="1"/>
  <c r="H17" i="60"/>
  <c r="N17" i="60" s="1"/>
  <c r="W16" i="60"/>
  <c r="Q16" i="60"/>
  <c r="Z16" i="60" s="1"/>
  <c r="K16" i="60"/>
  <c r="T16" i="60" s="1"/>
  <c r="H16" i="60"/>
  <c r="W15" i="60"/>
  <c r="Q15" i="60"/>
  <c r="K15" i="60"/>
  <c r="H15" i="60"/>
  <c r="N15" i="60" s="1"/>
  <c r="W14" i="60"/>
  <c r="T14" i="60"/>
  <c r="Q14" i="60"/>
  <c r="S14" i="60" s="1"/>
  <c r="N14" i="60"/>
  <c r="K14" i="60"/>
  <c r="H14" i="60"/>
  <c r="W13" i="60"/>
  <c r="Q13" i="60"/>
  <c r="Z13" i="60" s="1"/>
  <c r="K13" i="60"/>
  <c r="H13" i="60"/>
  <c r="N13" i="60" s="1"/>
  <c r="W42" i="59"/>
  <c r="Q42" i="59"/>
  <c r="K42" i="59"/>
  <c r="H42" i="59"/>
  <c r="W35" i="59"/>
  <c r="Q35" i="59"/>
  <c r="K35" i="59"/>
  <c r="H35" i="59"/>
  <c r="W18" i="59"/>
  <c r="Q18" i="59"/>
  <c r="Z18" i="59" s="1"/>
  <c r="K18" i="59"/>
  <c r="T18" i="59" s="1"/>
  <c r="H18" i="59"/>
  <c r="N18" i="59" s="1"/>
  <c r="W17" i="59"/>
  <c r="Y17" i="59" s="1"/>
  <c r="Q17" i="59"/>
  <c r="Z17" i="59" s="1"/>
  <c r="K17" i="59"/>
  <c r="H17" i="59"/>
  <c r="N17" i="59" s="1"/>
  <c r="W16" i="59"/>
  <c r="Q16" i="59"/>
  <c r="K16" i="59"/>
  <c r="H16" i="59"/>
  <c r="N16" i="59" s="1"/>
  <c r="W15" i="59"/>
  <c r="Q15" i="59"/>
  <c r="K15" i="59"/>
  <c r="T15" i="59" s="1"/>
  <c r="H15" i="59"/>
  <c r="N15" i="59" s="1"/>
  <c r="W14" i="59"/>
  <c r="Q14" i="59"/>
  <c r="Z14" i="59" s="1"/>
  <c r="K14" i="59"/>
  <c r="T14" i="59" s="1"/>
  <c r="H14" i="59"/>
  <c r="N14" i="59" s="1"/>
  <c r="W13" i="59"/>
  <c r="Q13" i="59"/>
  <c r="K13" i="59"/>
  <c r="T13" i="59" s="1"/>
  <c r="H13" i="59"/>
  <c r="N13" i="59" s="1"/>
  <c r="W42" i="37"/>
  <c r="Q42" i="37"/>
  <c r="K42" i="37"/>
  <c r="H42" i="37"/>
  <c r="W35" i="37"/>
  <c r="Q35" i="37"/>
  <c r="K35" i="37"/>
  <c r="H35" i="37"/>
  <c r="AC15" i="37"/>
  <c r="W15" i="37"/>
  <c r="Q15" i="37"/>
  <c r="K15" i="37"/>
  <c r="H15" i="37"/>
  <c r="N15" i="37" s="1"/>
  <c r="W42" i="58"/>
  <c r="Q42" i="58"/>
  <c r="K42" i="58"/>
  <c r="H42" i="58"/>
  <c r="W35" i="58"/>
  <c r="Q35" i="58"/>
  <c r="K35" i="58"/>
  <c r="H35" i="58"/>
  <c r="W18" i="58"/>
  <c r="Q18" i="58"/>
  <c r="Z18" i="58" s="1"/>
  <c r="K18" i="58"/>
  <c r="H18" i="58"/>
  <c r="N18" i="58" s="1"/>
  <c r="W17" i="58"/>
  <c r="Y17" i="58" s="1"/>
  <c r="Q17" i="58"/>
  <c r="Z17" i="58" s="1"/>
  <c r="K17" i="58"/>
  <c r="T17" i="58" s="1"/>
  <c r="H17" i="58"/>
  <c r="M17" i="58" s="1"/>
  <c r="W16" i="58"/>
  <c r="Q16" i="58"/>
  <c r="Z16" i="58" s="1"/>
  <c r="K16" i="58"/>
  <c r="H16" i="58"/>
  <c r="N16" i="58" s="1"/>
  <c r="W15" i="58"/>
  <c r="Q15" i="58"/>
  <c r="K15" i="58"/>
  <c r="H15" i="58"/>
  <c r="N15" i="58" s="1"/>
  <c r="W14" i="58"/>
  <c r="Q14" i="58"/>
  <c r="Z14" i="58" s="1"/>
  <c r="K14" i="58"/>
  <c r="T14" i="58" s="1"/>
  <c r="H14" i="58"/>
  <c r="N14" i="58" s="1"/>
  <c r="W13" i="58"/>
  <c r="Q13" i="58"/>
  <c r="Z13" i="58" s="1"/>
  <c r="K13" i="58"/>
  <c r="T13" i="58" s="1"/>
  <c r="H13" i="58"/>
  <c r="N13" i="58" s="1"/>
  <c r="W42" i="57"/>
  <c r="Q42" i="57"/>
  <c r="K42" i="57"/>
  <c r="H42" i="57"/>
  <c r="W35" i="57"/>
  <c r="Q35" i="57"/>
  <c r="K35" i="57"/>
  <c r="H35" i="57"/>
  <c r="W18" i="57"/>
  <c r="Q18" i="57"/>
  <c r="K18" i="57"/>
  <c r="H18" i="57"/>
  <c r="N18" i="57" s="1"/>
  <c r="W17" i="57"/>
  <c r="Y17" i="57" s="1"/>
  <c r="Q17" i="57"/>
  <c r="Z17" i="57" s="1"/>
  <c r="K17" i="57"/>
  <c r="H17" i="57"/>
  <c r="N17" i="57" s="1"/>
  <c r="W16" i="57"/>
  <c r="Q16" i="57"/>
  <c r="Z16" i="57" s="1"/>
  <c r="K16" i="57"/>
  <c r="T16" i="57" s="1"/>
  <c r="H16" i="57"/>
  <c r="N16" i="57" s="1"/>
  <c r="W15" i="57"/>
  <c r="Q15" i="57"/>
  <c r="K15" i="57"/>
  <c r="H15" i="57"/>
  <c r="N15" i="57" s="1"/>
  <c r="W14" i="57"/>
  <c r="Q14" i="57"/>
  <c r="K14" i="57"/>
  <c r="T14" i="57" s="1"/>
  <c r="H14" i="57"/>
  <c r="Z13" i="57"/>
  <c r="W13" i="57"/>
  <c r="Q13" i="57"/>
  <c r="Y13" i="57" s="1"/>
  <c r="K13" i="57"/>
  <c r="T13" i="57" s="1"/>
  <c r="H13" i="57"/>
  <c r="N13" i="57" s="1"/>
  <c r="W42" i="56"/>
  <c r="Q42" i="56"/>
  <c r="K42" i="56"/>
  <c r="H42" i="56"/>
  <c r="W35" i="56"/>
  <c r="Q35" i="56"/>
  <c r="K35" i="56"/>
  <c r="H35" i="56"/>
  <c r="W18" i="56"/>
  <c r="Q18" i="56"/>
  <c r="Z18" i="56" s="1"/>
  <c r="K18" i="56"/>
  <c r="H18" i="56"/>
  <c r="N18" i="56" s="1"/>
  <c r="W17" i="56"/>
  <c r="Q17" i="56"/>
  <c r="S17" i="56" s="1"/>
  <c r="K17" i="56"/>
  <c r="T17" i="56" s="1"/>
  <c r="H17" i="56"/>
  <c r="M17" i="56" s="1"/>
  <c r="W16" i="56"/>
  <c r="Y16" i="56" s="1"/>
  <c r="Q16" i="56"/>
  <c r="Z16" i="56" s="1"/>
  <c r="K16" i="56"/>
  <c r="T16" i="56" s="1"/>
  <c r="H16" i="56"/>
  <c r="N16" i="56" s="1"/>
  <c r="W15" i="56"/>
  <c r="Q15" i="56"/>
  <c r="K15" i="56"/>
  <c r="T15" i="56" s="1"/>
  <c r="H15" i="56"/>
  <c r="W14" i="56"/>
  <c r="Y14" i="56" s="1"/>
  <c r="Q14" i="56"/>
  <c r="Z14" i="56" s="1"/>
  <c r="K14" i="56"/>
  <c r="T14" i="56" s="1"/>
  <c r="H14" i="56"/>
  <c r="N14" i="56" s="1"/>
  <c r="W13" i="56"/>
  <c r="Q13" i="56"/>
  <c r="Z13" i="56" s="1"/>
  <c r="K13" i="56"/>
  <c r="H13" i="56"/>
  <c r="N13" i="56" s="1"/>
  <c r="W42" i="55"/>
  <c r="Q42" i="55"/>
  <c r="K42" i="55"/>
  <c r="H42" i="55"/>
  <c r="W35" i="55"/>
  <c r="Y35" i="55" s="1"/>
  <c r="Q35" i="55"/>
  <c r="K35" i="55"/>
  <c r="H35" i="55"/>
  <c r="W18" i="55"/>
  <c r="Q18" i="55"/>
  <c r="Z18" i="55" s="1"/>
  <c r="K18" i="55"/>
  <c r="H18" i="55"/>
  <c r="N18" i="55" s="1"/>
  <c r="W17" i="55"/>
  <c r="Q17" i="55"/>
  <c r="Z17" i="55" s="1"/>
  <c r="K17" i="55"/>
  <c r="T17" i="55" s="1"/>
  <c r="H17" i="55"/>
  <c r="W16" i="55"/>
  <c r="Q16" i="55"/>
  <c r="K16" i="55"/>
  <c r="T16" i="55" s="1"/>
  <c r="H16" i="55"/>
  <c r="N16" i="55" s="1"/>
  <c r="W15" i="55"/>
  <c r="Q15" i="55"/>
  <c r="K15" i="55"/>
  <c r="T15" i="55" s="1"/>
  <c r="H15" i="55"/>
  <c r="N15" i="55" s="1"/>
  <c r="W14" i="55"/>
  <c r="Q14" i="55"/>
  <c r="K14" i="55"/>
  <c r="T14" i="55" s="1"/>
  <c r="H14" i="55"/>
  <c r="N14" i="55" s="1"/>
  <c r="W13" i="55"/>
  <c r="H13" i="55"/>
  <c r="W42" i="54"/>
  <c r="Q42" i="54"/>
  <c r="K42" i="54"/>
  <c r="H42" i="54"/>
  <c r="W35" i="54"/>
  <c r="Y35" i="54" s="1"/>
  <c r="Q35" i="54"/>
  <c r="K35" i="54"/>
  <c r="S35" i="54" s="1"/>
  <c r="H35" i="54"/>
  <c r="W18" i="54"/>
  <c r="Q18" i="54"/>
  <c r="K18" i="54"/>
  <c r="H18" i="54"/>
  <c r="N18" i="54" s="1"/>
  <c r="W17" i="54"/>
  <c r="Q17" i="54"/>
  <c r="K17" i="54"/>
  <c r="H17" i="54"/>
  <c r="N17" i="54" s="1"/>
  <c r="W16" i="54"/>
  <c r="Y16" i="54" s="1"/>
  <c r="Q16" i="54"/>
  <c r="Z16" i="54" s="1"/>
  <c r="K16" i="54"/>
  <c r="H16" i="54"/>
  <c r="N16" i="54" s="1"/>
  <c r="W15" i="54"/>
  <c r="Q15" i="54"/>
  <c r="K15" i="54"/>
  <c r="H15" i="54"/>
  <c r="N15" i="54" s="1"/>
  <c r="W14" i="54"/>
  <c r="Q14" i="54"/>
  <c r="K14" i="54"/>
  <c r="H14" i="54"/>
  <c r="N14" i="54" s="1"/>
  <c r="W13" i="54"/>
  <c r="H13" i="54"/>
  <c r="W42" i="53"/>
  <c r="Q42" i="53"/>
  <c r="K42" i="53"/>
  <c r="H42" i="53"/>
  <c r="W35" i="53"/>
  <c r="Q35" i="53"/>
  <c r="K35" i="53"/>
  <c r="H35" i="53"/>
  <c r="W18" i="53"/>
  <c r="Q18" i="53"/>
  <c r="K18" i="53"/>
  <c r="T18" i="53" s="1"/>
  <c r="H18" i="53"/>
  <c r="N18" i="53" s="1"/>
  <c r="W17" i="53"/>
  <c r="Y17" i="53" s="1"/>
  <c r="Q17" i="53"/>
  <c r="Z17" i="53" s="1"/>
  <c r="K17" i="53"/>
  <c r="H17" i="53"/>
  <c r="N17" i="53" s="1"/>
  <c r="W16" i="53"/>
  <c r="Y16" i="53" s="1"/>
  <c r="Q16" i="53"/>
  <c r="Z16" i="53" s="1"/>
  <c r="K16" i="53"/>
  <c r="H16" i="53"/>
  <c r="N16" i="53" s="1"/>
  <c r="W15" i="53"/>
  <c r="Q15" i="53"/>
  <c r="K15" i="53"/>
  <c r="H15" i="53"/>
  <c r="N15" i="53" s="1"/>
  <c r="W14" i="53"/>
  <c r="Q14" i="53"/>
  <c r="K14" i="53"/>
  <c r="T14" i="53" s="1"/>
  <c r="H14" i="53"/>
  <c r="N14" i="53" s="1"/>
  <c r="W13" i="53"/>
  <c r="H13" i="53"/>
  <c r="W42" i="52"/>
  <c r="Q42" i="52"/>
  <c r="K42" i="52"/>
  <c r="H42" i="52"/>
  <c r="W35" i="52"/>
  <c r="Q35" i="52"/>
  <c r="K35" i="52"/>
  <c r="H35" i="52"/>
  <c r="W18" i="52"/>
  <c r="Q18" i="52"/>
  <c r="S18" i="52" s="1"/>
  <c r="K18" i="52"/>
  <c r="T18" i="52" s="1"/>
  <c r="H18" i="52"/>
  <c r="N18" i="52" s="1"/>
  <c r="W17" i="52"/>
  <c r="T17" i="52"/>
  <c r="Q17" i="52"/>
  <c r="Z17" i="52" s="1"/>
  <c r="K17" i="52"/>
  <c r="H17" i="52"/>
  <c r="N17" i="52" s="1"/>
  <c r="W16" i="52"/>
  <c r="T16" i="52"/>
  <c r="Q16" i="52"/>
  <c r="Z16" i="52" s="1"/>
  <c r="K16" i="52"/>
  <c r="H16" i="52"/>
  <c r="N16" i="52" s="1"/>
  <c r="W15" i="52"/>
  <c r="Q15" i="52"/>
  <c r="K15" i="52"/>
  <c r="H15" i="52"/>
  <c r="N15" i="52" s="1"/>
  <c r="W14" i="52"/>
  <c r="Q14" i="52"/>
  <c r="K14" i="52"/>
  <c r="T14" i="52" s="1"/>
  <c r="H14" i="52"/>
  <c r="N14" i="52" s="1"/>
  <c r="W13" i="52"/>
  <c r="H13" i="52"/>
  <c r="W42" i="51"/>
  <c r="Q42" i="51"/>
  <c r="K42" i="51"/>
  <c r="H42" i="51"/>
  <c r="W35" i="51"/>
  <c r="Q35" i="51"/>
  <c r="K35" i="51"/>
  <c r="H35" i="51"/>
  <c r="AB34" i="51"/>
  <c r="V34" i="51"/>
  <c r="P34" i="51"/>
  <c r="J34" i="51"/>
  <c r="W20" i="51"/>
  <c r="Y20" i="51" s="1"/>
  <c r="Q20" i="51"/>
  <c r="Z20" i="51" s="1"/>
  <c r="K20" i="51"/>
  <c r="S20" i="51" s="1"/>
  <c r="H20" i="51"/>
  <c r="W18" i="51"/>
  <c r="Q18" i="51"/>
  <c r="K18" i="51"/>
  <c r="T18" i="51" s="1"/>
  <c r="H18" i="51"/>
  <c r="N18" i="51" s="1"/>
  <c r="Z17" i="51"/>
  <c r="W17" i="51"/>
  <c r="Q17" i="51"/>
  <c r="K17" i="51"/>
  <c r="T17" i="51" s="1"/>
  <c r="H17" i="51"/>
  <c r="N17" i="51" s="1"/>
  <c r="W16" i="51"/>
  <c r="Y16" i="51" s="1"/>
  <c r="Q16" i="51"/>
  <c r="Z16" i="51" s="1"/>
  <c r="K16" i="51"/>
  <c r="T16" i="51" s="1"/>
  <c r="H16" i="51"/>
  <c r="N16" i="51" s="1"/>
  <c r="W15" i="51"/>
  <c r="Q15" i="51"/>
  <c r="K15" i="51"/>
  <c r="H15" i="51"/>
  <c r="N15" i="51" s="1"/>
  <c r="W14" i="51"/>
  <c r="Q14" i="51"/>
  <c r="K14" i="51"/>
  <c r="H14" i="51"/>
  <c r="N14" i="51" s="1"/>
  <c r="W13" i="51"/>
  <c r="H13" i="51"/>
  <c r="W42" i="50"/>
  <c r="Q42" i="50"/>
  <c r="K42" i="50"/>
  <c r="H42" i="50"/>
  <c r="W35" i="50"/>
  <c r="Q35" i="50"/>
  <c r="K35" i="50"/>
  <c r="H35" i="50"/>
  <c r="AB34" i="50"/>
  <c r="V34" i="50"/>
  <c r="P34" i="50"/>
  <c r="J34" i="50"/>
  <c r="W20" i="50"/>
  <c r="Y20" i="50" s="1"/>
  <c r="Q20" i="50"/>
  <c r="S20" i="50" s="1"/>
  <c r="K20" i="50"/>
  <c r="T20" i="50" s="1"/>
  <c r="H20" i="50"/>
  <c r="W18" i="50"/>
  <c r="Y18" i="50" s="1"/>
  <c r="Q18" i="50"/>
  <c r="Z18" i="50" s="1"/>
  <c r="K18" i="50"/>
  <c r="T18" i="50" s="1"/>
  <c r="H18" i="50"/>
  <c r="N18" i="50" s="1"/>
  <c r="W17" i="50"/>
  <c r="Q17" i="50"/>
  <c r="K17" i="50"/>
  <c r="H17" i="50"/>
  <c r="N17" i="50" s="1"/>
  <c r="W16" i="50"/>
  <c r="Q16" i="50"/>
  <c r="K16" i="50"/>
  <c r="T16" i="50" s="1"/>
  <c r="H16" i="50"/>
  <c r="N16" i="50" s="1"/>
  <c r="W15" i="50"/>
  <c r="Q15" i="50"/>
  <c r="Z15" i="50" s="1"/>
  <c r="K15" i="50"/>
  <c r="H15" i="50"/>
  <c r="N15" i="50" s="1"/>
  <c r="W14" i="50"/>
  <c r="Q14" i="50"/>
  <c r="K14" i="50"/>
  <c r="H14" i="50"/>
  <c r="N14" i="50" s="1"/>
  <c r="W13" i="50"/>
  <c r="H13" i="50"/>
  <c r="W42" i="49"/>
  <c r="Q42" i="49"/>
  <c r="K42" i="49"/>
  <c r="H42" i="49"/>
  <c r="W35" i="49"/>
  <c r="Q35" i="49"/>
  <c r="K35" i="49"/>
  <c r="H35" i="49"/>
  <c r="AB34" i="49"/>
  <c r="V34" i="49"/>
  <c r="P34" i="49"/>
  <c r="J34" i="49"/>
  <c r="W20" i="49"/>
  <c r="Q20" i="49"/>
  <c r="S20" i="49" s="1"/>
  <c r="K20" i="49"/>
  <c r="H20" i="49"/>
  <c r="W18" i="49"/>
  <c r="Y18" i="49" s="1"/>
  <c r="S18" i="49"/>
  <c r="Q18" i="49"/>
  <c r="Z18" i="49" s="1"/>
  <c r="K18" i="49"/>
  <c r="T18" i="49" s="1"/>
  <c r="H18" i="49"/>
  <c r="M18" i="49" s="1"/>
  <c r="W17" i="49"/>
  <c r="Q17" i="49"/>
  <c r="K17" i="49"/>
  <c r="T17" i="49" s="1"/>
  <c r="H17" i="49"/>
  <c r="N17" i="49" s="1"/>
  <c r="W16" i="49"/>
  <c r="Q16" i="49"/>
  <c r="Z16" i="49" s="1"/>
  <c r="K16" i="49"/>
  <c r="T16" i="49" s="1"/>
  <c r="H16" i="49"/>
  <c r="N16" i="49" s="1"/>
  <c r="W15" i="49"/>
  <c r="Q15" i="49"/>
  <c r="K15" i="49"/>
  <c r="H15" i="49"/>
  <c r="N15" i="49" s="1"/>
  <c r="W14" i="49"/>
  <c r="Q14" i="49"/>
  <c r="Z14" i="49" s="1"/>
  <c r="K14" i="49"/>
  <c r="H14" i="49"/>
  <c r="N14" i="49" s="1"/>
  <c r="W13" i="49"/>
  <c r="H13" i="49"/>
  <c r="W42" i="48"/>
  <c r="Q42" i="48"/>
  <c r="K42" i="48"/>
  <c r="H42" i="48"/>
  <c r="W35" i="48"/>
  <c r="Q35" i="48"/>
  <c r="K35" i="48"/>
  <c r="H35" i="48"/>
  <c r="AB34" i="48"/>
  <c r="V34" i="48"/>
  <c r="P34" i="48"/>
  <c r="J34" i="48"/>
  <c r="W20" i="48"/>
  <c r="Y20" i="48" s="1"/>
  <c r="Q20" i="48"/>
  <c r="Z20" i="48" s="1"/>
  <c r="K20" i="48"/>
  <c r="T20" i="48" s="1"/>
  <c r="H20" i="48"/>
  <c r="W18" i="48"/>
  <c r="Q18" i="48"/>
  <c r="Z18" i="48" s="1"/>
  <c r="K18" i="48"/>
  <c r="T18" i="48" s="1"/>
  <c r="H18" i="48"/>
  <c r="N18" i="48" s="1"/>
  <c r="W17" i="48"/>
  <c r="Y17" i="48" s="1"/>
  <c r="Q17" i="48"/>
  <c r="K17" i="48"/>
  <c r="H17" i="48"/>
  <c r="N17" i="48" s="1"/>
  <c r="W16" i="48"/>
  <c r="Q16" i="48"/>
  <c r="Z16" i="48" s="1"/>
  <c r="K16" i="48"/>
  <c r="T16" i="48" s="1"/>
  <c r="H16" i="48"/>
  <c r="N16" i="48" s="1"/>
  <c r="W15" i="48"/>
  <c r="Q15" i="48"/>
  <c r="K15" i="48"/>
  <c r="H15" i="48"/>
  <c r="N15" i="48" s="1"/>
  <c r="W14" i="48"/>
  <c r="Q14" i="48"/>
  <c r="K14" i="48"/>
  <c r="H14" i="48"/>
  <c r="N14" i="48" s="1"/>
  <c r="W13" i="48"/>
  <c r="H13" i="48"/>
  <c r="W42" i="11"/>
  <c r="Q42" i="11"/>
  <c r="K42" i="11"/>
  <c r="W42" i="42"/>
  <c r="Q42" i="42"/>
  <c r="K42" i="42"/>
  <c r="W42" i="43"/>
  <c r="Q42" i="43"/>
  <c r="K42" i="43"/>
  <c r="W42" i="44"/>
  <c r="Q42" i="44"/>
  <c r="K42" i="44"/>
  <c r="W42" i="45"/>
  <c r="Q42" i="45"/>
  <c r="K42" i="45"/>
  <c r="W42" i="46"/>
  <c r="Q42" i="46"/>
  <c r="K42" i="46"/>
  <c r="M35" i="52" l="1"/>
  <c r="Y17" i="56"/>
  <c r="S20" i="48"/>
  <c r="S14" i="57"/>
  <c r="Y17" i="51"/>
  <c r="S14" i="59"/>
  <c r="S16" i="50"/>
  <c r="Z20" i="50"/>
  <c r="Z18" i="52"/>
  <c r="Y16" i="57"/>
  <c r="Y16" i="48"/>
  <c r="M17" i="55"/>
  <c r="N17" i="56"/>
  <c r="M14" i="60"/>
  <c r="N17" i="55"/>
  <c r="M13" i="56"/>
  <c r="M35" i="53"/>
  <c r="M35" i="55"/>
  <c r="N17" i="58"/>
  <c r="M18" i="54"/>
  <c r="M18" i="55"/>
  <c r="M18" i="59"/>
  <c r="S18" i="53"/>
  <c r="Z18" i="53"/>
  <c r="S16" i="52"/>
  <c r="Y17" i="52"/>
  <c r="Y35" i="52"/>
  <c r="S13" i="60"/>
  <c r="T13" i="60"/>
  <c r="S18" i="60"/>
  <c r="Z18" i="60"/>
  <c r="M17" i="53"/>
  <c r="T17" i="53"/>
  <c r="S13" i="59"/>
  <c r="Z13" i="59"/>
  <c r="S16" i="59"/>
  <c r="Z16" i="59"/>
  <c r="Y18" i="60"/>
  <c r="M17" i="54"/>
  <c r="T17" i="54"/>
  <c r="Z18" i="51"/>
  <c r="S18" i="51"/>
  <c r="N14" i="57"/>
  <c r="M14" i="57"/>
  <c r="T18" i="58"/>
  <c r="M18" i="58"/>
  <c r="Y17" i="49"/>
  <c r="Z16" i="55"/>
  <c r="S16" i="55"/>
  <c r="Y18" i="48"/>
  <c r="S17" i="50"/>
  <c r="Z17" i="50"/>
  <c r="Y16" i="52"/>
  <c r="T18" i="56"/>
  <c r="M18" i="56"/>
  <c r="Z20" i="49"/>
  <c r="Y17" i="50"/>
  <c r="S18" i="54"/>
  <c r="Z18" i="54"/>
  <c r="M16" i="58"/>
  <c r="T16" i="58"/>
  <c r="S17" i="49"/>
  <c r="Z17" i="49"/>
  <c r="Y20" i="49"/>
  <c r="M16" i="53"/>
  <c r="S16" i="53"/>
  <c r="T20" i="51"/>
  <c r="T16" i="53"/>
  <c r="Y18" i="54"/>
  <c r="Z18" i="57"/>
  <c r="S18" i="57"/>
  <c r="T17" i="59"/>
  <c r="M17" i="59"/>
  <c r="S17" i="48"/>
  <c r="Y35" i="53"/>
  <c r="S17" i="54"/>
  <c r="Z17" i="48"/>
  <c r="M16" i="54"/>
  <c r="T16" i="54"/>
  <c r="Y14" i="58"/>
  <c r="M16" i="59"/>
  <c r="T16" i="59"/>
  <c r="Y17" i="60"/>
  <c r="Z17" i="60"/>
  <c r="Y16" i="49"/>
  <c r="Y18" i="51"/>
  <c r="Y13" i="56"/>
  <c r="T18" i="57"/>
  <c r="M18" i="57"/>
  <c r="S17" i="51"/>
  <c r="M16" i="52"/>
  <c r="M17" i="52"/>
  <c r="Y18" i="52"/>
  <c r="Y18" i="55"/>
  <c r="Y13" i="59"/>
  <c r="Y18" i="53"/>
  <c r="S16" i="54"/>
  <c r="S16" i="56"/>
  <c r="S18" i="59"/>
  <c r="M16" i="60"/>
  <c r="N16" i="60"/>
  <c r="M17" i="57"/>
  <c r="Y17" i="54"/>
  <c r="Y16" i="55"/>
  <c r="Y18" i="59"/>
  <c r="M16" i="57"/>
  <c r="S16" i="58"/>
  <c r="Y14" i="60"/>
  <c r="Y14" i="57"/>
  <c r="Y18" i="57"/>
  <c r="S13" i="58"/>
  <c r="Y16" i="59"/>
  <c r="Y13" i="60"/>
  <c r="S16" i="57"/>
  <c r="Y13" i="58"/>
  <c r="Y16" i="58"/>
  <c r="M35" i="59"/>
  <c r="Y35" i="37"/>
  <c r="N18" i="49"/>
  <c r="S35" i="59"/>
  <c r="S35" i="53"/>
  <c r="M17" i="48"/>
  <c r="M35" i="60"/>
  <c r="S35" i="37"/>
  <c r="S35" i="52"/>
  <c r="M16" i="48"/>
  <c r="S35" i="55"/>
  <c r="Y35" i="48"/>
  <c r="Y42" i="57"/>
  <c r="Z42" i="57" s="1"/>
  <c r="M16" i="50"/>
  <c r="M18" i="51"/>
  <c r="M35" i="58"/>
  <c r="Y32" i="61"/>
  <c r="S32" i="62"/>
  <c r="T32" i="62" s="1"/>
  <c r="Y42" i="51"/>
  <c r="Z42" i="51" s="1"/>
  <c r="M35" i="51"/>
  <c r="Y35" i="50"/>
  <c r="S14" i="48"/>
  <c r="M35" i="48"/>
  <c r="M14" i="54"/>
  <c r="M15" i="55"/>
  <c r="Y41" i="62"/>
  <c r="Z41" i="62" s="1"/>
  <c r="Z14" i="48"/>
  <c r="Y15" i="51"/>
  <c r="Y41" i="61"/>
  <c r="Z41" i="61" s="1"/>
  <c r="Y42" i="55"/>
  <c r="Z42" i="55" s="1"/>
  <c r="Y42" i="43"/>
  <c r="Z42" i="43" s="1"/>
  <c r="Y14" i="53"/>
  <c r="Y15" i="52"/>
  <c r="Y42" i="11"/>
  <c r="Z42" i="11" s="1"/>
  <c r="Y42" i="60"/>
  <c r="Z42" i="60" s="1"/>
  <c r="Y15" i="50"/>
  <c r="Y42" i="42"/>
  <c r="Z42" i="42" s="1"/>
  <c r="Y42" i="52"/>
  <c r="Z42" i="52" s="1"/>
  <c r="S35" i="49"/>
  <c r="M20" i="49"/>
  <c r="N20" i="49" s="1"/>
  <c r="Y42" i="44"/>
  <c r="Z42" i="44" s="1"/>
  <c r="Y14" i="51"/>
  <c r="S35" i="60"/>
  <c r="Y42" i="49"/>
  <c r="Z42" i="49" s="1"/>
  <c r="M20" i="51"/>
  <c r="N20" i="51" s="1"/>
  <c r="Y35" i="51"/>
  <c r="Y15" i="53"/>
  <c r="S42" i="50"/>
  <c r="T42" i="50" s="1"/>
  <c r="S14" i="50"/>
  <c r="S35" i="51"/>
  <c r="S15" i="60"/>
  <c r="Z15" i="60"/>
  <c r="Y35" i="60"/>
  <c r="Z32" i="62"/>
  <c r="S14" i="51"/>
  <c r="Z14" i="51"/>
  <c r="Y14" i="48"/>
  <c r="S35" i="48"/>
  <c r="Y42" i="48"/>
  <c r="Z42" i="48" s="1"/>
  <c r="M16" i="51"/>
  <c r="Y42" i="53"/>
  <c r="Z42" i="53" s="1"/>
  <c r="Y35" i="58"/>
  <c r="Y42" i="59"/>
  <c r="Z42" i="59" s="1"/>
  <c r="S32" i="61"/>
  <c r="T32" i="61" s="1"/>
  <c r="Y32" i="62"/>
  <c r="Y42" i="45"/>
  <c r="Z42" i="45" s="1"/>
  <c r="Y14" i="49"/>
  <c r="Y42" i="54"/>
  <c r="Z42" i="54" s="1"/>
  <c r="S32" i="60"/>
  <c r="T32" i="60" s="1"/>
  <c r="Z32" i="61"/>
  <c r="Y15" i="60"/>
  <c r="M16" i="49"/>
  <c r="Y14" i="50"/>
  <c r="M17" i="50"/>
  <c r="Y42" i="50"/>
  <c r="Z42" i="50" s="1"/>
  <c r="Y14" i="52"/>
  <c r="M35" i="56"/>
  <c r="M35" i="57"/>
  <c r="M35" i="37"/>
  <c r="Y42" i="37"/>
  <c r="Z42" i="37" s="1"/>
  <c r="Y42" i="62"/>
  <c r="Z42" i="62" s="1"/>
  <c r="Y42" i="46"/>
  <c r="Z42" i="46" s="1"/>
  <c r="Y35" i="49"/>
  <c r="S35" i="50"/>
  <c r="Y35" i="56"/>
  <c r="Y35" i="57"/>
  <c r="Y32" i="60"/>
  <c r="T15" i="62"/>
  <c r="M15" i="62"/>
  <c r="S15" i="62"/>
  <c r="Z15" i="62"/>
  <c r="Y15" i="62"/>
  <c r="M42" i="62"/>
  <c r="N42" i="62" s="1"/>
  <c r="M41" i="62"/>
  <c r="N41" i="62" s="1"/>
  <c r="S41" i="62"/>
  <c r="T41" i="62" s="1"/>
  <c r="S42" i="62"/>
  <c r="T42" i="62" s="1"/>
  <c r="M41" i="61"/>
  <c r="N41" i="61" s="1"/>
  <c r="S41" i="61"/>
  <c r="T41" i="61" s="1"/>
  <c r="T15" i="60"/>
  <c r="M15" i="60"/>
  <c r="M42" i="60"/>
  <c r="N42" i="60" s="1"/>
  <c r="M17" i="60"/>
  <c r="M13" i="60"/>
  <c r="S17" i="60"/>
  <c r="Z14" i="60"/>
  <c r="Y16" i="60"/>
  <c r="S42" i="60"/>
  <c r="T42" i="60" s="1"/>
  <c r="S16" i="60"/>
  <c r="M18" i="60"/>
  <c r="Y15" i="59"/>
  <c r="M42" i="59"/>
  <c r="N42" i="59" s="1"/>
  <c r="S15" i="59"/>
  <c r="Z15" i="59"/>
  <c r="Y35" i="59"/>
  <c r="M15" i="59"/>
  <c r="S42" i="59"/>
  <c r="T42" i="59" s="1"/>
  <c r="M13" i="59"/>
  <c r="Y14" i="59"/>
  <c r="S17" i="59"/>
  <c r="M14" i="59"/>
  <c r="M42" i="37"/>
  <c r="N42" i="37" s="1"/>
  <c r="S42" i="37"/>
  <c r="T42" i="37" s="1"/>
  <c r="S15" i="37"/>
  <c r="Z15" i="37"/>
  <c r="Y15" i="37"/>
  <c r="T15" i="37"/>
  <c r="M15" i="37"/>
  <c r="S42" i="58"/>
  <c r="T42" i="58" s="1"/>
  <c r="M15" i="58"/>
  <c r="S15" i="58"/>
  <c r="Z15" i="58"/>
  <c r="Y42" i="58"/>
  <c r="Z42" i="58" s="1"/>
  <c r="Y15" i="58"/>
  <c r="M42" i="58"/>
  <c r="N42" i="58" s="1"/>
  <c r="S17" i="58"/>
  <c r="T15" i="58"/>
  <c r="S35" i="58"/>
  <c r="M13" i="58"/>
  <c r="M14" i="58"/>
  <c r="S18" i="58"/>
  <c r="S14" i="58"/>
  <c r="Y18" i="58"/>
  <c r="M15" i="57"/>
  <c r="T15" i="57"/>
  <c r="S15" i="57"/>
  <c r="Z15" i="57"/>
  <c r="Y15" i="57"/>
  <c r="M42" i="57"/>
  <c r="N42" i="57" s="1"/>
  <c r="S42" i="57"/>
  <c r="T42" i="57" s="1"/>
  <c r="M13" i="57"/>
  <c r="S17" i="57"/>
  <c r="Z14" i="57"/>
  <c r="T17" i="57"/>
  <c r="S13" i="57"/>
  <c r="S35" i="57"/>
  <c r="S42" i="56"/>
  <c r="T42" i="56" s="1"/>
  <c r="Y42" i="56"/>
  <c r="Z42" i="56" s="1"/>
  <c r="M15" i="56"/>
  <c r="N15" i="56"/>
  <c r="Y15" i="56"/>
  <c r="S15" i="56"/>
  <c r="Z15" i="56"/>
  <c r="M42" i="56"/>
  <c r="N42" i="56" s="1"/>
  <c r="S13" i="56"/>
  <c r="M16" i="56"/>
  <c r="S35" i="56"/>
  <c r="T13" i="56"/>
  <c r="Z17" i="56"/>
  <c r="S18" i="56"/>
  <c r="S14" i="56"/>
  <c r="Y18" i="56"/>
  <c r="M14" i="56"/>
  <c r="Z14" i="55"/>
  <c r="S14" i="55"/>
  <c r="M42" i="55"/>
  <c r="N42" i="55" s="1"/>
  <c r="Y14" i="55"/>
  <c r="Z15" i="55"/>
  <c r="S15" i="55"/>
  <c r="Y15" i="55"/>
  <c r="S42" i="55"/>
  <c r="T42" i="55" s="1"/>
  <c r="S18" i="55"/>
  <c r="S17" i="55"/>
  <c r="M16" i="55"/>
  <c r="Y17" i="55"/>
  <c r="T18" i="55"/>
  <c r="M14" i="55"/>
  <c r="T15" i="54"/>
  <c r="M15" i="54"/>
  <c r="Y15" i="54"/>
  <c r="M42" i="54"/>
  <c r="N42" i="54" s="1"/>
  <c r="S14" i="54"/>
  <c r="Z14" i="54"/>
  <c r="Y14" i="54"/>
  <c r="Z15" i="54"/>
  <c r="S15" i="54"/>
  <c r="S42" i="54"/>
  <c r="T42" i="54" s="1"/>
  <c r="T18" i="54"/>
  <c r="M35" i="54"/>
  <c r="T14" i="54"/>
  <c r="Z17" i="54"/>
  <c r="M15" i="53"/>
  <c r="T15" i="53"/>
  <c r="M42" i="53"/>
  <c r="N42" i="53" s="1"/>
  <c r="S15" i="53"/>
  <c r="S14" i="53"/>
  <c r="Z14" i="53"/>
  <c r="M14" i="53"/>
  <c r="Z15" i="53"/>
  <c r="M18" i="53"/>
  <c r="S42" i="53"/>
  <c r="T42" i="53" s="1"/>
  <c r="S17" i="53"/>
  <c r="S15" i="52"/>
  <c r="M42" i="52"/>
  <c r="N42" i="52" s="1"/>
  <c r="T15" i="52"/>
  <c r="M15" i="52"/>
  <c r="S14" i="52"/>
  <c r="Z14" i="52"/>
  <c r="M14" i="52"/>
  <c r="Z15" i="52"/>
  <c r="M18" i="52"/>
  <c r="S42" i="52"/>
  <c r="T42" i="52" s="1"/>
  <c r="S17" i="52"/>
  <c r="M42" i="51"/>
  <c r="N42" i="51" s="1"/>
  <c r="T15" i="51"/>
  <c r="M15" i="51"/>
  <c r="M14" i="51"/>
  <c r="T14" i="51"/>
  <c r="S15" i="51"/>
  <c r="Z15" i="51"/>
  <c r="M17" i="51"/>
  <c r="S42" i="51"/>
  <c r="T42" i="51" s="1"/>
  <c r="S16" i="51"/>
  <c r="T15" i="50"/>
  <c r="S15" i="50"/>
  <c r="M15" i="50"/>
  <c r="M14" i="50"/>
  <c r="T14" i="50"/>
  <c r="M42" i="50"/>
  <c r="N42" i="50" s="1"/>
  <c r="M35" i="50"/>
  <c r="M20" i="50"/>
  <c r="N20" i="50" s="1"/>
  <c r="M18" i="50"/>
  <c r="Z14" i="50"/>
  <c r="Y16" i="50"/>
  <c r="T17" i="50"/>
  <c r="Z16" i="50"/>
  <c r="S18" i="50"/>
  <c r="M42" i="49"/>
  <c r="N42" i="49" s="1"/>
  <c r="M14" i="49"/>
  <c r="T14" i="49"/>
  <c r="S15" i="49"/>
  <c r="Z15" i="49"/>
  <c r="T15" i="49"/>
  <c r="M15" i="49"/>
  <c r="Y15" i="49"/>
  <c r="S14" i="49"/>
  <c r="M35" i="49"/>
  <c r="M17" i="49"/>
  <c r="T20" i="49"/>
  <c r="S42" i="49"/>
  <c r="T42" i="49" s="1"/>
  <c r="S16" i="49"/>
  <c r="T15" i="48"/>
  <c r="M15" i="48"/>
  <c r="M14" i="48"/>
  <c r="T14" i="48"/>
  <c r="S15" i="48"/>
  <c r="Z15" i="48"/>
  <c r="M42" i="48"/>
  <c r="N42" i="48" s="1"/>
  <c r="Y15" i="48"/>
  <c r="S42" i="48"/>
  <c r="T42" i="48" s="1"/>
  <c r="M20" i="48"/>
  <c r="N20" i="48" s="1"/>
  <c r="M18" i="48"/>
  <c r="T17" i="48"/>
  <c r="S16" i="48"/>
  <c r="S18" i="48"/>
  <c r="S42" i="11"/>
  <c r="T42" i="11" s="1"/>
  <c r="S42" i="42"/>
  <c r="T42" i="42" s="1"/>
  <c r="S42" i="43"/>
  <c r="T42" i="43" s="1"/>
  <c r="S42" i="44"/>
  <c r="T42" i="44" s="1"/>
  <c r="S42" i="45"/>
  <c r="T42" i="45" s="1"/>
  <c r="S42" i="46"/>
  <c r="T42" i="46" s="1"/>
  <c r="F40" i="62" l="1"/>
  <c r="F37" i="62"/>
  <c r="F35" i="62"/>
  <c r="F34" i="62"/>
  <c r="F35" i="17"/>
  <c r="F40" i="61"/>
  <c r="F37" i="61"/>
  <c r="F35" i="61"/>
  <c r="F34" i="61"/>
  <c r="AB34" i="16"/>
  <c r="V34" i="16"/>
  <c r="P34" i="16"/>
  <c r="J34" i="16"/>
  <c r="F40" i="16"/>
  <c r="F34" i="16"/>
  <c r="F37" i="60"/>
  <c r="F34" i="60"/>
  <c r="AB34" i="15"/>
  <c r="V34" i="15"/>
  <c r="P34" i="15"/>
  <c r="J34" i="15"/>
  <c r="F37" i="15"/>
  <c r="F34" i="15"/>
  <c r="F37" i="55"/>
  <c r="F37" i="54"/>
  <c r="F37" i="53"/>
  <c r="F38" i="53" s="1"/>
  <c r="F37" i="52"/>
  <c r="F38" i="52" s="1"/>
  <c r="W34" i="61" l="1"/>
  <c r="Q34" i="61"/>
  <c r="K34" i="61"/>
  <c r="H34" i="61"/>
  <c r="W35" i="61"/>
  <c r="Q35" i="61"/>
  <c r="H35" i="61"/>
  <c r="K35" i="61"/>
  <c r="F38" i="55"/>
  <c r="H40" i="62"/>
  <c r="K40" i="62"/>
  <c r="W40" i="62"/>
  <c r="Q40" i="62"/>
  <c r="F38" i="61"/>
  <c r="F38" i="54"/>
  <c r="W35" i="62"/>
  <c r="Q35" i="62"/>
  <c r="K35" i="62"/>
  <c r="H35" i="62"/>
  <c r="F38" i="60"/>
  <c r="F38" i="62"/>
  <c r="H40" i="61"/>
  <c r="W40" i="61"/>
  <c r="Q40" i="61"/>
  <c r="K40" i="61"/>
  <c r="H34" i="60"/>
  <c r="W34" i="60"/>
  <c r="K34" i="60"/>
  <c r="Q34" i="60"/>
  <c r="F40" i="60"/>
  <c r="F37" i="51"/>
  <c r="F34" i="51"/>
  <c r="F37" i="50"/>
  <c r="F34" i="50"/>
  <c r="F37" i="49"/>
  <c r="F34" i="49"/>
  <c r="F37" i="48"/>
  <c r="F34" i="48"/>
  <c r="AB34" i="12"/>
  <c r="V34" i="12"/>
  <c r="P34" i="12"/>
  <c r="J34" i="12"/>
  <c r="F37" i="12"/>
  <c r="F34" i="12"/>
  <c r="AB34" i="47"/>
  <c r="V34" i="47"/>
  <c r="P34" i="47"/>
  <c r="J34" i="47"/>
  <c r="F37" i="47"/>
  <c r="F34" i="47"/>
  <c r="AB34" i="46"/>
  <c r="V34" i="46"/>
  <c r="P34" i="46"/>
  <c r="J34" i="46"/>
  <c r="F37" i="46"/>
  <c r="F34" i="46"/>
  <c r="AB34" i="45"/>
  <c r="V34" i="45"/>
  <c r="P34" i="45"/>
  <c r="J34" i="45"/>
  <c r="F37" i="45"/>
  <c r="F34" i="45"/>
  <c r="AB34" i="44"/>
  <c r="V34" i="44"/>
  <c r="P34" i="44"/>
  <c r="J34" i="44"/>
  <c r="F37" i="44"/>
  <c r="F34" i="44"/>
  <c r="AB34" i="43"/>
  <c r="V34" i="43"/>
  <c r="P34" i="43"/>
  <c r="J34" i="43"/>
  <c r="F37" i="43"/>
  <c r="F34" i="43"/>
  <c r="AB34" i="42"/>
  <c r="V34" i="42"/>
  <c r="P34" i="42"/>
  <c r="J34" i="42"/>
  <c r="F37" i="42"/>
  <c r="F34" i="42"/>
  <c r="AB34" i="11"/>
  <c r="V34" i="11"/>
  <c r="P34" i="11"/>
  <c r="J34" i="11"/>
  <c r="F37" i="11"/>
  <c r="F34" i="11"/>
  <c r="M40" i="61" l="1"/>
  <c r="N40" i="61" s="1"/>
  <c r="Y34" i="60"/>
  <c r="Z34" i="60" s="1"/>
  <c r="M35" i="61"/>
  <c r="S40" i="62"/>
  <c r="T40" i="62" s="1"/>
  <c r="M34" i="60"/>
  <c r="N34" i="60" s="1"/>
  <c r="S35" i="61"/>
  <c r="M34" i="61"/>
  <c r="N34" i="61" s="1"/>
  <c r="H34" i="50"/>
  <c r="Q34" i="50"/>
  <c r="W34" i="50"/>
  <c r="K34" i="50"/>
  <c r="M35" i="62"/>
  <c r="S34" i="61"/>
  <c r="T34" i="61" s="1"/>
  <c r="Y34" i="61"/>
  <c r="Z34" i="61" s="1"/>
  <c r="W34" i="51"/>
  <c r="Q34" i="51"/>
  <c r="K34" i="51"/>
  <c r="H34" i="51"/>
  <c r="S40" i="61"/>
  <c r="T40" i="61" s="1"/>
  <c r="F41" i="60"/>
  <c r="Y35" i="62"/>
  <c r="Y40" i="62"/>
  <c r="Z40" i="62" s="1"/>
  <c r="Y40" i="61"/>
  <c r="Z40" i="61" s="1"/>
  <c r="M40" i="62"/>
  <c r="N40" i="62" s="1"/>
  <c r="H34" i="49"/>
  <c r="K34" i="49"/>
  <c r="Q34" i="49"/>
  <c r="W34" i="49"/>
  <c r="S35" i="62"/>
  <c r="K34" i="48"/>
  <c r="W34" i="48"/>
  <c r="Q34" i="48"/>
  <c r="H34" i="48"/>
  <c r="Q40" i="60"/>
  <c r="W40" i="60"/>
  <c r="K40" i="60"/>
  <c r="H40" i="60"/>
  <c r="S34" i="60"/>
  <c r="T34" i="60" s="1"/>
  <c r="Y35" i="61"/>
  <c r="F43" i="51"/>
  <c r="K43" i="51" s="1"/>
  <c r="F43" i="50"/>
  <c r="K43" i="50" s="1"/>
  <c r="F43" i="49"/>
  <c r="K43" i="49" s="1"/>
  <c r="F43" i="48"/>
  <c r="K43" i="48" s="1"/>
  <c r="Y34" i="48" l="1"/>
  <c r="Z34" i="48" s="1"/>
  <c r="M34" i="49"/>
  <c r="N34" i="49" s="1"/>
  <c r="S40" i="60"/>
  <c r="T40" i="60" s="1"/>
  <c r="Y34" i="51"/>
  <c r="Z34" i="51" s="1"/>
  <c r="M34" i="48"/>
  <c r="N34" i="48" s="1"/>
  <c r="Y34" i="49"/>
  <c r="Z34" i="49" s="1"/>
  <c r="Y34" i="50"/>
  <c r="Z34" i="50" s="1"/>
  <c r="M34" i="50"/>
  <c r="N34" i="50" s="1"/>
  <c r="M40" i="60"/>
  <c r="N40" i="60" s="1"/>
  <c r="K41" i="60"/>
  <c r="H41" i="60"/>
  <c r="W41" i="60"/>
  <c r="Q41" i="60"/>
  <c r="Y40" i="60"/>
  <c r="Z40" i="60" s="1"/>
  <c r="S34" i="49"/>
  <c r="T34" i="49" s="1"/>
  <c r="S34" i="50"/>
  <c r="T34" i="50" s="1"/>
  <c r="M34" i="51"/>
  <c r="N34" i="51" s="1"/>
  <c r="S34" i="48"/>
  <c r="T34" i="48" s="1"/>
  <c r="S34" i="51"/>
  <c r="T34" i="51" s="1"/>
  <c r="AC43" i="51"/>
  <c r="AC43" i="50"/>
  <c r="AC43" i="48"/>
  <c r="Q43" i="51"/>
  <c r="H43" i="51"/>
  <c r="M43" i="51" s="1"/>
  <c r="W43" i="51"/>
  <c r="Q43" i="50"/>
  <c r="H43" i="50"/>
  <c r="M43" i="50" s="1"/>
  <c r="W43" i="50"/>
  <c r="Q43" i="49"/>
  <c r="H43" i="49"/>
  <c r="W43" i="49"/>
  <c r="AC43" i="49"/>
  <c r="Q43" i="48"/>
  <c r="H43" i="48"/>
  <c r="M43" i="48" s="1"/>
  <c r="W43" i="48"/>
  <c r="AE43" i="48" s="1"/>
  <c r="AE43" i="50" l="1"/>
  <c r="AE43" i="51"/>
  <c r="S41" i="60"/>
  <c r="T41" i="60" s="1"/>
  <c r="Y41" i="60"/>
  <c r="Z41" i="60" s="1"/>
  <c r="M41" i="60"/>
  <c r="N41" i="60" s="1"/>
  <c r="AE43" i="49"/>
  <c r="Y43" i="51"/>
  <c r="Z43" i="51" s="1"/>
  <c r="AF43" i="51"/>
  <c r="N43" i="51"/>
  <c r="S43" i="51"/>
  <c r="T43" i="51" s="1"/>
  <c r="Y43" i="50"/>
  <c r="Z43" i="50" s="1"/>
  <c r="AF43" i="50"/>
  <c r="N43" i="50"/>
  <c r="S43" i="50"/>
  <c r="T43" i="50" s="1"/>
  <c r="Y43" i="49"/>
  <c r="Z43" i="49" s="1"/>
  <c r="AF43" i="49"/>
  <c r="S43" i="49"/>
  <c r="T43" i="49" s="1"/>
  <c r="M43" i="49"/>
  <c r="N43" i="49" s="1"/>
  <c r="Y43" i="48"/>
  <c r="Z43" i="48" s="1"/>
  <c r="AF43" i="48"/>
  <c r="N43" i="48"/>
  <c r="S43" i="48"/>
  <c r="T43" i="48" s="1"/>
  <c r="F44" i="15"/>
  <c r="Q44" i="15" s="1"/>
  <c r="F45" i="15"/>
  <c r="K45" i="15" s="1"/>
  <c r="F46" i="15"/>
  <c r="W46" i="15" s="1"/>
  <c r="H46" i="15"/>
  <c r="Q46" i="15"/>
  <c r="F47" i="15"/>
  <c r="K47" i="15" s="1"/>
  <c r="F48" i="15"/>
  <c r="Q48" i="15" s="1"/>
  <c r="F44" i="60"/>
  <c r="AC44" i="60" s="1"/>
  <c r="F45" i="60"/>
  <c r="AC45" i="60" s="1"/>
  <c r="W45" i="60"/>
  <c r="F46" i="60"/>
  <c r="AC46" i="60" s="1"/>
  <c r="F47" i="60"/>
  <c r="K47" i="60" s="1"/>
  <c r="F48" i="60"/>
  <c r="Q48" i="60" s="1"/>
  <c r="F43" i="12"/>
  <c r="W43" i="12" s="1"/>
  <c r="F43" i="47"/>
  <c r="K43" i="47" s="1"/>
  <c r="F43" i="46"/>
  <c r="H43" i="46" s="1"/>
  <c r="F43" i="45"/>
  <c r="F43" i="44"/>
  <c r="W43" i="44" s="1"/>
  <c r="F43" i="43"/>
  <c r="H43" i="43" s="1"/>
  <c r="F43" i="42"/>
  <c r="H43" i="42" s="1"/>
  <c r="W44" i="60" l="1"/>
  <c r="K44" i="60"/>
  <c r="W44" i="15"/>
  <c r="Y46" i="15"/>
  <c r="Q44" i="60"/>
  <c r="S44" i="60" s="1"/>
  <c r="T44" i="60" s="1"/>
  <c r="H45" i="15"/>
  <c r="M45" i="15" s="1"/>
  <c r="N45" i="15" s="1"/>
  <c r="K43" i="43"/>
  <c r="M43" i="43" s="1"/>
  <c r="N43" i="43" s="1"/>
  <c r="AC44" i="15"/>
  <c r="AE44" i="15" s="1"/>
  <c r="AF44" i="15" s="1"/>
  <c r="K43" i="42"/>
  <c r="M43" i="42" s="1"/>
  <c r="N43" i="42" s="1"/>
  <c r="AC43" i="42"/>
  <c r="K46" i="60"/>
  <c r="AE44" i="60"/>
  <c r="Q45" i="60"/>
  <c r="Y45" i="60" s="1"/>
  <c r="Z45" i="60" s="1"/>
  <c r="K45" i="60"/>
  <c r="AE46" i="60"/>
  <c r="AF46" i="60" s="1"/>
  <c r="H45" i="60"/>
  <c r="Q46" i="60"/>
  <c r="W46" i="60"/>
  <c r="AE45" i="60"/>
  <c r="H46" i="60"/>
  <c r="Z46" i="15"/>
  <c r="K46" i="15"/>
  <c r="M46" i="15" s="1"/>
  <c r="N46" i="15" s="1"/>
  <c r="AC46" i="15"/>
  <c r="AE46" i="15" s="1"/>
  <c r="AF46" i="15" s="1"/>
  <c r="AC45" i="15"/>
  <c r="K44" i="15"/>
  <c r="W45" i="15"/>
  <c r="Q45" i="15"/>
  <c r="Y44" i="15"/>
  <c r="Z44" i="15" s="1"/>
  <c r="K43" i="12"/>
  <c r="AC43" i="12"/>
  <c r="AE43" i="12" s="1"/>
  <c r="AF43" i="12" s="1"/>
  <c r="AC43" i="47"/>
  <c r="W43" i="46"/>
  <c r="AF43" i="46" s="1"/>
  <c r="AC43" i="46"/>
  <c r="K43" i="46"/>
  <c r="M43" i="46" s="1"/>
  <c r="N43" i="46" s="1"/>
  <c r="W43" i="45"/>
  <c r="AC43" i="45"/>
  <c r="K43" i="45"/>
  <c r="AC43" i="44"/>
  <c r="AE43" i="44" s="1"/>
  <c r="K43" i="44"/>
  <c r="AC43" i="43"/>
  <c r="W43" i="43"/>
  <c r="AF43" i="43" s="1"/>
  <c r="W43" i="42"/>
  <c r="AF43" i="42" s="1"/>
  <c r="AF45" i="60"/>
  <c r="AF44" i="60"/>
  <c r="S45" i="15"/>
  <c r="T45" i="15" s="1"/>
  <c r="H48" i="15"/>
  <c r="W47" i="15"/>
  <c r="H47" i="15"/>
  <c r="M47" i="15" s="1"/>
  <c r="AC48" i="15"/>
  <c r="H44" i="15"/>
  <c r="K48" i="15"/>
  <c r="S48" i="15" s="1"/>
  <c r="AC47" i="15"/>
  <c r="W48" i="15"/>
  <c r="Q47" i="15"/>
  <c r="H48" i="60"/>
  <c r="W47" i="60"/>
  <c r="H47" i="60"/>
  <c r="AC48" i="60"/>
  <c r="H44" i="60"/>
  <c r="Q47" i="60"/>
  <c r="K48" i="60"/>
  <c r="S48" i="60" s="1"/>
  <c r="AC47" i="60"/>
  <c r="W48" i="60"/>
  <c r="Q43" i="12"/>
  <c r="Y43" i="12" s="1"/>
  <c r="H43" i="12"/>
  <c r="Q43" i="47"/>
  <c r="H43" i="47"/>
  <c r="M43" i="47" s="1"/>
  <c r="W43" i="47"/>
  <c r="Q43" i="46"/>
  <c r="AF43" i="45"/>
  <c r="AE43" i="45"/>
  <c r="Q43" i="45"/>
  <c r="H43" i="45"/>
  <c r="AF43" i="44"/>
  <c r="Q43" i="44"/>
  <c r="Y43" i="44" s="1"/>
  <c r="H43" i="44"/>
  <c r="Q43" i="43"/>
  <c r="Q43" i="42"/>
  <c r="F48" i="51"/>
  <c r="H48" i="51" s="1"/>
  <c r="F47" i="51"/>
  <c r="W47" i="51" s="1"/>
  <c r="F46" i="51"/>
  <c r="W46" i="51" s="1"/>
  <c r="F45" i="51"/>
  <c r="K45" i="51" s="1"/>
  <c r="F44" i="51"/>
  <c r="F48" i="50"/>
  <c r="AC48" i="50" s="1"/>
  <c r="F47" i="50"/>
  <c r="F46" i="50"/>
  <c r="H46" i="50" s="1"/>
  <c r="F45" i="50"/>
  <c r="Q45" i="50" s="1"/>
  <c r="F44" i="50"/>
  <c r="H44" i="50" s="1"/>
  <c r="F48" i="49"/>
  <c r="H48" i="49" s="1"/>
  <c r="F47" i="49"/>
  <c r="W47" i="49" s="1"/>
  <c r="F46" i="49"/>
  <c r="W46" i="49" s="1"/>
  <c r="F45" i="49"/>
  <c r="K45" i="49" s="1"/>
  <c r="F44" i="49"/>
  <c r="AC44" i="49" s="1"/>
  <c r="F48" i="48"/>
  <c r="W48" i="48" s="1"/>
  <c r="F47" i="48"/>
  <c r="K47" i="48" s="1"/>
  <c r="F46" i="48"/>
  <c r="AC46" i="48" s="1"/>
  <c r="F45" i="48"/>
  <c r="AC45" i="48" s="1"/>
  <c r="F44" i="48"/>
  <c r="Q44" i="48" s="1"/>
  <c r="F48" i="47"/>
  <c r="W48" i="47" s="1"/>
  <c r="F47" i="47"/>
  <c r="W47" i="47" s="1"/>
  <c r="F46" i="47"/>
  <c r="K46" i="47" s="1"/>
  <c r="F45" i="47"/>
  <c r="AC45" i="47" s="1"/>
  <c r="F44" i="47"/>
  <c r="AC44" i="47" s="1"/>
  <c r="F48" i="46"/>
  <c r="W48" i="46" s="1"/>
  <c r="F47" i="46"/>
  <c r="W47" i="46" s="1"/>
  <c r="F46" i="46"/>
  <c r="K46" i="46" s="1"/>
  <c r="F45" i="46"/>
  <c r="AC45" i="46" s="1"/>
  <c r="F44" i="46"/>
  <c r="AC44" i="46" s="1"/>
  <c r="F48" i="45"/>
  <c r="F47" i="45"/>
  <c r="F46" i="45"/>
  <c r="F45" i="45"/>
  <c r="F44" i="45"/>
  <c r="F48" i="44"/>
  <c r="W48" i="44" s="1"/>
  <c r="F47" i="44"/>
  <c r="K47" i="44" s="1"/>
  <c r="F46" i="44"/>
  <c r="AC46" i="44" s="1"/>
  <c r="F45" i="44"/>
  <c r="AC45" i="44" s="1"/>
  <c r="F44" i="44"/>
  <c r="Q44" i="44" s="1"/>
  <c r="F48" i="43"/>
  <c r="AC48" i="43" s="1"/>
  <c r="F47" i="43"/>
  <c r="Q47" i="43" s="1"/>
  <c r="F46" i="43"/>
  <c r="Q46" i="43" s="1"/>
  <c r="F45" i="43"/>
  <c r="H45" i="43" s="1"/>
  <c r="F44" i="43"/>
  <c r="Q44" i="43" s="1"/>
  <c r="F48" i="42"/>
  <c r="K48" i="42" s="1"/>
  <c r="F47" i="42"/>
  <c r="F46" i="42"/>
  <c r="H46" i="42" s="1"/>
  <c r="F45" i="42"/>
  <c r="Q45" i="42" s="1"/>
  <c r="F44" i="42"/>
  <c r="AC44" i="42" s="1"/>
  <c r="W48" i="49" l="1"/>
  <c r="AE48" i="60"/>
  <c r="Y44" i="60"/>
  <c r="Z44" i="60" s="1"/>
  <c r="AC48" i="49"/>
  <c r="AE43" i="46"/>
  <c r="M43" i="44"/>
  <c r="K45" i="42"/>
  <c r="AE43" i="47"/>
  <c r="S46" i="15"/>
  <c r="T46" i="15" s="1"/>
  <c r="M46" i="60"/>
  <c r="N46" i="60" s="1"/>
  <c r="M43" i="45"/>
  <c r="N43" i="45" s="1"/>
  <c r="M43" i="12"/>
  <c r="S46" i="60"/>
  <c r="T46" i="60" s="1"/>
  <c r="AC45" i="42"/>
  <c r="AE47" i="60"/>
  <c r="AF47" i="60" s="1"/>
  <c r="M45" i="60"/>
  <c r="N45" i="60" s="1"/>
  <c r="Y45" i="15"/>
  <c r="Z45" i="15" s="1"/>
  <c r="S45" i="60"/>
  <c r="T45" i="60" s="1"/>
  <c r="Y46" i="60"/>
  <c r="Z46" i="60" s="1"/>
  <c r="S44" i="15"/>
  <c r="T44" i="15" s="1"/>
  <c r="AE45" i="15"/>
  <c r="AF45" i="15" s="1"/>
  <c r="K47" i="51"/>
  <c r="AC47" i="51"/>
  <c r="AE47" i="51" s="1"/>
  <c r="AF47" i="51" s="1"/>
  <c r="AC45" i="51"/>
  <c r="K48" i="51"/>
  <c r="K46" i="51"/>
  <c r="W48" i="51"/>
  <c r="Q46" i="51"/>
  <c r="AC48" i="51"/>
  <c r="AC46" i="51"/>
  <c r="AE46" i="51" s="1"/>
  <c r="AF46" i="51" s="1"/>
  <c r="W44" i="50"/>
  <c r="AC44" i="50"/>
  <c r="K44" i="50"/>
  <c r="M44" i="50" s="1"/>
  <c r="N44" i="50" s="1"/>
  <c r="K45" i="50"/>
  <c r="S45" i="50" s="1"/>
  <c r="T45" i="50" s="1"/>
  <c r="W45" i="50"/>
  <c r="Y45" i="50" s="1"/>
  <c r="Z45" i="50" s="1"/>
  <c r="H45" i="50"/>
  <c r="AC45" i="50"/>
  <c r="K47" i="49"/>
  <c r="K46" i="49"/>
  <c r="AC46" i="49"/>
  <c r="AE46" i="49" s="1"/>
  <c r="AF46" i="49" s="1"/>
  <c r="AE48" i="49"/>
  <c r="AF48" i="49" s="1"/>
  <c r="AC47" i="49"/>
  <c r="AE47" i="49" s="1"/>
  <c r="AF47" i="49" s="1"/>
  <c r="AC45" i="49"/>
  <c r="K48" i="49"/>
  <c r="M48" i="49" s="1"/>
  <c r="N48" i="49" s="1"/>
  <c r="AC47" i="48"/>
  <c r="K44" i="48"/>
  <c r="S44" i="48" s="1"/>
  <c r="T44" i="48" s="1"/>
  <c r="K48" i="48"/>
  <c r="W44" i="48"/>
  <c r="Y44" i="48" s="1"/>
  <c r="Z44" i="48" s="1"/>
  <c r="AC48" i="48"/>
  <c r="H44" i="48"/>
  <c r="AC44" i="48"/>
  <c r="K47" i="47"/>
  <c r="AC47" i="47"/>
  <c r="AE47" i="47" s="1"/>
  <c r="AF47" i="47" s="1"/>
  <c r="K48" i="47"/>
  <c r="AC48" i="47"/>
  <c r="AE48" i="47" s="1"/>
  <c r="AF48" i="47" s="1"/>
  <c r="AC46" i="47"/>
  <c r="K48" i="46"/>
  <c r="AC48" i="46"/>
  <c r="AE48" i="46" s="1"/>
  <c r="AF48" i="46" s="1"/>
  <c r="AC46" i="46"/>
  <c r="K47" i="46"/>
  <c r="AC47" i="46"/>
  <c r="AE47" i="46" s="1"/>
  <c r="AF47" i="46" s="1"/>
  <c r="W48" i="45"/>
  <c r="AC44" i="45"/>
  <c r="AC45" i="45"/>
  <c r="K46" i="45"/>
  <c r="W47" i="45"/>
  <c r="K48" i="45"/>
  <c r="AC46" i="45"/>
  <c r="K47" i="45"/>
  <c r="AC48" i="45"/>
  <c r="AC47" i="45"/>
  <c r="H44" i="44"/>
  <c r="M44" i="44" s="1"/>
  <c r="N44" i="44" s="1"/>
  <c r="K44" i="44"/>
  <c r="S44" i="44" s="1"/>
  <c r="T44" i="44" s="1"/>
  <c r="AC44" i="44"/>
  <c r="AC47" i="44"/>
  <c r="K48" i="44"/>
  <c r="W44" i="44"/>
  <c r="AC48" i="44"/>
  <c r="AE48" i="44" s="1"/>
  <c r="AF48" i="44" s="1"/>
  <c r="H46" i="43"/>
  <c r="H44" i="43"/>
  <c r="K44" i="43"/>
  <c r="W44" i="43"/>
  <c r="Y44" i="43" s="1"/>
  <c r="Z44" i="43" s="1"/>
  <c r="AC44" i="43"/>
  <c r="K48" i="43"/>
  <c r="AE43" i="43"/>
  <c r="W45" i="42"/>
  <c r="Y45" i="42" s="1"/>
  <c r="Z45" i="42" s="1"/>
  <c r="AE43" i="42"/>
  <c r="H45" i="42"/>
  <c r="K44" i="42"/>
  <c r="H44" i="42"/>
  <c r="W44" i="42"/>
  <c r="AE44" i="42" s="1"/>
  <c r="AC48" i="42"/>
  <c r="Y48" i="15"/>
  <c r="Z48" i="15" s="1"/>
  <c r="AE47" i="15"/>
  <c r="AF47" i="15" s="1"/>
  <c r="N47" i="15"/>
  <c r="M48" i="15"/>
  <c r="N48" i="15" s="1"/>
  <c r="T48" i="15"/>
  <c r="Y47" i="15"/>
  <c r="Z47" i="15" s="1"/>
  <c r="M44" i="15"/>
  <c r="N44" i="15" s="1"/>
  <c r="S47" i="15"/>
  <c r="T47" i="15" s="1"/>
  <c r="AE48" i="15"/>
  <c r="AF48" i="15" s="1"/>
  <c r="M44" i="60"/>
  <c r="N44" i="60" s="1"/>
  <c r="Y48" i="60"/>
  <c r="Z48" i="60" s="1"/>
  <c r="AF48" i="60"/>
  <c r="M48" i="60"/>
  <c r="N48" i="60" s="1"/>
  <c r="T48" i="60"/>
  <c r="M47" i="60"/>
  <c r="N47" i="60" s="1"/>
  <c r="S47" i="60"/>
  <c r="T47" i="60" s="1"/>
  <c r="Y47" i="60"/>
  <c r="Z47" i="60" s="1"/>
  <c r="N43" i="12"/>
  <c r="S43" i="12"/>
  <c r="T43" i="12" s="1"/>
  <c r="Z43" i="12"/>
  <c r="Y43" i="47"/>
  <c r="AF43" i="47"/>
  <c r="N43" i="47"/>
  <c r="Z43" i="47"/>
  <c r="S43" i="47"/>
  <c r="T43" i="47" s="1"/>
  <c r="S43" i="46"/>
  <c r="T43" i="46" s="1"/>
  <c r="Z43" i="46"/>
  <c r="Y43" i="46"/>
  <c r="S43" i="45"/>
  <c r="T43" i="45" s="1"/>
  <c r="Z43" i="45"/>
  <c r="Y43" i="45"/>
  <c r="N43" i="44"/>
  <c r="S43" i="44"/>
  <c r="T43" i="44" s="1"/>
  <c r="Z43" i="44"/>
  <c r="S43" i="43"/>
  <c r="T43" i="43" s="1"/>
  <c r="Z43" i="43"/>
  <c r="Y43" i="43"/>
  <c r="S43" i="42"/>
  <c r="T43" i="42" s="1"/>
  <c r="Z43" i="42"/>
  <c r="Y43" i="42"/>
  <c r="Q45" i="51"/>
  <c r="H44" i="51"/>
  <c r="M48" i="51"/>
  <c r="N48" i="51" s="1"/>
  <c r="W44" i="51"/>
  <c r="H45" i="51"/>
  <c r="Q47" i="51"/>
  <c r="Y47" i="51" s="1"/>
  <c r="W45" i="51"/>
  <c r="H46" i="51"/>
  <c r="Q48" i="51"/>
  <c r="K44" i="51"/>
  <c r="H47" i="51"/>
  <c r="AC44" i="51"/>
  <c r="Q44" i="51"/>
  <c r="Q48" i="50"/>
  <c r="W46" i="50"/>
  <c r="H47" i="50"/>
  <c r="W47" i="50"/>
  <c r="H48" i="50"/>
  <c r="K46" i="50"/>
  <c r="W48" i="50"/>
  <c r="AE48" i="50" s="1"/>
  <c r="Q44" i="50"/>
  <c r="AC46" i="50"/>
  <c r="K47" i="50"/>
  <c r="AC47" i="50"/>
  <c r="K48" i="50"/>
  <c r="Q46" i="50"/>
  <c r="Q47" i="50"/>
  <c r="Q44" i="49"/>
  <c r="Q45" i="49"/>
  <c r="H44" i="49"/>
  <c r="Q46" i="49"/>
  <c r="W44" i="49"/>
  <c r="AE44" i="49" s="1"/>
  <c r="H45" i="49"/>
  <c r="M45" i="49" s="1"/>
  <c r="Q47" i="49"/>
  <c r="Y47" i="49" s="1"/>
  <c r="W45" i="49"/>
  <c r="H46" i="49"/>
  <c r="Q48" i="49"/>
  <c r="K44" i="49"/>
  <c r="H47" i="49"/>
  <c r="AE48" i="48"/>
  <c r="AF48" i="48" s="1"/>
  <c r="Q45" i="48"/>
  <c r="Q46" i="48"/>
  <c r="H45" i="48"/>
  <c r="Q47" i="48"/>
  <c r="W45" i="48"/>
  <c r="AE45" i="48" s="1"/>
  <c r="H46" i="48"/>
  <c r="Q48" i="48"/>
  <c r="W46" i="48"/>
  <c r="AE46" i="48" s="1"/>
  <c r="H47" i="48"/>
  <c r="K45" i="48"/>
  <c r="W47" i="48"/>
  <c r="H48" i="48"/>
  <c r="M48" i="48" s="1"/>
  <c r="K46" i="48"/>
  <c r="Q44" i="47"/>
  <c r="Q45" i="47"/>
  <c r="H44" i="47"/>
  <c r="Q46" i="47"/>
  <c r="W44" i="47"/>
  <c r="H45" i="47"/>
  <c r="Q47" i="47"/>
  <c r="Y47" i="47" s="1"/>
  <c r="W45" i="47"/>
  <c r="H46" i="47"/>
  <c r="Q48" i="47"/>
  <c r="K44" i="47"/>
  <c r="W46" i="47"/>
  <c r="H47" i="47"/>
  <c r="K45" i="47"/>
  <c r="H48" i="47"/>
  <c r="Q44" i="46"/>
  <c r="Q45" i="46"/>
  <c r="H44" i="46"/>
  <c r="Q46" i="46"/>
  <c r="W44" i="46"/>
  <c r="H45" i="46"/>
  <c r="Q47" i="46"/>
  <c r="Y47" i="46" s="1"/>
  <c r="W45" i="46"/>
  <c r="H46" i="46"/>
  <c r="Q48" i="46"/>
  <c r="K44" i="46"/>
  <c r="W46" i="46"/>
  <c r="H47" i="46"/>
  <c r="K45" i="46"/>
  <c r="H48" i="46"/>
  <c r="Q44" i="45"/>
  <c r="Q45" i="45"/>
  <c r="H44" i="45"/>
  <c r="Q46" i="45"/>
  <c r="W44" i="45"/>
  <c r="H45" i="45"/>
  <c r="Q47" i="45"/>
  <c r="Y47" i="45" s="1"/>
  <c r="W45" i="45"/>
  <c r="H46" i="45"/>
  <c r="Q48" i="45"/>
  <c r="K44" i="45"/>
  <c r="W46" i="45"/>
  <c r="H47" i="45"/>
  <c r="K45" i="45"/>
  <c r="H48" i="45"/>
  <c r="Q45" i="44"/>
  <c r="Q46" i="44"/>
  <c r="H45" i="44"/>
  <c r="Q47" i="44"/>
  <c r="W45" i="44"/>
  <c r="AE45" i="44" s="1"/>
  <c r="H46" i="44"/>
  <c r="Q48" i="44"/>
  <c r="W46" i="44"/>
  <c r="AE46" i="44" s="1"/>
  <c r="H47" i="44"/>
  <c r="M47" i="44" s="1"/>
  <c r="K45" i="44"/>
  <c r="W47" i="44"/>
  <c r="H48" i="44"/>
  <c r="K46" i="44"/>
  <c r="S44" i="43"/>
  <c r="T44" i="43" s="1"/>
  <c r="W45" i="43"/>
  <c r="Q48" i="43"/>
  <c r="W46" i="43"/>
  <c r="H47" i="43"/>
  <c r="K45" i="43"/>
  <c r="W47" i="43"/>
  <c r="H48" i="43"/>
  <c r="AC45" i="43"/>
  <c r="K46" i="43"/>
  <c r="S46" i="43" s="1"/>
  <c r="W48" i="43"/>
  <c r="AE48" i="43" s="1"/>
  <c r="AC46" i="43"/>
  <c r="AE46" i="43" s="1"/>
  <c r="K47" i="43"/>
  <c r="Q45" i="43"/>
  <c r="AC47" i="43"/>
  <c r="AE47" i="43" s="1"/>
  <c r="S45" i="42"/>
  <c r="T45" i="42" s="1"/>
  <c r="Q48" i="42"/>
  <c r="W46" i="42"/>
  <c r="H47" i="42"/>
  <c r="W47" i="42"/>
  <c r="H48" i="42"/>
  <c r="K46" i="42"/>
  <c r="W48" i="42"/>
  <c r="Q44" i="42"/>
  <c r="AC46" i="42"/>
  <c r="K47" i="42"/>
  <c r="AC47" i="42"/>
  <c r="Q47" i="42"/>
  <c r="Q46" i="42"/>
  <c r="AE44" i="43" l="1"/>
  <c r="AF44" i="43" s="1"/>
  <c r="AE45" i="50"/>
  <c r="AF45" i="50" s="1"/>
  <c r="AE48" i="51"/>
  <c r="AF48" i="51" s="1"/>
  <c r="AE46" i="47"/>
  <c r="S46" i="51"/>
  <c r="T46" i="51" s="1"/>
  <c r="M45" i="42"/>
  <c r="N45" i="42" s="1"/>
  <c r="M47" i="51"/>
  <c r="N47" i="51" s="1"/>
  <c r="M48" i="46"/>
  <c r="N48" i="46"/>
  <c r="M48" i="42"/>
  <c r="N48" i="42" s="1"/>
  <c r="N48" i="47"/>
  <c r="M44" i="43"/>
  <c r="N44" i="43" s="1"/>
  <c r="M46" i="51"/>
  <c r="N46" i="51" s="1"/>
  <c r="AE45" i="42"/>
  <c r="AF45" i="42" s="1"/>
  <c r="M47" i="47"/>
  <c r="N47" i="47" s="1"/>
  <c r="AE44" i="50"/>
  <c r="AF44" i="50" s="1"/>
  <c r="AE46" i="46"/>
  <c r="AF46" i="46" s="1"/>
  <c r="AE47" i="42"/>
  <c r="AF47" i="42" s="1"/>
  <c r="AE45" i="51"/>
  <c r="AF45" i="51" s="1"/>
  <c r="AE46" i="50"/>
  <c r="AF46" i="50" s="1"/>
  <c r="M47" i="49"/>
  <c r="N47" i="49" s="1"/>
  <c r="AE44" i="48"/>
  <c r="AF44" i="48" s="1"/>
  <c r="M48" i="47"/>
  <c r="AE48" i="45"/>
  <c r="AF48" i="45" s="1"/>
  <c r="M48" i="44"/>
  <c r="N48" i="44" s="1"/>
  <c r="AE48" i="42"/>
  <c r="AF48" i="42" s="1"/>
  <c r="AE46" i="42"/>
  <c r="Y46" i="51"/>
  <c r="Z46" i="51" s="1"/>
  <c r="AE47" i="50"/>
  <c r="M45" i="50"/>
  <c r="N45" i="50" s="1"/>
  <c r="M44" i="48"/>
  <c r="N44" i="48" s="1"/>
  <c r="M47" i="46"/>
  <c r="N47" i="46" s="1"/>
  <c r="M47" i="45"/>
  <c r="N47" i="45" s="1"/>
  <c r="M48" i="45"/>
  <c r="N48" i="45" s="1"/>
  <c r="AE47" i="45"/>
  <c r="AF47" i="45" s="1"/>
  <c r="AE46" i="45"/>
  <c r="AF46" i="45" s="1"/>
  <c r="AE44" i="44"/>
  <c r="AF44" i="44" s="1"/>
  <c r="Y44" i="44"/>
  <c r="Z44" i="44" s="1"/>
  <c r="AF44" i="42"/>
  <c r="M44" i="42"/>
  <c r="N44" i="42" s="1"/>
  <c r="Y44" i="42"/>
  <c r="Z44" i="42" s="1"/>
  <c r="S48" i="51"/>
  <c r="T48" i="51" s="1"/>
  <c r="Y44" i="51"/>
  <c r="Z44" i="51" s="1"/>
  <c r="Y48" i="51"/>
  <c r="Z48" i="51" s="1"/>
  <c r="M45" i="51"/>
  <c r="N45" i="51" s="1"/>
  <c r="S44" i="51"/>
  <c r="T44" i="51" s="1"/>
  <c r="AE44" i="51"/>
  <c r="AF44" i="51" s="1"/>
  <c r="Y45" i="51"/>
  <c r="Z45" i="51" s="1"/>
  <c r="Z47" i="51"/>
  <c r="S47" i="51"/>
  <c r="T47" i="51" s="1"/>
  <c r="S45" i="51"/>
  <c r="T45" i="51" s="1"/>
  <c r="M44" i="51"/>
  <c r="N44" i="51" s="1"/>
  <c r="M47" i="50"/>
  <c r="N47" i="50" s="1"/>
  <c r="Y46" i="50"/>
  <c r="Z46" i="50" s="1"/>
  <c r="S44" i="50"/>
  <c r="T44" i="50" s="1"/>
  <c r="Y48" i="50"/>
  <c r="Z48" i="50" s="1"/>
  <c r="AF48" i="50"/>
  <c r="S48" i="50"/>
  <c r="T48" i="50" s="1"/>
  <c r="S47" i="50"/>
  <c r="T47" i="50" s="1"/>
  <c r="M46" i="50"/>
  <c r="N46" i="50" s="1"/>
  <c r="S46" i="50"/>
  <c r="T46" i="50" s="1"/>
  <c r="Y44" i="50"/>
  <c r="Z44" i="50" s="1"/>
  <c r="M48" i="50"/>
  <c r="N48" i="50" s="1"/>
  <c r="AF47" i="50"/>
  <c r="Y47" i="50"/>
  <c r="Z47" i="50" s="1"/>
  <c r="S46" i="49"/>
  <c r="T46" i="49" s="1"/>
  <c r="Y45" i="49"/>
  <c r="Z45" i="49" s="1"/>
  <c r="S47" i="49"/>
  <c r="T47" i="49" s="1"/>
  <c r="Z47" i="49"/>
  <c r="M46" i="49"/>
  <c r="N46" i="49" s="1"/>
  <c r="S45" i="49"/>
  <c r="T45" i="49" s="1"/>
  <c r="M44" i="49"/>
  <c r="N44" i="49" s="1"/>
  <c r="N45" i="49"/>
  <c r="Y46" i="49"/>
  <c r="Z46" i="49" s="1"/>
  <c r="S48" i="49"/>
  <c r="T48" i="49" s="1"/>
  <c r="AF44" i="49"/>
  <c r="Y44" i="49"/>
  <c r="Z44" i="49" s="1"/>
  <c r="Y48" i="49"/>
  <c r="Z48" i="49" s="1"/>
  <c r="S44" i="49"/>
  <c r="T44" i="49" s="1"/>
  <c r="AE45" i="49"/>
  <c r="AF45" i="49" s="1"/>
  <c r="M45" i="48"/>
  <c r="N45" i="48" s="1"/>
  <c r="S45" i="48"/>
  <c r="T45" i="48" s="1"/>
  <c r="S47" i="48"/>
  <c r="T47" i="48" s="1"/>
  <c r="M47" i="48"/>
  <c r="N47" i="48" s="1"/>
  <c r="Y46" i="48"/>
  <c r="Z46" i="48" s="1"/>
  <c r="AF46" i="48"/>
  <c r="S48" i="48"/>
  <c r="T48" i="48" s="1"/>
  <c r="M46" i="48"/>
  <c r="N46" i="48" s="1"/>
  <c r="N48" i="48"/>
  <c r="S46" i="48"/>
  <c r="T46" i="48" s="1"/>
  <c r="Y48" i="48"/>
  <c r="Z48" i="48" s="1"/>
  <c r="Y47" i="48"/>
  <c r="Z47" i="48" s="1"/>
  <c r="AF45" i="48"/>
  <c r="Y45" i="48"/>
  <c r="Z45" i="48" s="1"/>
  <c r="AE47" i="48"/>
  <c r="AF47" i="48" s="1"/>
  <c r="M44" i="47"/>
  <c r="N44" i="47" s="1"/>
  <c r="Y44" i="47"/>
  <c r="Z44" i="47" s="1"/>
  <c r="S44" i="47"/>
  <c r="T44" i="47" s="1"/>
  <c r="S48" i="47"/>
  <c r="T48" i="47" s="1"/>
  <c r="AE44" i="47"/>
  <c r="AF44" i="47" s="1"/>
  <c r="S46" i="47"/>
  <c r="T46" i="47" s="1"/>
  <c r="Y48" i="47"/>
  <c r="Z48" i="47" s="1"/>
  <c r="M45" i="47"/>
  <c r="N45" i="47" s="1"/>
  <c r="Y45" i="47"/>
  <c r="Z45" i="47" s="1"/>
  <c r="M46" i="47"/>
  <c r="N46" i="47" s="1"/>
  <c r="S47" i="47"/>
  <c r="T47" i="47" s="1"/>
  <c r="Z47" i="47"/>
  <c r="S45" i="47"/>
  <c r="T45" i="47" s="1"/>
  <c r="Y46" i="47"/>
  <c r="Z46" i="47" s="1"/>
  <c r="AF46" i="47"/>
  <c r="AE45" i="47"/>
  <c r="AF45" i="47" s="1"/>
  <c r="M44" i="46"/>
  <c r="N44" i="46" s="1"/>
  <c r="Y44" i="46"/>
  <c r="Z44" i="46" s="1"/>
  <c r="S44" i="46"/>
  <c r="T44" i="46" s="1"/>
  <c r="S48" i="46"/>
  <c r="T48" i="46" s="1"/>
  <c r="AE44" i="46"/>
  <c r="AF44" i="46" s="1"/>
  <c r="S46" i="46"/>
  <c r="T46" i="46" s="1"/>
  <c r="Y48" i="46"/>
  <c r="Z48" i="46" s="1"/>
  <c r="M45" i="46"/>
  <c r="N45" i="46" s="1"/>
  <c r="Y45" i="46"/>
  <c r="Z45" i="46" s="1"/>
  <c r="M46" i="46"/>
  <c r="N46" i="46" s="1"/>
  <c r="S47" i="46"/>
  <c r="T47" i="46" s="1"/>
  <c r="Z47" i="46"/>
  <c r="S45" i="46"/>
  <c r="T45" i="46" s="1"/>
  <c r="Y46" i="46"/>
  <c r="Z46" i="46" s="1"/>
  <c r="AE45" i="46"/>
  <c r="AF45" i="46" s="1"/>
  <c r="M44" i="45"/>
  <c r="N44" i="45" s="1"/>
  <c r="Y44" i="45"/>
  <c r="Z44" i="45" s="1"/>
  <c r="S44" i="45"/>
  <c r="T44" i="45" s="1"/>
  <c r="S48" i="45"/>
  <c r="T48" i="45" s="1"/>
  <c r="AE44" i="45"/>
  <c r="AF44" i="45" s="1"/>
  <c r="S46" i="45"/>
  <c r="T46" i="45" s="1"/>
  <c r="Y48" i="45"/>
  <c r="Z48" i="45" s="1"/>
  <c r="M45" i="45"/>
  <c r="N45" i="45" s="1"/>
  <c r="Y45" i="45"/>
  <c r="Z45" i="45" s="1"/>
  <c r="M46" i="45"/>
  <c r="N46" i="45" s="1"/>
  <c r="S47" i="45"/>
  <c r="T47" i="45" s="1"/>
  <c r="Z47" i="45"/>
  <c r="S45" i="45"/>
  <c r="T45" i="45" s="1"/>
  <c r="Y46" i="45"/>
  <c r="Z46" i="45" s="1"/>
  <c r="AE45" i="45"/>
  <c r="AF45" i="45" s="1"/>
  <c r="M45" i="44"/>
  <c r="N45" i="44" s="1"/>
  <c r="S45" i="44"/>
  <c r="T45" i="44" s="1"/>
  <c r="S47" i="44"/>
  <c r="T47" i="44" s="1"/>
  <c r="N47" i="44"/>
  <c r="Y46" i="44"/>
  <c r="Z46" i="44" s="1"/>
  <c r="AF46" i="44"/>
  <c r="S48" i="44"/>
  <c r="T48" i="44" s="1"/>
  <c r="M46" i="44"/>
  <c r="N46" i="44" s="1"/>
  <c r="S46" i="44"/>
  <c r="T46" i="44" s="1"/>
  <c r="Y48" i="44"/>
  <c r="Z48" i="44" s="1"/>
  <c r="Y47" i="44"/>
  <c r="Z47" i="44" s="1"/>
  <c r="Y45" i="44"/>
  <c r="Z45" i="44" s="1"/>
  <c r="AF45" i="44"/>
  <c r="AE47" i="44"/>
  <c r="AF47" i="44" s="1"/>
  <c r="Y45" i="43"/>
  <c r="Z45" i="43" s="1"/>
  <c r="S45" i="43"/>
  <c r="T45" i="43" s="1"/>
  <c r="Y47" i="43"/>
  <c r="Z47" i="43" s="1"/>
  <c r="AF47" i="43"/>
  <c r="M48" i="43"/>
  <c r="N48" i="43" s="1"/>
  <c r="M47" i="43"/>
  <c r="N47" i="43" s="1"/>
  <c r="M45" i="43"/>
  <c r="N45" i="43" s="1"/>
  <c r="S47" i="43"/>
  <c r="T47" i="43" s="1"/>
  <c r="Y48" i="43"/>
  <c r="Z48" i="43" s="1"/>
  <c r="AF48" i="43"/>
  <c r="T46" i="43"/>
  <c r="M46" i="43"/>
  <c r="N46" i="43" s="1"/>
  <c r="AF46" i="43"/>
  <c r="Y46" i="43"/>
  <c r="Z46" i="43" s="1"/>
  <c r="AE45" i="43"/>
  <c r="AF45" i="43" s="1"/>
  <c r="S48" i="43"/>
  <c r="T48" i="43" s="1"/>
  <c r="Y47" i="42"/>
  <c r="Z47" i="42" s="1"/>
  <c r="M47" i="42"/>
  <c r="N47" i="42" s="1"/>
  <c r="Y46" i="42"/>
  <c r="Z46" i="42" s="1"/>
  <c r="AF46" i="42"/>
  <c r="S44" i="42"/>
  <c r="T44" i="42" s="1"/>
  <c r="Y48" i="42"/>
  <c r="Z48" i="42" s="1"/>
  <c r="S48" i="42"/>
  <c r="T48" i="42" s="1"/>
  <c r="S46" i="42"/>
  <c r="T46" i="42" s="1"/>
  <c r="M46" i="42"/>
  <c r="N46" i="42" s="1"/>
  <c r="S47" i="42"/>
  <c r="T47" i="42" s="1"/>
  <c r="AC13" i="55" l="1"/>
  <c r="AE13" i="55" s="1"/>
  <c r="AF13" i="55"/>
  <c r="AF13" i="54"/>
  <c r="AC13" i="54"/>
  <c r="AE13" i="54" s="1"/>
  <c r="AF13" i="53"/>
  <c r="AC13" i="53"/>
  <c r="AE13" i="53" s="1"/>
  <c r="AC13" i="52"/>
  <c r="AF13" i="52"/>
  <c r="AF13" i="51"/>
  <c r="AC13" i="51"/>
  <c r="AE13" i="51" s="1"/>
  <c r="AF13" i="50"/>
  <c r="AC13" i="50"/>
  <c r="AE13" i="50" s="1"/>
  <c r="AC13" i="49"/>
  <c r="AF13" i="49"/>
  <c r="AC13" i="48"/>
  <c r="AF13" i="48"/>
  <c r="AC13" i="47"/>
  <c r="W13" i="47"/>
  <c r="AF13" i="47" s="1"/>
  <c r="H13" i="47"/>
  <c r="AC13" i="46"/>
  <c r="W13" i="46"/>
  <c r="AF13" i="46" s="1"/>
  <c r="H13" i="46"/>
  <c r="AC13" i="45"/>
  <c r="W13" i="45"/>
  <c r="AF13" i="45" s="1"/>
  <c r="H13" i="45"/>
  <c r="AC13" i="44"/>
  <c r="W13" i="44"/>
  <c r="AF13" i="44" s="1"/>
  <c r="H13" i="44"/>
  <c r="AC13" i="43"/>
  <c r="W13" i="43"/>
  <c r="AF13" i="43" s="1"/>
  <c r="H13" i="43"/>
  <c r="AC13" i="42"/>
  <c r="W13" i="42"/>
  <c r="AF13" i="42" s="1"/>
  <c r="H13" i="42"/>
  <c r="AE13" i="46" l="1"/>
  <c r="AE13" i="47"/>
  <c r="AE13" i="52"/>
  <c r="AE13" i="49"/>
  <c r="AE13" i="48"/>
  <c r="AE13" i="45"/>
  <c r="AE13" i="44"/>
  <c r="AE13" i="43"/>
  <c r="AE13" i="42"/>
  <c r="F21" i="55" l="1"/>
  <c r="F21" i="54"/>
  <c r="F21" i="53"/>
  <c r="F21" i="52"/>
  <c r="F21" i="51"/>
  <c r="F21" i="50"/>
  <c r="F21" i="49"/>
  <c r="F21" i="48"/>
  <c r="F21" i="47"/>
  <c r="K21" i="47" s="1"/>
  <c r="F21" i="46"/>
  <c r="K21" i="46" s="1"/>
  <c r="F21" i="45"/>
  <c r="F21" i="44"/>
  <c r="K21" i="44" s="1"/>
  <c r="F21" i="43"/>
  <c r="K21" i="43" s="1"/>
  <c r="F21" i="42"/>
  <c r="K21" i="42" s="1"/>
  <c r="W21" i="50" l="1"/>
  <c r="Q21" i="50"/>
  <c r="K21" i="50"/>
  <c r="T21" i="50" s="1"/>
  <c r="H21" i="50"/>
  <c r="M21" i="50" s="1"/>
  <c r="N21" i="50" s="1"/>
  <c r="AC21" i="44"/>
  <c r="AC21" i="50"/>
  <c r="Q21" i="51"/>
  <c r="W21" i="51"/>
  <c r="Y21" i="51" s="1"/>
  <c r="K21" i="51"/>
  <c r="T21" i="51" s="1"/>
  <c r="H21" i="51"/>
  <c r="Q21" i="52"/>
  <c r="W21" i="52"/>
  <c r="Y21" i="52" s="1"/>
  <c r="K21" i="52"/>
  <c r="H21" i="52"/>
  <c r="K21" i="53"/>
  <c r="W21" i="53"/>
  <c r="Q21" i="53"/>
  <c r="H21" i="53"/>
  <c r="AC21" i="47"/>
  <c r="Q21" i="54"/>
  <c r="K21" i="54"/>
  <c r="W21" i="54"/>
  <c r="H21" i="54"/>
  <c r="Q21" i="48"/>
  <c r="W21" i="48"/>
  <c r="AE21" i="48" s="1"/>
  <c r="K21" i="48"/>
  <c r="T21" i="48" s="1"/>
  <c r="H21" i="48"/>
  <c r="M21" i="48" s="1"/>
  <c r="N21" i="48" s="1"/>
  <c r="W21" i="55"/>
  <c r="Q21" i="55"/>
  <c r="K21" i="55"/>
  <c r="H21" i="55"/>
  <c r="W21" i="49"/>
  <c r="Q21" i="49"/>
  <c r="K21" i="49"/>
  <c r="T21" i="49" s="1"/>
  <c r="H21" i="49"/>
  <c r="M21" i="49" s="1"/>
  <c r="N21" i="49" s="1"/>
  <c r="AC21" i="55"/>
  <c r="AE21" i="55" s="1"/>
  <c r="AF21" i="54"/>
  <c r="AC21" i="52"/>
  <c r="AC21" i="46"/>
  <c r="K21" i="45"/>
  <c r="AC21" i="43"/>
  <c r="AC21" i="42"/>
  <c r="AC21" i="53"/>
  <c r="AE21" i="53" s="1"/>
  <c r="AC21" i="51"/>
  <c r="AC21" i="49"/>
  <c r="AE21" i="49" s="1"/>
  <c r="AC21" i="48"/>
  <c r="AC21" i="45"/>
  <c r="AC21" i="54"/>
  <c r="AE21" i="54" s="1"/>
  <c r="AE21" i="50"/>
  <c r="T21" i="47"/>
  <c r="Q21" i="47"/>
  <c r="H21" i="47"/>
  <c r="M21" i="47" s="1"/>
  <c r="W21" i="47"/>
  <c r="AE21" i="47" s="1"/>
  <c r="T21" i="46"/>
  <c r="Q21" i="46"/>
  <c r="H21" i="46"/>
  <c r="M21" i="46" s="1"/>
  <c r="W21" i="46"/>
  <c r="AE21" i="46" s="1"/>
  <c r="T21" i="45"/>
  <c r="Q21" i="45"/>
  <c r="H21" i="45"/>
  <c r="W21" i="45"/>
  <c r="T21" i="44"/>
  <c r="Q21" i="44"/>
  <c r="H21" i="44"/>
  <c r="M21" i="44" s="1"/>
  <c r="W21" i="44"/>
  <c r="T21" i="43"/>
  <c r="AE21" i="43"/>
  <c r="Q21" i="43"/>
  <c r="H21" i="43"/>
  <c r="M21" i="43" s="1"/>
  <c r="W21" i="43"/>
  <c r="T21" i="42"/>
  <c r="Q21" i="42"/>
  <c r="H21" i="42"/>
  <c r="M21" i="42" s="1"/>
  <c r="W21" i="42"/>
  <c r="Y21" i="49" l="1"/>
  <c r="Y21" i="53"/>
  <c r="M21" i="51"/>
  <c r="N21" i="51" s="1"/>
  <c r="AE21" i="44"/>
  <c r="T21" i="54"/>
  <c r="M21" i="54"/>
  <c r="N21" i="54" s="1"/>
  <c r="Y21" i="55"/>
  <c r="Z21" i="54"/>
  <c r="S21" i="54"/>
  <c r="AF21" i="55"/>
  <c r="Z21" i="48"/>
  <c r="S21" i="48"/>
  <c r="M21" i="45"/>
  <c r="N21" i="45" s="1"/>
  <c r="T21" i="53"/>
  <c r="M21" i="53"/>
  <c r="N21" i="53" s="1"/>
  <c r="Z21" i="51"/>
  <c r="S21" i="51"/>
  <c r="AE21" i="52"/>
  <c r="T21" i="55"/>
  <c r="M21" i="55"/>
  <c r="N21" i="55" s="1"/>
  <c r="Y21" i="54"/>
  <c r="Z21" i="55"/>
  <c r="S21" i="55"/>
  <c r="T21" i="52"/>
  <c r="M21" i="52"/>
  <c r="N21" i="52" s="1"/>
  <c r="Z21" i="52"/>
  <c r="S21" i="52"/>
  <c r="Z21" i="50"/>
  <c r="S21" i="50"/>
  <c r="Z21" i="49"/>
  <c r="S21" i="49"/>
  <c r="Y21" i="48"/>
  <c r="Z21" i="53"/>
  <c r="S21" i="53"/>
  <c r="Y21" i="50"/>
  <c r="AE21" i="42"/>
  <c r="AE21" i="51"/>
  <c r="AE21" i="45"/>
  <c r="AF21" i="53"/>
  <c r="AF21" i="52"/>
  <c r="AF21" i="51"/>
  <c r="AF21" i="50"/>
  <c r="AF21" i="49"/>
  <c r="AF21" i="48"/>
  <c r="Y21" i="47"/>
  <c r="AF21" i="47"/>
  <c r="N21" i="47"/>
  <c r="Z21" i="47"/>
  <c r="S21" i="47"/>
  <c r="Y21" i="46"/>
  <c r="AF21" i="46"/>
  <c r="N21" i="46"/>
  <c r="Z21" i="46"/>
  <c r="S21" i="46"/>
  <c r="Y21" i="45"/>
  <c r="AF21" i="45"/>
  <c r="Z21" i="45"/>
  <c r="S21" i="45"/>
  <c r="Y21" i="44"/>
  <c r="AF21" i="44"/>
  <c r="N21" i="44"/>
  <c r="Z21" i="44"/>
  <c r="S21" i="44"/>
  <c r="Y21" i="43"/>
  <c r="AF21" i="43"/>
  <c r="N21" i="43"/>
  <c r="Z21" i="43"/>
  <c r="S21" i="43"/>
  <c r="Y21" i="42"/>
  <c r="AF21" i="42"/>
  <c r="N21" i="42"/>
  <c r="Z21" i="42"/>
  <c r="S21" i="42"/>
  <c r="AC20" i="51" l="1"/>
  <c r="AC20" i="50"/>
  <c r="AE20" i="50" s="1"/>
  <c r="AC20" i="49"/>
  <c r="AC20" i="48"/>
  <c r="H20" i="12"/>
  <c r="AC20" i="12"/>
  <c r="W20" i="12"/>
  <c r="Q20" i="12"/>
  <c r="Z20" i="12" s="1"/>
  <c r="K20" i="12"/>
  <c r="T20" i="12" s="1"/>
  <c r="AC20" i="47"/>
  <c r="W20" i="47"/>
  <c r="AF20" i="47" s="1"/>
  <c r="Q20" i="47"/>
  <c r="S20" i="47" s="1"/>
  <c r="K20" i="47"/>
  <c r="T20" i="47" s="1"/>
  <c r="H20" i="47"/>
  <c r="AC20" i="46"/>
  <c r="W20" i="46"/>
  <c r="Q20" i="46"/>
  <c r="Z20" i="46" s="1"/>
  <c r="K20" i="46"/>
  <c r="T20" i="46" s="1"/>
  <c r="H20" i="46"/>
  <c r="AC20" i="45"/>
  <c r="W20" i="45"/>
  <c r="Q20" i="45"/>
  <c r="Z20" i="45" s="1"/>
  <c r="K20" i="45"/>
  <c r="T20" i="45" s="1"/>
  <c r="H20" i="45"/>
  <c r="AC20" i="44"/>
  <c r="W20" i="44"/>
  <c r="AF20" i="44" s="1"/>
  <c r="Q20" i="44"/>
  <c r="K20" i="44"/>
  <c r="T20" i="44" s="1"/>
  <c r="H20" i="44"/>
  <c r="AC20" i="43"/>
  <c r="W20" i="43"/>
  <c r="AF20" i="43" s="1"/>
  <c r="Q20" i="43"/>
  <c r="K20" i="43"/>
  <c r="T20" i="43" s="1"/>
  <c r="H20" i="43"/>
  <c r="AC20" i="42"/>
  <c r="W20" i="42"/>
  <c r="AF20" i="42" s="1"/>
  <c r="Q20" i="42"/>
  <c r="Z20" i="42" s="1"/>
  <c r="K20" i="42"/>
  <c r="T20" i="42" s="1"/>
  <c r="H20" i="42"/>
  <c r="AE20" i="46" l="1"/>
  <c r="AE20" i="12"/>
  <c r="AE20" i="42"/>
  <c r="AE20" i="47"/>
  <c r="Y20" i="46"/>
  <c r="AE20" i="51"/>
  <c r="AE20" i="49"/>
  <c r="AE20" i="48"/>
  <c r="Y20" i="12"/>
  <c r="Y20" i="47"/>
  <c r="AE20" i="45"/>
  <c r="Y20" i="45"/>
  <c r="S20" i="44"/>
  <c r="S20" i="43"/>
  <c r="AE20" i="43"/>
  <c r="AF20" i="48"/>
  <c r="AF20" i="49"/>
  <c r="AF20" i="50"/>
  <c r="AF20" i="51"/>
  <c r="Z20" i="47"/>
  <c r="AF20" i="12"/>
  <c r="AF20" i="46"/>
  <c r="Y20" i="44"/>
  <c r="Z20" i="44"/>
  <c r="AE20" i="44"/>
  <c r="AF20" i="45"/>
  <c r="Y20" i="43"/>
  <c r="Z20" i="43"/>
  <c r="Y20" i="42"/>
  <c r="M20" i="12"/>
  <c r="N20" i="12" s="1"/>
  <c r="S20" i="12"/>
  <c r="M20" i="47"/>
  <c r="N20" i="47" s="1"/>
  <c r="M20" i="46"/>
  <c r="N20" i="46" s="1"/>
  <c r="S20" i="46"/>
  <c r="M20" i="45"/>
  <c r="N20" i="45" s="1"/>
  <c r="S20" i="45"/>
  <c r="M20" i="44"/>
  <c r="N20" i="44" s="1"/>
  <c r="M20" i="43"/>
  <c r="N20" i="43" s="1"/>
  <c r="M20" i="42"/>
  <c r="N20" i="42" s="1"/>
  <c r="S20" i="42"/>
  <c r="F37" i="16" l="1"/>
  <c r="F37" i="13"/>
  <c r="F41" i="17" l="1"/>
  <c r="F37" i="17" l="1"/>
  <c r="F38" i="17" s="1"/>
  <c r="F32" i="17"/>
  <c r="F34" i="17"/>
  <c r="F40" i="17"/>
  <c r="H32" i="17" l="1"/>
  <c r="K32" i="17"/>
  <c r="AE55" i="62"/>
  <c r="Y55" i="62"/>
  <c r="S55" i="62"/>
  <c r="M55" i="62"/>
  <c r="AE49" i="62"/>
  <c r="Y49" i="62"/>
  <c r="S49" i="62"/>
  <c r="M49" i="62"/>
  <c r="F48" i="62"/>
  <c r="G34" i="62" s="1"/>
  <c r="F47" i="62"/>
  <c r="Q47" i="62" s="1"/>
  <c r="F46" i="62"/>
  <c r="Q46" i="62" s="1"/>
  <c r="F45" i="62"/>
  <c r="Q45" i="62" s="1"/>
  <c r="F44" i="62"/>
  <c r="AC44" i="62" s="1"/>
  <c r="F43" i="62"/>
  <c r="W43" i="62" s="1"/>
  <c r="F33" i="62"/>
  <c r="F31" i="62"/>
  <c r="F30" i="62"/>
  <c r="F29" i="62"/>
  <c r="F27" i="62"/>
  <c r="F26" i="62"/>
  <c r="F25" i="62"/>
  <c r="F24" i="62"/>
  <c r="F21" i="62"/>
  <c r="F20" i="62"/>
  <c r="F19" i="62"/>
  <c r="F18" i="62"/>
  <c r="F17" i="62"/>
  <c r="F16" i="62"/>
  <c r="F14" i="62"/>
  <c r="F13" i="62"/>
  <c r="F12" i="62"/>
  <c r="F31" i="17"/>
  <c r="F30" i="17"/>
  <c r="AE55" i="61"/>
  <c r="Y55" i="61"/>
  <c r="S55" i="61"/>
  <c r="M55" i="61"/>
  <c r="AE49" i="61"/>
  <c r="Y49" i="61"/>
  <c r="S49" i="61"/>
  <c r="M49" i="61"/>
  <c r="F48" i="61"/>
  <c r="F47" i="61"/>
  <c r="H47" i="61" s="1"/>
  <c r="F46" i="61"/>
  <c r="W46" i="61" s="1"/>
  <c r="F45" i="61"/>
  <c r="F44" i="61"/>
  <c r="Q44" i="61" s="1"/>
  <c r="F43" i="61"/>
  <c r="W43" i="61" s="1"/>
  <c r="F42" i="61"/>
  <c r="F33" i="61"/>
  <c r="F31" i="61"/>
  <c r="F30" i="61"/>
  <c r="F29" i="61"/>
  <c r="F27" i="61"/>
  <c r="F26" i="61"/>
  <c r="F25" i="61"/>
  <c r="F24" i="61"/>
  <c r="F21" i="61"/>
  <c r="F20" i="61"/>
  <c r="F19" i="61"/>
  <c r="F18" i="61"/>
  <c r="F17" i="61"/>
  <c r="F16" i="61"/>
  <c r="F15" i="61"/>
  <c r="F14" i="61"/>
  <c r="F13" i="61"/>
  <c r="F12" i="61"/>
  <c r="F31" i="16"/>
  <c r="F30" i="16"/>
  <c r="AC30" i="16" s="1"/>
  <c r="AE55" i="60"/>
  <c r="Y55" i="60"/>
  <c r="S55" i="60"/>
  <c r="M55" i="60"/>
  <c r="AE49" i="60"/>
  <c r="Y49" i="60"/>
  <c r="S49" i="60"/>
  <c r="M49" i="60"/>
  <c r="F43" i="60"/>
  <c r="AC42" i="60"/>
  <c r="AC35" i="60"/>
  <c r="F33" i="60"/>
  <c r="F31" i="60"/>
  <c r="F30" i="60"/>
  <c r="F29" i="60"/>
  <c r="F27" i="60"/>
  <c r="F26" i="60"/>
  <c r="F25" i="60"/>
  <c r="F24" i="60"/>
  <c r="F21" i="60"/>
  <c r="F20" i="60"/>
  <c r="F19" i="60"/>
  <c r="AC18" i="60"/>
  <c r="AF18" i="60"/>
  <c r="AC17" i="60"/>
  <c r="AF17" i="60"/>
  <c r="AC16" i="60"/>
  <c r="AF16" i="60"/>
  <c r="AC15" i="60"/>
  <c r="AC14" i="60"/>
  <c r="AF14" i="60"/>
  <c r="AC13" i="60"/>
  <c r="F31" i="15"/>
  <c r="AC31" i="15" s="1"/>
  <c r="F30" i="15"/>
  <c r="AE55" i="59"/>
  <c r="Y55" i="59"/>
  <c r="S55" i="59"/>
  <c r="M55" i="59"/>
  <c r="AE49" i="59"/>
  <c r="Y49" i="59"/>
  <c r="S49" i="59"/>
  <c r="M49" i="59"/>
  <c r="AC42" i="59"/>
  <c r="AC35" i="59"/>
  <c r="AC18" i="59"/>
  <c r="AC17" i="59"/>
  <c r="AF17" i="59"/>
  <c r="AC16" i="59"/>
  <c r="AC15" i="59"/>
  <c r="AF15" i="59"/>
  <c r="AC14" i="59"/>
  <c r="AF14" i="59"/>
  <c r="AC13" i="59"/>
  <c r="AF13" i="59"/>
  <c r="AE55" i="58"/>
  <c r="Y55" i="58"/>
  <c r="S55" i="58"/>
  <c r="M55" i="58"/>
  <c r="AE49" i="58"/>
  <c r="Y49" i="58"/>
  <c r="S49" i="58"/>
  <c r="M49" i="58"/>
  <c r="AC42" i="58"/>
  <c r="AC35" i="58"/>
  <c r="AC18" i="58"/>
  <c r="AC17" i="58"/>
  <c r="AC16" i="58"/>
  <c r="AE16" i="58" s="1"/>
  <c r="AF16" i="58"/>
  <c r="AC15" i="58"/>
  <c r="AC14" i="58"/>
  <c r="AF13" i="58"/>
  <c r="AC13" i="58"/>
  <c r="AE55" i="57"/>
  <c r="Y55" i="57"/>
  <c r="S55" i="57"/>
  <c r="M55" i="57"/>
  <c r="AE49" i="57"/>
  <c r="Y49" i="57"/>
  <c r="S49" i="57"/>
  <c r="M49" i="57"/>
  <c r="AC42" i="57"/>
  <c r="AC35" i="57"/>
  <c r="AC18" i="57"/>
  <c r="AF18" i="57"/>
  <c r="AC17" i="57"/>
  <c r="AF17" i="57"/>
  <c r="AC16" i="57"/>
  <c r="AF16" i="57"/>
  <c r="AC15" i="57"/>
  <c r="AC14" i="57"/>
  <c r="AF14" i="57"/>
  <c r="AC13" i="57"/>
  <c r="AE55" i="56"/>
  <c r="Y55" i="56"/>
  <c r="S55" i="56"/>
  <c r="M55" i="56"/>
  <c r="AE49" i="56"/>
  <c r="Y49" i="56"/>
  <c r="S49" i="56"/>
  <c r="M49" i="56"/>
  <c r="AC42" i="56"/>
  <c r="AC35" i="56"/>
  <c r="AC18" i="56"/>
  <c r="AF18" i="56"/>
  <c r="AC17" i="56"/>
  <c r="AC16" i="56"/>
  <c r="AF16" i="56"/>
  <c r="AC15" i="56"/>
  <c r="AF15" i="56"/>
  <c r="AC14" i="56"/>
  <c r="AC13" i="56"/>
  <c r="AF13" i="56"/>
  <c r="AE55" i="55"/>
  <c r="Y55" i="55"/>
  <c r="S55" i="55"/>
  <c r="M55" i="55"/>
  <c r="AE49" i="55"/>
  <c r="Y49" i="55"/>
  <c r="S49" i="55"/>
  <c r="M49" i="55"/>
  <c r="AC42" i="55"/>
  <c r="AC35" i="55"/>
  <c r="F33" i="55"/>
  <c r="F32" i="55"/>
  <c r="F31" i="55"/>
  <c r="F29" i="55"/>
  <c r="F27" i="55"/>
  <c r="F26" i="55"/>
  <c r="F25" i="55"/>
  <c r="F24" i="55"/>
  <c r="F20" i="55"/>
  <c r="F19" i="55"/>
  <c r="AC18" i="55"/>
  <c r="AF18" i="55"/>
  <c r="AC17" i="55"/>
  <c r="AF17" i="55"/>
  <c r="AC16" i="55"/>
  <c r="AF16" i="55"/>
  <c r="AC15" i="55"/>
  <c r="AC14" i="55"/>
  <c r="G8" i="55"/>
  <c r="AE55" i="54"/>
  <c r="Y55" i="54"/>
  <c r="S55" i="54"/>
  <c r="M55" i="54"/>
  <c r="AE49" i="54"/>
  <c r="Y49" i="54"/>
  <c r="S49" i="54"/>
  <c r="M49" i="54"/>
  <c r="AC42" i="54"/>
  <c r="AC35" i="54"/>
  <c r="F33" i="54"/>
  <c r="F32" i="54"/>
  <c r="F31" i="54"/>
  <c r="F29" i="54"/>
  <c r="F27" i="54"/>
  <c r="F26" i="54"/>
  <c r="F25" i="54"/>
  <c r="F24" i="54"/>
  <c r="F20" i="54"/>
  <c r="F19" i="54"/>
  <c r="AC18" i="54"/>
  <c r="AF18" i="54"/>
  <c r="AC17" i="54"/>
  <c r="AF17" i="54"/>
  <c r="AC16" i="54"/>
  <c r="AC15" i="54"/>
  <c r="AF15" i="54"/>
  <c r="AC14" i="54"/>
  <c r="G8" i="54"/>
  <c r="AE55" i="53"/>
  <c r="Y55" i="53"/>
  <c r="S55" i="53"/>
  <c r="M55" i="53"/>
  <c r="AE49" i="53"/>
  <c r="Y49" i="53"/>
  <c r="S49" i="53"/>
  <c r="M49" i="53"/>
  <c r="AC42" i="53"/>
  <c r="AC35" i="53"/>
  <c r="F33" i="53"/>
  <c r="F32" i="53"/>
  <c r="F31" i="53"/>
  <c r="F29" i="53"/>
  <c r="F27" i="53"/>
  <c r="F26" i="53"/>
  <c r="F25" i="53"/>
  <c r="F24" i="53"/>
  <c r="F20" i="53"/>
  <c r="F19" i="53"/>
  <c r="AC18" i="53"/>
  <c r="AC17" i="53"/>
  <c r="AC16" i="53"/>
  <c r="AF16" i="53"/>
  <c r="AC15" i="53"/>
  <c r="AF15" i="53"/>
  <c r="AC14" i="53"/>
  <c r="AF14" i="53"/>
  <c r="G8" i="53"/>
  <c r="AE55" i="52"/>
  <c r="Y55" i="52"/>
  <c r="S55" i="52"/>
  <c r="M55" i="52"/>
  <c r="AE49" i="52"/>
  <c r="Y49" i="52"/>
  <c r="S49" i="52"/>
  <c r="M49" i="52"/>
  <c r="AC42" i="52"/>
  <c r="AC35" i="52"/>
  <c r="F33" i="52"/>
  <c r="F32" i="52"/>
  <c r="F31" i="52"/>
  <c r="F29" i="52"/>
  <c r="F27" i="52"/>
  <c r="F26" i="52"/>
  <c r="F25" i="52"/>
  <c r="F24" i="52"/>
  <c r="F20" i="52"/>
  <c r="F19" i="52"/>
  <c r="AC18" i="52"/>
  <c r="AF18" i="52"/>
  <c r="AC17" i="52"/>
  <c r="AC16" i="52"/>
  <c r="AF16" i="52"/>
  <c r="AC15" i="52"/>
  <c r="AF15" i="52"/>
  <c r="AC14" i="52"/>
  <c r="G8" i="52"/>
  <c r="F31" i="13"/>
  <c r="AC31" i="13" s="1"/>
  <c r="AE55" i="51"/>
  <c r="Y55" i="51"/>
  <c r="S55" i="51"/>
  <c r="M55" i="51"/>
  <c r="AE49" i="51"/>
  <c r="Y49" i="51"/>
  <c r="S49" i="51"/>
  <c r="M49" i="51"/>
  <c r="AC42" i="51"/>
  <c r="AC35" i="51"/>
  <c r="F33" i="51"/>
  <c r="F32" i="51"/>
  <c r="F31" i="51"/>
  <c r="F29" i="51"/>
  <c r="F27" i="51"/>
  <c r="F26" i="51"/>
  <c r="F25" i="51"/>
  <c r="F24" i="51"/>
  <c r="F19" i="51"/>
  <c r="AC18" i="51"/>
  <c r="AF18" i="51"/>
  <c r="AC17" i="51"/>
  <c r="AF17" i="51"/>
  <c r="AC16" i="51"/>
  <c r="AE16" i="51" s="1"/>
  <c r="AF16" i="51"/>
  <c r="AC15" i="51"/>
  <c r="AF15" i="51"/>
  <c r="AF14" i="51"/>
  <c r="AE55" i="50"/>
  <c r="Y55" i="50"/>
  <c r="S55" i="50"/>
  <c r="M55" i="50"/>
  <c r="AE49" i="50"/>
  <c r="Y49" i="50"/>
  <c r="S49" i="50"/>
  <c r="M49" i="50"/>
  <c r="AC42" i="50"/>
  <c r="AC35" i="50"/>
  <c r="F33" i="50"/>
  <c r="F32" i="50"/>
  <c r="F31" i="50"/>
  <c r="F29" i="50"/>
  <c r="F27" i="50"/>
  <c r="F26" i="50"/>
  <c r="F25" i="50"/>
  <c r="F24" i="50"/>
  <c r="F19" i="50"/>
  <c r="AC18" i="50"/>
  <c r="AF18" i="50"/>
  <c r="AC17" i="50"/>
  <c r="AC16" i="50"/>
  <c r="AF16" i="50"/>
  <c r="AC15" i="50"/>
  <c r="AE55" i="49"/>
  <c r="Y55" i="49"/>
  <c r="S55" i="49"/>
  <c r="M55" i="49"/>
  <c r="AE49" i="49"/>
  <c r="Y49" i="49"/>
  <c r="S49" i="49"/>
  <c r="M49" i="49"/>
  <c r="AC42" i="49"/>
  <c r="AC35" i="49"/>
  <c r="F33" i="49"/>
  <c r="F32" i="49"/>
  <c r="F31" i="49"/>
  <c r="F29" i="49"/>
  <c r="F27" i="49"/>
  <c r="F26" i="49"/>
  <c r="F25" i="49"/>
  <c r="F24" i="49"/>
  <c r="F19" i="49"/>
  <c r="AC18" i="49"/>
  <c r="AC17" i="49"/>
  <c r="AC16" i="49"/>
  <c r="AF16" i="49"/>
  <c r="AC15" i="49"/>
  <c r="AF14" i="49"/>
  <c r="AE55" i="48"/>
  <c r="Y55" i="48"/>
  <c r="S55" i="48"/>
  <c r="M55" i="48"/>
  <c r="AE49" i="48"/>
  <c r="Y49" i="48"/>
  <c r="S49" i="48"/>
  <c r="M49" i="48"/>
  <c r="AC42" i="48"/>
  <c r="AC35" i="48"/>
  <c r="F33" i="48"/>
  <c r="F32" i="48"/>
  <c r="F31" i="48"/>
  <c r="F29" i="48"/>
  <c r="F27" i="48"/>
  <c r="F26" i="48"/>
  <c r="F25" i="48"/>
  <c r="F24" i="48"/>
  <c r="F19" i="48"/>
  <c r="AC18" i="48"/>
  <c r="AC17" i="48"/>
  <c r="AF17" i="48"/>
  <c r="AC16" i="48"/>
  <c r="AE16" i="48" s="1"/>
  <c r="AF16" i="48"/>
  <c r="AC15" i="48"/>
  <c r="AC14" i="48"/>
  <c r="F31" i="12"/>
  <c r="AC31" i="12" s="1"/>
  <c r="AE55" i="47"/>
  <c r="Y55" i="47"/>
  <c r="S55" i="47"/>
  <c r="M55" i="47"/>
  <c r="AE49" i="47"/>
  <c r="Y49" i="47"/>
  <c r="S49" i="47"/>
  <c r="M49" i="47"/>
  <c r="AC42" i="47"/>
  <c r="W42" i="47"/>
  <c r="Q42" i="47"/>
  <c r="K42" i="47"/>
  <c r="H42" i="47"/>
  <c r="AC35" i="47"/>
  <c r="W35" i="47"/>
  <c r="Q35" i="47"/>
  <c r="K35" i="47"/>
  <c r="H35" i="47"/>
  <c r="F33" i="47"/>
  <c r="F32" i="47"/>
  <c r="Q32" i="47" s="1"/>
  <c r="F31" i="47"/>
  <c r="W31" i="47" s="1"/>
  <c r="AF31" i="47" s="1"/>
  <c r="F29" i="47"/>
  <c r="F27" i="47"/>
  <c r="Q27" i="47" s="1"/>
  <c r="F26" i="47"/>
  <c r="Q26" i="47" s="1"/>
  <c r="F25" i="47"/>
  <c r="Q25" i="47" s="1"/>
  <c r="F24" i="47"/>
  <c r="W24" i="47" s="1"/>
  <c r="F19" i="47"/>
  <c r="AC18" i="47"/>
  <c r="W18" i="47"/>
  <c r="AF18" i="47" s="1"/>
  <c r="Q18" i="47"/>
  <c r="K18" i="47"/>
  <c r="T18" i="47" s="1"/>
  <c r="H18" i="47"/>
  <c r="N18" i="47" s="1"/>
  <c r="AC17" i="47"/>
  <c r="W17" i="47"/>
  <c r="AF17" i="47" s="1"/>
  <c r="Q17" i="47"/>
  <c r="Z17" i="47" s="1"/>
  <c r="K17" i="47"/>
  <c r="T17" i="47" s="1"/>
  <c r="H17" i="47"/>
  <c r="AC16" i="47"/>
  <c r="W16" i="47"/>
  <c r="Q16" i="47"/>
  <c r="Z16" i="47" s="1"/>
  <c r="K16" i="47"/>
  <c r="T16" i="47" s="1"/>
  <c r="H16" i="47"/>
  <c r="N16" i="47" s="1"/>
  <c r="AC15" i="47"/>
  <c r="W15" i="47"/>
  <c r="Q15" i="47"/>
  <c r="K15" i="47"/>
  <c r="H15" i="47"/>
  <c r="N15" i="47" s="1"/>
  <c r="AC14" i="47"/>
  <c r="W14" i="47"/>
  <c r="AF14" i="47" s="1"/>
  <c r="Q14" i="47"/>
  <c r="K14" i="47"/>
  <c r="H14" i="47"/>
  <c r="AE55" i="46"/>
  <c r="Y55" i="46"/>
  <c r="S55" i="46"/>
  <c r="M55" i="46"/>
  <c r="AE49" i="46"/>
  <c r="Y49" i="46"/>
  <c r="S49" i="46"/>
  <c r="M49" i="46"/>
  <c r="AC42" i="46"/>
  <c r="H42" i="46"/>
  <c r="M42" i="46" s="1"/>
  <c r="N42" i="46" s="1"/>
  <c r="F38" i="46"/>
  <c r="AC35" i="46"/>
  <c r="W35" i="46"/>
  <c r="Q35" i="46"/>
  <c r="K35" i="46"/>
  <c r="H35" i="46"/>
  <c r="F33" i="46"/>
  <c r="F32" i="46"/>
  <c r="F31" i="46"/>
  <c r="F29" i="46"/>
  <c r="F27" i="46"/>
  <c r="W27" i="46" s="1"/>
  <c r="F26" i="46"/>
  <c r="F25" i="46"/>
  <c r="F24" i="46"/>
  <c r="F19" i="46"/>
  <c r="AC18" i="46"/>
  <c r="W18" i="46"/>
  <c r="AF18" i="46" s="1"/>
  <c r="Q18" i="46"/>
  <c r="K18" i="46"/>
  <c r="T18" i="46" s="1"/>
  <c r="H18" i="46"/>
  <c r="N18" i="46" s="1"/>
  <c r="AC17" i="46"/>
  <c r="W17" i="46"/>
  <c r="AF17" i="46" s="1"/>
  <c r="Q17" i="46"/>
  <c r="Z17" i="46" s="1"/>
  <c r="K17" i="46"/>
  <c r="T17" i="46" s="1"/>
  <c r="H17" i="46"/>
  <c r="N17" i="46" s="1"/>
  <c r="AC16" i="46"/>
  <c r="W16" i="46"/>
  <c r="AF16" i="46" s="1"/>
  <c r="Q16" i="46"/>
  <c r="Z16" i="46" s="1"/>
  <c r="K16" i="46"/>
  <c r="T16" i="46" s="1"/>
  <c r="H16" i="46"/>
  <c r="N16" i="46" s="1"/>
  <c r="AC15" i="46"/>
  <c r="W15" i="46"/>
  <c r="AF15" i="46" s="1"/>
  <c r="Q15" i="46"/>
  <c r="K15" i="46"/>
  <c r="H15" i="46"/>
  <c r="AC14" i="46"/>
  <c r="W14" i="46"/>
  <c r="Q14" i="46"/>
  <c r="K14" i="46"/>
  <c r="T14" i="46" s="1"/>
  <c r="AE55" i="45"/>
  <c r="Y55" i="45"/>
  <c r="S55" i="45"/>
  <c r="M55" i="45"/>
  <c r="AE49" i="45"/>
  <c r="Y49" i="45"/>
  <c r="S49" i="45"/>
  <c r="M49" i="45"/>
  <c r="AC42" i="45"/>
  <c r="H42" i="45"/>
  <c r="M42" i="45" s="1"/>
  <c r="N42" i="45" s="1"/>
  <c r="AC35" i="45"/>
  <c r="W35" i="45"/>
  <c r="Q35" i="45"/>
  <c r="K35" i="45"/>
  <c r="H35" i="45"/>
  <c r="F33" i="45"/>
  <c r="F32" i="45"/>
  <c r="F31" i="45"/>
  <c r="F29" i="45"/>
  <c r="F27" i="45"/>
  <c r="F26" i="45"/>
  <c r="F25" i="45"/>
  <c r="F24" i="45"/>
  <c r="F19" i="45"/>
  <c r="AC18" i="45"/>
  <c r="W18" i="45"/>
  <c r="AF18" i="45" s="1"/>
  <c r="Q18" i="45"/>
  <c r="Z18" i="45" s="1"/>
  <c r="K18" i="45"/>
  <c r="T18" i="45" s="1"/>
  <c r="H18" i="45"/>
  <c r="N18" i="45" s="1"/>
  <c r="AC17" i="45"/>
  <c r="W17" i="45"/>
  <c r="AF17" i="45" s="1"/>
  <c r="Q17" i="45"/>
  <c r="Z17" i="45" s="1"/>
  <c r="K17" i="45"/>
  <c r="T17" i="45" s="1"/>
  <c r="H17" i="45"/>
  <c r="AC16" i="45"/>
  <c r="W16" i="45"/>
  <c r="AF16" i="45" s="1"/>
  <c r="Q16" i="45"/>
  <c r="Z16" i="45" s="1"/>
  <c r="K16" i="45"/>
  <c r="H16" i="45"/>
  <c r="AC15" i="45"/>
  <c r="W15" i="45"/>
  <c r="AF15" i="45" s="1"/>
  <c r="Q15" i="45"/>
  <c r="K15" i="45"/>
  <c r="T15" i="45" s="1"/>
  <c r="H15" i="45"/>
  <c r="AC14" i="45"/>
  <c r="W14" i="45"/>
  <c r="AF14" i="45" s="1"/>
  <c r="K14" i="45"/>
  <c r="H14" i="45"/>
  <c r="N14" i="45" s="1"/>
  <c r="AE55" i="44"/>
  <c r="Y55" i="44"/>
  <c r="S55" i="44"/>
  <c r="M55" i="44"/>
  <c r="AE49" i="44"/>
  <c r="Y49" i="44"/>
  <c r="S49" i="44"/>
  <c r="M49" i="44"/>
  <c r="AC42" i="44"/>
  <c r="H42" i="44"/>
  <c r="M42" i="44" s="1"/>
  <c r="N42" i="44" s="1"/>
  <c r="AC35" i="44"/>
  <c r="W35" i="44"/>
  <c r="Q35" i="44"/>
  <c r="K35" i="44"/>
  <c r="H35" i="44"/>
  <c r="F33" i="44"/>
  <c r="F32" i="44"/>
  <c r="F31" i="44"/>
  <c r="W31" i="44" s="1"/>
  <c r="AF31" i="44" s="1"/>
  <c r="F29" i="44"/>
  <c r="F27" i="44"/>
  <c r="F26" i="44"/>
  <c r="Q26" i="44" s="1"/>
  <c r="Z26" i="44" s="1"/>
  <c r="F25" i="44"/>
  <c r="F24" i="44"/>
  <c r="Q24" i="44" s="1"/>
  <c r="F19" i="44"/>
  <c r="AC18" i="44"/>
  <c r="W18" i="44"/>
  <c r="Q18" i="44"/>
  <c r="Z18" i="44" s="1"/>
  <c r="K18" i="44"/>
  <c r="T18" i="44" s="1"/>
  <c r="H18" i="44"/>
  <c r="AC17" i="44"/>
  <c r="W17" i="44"/>
  <c r="AF17" i="44" s="1"/>
  <c r="Q17" i="44"/>
  <c r="K17" i="44"/>
  <c r="T17" i="44" s="1"/>
  <c r="H17" i="44"/>
  <c r="AC16" i="44"/>
  <c r="W16" i="44"/>
  <c r="AF16" i="44" s="1"/>
  <c r="Q16" i="44"/>
  <c r="Z16" i="44" s="1"/>
  <c r="K16" i="44"/>
  <c r="H16" i="44"/>
  <c r="AC15" i="44"/>
  <c r="W15" i="44"/>
  <c r="Q15" i="44"/>
  <c r="Z15" i="44" s="1"/>
  <c r="K15" i="44"/>
  <c r="T15" i="44" s="1"/>
  <c r="H15" i="44"/>
  <c r="AC14" i="44"/>
  <c r="W14" i="44"/>
  <c r="Q14" i="44"/>
  <c r="K14" i="44"/>
  <c r="H14" i="44"/>
  <c r="AE55" i="43"/>
  <c r="Y55" i="43"/>
  <c r="S55" i="43"/>
  <c r="M55" i="43"/>
  <c r="AE49" i="43"/>
  <c r="Y49" i="43"/>
  <c r="S49" i="43"/>
  <c r="M49" i="43"/>
  <c r="AC42" i="43"/>
  <c r="H42" i="43"/>
  <c r="M42" i="43" s="1"/>
  <c r="N42" i="43" s="1"/>
  <c r="AC35" i="43"/>
  <c r="W35" i="43"/>
  <c r="Q35" i="43"/>
  <c r="K35" i="43"/>
  <c r="H35" i="43"/>
  <c r="F33" i="43"/>
  <c r="F32" i="43"/>
  <c r="AC32" i="43" s="1"/>
  <c r="F31" i="43"/>
  <c r="Q31" i="43" s="1"/>
  <c r="F29" i="43"/>
  <c r="F27" i="43"/>
  <c r="H27" i="43" s="1"/>
  <c r="N27" i="43" s="1"/>
  <c r="F26" i="43"/>
  <c r="Q26" i="43" s="1"/>
  <c r="Z26" i="43" s="1"/>
  <c r="F25" i="43"/>
  <c r="F24" i="43"/>
  <c r="Q24" i="43" s="1"/>
  <c r="F19" i="43"/>
  <c r="AC18" i="43"/>
  <c r="W18" i="43"/>
  <c r="AF18" i="43" s="1"/>
  <c r="Q18" i="43"/>
  <c r="K18" i="43"/>
  <c r="H18" i="43"/>
  <c r="N18" i="43" s="1"/>
  <c r="AC17" i="43"/>
  <c r="W17" i="43"/>
  <c r="AF17" i="43" s="1"/>
  <c r="Q17" i="43"/>
  <c r="K17" i="43"/>
  <c r="T17" i="43" s="1"/>
  <c r="H17" i="43"/>
  <c r="N17" i="43" s="1"/>
  <c r="AC16" i="43"/>
  <c r="W16" i="43"/>
  <c r="Q16" i="43"/>
  <c r="Z16" i="43" s="1"/>
  <c r="K16" i="43"/>
  <c r="T16" i="43" s="1"/>
  <c r="H16" i="43"/>
  <c r="AC15" i="43"/>
  <c r="W15" i="43"/>
  <c r="AF15" i="43" s="1"/>
  <c r="Q15" i="43"/>
  <c r="K15" i="43"/>
  <c r="T15" i="43" s="1"/>
  <c r="H15" i="43"/>
  <c r="AC14" i="43"/>
  <c r="W14" i="43"/>
  <c r="Q14" i="43"/>
  <c r="K14" i="43"/>
  <c r="T14" i="43" s="1"/>
  <c r="H14" i="43"/>
  <c r="AE55" i="42"/>
  <c r="Y55" i="42"/>
  <c r="S55" i="42"/>
  <c r="M55" i="42"/>
  <c r="AE49" i="42"/>
  <c r="Y49" i="42"/>
  <c r="S49" i="42"/>
  <c r="M49" i="42"/>
  <c r="AC42" i="42"/>
  <c r="H42" i="42"/>
  <c r="M42" i="42" s="1"/>
  <c r="N42" i="42" s="1"/>
  <c r="AC35" i="42"/>
  <c r="W35" i="42"/>
  <c r="Q35" i="42"/>
  <c r="K35" i="42"/>
  <c r="H35" i="42"/>
  <c r="F33" i="42"/>
  <c r="F32" i="42"/>
  <c r="Q32" i="42" s="1"/>
  <c r="Z32" i="42" s="1"/>
  <c r="F31" i="42"/>
  <c r="AC31" i="42" s="1"/>
  <c r="F29" i="42"/>
  <c r="W29" i="42" s="1"/>
  <c r="F27" i="42"/>
  <c r="F26" i="42"/>
  <c r="Q26" i="42" s="1"/>
  <c r="Z26" i="42" s="1"/>
  <c r="F25" i="42"/>
  <c r="F24" i="42"/>
  <c r="F19" i="42"/>
  <c r="AC18" i="42"/>
  <c r="W18" i="42"/>
  <c r="Q18" i="42"/>
  <c r="Z18" i="42" s="1"/>
  <c r="K18" i="42"/>
  <c r="T18" i="42" s="1"/>
  <c r="H18" i="42"/>
  <c r="AC17" i="42"/>
  <c r="W17" i="42"/>
  <c r="Q17" i="42"/>
  <c r="Z17" i="42" s="1"/>
  <c r="K17" i="42"/>
  <c r="T17" i="42" s="1"/>
  <c r="H17" i="42"/>
  <c r="N17" i="42" s="1"/>
  <c r="AC16" i="42"/>
  <c r="W16" i="42"/>
  <c r="AF16" i="42" s="1"/>
  <c r="Q16" i="42"/>
  <c r="Z16" i="42" s="1"/>
  <c r="K16" i="42"/>
  <c r="H16" i="42"/>
  <c r="N16" i="42" s="1"/>
  <c r="AC15" i="42"/>
  <c r="W15" i="42"/>
  <c r="AF15" i="42" s="1"/>
  <c r="Q15" i="42"/>
  <c r="K15" i="42"/>
  <c r="T15" i="42" s="1"/>
  <c r="H15" i="42"/>
  <c r="AC14" i="42"/>
  <c r="W14" i="42"/>
  <c r="Q14" i="42"/>
  <c r="Z14" i="42" s="1"/>
  <c r="K14" i="42"/>
  <c r="H14" i="42"/>
  <c r="N14" i="42" s="1"/>
  <c r="F31" i="11"/>
  <c r="F14" i="17"/>
  <c r="AC14" i="17" s="1"/>
  <c r="F14" i="16"/>
  <c r="AC14" i="16" s="1"/>
  <c r="AC14" i="15"/>
  <c r="W14" i="15"/>
  <c r="Q14" i="15"/>
  <c r="K14" i="15"/>
  <c r="H14" i="15"/>
  <c r="AC14" i="37"/>
  <c r="W14" i="37"/>
  <c r="Q14" i="37"/>
  <c r="Z14" i="37" s="1"/>
  <c r="K14" i="37"/>
  <c r="T14" i="37" s="1"/>
  <c r="H14" i="37"/>
  <c r="AC14" i="14"/>
  <c r="W14" i="14"/>
  <c r="AF14" i="14" s="1"/>
  <c r="Q14" i="14"/>
  <c r="K14" i="14"/>
  <c r="H14" i="14"/>
  <c r="H14" i="13"/>
  <c r="AC14" i="13"/>
  <c r="W14" i="13"/>
  <c r="AF14" i="13" s="1"/>
  <c r="Q14" i="13"/>
  <c r="K14" i="13"/>
  <c r="AC15" i="13"/>
  <c r="H15" i="13"/>
  <c r="K32" i="43" l="1"/>
  <c r="T32" i="43" s="1"/>
  <c r="M32" i="17"/>
  <c r="N32" i="17" s="1"/>
  <c r="W29" i="53"/>
  <c r="F41" i="58"/>
  <c r="F40" i="58"/>
  <c r="F34" i="58"/>
  <c r="W25" i="60"/>
  <c r="Q25" i="60"/>
  <c r="H25" i="60"/>
  <c r="N25" i="60" s="1"/>
  <c r="K25" i="60"/>
  <c r="H16" i="61"/>
  <c r="N16" i="61" s="1"/>
  <c r="Q16" i="61"/>
  <c r="W16" i="61"/>
  <c r="K16" i="61"/>
  <c r="K24" i="62"/>
  <c r="H24" i="62"/>
  <c r="N24" i="62" s="1"/>
  <c r="Q24" i="62"/>
  <c r="W24" i="62"/>
  <c r="Q32" i="48"/>
  <c r="W32" i="48"/>
  <c r="AF32" i="48" s="1"/>
  <c r="K32" i="48"/>
  <c r="H32" i="48"/>
  <c r="N32" i="48" s="1"/>
  <c r="W31" i="49"/>
  <c r="Q31" i="49"/>
  <c r="H31" i="49"/>
  <c r="K31" i="49"/>
  <c r="W29" i="50"/>
  <c r="K24" i="51"/>
  <c r="Q24" i="51"/>
  <c r="H24" i="51"/>
  <c r="N24" i="51" s="1"/>
  <c r="W24" i="51"/>
  <c r="K26" i="52"/>
  <c r="H26" i="52"/>
  <c r="N26" i="52" s="1"/>
  <c r="Q26" i="52"/>
  <c r="W26" i="52"/>
  <c r="Y26" i="52" s="1"/>
  <c r="F40" i="53"/>
  <c r="F34" i="53"/>
  <c r="F41" i="53"/>
  <c r="K31" i="53"/>
  <c r="H31" i="53"/>
  <c r="Q31" i="53"/>
  <c r="W31" i="53"/>
  <c r="W24" i="54"/>
  <c r="H24" i="54"/>
  <c r="N24" i="54" s="1"/>
  <c r="K24" i="54"/>
  <c r="Q24" i="54"/>
  <c r="Q27" i="55"/>
  <c r="H27" i="55"/>
  <c r="N27" i="55" s="1"/>
  <c r="K27" i="55"/>
  <c r="W27" i="55"/>
  <c r="K26" i="60"/>
  <c r="H26" i="60"/>
  <c r="N26" i="60" s="1"/>
  <c r="W26" i="60"/>
  <c r="Q26" i="60"/>
  <c r="K17" i="61"/>
  <c r="H17" i="61"/>
  <c r="N17" i="61" s="1"/>
  <c r="W17" i="61"/>
  <c r="Q17" i="61"/>
  <c r="Q27" i="61"/>
  <c r="K27" i="61"/>
  <c r="H27" i="61"/>
  <c r="N27" i="61" s="1"/>
  <c r="W27" i="61"/>
  <c r="H14" i="62"/>
  <c r="N14" i="62" s="1"/>
  <c r="W14" i="62"/>
  <c r="K14" i="62"/>
  <c r="Q14" i="62"/>
  <c r="W25" i="62"/>
  <c r="AF25" i="62" s="1"/>
  <c r="Q25" i="62"/>
  <c r="H25" i="62"/>
  <c r="N25" i="62" s="1"/>
  <c r="K25" i="62"/>
  <c r="W33" i="48"/>
  <c r="Q33" i="48"/>
  <c r="K33" i="48"/>
  <c r="H33" i="48"/>
  <c r="W32" i="49"/>
  <c r="Q32" i="49"/>
  <c r="K32" i="49"/>
  <c r="H32" i="49"/>
  <c r="N32" i="49" s="1"/>
  <c r="Q31" i="50"/>
  <c r="H31" i="50"/>
  <c r="W31" i="50"/>
  <c r="K31" i="50"/>
  <c r="W25" i="51"/>
  <c r="Y25" i="51" s="1"/>
  <c r="Q25" i="51"/>
  <c r="H25" i="51"/>
  <c r="N25" i="51" s="1"/>
  <c r="K25" i="51"/>
  <c r="K27" i="52"/>
  <c r="W27" i="52"/>
  <c r="H27" i="52"/>
  <c r="N27" i="52" s="1"/>
  <c r="Q27" i="52"/>
  <c r="K32" i="53"/>
  <c r="H32" i="53"/>
  <c r="N32" i="53" s="1"/>
  <c r="W32" i="53"/>
  <c r="Q32" i="53"/>
  <c r="Q25" i="54"/>
  <c r="W25" i="54"/>
  <c r="Y25" i="54" s="1"/>
  <c r="H25" i="54"/>
  <c r="N25" i="54" s="1"/>
  <c r="K25" i="54"/>
  <c r="W29" i="55"/>
  <c r="F25" i="57"/>
  <c r="F32" i="57"/>
  <c r="AC32" i="57" s="1"/>
  <c r="F37" i="57"/>
  <c r="W27" i="60"/>
  <c r="Q27" i="60"/>
  <c r="K27" i="60"/>
  <c r="H27" i="60"/>
  <c r="N27" i="60" s="1"/>
  <c r="W18" i="61"/>
  <c r="Q18" i="61"/>
  <c r="K18" i="61"/>
  <c r="H18" i="61"/>
  <c r="N18" i="61" s="1"/>
  <c r="W29" i="61"/>
  <c r="W16" i="62"/>
  <c r="Q16" i="62"/>
  <c r="K16" i="62"/>
  <c r="H16" i="62"/>
  <c r="N16" i="62" s="1"/>
  <c r="W26" i="62"/>
  <c r="Q26" i="62"/>
  <c r="H26" i="62"/>
  <c r="N26" i="62" s="1"/>
  <c r="K26" i="62"/>
  <c r="K33" i="51"/>
  <c r="Q33" i="51"/>
  <c r="H33" i="51"/>
  <c r="W33" i="51"/>
  <c r="AF25" i="52"/>
  <c r="Q25" i="52"/>
  <c r="K25" i="52"/>
  <c r="W25" i="52"/>
  <c r="H25" i="52"/>
  <c r="N25" i="52" s="1"/>
  <c r="AF20" i="54"/>
  <c r="H20" i="54"/>
  <c r="Q20" i="54"/>
  <c r="K20" i="54"/>
  <c r="W20" i="54"/>
  <c r="H26" i="61"/>
  <c r="N26" i="61" s="1"/>
  <c r="Q26" i="61"/>
  <c r="K26" i="61"/>
  <c r="W26" i="61"/>
  <c r="Y26" i="61" s="1"/>
  <c r="K33" i="49"/>
  <c r="Q33" i="49"/>
  <c r="W33" i="49"/>
  <c r="H33" i="49"/>
  <c r="K26" i="51"/>
  <c r="W26" i="51"/>
  <c r="Q26" i="51"/>
  <c r="H26" i="51"/>
  <c r="N26" i="51" s="1"/>
  <c r="W29" i="52"/>
  <c r="W20" i="53"/>
  <c r="K20" i="53"/>
  <c r="Q20" i="53"/>
  <c r="H20" i="53"/>
  <c r="K26" i="54"/>
  <c r="H26" i="54"/>
  <c r="N26" i="54" s="1"/>
  <c r="Q26" i="54"/>
  <c r="W26" i="54"/>
  <c r="Y26" i="54" s="1"/>
  <c r="F41" i="55"/>
  <c r="F34" i="55"/>
  <c r="F40" i="55"/>
  <c r="W29" i="60"/>
  <c r="W30" i="61"/>
  <c r="K27" i="62"/>
  <c r="H27" i="62"/>
  <c r="N27" i="62" s="1"/>
  <c r="Q27" i="62"/>
  <c r="W27" i="62"/>
  <c r="AE17" i="42"/>
  <c r="K25" i="48"/>
  <c r="H25" i="48"/>
  <c r="N25" i="48" s="1"/>
  <c r="W25" i="48"/>
  <c r="Q25" i="48"/>
  <c r="Q24" i="49"/>
  <c r="W24" i="49"/>
  <c r="K24" i="49"/>
  <c r="H24" i="49"/>
  <c r="N24" i="49" s="1"/>
  <c r="Q33" i="50"/>
  <c r="K33" i="50"/>
  <c r="W33" i="50"/>
  <c r="H33" i="50"/>
  <c r="AF27" i="51"/>
  <c r="K27" i="51"/>
  <c r="W27" i="51"/>
  <c r="Y27" i="51" s="1"/>
  <c r="H27" i="51"/>
  <c r="N27" i="51" s="1"/>
  <c r="Q27" i="51"/>
  <c r="F41" i="52"/>
  <c r="F40" i="52"/>
  <c r="F34" i="52"/>
  <c r="AC31" i="52"/>
  <c r="Q31" i="52"/>
  <c r="H31" i="52"/>
  <c r="W31" i="52"/>
  <c r="K31" i="52"/>
  <c r="Q24" i="53"/>
  <c r="W24" i="53"/>
  <c r="K24" i="53"/>
  <c r="H24" i="53"/>
  <c r="N24" i="53" s="1"/>
  <c r="Q27" i="54"/>
  <c r="K27" i="54"/>
  <c r="H27" i="54"/>
  <c r="N27" i="54" s="1"/>
  <c r="W27" i="54"/>
  <c r="AC32" i="55"/>
  <c r="AE32" i="55" s="1"/>
  <c r="Q32" i="55"/>
  <c r="K32" i="55"/>
  <c r="H32" i="55"/>
  <c r="N32" i="55" s="1"/>
  <c r="W32" i="55"/>
  <c r="F32" i="56"/>
  <c r="AC32" i="56" s="1"/>
  <c r="F37" i="56"/>
  <c r="F43" i="58"/>
  <c r="W30" i="60"/>
  <c r="W20" i="61"/>
  <c r="Q20" i="61"/>
  <c r="K20" i="61"/>
  <c r="H20" i="61"/>
  <c r="N20" i="61" s="1"/>
  <c r="Q31" i="61"/>
  <c r="H31" i="61"/>
  <c r="W31" i="61"/>
  <c r="K31" i="61"/>
  <c r="Q18" i="62"/>
  <c r="K18" i="62"/>
  <c r="H18" i="62"/>
  <c r="N18" i="62" s="1"/>
  <c r="W18" i="62"/>
  <c r="W29" i="62"/>
  <c r="W29" i="49"/>
  <c r="K27" i="50"/>
  <c r="H27" i="50"/>
  <c r="N27" i="50" s="1"/>
  <c r="Q27" i="50"/>
  <c r="W27" i="50"/>
  <c r="Y27" i="50" s="1"/>
  <c r="W33" i="54"/>
  <c r="Q33" i="54"/>
  <c r="H33" i="54"/>
  <c r="K33" i="54"/>
  <c r="W26" i="55"/>
  <c r="Q26" i="55"/>
  <c r="H26" i="55"/>
  <c r="N26" i="55" s="1"/>
  <c r="K26" i="55"/>
  <c r="K24" i="48"/>
  <c r="W24" i="48"/>
  <c r="AF24" i="48" s="1"/>
  <c r="H24" i="48"/>
  <c r="N24" i="48" s="1"/>
  <c r="Q24" i="48"/>
  <c r="K32" i="50"/>
  <c r="H32" i="50"/>
  <c r="N32" i="50" s="1"/>
  <c r="Q32" i="50"/>
  <c r="W32" i="50"/>
  <c r="K33" i="53"/>
  <c r="Q33" i="53"/>
  <c r="W33" i="53"/>
  <c r="H33" i="53"/>
  <c r="K31" i="55"/>
  <c r="Q31" i="55"/>
  <c r="W31" i="55"/>
  <c r="H31" i="55"/>
  <c r="F41" i="57"/>
  <c r="F40" i="57"/>
  <c r="F34" i="57"/>
  <c r="K17" i="62"/>
  <c r="H17" i="62"/>
  <c r="N17" i="62" s="1"/>
  <c r="W17" i="62"/>
  <c r="Q17" i="62"/>
  <c r="W26" i="48"/>
  <c r="K26" i="48"/>
  <c r="Q26" i="48"/>
  <c r="H26" i="48"/>
  <c r="N26" i="48" s="1"/>
  <c r="K25" i="49"/>
  <c r="H25" i="49"/>
  <c r="N25" i="49" s="1"/>
  <c r="W25" i="49"/>
  <c r="Q25" i="49"/>
  <c r="H24" i="50"/>
  <c r="N24" i="50" s="1"/>
  <c r="W24" i="50"/>
  <c r="Q24" i="50"/>
  <c r="K24" i="50"/>
  <c r="AC29" i="51"/>
  <c r="W29" i="51"/>
  <c r="H32" i="52"/>
  <c r="N32" i="52" s="1"/>
  <c r="Q32" i="52"/>
  <c r="W32" i="52"/>
  <c r="K32" i="52"/>
  <c r="AC25" i="53"/>
  <c r="W25" i="53"/>
  <c r="K25" i="53"/>
  <c r="Q25" i="53"/>
  <c r="H25" i="53"/>
  <c r="N25" i="53" s="1"/>
  <c r="W29" i="54"/>
  <c r="AF29" i="54" s="1"/>
  <c r="AC20" i="55"/>
  <c r="Q20" i="55"/>
  <c r="K20" i="55"/>
  <c r="W20" i="55"/>
  <c r="H20" i="55"/>
  <c r="AC33" i="55"/>
  <c r="K33" i="55"/>
  <c r="H33" i="55"/>
  <c r="Q33" i="55"/>
  <c r="W33" i="55"/>
  <c r="F43" i="56"/>
  <c r="F41" i="56"/>
  <c r="F40" i="56"/>
  <c r="F34" i="56"/>
  <c r="Q31" i="60"/>
  <c r="H31" i="60"/>
  <c r="W31" i="60"/>
  <c r="K31" i="60"/>
  <c r="H13" i="61"/>
  <c r="N13" i="61" s="1"/>
  <c r="W13" i="61"/>
  <c r="Q13" i="61"/>
  <c r="K13" i="61"/>
  <c r="H21" i="61"/>
  <c r="N21" i="61" s="1"/>
  <c r="W21" i="61"/>
  <c r="Q21" i="61"/>
  <c r="K21" i="61"/>
  <c r="W33" i="61"/>
  <c r="K33" i="61"/>
  <c r="Q33" i="61"/>
  <c r="H33" i="61"/>
  <c r="W30" i="62"/>
  <c r="H34" i="62"/>
  <c r="P34" i="62"/>
  <c r="Q34" i="62" s="1"/>
  <c r="J34" i="62"/>
  <c r="K34" i="62" s="1"/>
  <c r="AB34" i="62"/>
  <c r="AC34" i="62" s="1"/>
  <c r="V34" i="62"/>
  <c r="W34" i="62" s="1"/>
  <c r="H31" i="48"/>
  <c r="Q31" i="48"/>
  <c r="K31" i="48"/>
  <c r="W31" i="48"/>
  <c r="AC27" i="48"/>
  <c r="H27" i="48"/>
  <c r="N27" i="48" s="1"/>
  <c r="W27" i="48"/>
  <c r="Q27" i="48"/>
  <c r="K27" i="48"/>
  <c r="W26" i="49"/>
  <c r="K26" i="49"/>
  <c r="Q26" i="49"/>
  <c r="H26" i="49"/>
  <c r="N26" i="49" s="1"/>
  <c r="W25" i="50"/>
  <c r="Q25" i="50"/>
  <c r="H25" i="50"/>
  <c r="N25" i="50" s="1"/>
  <c r="K25" i="50"/>
  <c r="W31" i="51"/>
  <c r="AF31" i="51" s="1"/>
  <c r="Q31" i="51"/>
  <c r="H31" i="51"/>
  <c r="K31" i="51"/>
  <c r="H20" i="52"/>
  <c r="W20" i="52"/>
  <c r="K20" i="52"/>
  <c r="Q20" i="52"/>
  <c r="K33" i="52"/>
  <c r="W33" i="52"/>
  <c r="H33" i="52"/>
  <c r="Q33" i="52"/>
  <c r="H26" i="53"/>
  <c r="N26" i="53" s="1"/>
  <c r="W26" i="53"/>
  <c r="Q26" i="53"/>
  <c r="K26" i="53"/>
  <c r="F40" i="54"/>
  <c r="F34" i="54"/>
  <c r="F41" i="54"/>
  <c r="W31" i="54"/>
  <c r="H31" i="54"/>
  <c r="Q31" i="54"/>
  <c r="K31" i="54"/>
  <c r="AC24" i="55"/>
  <c r="H24" i="55"/>
  <c r="N24" i="55" s="1"/>
  <c r="K24" i="55"/>
  <c r="Q24" i="55"/>
  <c r="W24" i="55"/>
  <c r="F32" i="59"/>
  <c r="F37" i="59"/>
  <c r="K21" i="60"/>
  <c r="H21" i="60"/>
  <c r="N21" i="60" s="1"/>
  <c r="W21" i="60"/>
  <c r="Q21" i="60"/>
  <c r="Q33" i="60"/>
  <c r="W33" i="60"/>
  <c r="K33" i="60"/>
  <c r="H33" i="60"/>
  <c r="Q14" i="61"/>
  <c r="K14" i="61"/>
  <c r="H14" i="61"/>
  <c r="N14" i="61" s="1"/>
  <c r="W14" i="61"/>
  <c r="W24" i="61"/>
  <c r="Q24" i="61"/>
  <c r="K24" i="61"/>
  <c r="H24" i="61"/>
  <c r="N24" i="61" s="1"/>
  <c r="Q42" i="61"/>
  <c r="K42" i="61"/>
  <c r="H42" i="61"/>
  <c r="W42" i="61"/>
  <c r="W31" i="62"/>
  <c r="AF31" i="62" s="1"/>
  <c r="K31" i="62"/>
  <c r="Q31" i="62"/>
  <c r="H31" i="62"/>
  <c r="W29" i="48"/>
  <c r="W27" i="49"/>
  <c r="Y27" i="49" s="1"/>
  <c r="Q27" i="49"/>
  <c r="K27" i="49"/>
  <c r="H27" i="49"/>
  <c r="N27" i="49" s="1"/>
  <c r="W26" i="50"/>
  <c r="K26" i="50"/>
  <c r="Q26" i="50"/>
  <c r="H26" i="50"/>
  <c r="N26" i="50" s="1"/>
  <c r="W32" i="51"/>
  <c r="H32" i="51"/>
  <c r="N32" i="51" s="1"/>
  <c r="Q32" i="51"/>
  <c r="K32" i="51"/>
  <c r="K24" i="52"/>
  <c r="W24" i="52"/>
  <c r="AF24" i="52" s="1"/>
  <c r="Q24" i="52"/>
  <c r="H24" i="52"/>
  <c r="N24" i="52" s="1"/>
  <c r="H27" i="53"/>
  <c r="N27" i="53" s="1"/>
  <c r="K27" i="53"/>
  <c r="W27" i="53"/>
  <c r="Q27" i="53"/>
  <c r="W32" i="54"/>
  <c r="Q32" i="54"/>
  <c r="H32" i="54"/>
  <c r="N32" i="54" s="1"/>
  <c r="K32" i="54"/>
  <c r="K25" i="55"/>
  <c r="H25" i="55"/>
  <c r="N25" i="55" s="1"/>
  <c r="W25" i="55"/>
  <c r="Q25" i="55"/>
  <c r="F19" i="58"/>
  <c r="F32" i="58"/>
  <c r="F37" i="58"/>
  <c r="F41" i="59"/>
  <c r="F40" i="59"/>
  <c r="AC40" i="59" s="1"/>
  <c r="F34" i="59"/>
  <c r="AC24" i="60"/>
  <c r="W24" i="60"/>
  <c r="AF24" i="60" s="1"/>
  <c r="K24" i="60"/>
  <c r="H24" i="60"/>
  <c r="N24" i="60" s="1"/>
  <c r="Q24" i="60"/>
  <c r="H15" i="61"/>
  <c r="N15" i="61" s="1"/>
  <c r="K15" i="61"/>
  <c r="W15" i="61"/>
  <c r="Q15" i="61"/>
  <c r="W25" i="61"/>
  <c r="K25" i="61"/>
  <c r="H25" i="61"/>
  <c r="N25" i="61" s="1"/>
  <c r="Q25" i="61"/>
  <c r="K21" i="62"/>
  <c r="H21" i="62"/>
  <c r="N21" i="62" s="1"/>
  <c r="W21" i="62"/>
  <c r="Q21" i="62"/>
  <c r="H33" i="62"/>
  <c r="K33" i="62"/>
  <c r="Q33" i="62"/>
  <c r="W33" i="62"/>
  <c r="K13" i="62"/>
  <c r="W13" i="62"/>
  <c r="H13" i="62"/>
  <c r="Q13" i="62"/>
  <c r="W20" i="60"/>
  <c r="Q20" i="60"/>
  <c r="Z20" i="60" s="1"/>
  <c r="K20" i="60"/>
  <c r="H20" i="60"/>
  <c r="W20" i="62"/>
  <c r="K20" i="62"/>
  <c r="H20" i="62"/>
  <c r="N20" i="62" s="1"/>
  <c r="Q20" i="62"/>
  <c r="AE18" i="60"/>
  <c r="AE13" i="60"/>
  <c r="AE16" i="59"/>
  <c r="AE13" i="59"/>
  <c r="AE14" i="59"/>
  <c r="AE14" i="37"/>
  <c r="AE18" i="58"/>
  <c r="AE17" i="57"/>
  <c r="AE18" i="56"/>
  <c r="F26" i="56"/>
  <c r="AE13" i="56"/>
  <c r="AE17" i="56"/>
  <c r="AC41" i="56"/>
  <c r="AE17" i="55"/>
  <c r="F44" i="55"/>
  <c r="F48" i="55"/>
  <c r="G34" i="55" s="1"/>
  <c r="F47" i="55"/>
  <c r="F45" i="55"/>
  <c r="F46" i="55"/>
  <c r="AC26" i="54"/>
  <c r="AE26" i="54" s="1"/>
  <c r="AE17" i="54"/>
  <c r="F48" i="54"/>
  <c r="G34" i="54" s="1"/>
  <c r="F46" i="54"/>
  <c r="F45" i="54"/>
  <c r="F44" i="54"/>
  <c r="F47" i="54"/>
  <c r="AE17" i="53"/>
  <c r="F43" i="53"/>
  <c r="K43" i="53" s="1"/>
  <c r="F44" i="53"/>
  <c r="F48" i="53"/>
  <c r="G34" i="53" s="1"/>
  <c r="F45" i="53"/>
  <c r="F47" i="53"/>
  <c r="F46" i="53"/>
  <c r="F46" i="52"/>
  <c r="F45" i="52"/>
  <c r="F48" i="52"/>
  <c r="G34" i="52" s="1"/>
  <c r="F44" i="52"/>
  <c r="F47" i="52"/>
  <c r="AE17" i="49"/>
  <c r="AE18" i="49"/>
  <c r="AF27" i="48"/>
  <c r="AC31" i="47"/>
  <c r="AE31" i="47" s="1"/>
  <c r="H31" i="47"/>
  <c r="AE18" i="46"/>
  <c r="W31" i="45"/>
  <c r="AF31" i="45" s="1"/>
  <c r="W24" i="45"/>
  <c r="Q32" i="45"/>
  <c r="Z32" i="45" s="1"/>
  <c r="Q25" i="45"/>
  <c r="Z25" i="45" s="1"/>
  <c r="Q26" i="45"/>
  <c r="Z26" i="45" s="1"/>
  <c r="M17" i="45"/>
  <c r="H27" i="45"/>
  <c r="N27" i="45" s="1"/>
  <c r="W29" i="45"/>
  <c r="AF29" i="45" s="1"/>
  <c r="H24" i="45"/>
  <c r="K25" i="44"/>
  <c r="K26" i="44"/>
  <c r="T26" i="44" s="1"/>
  <c r="H24" i="44"/>
  <c r="S18" i="43"/>
  <c r="H32" i="43"/>
  <c r="N32" i="43" s="1"/>
  <c r="F20" i="58"/>
  <c r="AC20" i="58" s="1"/>
  <c r="F48" i="58"/>
  <c r="G34" i="58" s="1"/>
  <c r="F45" i="58"/>
  <c r="F44" i="58"/>
  <c r="F47" i="58"/>
  <c r="F46" i="58"/>
  <c r="F26" i="58"/>
  <c r="F48" i="59"/>
  <c r="G34" i="59" s="1"/>
  <c r="F46" i="59"/>
  <c r="F45" i="59"/>
  <c r="F44" i="59"/>
  <c r="F47" i="59"/>
  <c r="F45" i="57"/>
  <c r="F48" i="57"/>
  <c r="G34" i="57" s="1"/>
  <c r="F47" i="57"/>
  <c r="F44" i="57"/>
  <c r="F46" i="57"/>
  <c r="F48" i="56"/>
  <c r="G34" i="56" s="1"/>
  <c r="F45" i="56"/>
  <c r="F47" i="56"/>
  <c r="F46" i="56"/>
  <c r="F44" i="56"/>
  <c r="AE18" i="42"/>
  <c r="Y17" i="42"/>
  <c r="N16" i="44"/>
  <c r="M16" i="45"/>
  <c r="Q45" i="61"/>
  <c r="Q43" i="62"/>
  <c r="Y43" i="62" s="1"/>
  <c r="Z43" i="62" s="1"/>
  <c r="K44" i="62"/>
  <c r="AC26" i="61"/>
  <c r="AC43" i="61"/>
  <c r="AE43" i="61" s="1"/>
  <c r="AF43" i="61" s="1"/>
  <c r="AF13" i="60"/>
  <c r="AF30" i="60"/>
  <c r="AE17" i="60"/>
  <c r="AE16" i="60"/>
  <c r="AE17" i="59"/>
  <c r="F21" i="59"/>
  <c r="Y14" i="37"/>
  <c r="AE18" i="57"/>
  <c r="F43" i="57"/>
  <c r="AE14" i="57"/>
  <c r="AE16" i="57"/>
  <c r="F21" i="58"/>
  <c r="F21" i="57"/>
  <c r="F21" i="56"/>
  <c r="AE18" i="54"/>
  <c r="AE18" i="53"/>
  <c r="AE18" i="52"/>
  <c r="AF18" i="53"/>
  <c r="AF27" i="53"/>
  <c r="AC31" i="48"/>
  <c r="AE17" i="50"/>
  <c r="AE18" i="50"/>
  <c r="AF26" i="51"/>
  <c r="AC26" i="51"/>
  <c r="AE26" i="51" s="1"/>
  <c r="AC31" i="49"/>
  <c r="AF29" i="50"/>
  <c r="AE16" i="49"/>
  <c r="H26" i="47"/>
  <c r="K26" i="47"/>
  <c r="T26" i="47" s="1"/>
  <c r="AE17" i="46"/>
  <c r="AE16" i="46"/>
  <c r="W34" i="46"/>
  <c r="M18" i="46"/>
  <c r="H25" i="44"/>
  <c r="N25" i="44" s="1"/>
  <c r="H31" i="45"/>
  <c r="W25" i="44"/>
  <c r="AF25" i="44" s="1"/>
  <c r="Y17" i="45"/>
  <c r="AE16" i="44"/>
  <c r="K32" i="44"/>
  <c r="T32" i="44" s="1"/>
  <c r="AE16" i="45"/>
  <c r="S16" i="45"/>
  <c r="S18" i="42"/>
  <c r="M17" i="43"/>
  <c r="AC31" i="43"/>
  <c r="Y18" i="42"/>
  <c r="M18" i="43"/>
  <c r="W25" i="43"/>
  <c r="AF25" i="43" s="1"/>
  <c r="S17" i="43"/>
  <c r="AF18" i="42"/>
  <c r="AE18" i="43"/>
  <c r="AE17" i="43"/>
  <c r="Q44" i="62"/>
  <c r="AC21" i="62"/>
  <c r="W48" i="62"/>
  <c r="H48" i="61"/>
  <c r="AC34" i="61"/>
  <c r="AC25" i="61"/>
  <c r="AC48" i="61"/>
  <c r="AC30" i="61"/>
  <c r="AC35" i="61"/>
  <c r="AE14" i="60"/>
  <c r="AF16" i="59"/>
  <c r="AF14" i="37"/>
  <c r="M14" i="37"/>
  <c r="N14" i="37"/>
  <c r="AE17" i="58"/>
  <c r="AF17" i="58"/>
  <c r="AE13" i="58"/>
  <c r="AE14" i="56"/>
  <c r="AF14" i="56"/>
  <c r="AE16" i="56"/>
  <c r="AC27" i="55"/>
  <c r="AC27" i="54"/>
  <c r="AE16" i="54"/>
  <c r="AF16" i="54"/>
  <c r="AC25" i="54"/>
  <c r="AE16" i="53"/>
  <c r="AF26" i="53"/>
  <c r="AC26" i="53"/>
  <c r="AE16" i="52"/>
  <c r="AC27" i="52"/>
  <c r="AE27" i="52" s="1"/>
  <c r="AC25" i="51"/>
  <c r="AC33" i="51"/>
  <c r="AE17" i="51"/>
  <c r="AC32" i="51"/>
  <c r="AE16" i="50"/>
  <c r="AC25" i="49"/>
  <c r="AC26" i="48"/>
  <c r="AE26" i="48" s="1"/>
  <c r="AE17" i="48"/>
  <c r="AC32" i="48"/>
  <c r="H25" i="47"/>
  <c r="N25" i="47" s="1"/>
  <c r="M18" i="47"/>
  <c r="H32" i="47"/>
  <c r="N32" i="47" s="1"/>
  <c r="N17" i="47"/>
  <c r="H24" i="47"/>
  <c r="AE17" i="47"/>
  <c r="Q24" i="47"/>
  <c r="Q31" i="47"/>
  <c r="Z31" i="47" s="1"/>
  <c r="AE16" i="47"/>
  <c r="AC24" i="47"/>
  <c r="AE24" i="47" s="1"/>
  <c r="AF24" i="47" s="1"/>
  <c r="S16" i="46"/>
  <c r="M17" i="46"/>
  <c r="S17" i="46"/>
  <c r="Y17" i="46"/>
  <c r="N16" i="45"/>
  <c r="Y18" i="45"/>
  <c r="H26" i="45"/>
  <c r="N26" i="45" s="1"/>
  <c r="S17" i="45"/>
  <c r="W26" i="45"/>
  <c r="AF26" i="45" s="1"/>
  <c r="N17" i="45"/>
  <c r="AC26" i="45"/>
  <c r="H25" i="45"/>
  <c r="N25" i="45" s="1"/>
  <c r="AC25" i="45"/>
  <c r="AE18" i="44"/>
  <c r="AC25" i="43"/>
  <c r="AE25" i="43" s="1"/>
  <c r="W32" i="43"/>
  <c r="AF32" i="43" s="1"/>
  <c r="M16" i="44"/>
  <c r="Y18" i="44"/>
  <c r="Z17" i="43"/>
  <c r="T18" i="43"/>
  <c r="K26" i="43"/>
  <c r="T26" i="43" s="1"/>
  <c r="H31" i="43"/>
  <c r="W26" i="43"/>
  <c r="AF26" i="43" s="1"/>
  <c r="AF18" i="44"/>
  <c r="Q31" i="44"/>
  <c r="Z31" i="44" s="1"/>
  <c r="Y18" i="43"/>
  <c r="AC26" i="43"/>
  <c r="N17" i="44"/>
  <c r="Z18" i="43"/>
  <c r="W26" i="44"/>
  <c r="AF26" i="44" s="1"/>
  <c r="K25" i="43"/>
  <c r="T25" i="43" s="1"/>
  <c r="W32" i="44"/>
  <c r="AF32" i="44" s="1"/>
  <c r="AF17" i="42"/>
  <c r="AC29" i="42"/>
  <c r="AE29" i="42" s="1"/>
  <c r="Y16" i="42"/>
  <c r="S17" i="42"/>
  <c r="K27" i="42"/>
  <c r="T27" i="42" s="1"/>
  <c r="H31" i="42"/>
  <c r="AE16" i="42"/>
  <c r="N18" i="42"/>
  <c r="W27" i="42"/>
  <c r="AF27" i="42" s="1"/>
  <c r="K31" i="42"/>
  <c r="Q31" i="42"/>
  <c r="F25" i="59"/>
  <c r="F31" i="59"/>
  <c r="F29" i="57"/>
  <c r="AC29" i="57" s="1"/>
  <c r="F31" i="57"/>
  <c r="F19" i="57"/>
  <c r="F20" i="57"/>
  <c r="F24" i="57"/>
  <c r="F43" i="59"/>
  <c r="K43" i="59" s="1"/>
  <c r="AC18" i="62"/>
  <c r="AE18" i="62" s="1"/>
  <c r="AC42" i="62"/>
  <c r="AC34" i="60"/>
  <c r="F38" i="51"/>
  <c r="AC34" i="45"/>
  <c r="Q34" i="44"/>
  <c r="F38" i="43"/>
  <c r="F41" i="43" s="1"/>
  <c r="H34" i="43"/>
  <c r="Q34" i="43"/>
  <c r="Y35" i="43"/>
  <c r="AE35" i="60"/>
  <c r="AE15" i="60"/>
  <c r="AF15" i="60" s="1"/>
  <c r="AC20" i="60"/>
  <c r="AE35" i="59"/>
  <c r="W34" i="47"/>
  <c r="AE15" i="59"/>
  <c r="AE35" i="58"/>
  <c r="AE35" i="54"/>
  <c r="AE35" i="56"/>
  <c r="M15" i="45"/>
  <c r="AC13" i="61"/>
  <c r="W34" i="44"/>
  <c r="AE35" i="53"/>
  <c r="AE14" i="54"/>
  <c r="AE35" i="55"/>
  <c r="AE35" i="57"/>
  <c r="AE35" i="52"/>
  <c r="AE35" i="45"/>
  <c r="AE42" i="46"/>
  <c r="AF42" i="46" s="1"/>
  <c r="AE14" i="47"/>
  <c r="M35" i="47"/>
  <c r="AE15" i="48"/>
  <c r="Y35" i="44"/>
  <c r="AE15" i="46"/>
  <c r="M14" i="45"/>
  <c r="S35" i="46"/>
  <c r="AE42" i="48"/>
  <c r="AF42" i="48" s="1"/>
  <c r="AE15" i="54"/>
  <c r="T14" i="45"/>
  <c r="AE42" i="57"/>
  <c r="AF42" i="57" s="1"/>
  <c r="AE15" i="58"/>
  <c r="S15" i="43"/>
  <c r="AE42" i="43"/>
  <c r="AF42" i="43" s="1"/>
  <c r="AF15" i="58"/>
  <c r="AF15" i="50"/>
  <c r="T15" i="46"/>
  <c r="M15" i="46"/>
  <c r="AE15" i="49"/>
  <c r="AE15" i="50"/>
  <c r="AC31" i="17"/>
  <c r="AE42" i="50"/>
  <c r="AF42" i="50" s="1"/>
  <c r="AC30" i="17"/>
  <c r="AE42" i="42"/>
  <c r="AF42" i="42" s="1"/>
  <c r="N15" i="43"/>
  <c r="AF24" i="51"/>
  <c r="AE14" i="53"/>
  <c r="M35" i="45"/>
  <c r="Y15" i="45"/>
  <c r="Z15" i="45"/>
  <c r="S14" i="46"/>
  <c r="AF14" i="52"/>
  <c r="AC42" i="61"/>
  <c r="AE35" i="42"/>
  <c r="AC31" i="11"/>
  <c r="W24" i="43"/>
  <c r="S35" i="43"/>
  <c r="Y35" i="46"/>
  <c r="Y35" i="47"/>
  <c r="AE15" i="56"/>
  <c r="AE42" i="56"/>
  <c r="AF42" i="56" s="1"/>
  <c r="S35" i="47"/>
  <c r="AC29" i="61"/>
  <c r="AE15" i="43"/>
  <c r="AE42" i="45"/>
  <c r="AF42" i="45" s="1"/>
  <c r="AE15" i="53"/>
  <c r="AC41" i="62"/>
  <c r="AE41" i="62" s="1"/>
  <c r="AF41" i="62" s="1"/>
  <c r="AC29" i="60"/>
  <c r="W24" i="44"/>
  <c r="AE15" i="45"/>
  <c r="Y35" i="45"/>
  <c r="AE14" i="48"/>
  <c r="AE15" i="51"/>
  <c r="AE15" i="52"/>
  <c r="W31" i="16"/>
  <c r="AF31" i="16" s="1"/>
  <c r="W31" i="43"/>
  <c r="AF31" i="43" s="1"/>
  <c r="Y14" i="46"/>
  <c r="AE42" i="60"/>
  <c r="AF42" i="60" s="1"/>
  <c r="K31" i="46"/>
  <c r="AE42" i="54"/>
  <c r="AF42" i="54" s="1"/>
  <c r="AC31" i="55"/>
  <c r="AF27" i="55"/>
  <c r="F43" i="55"/>
  <c r="W43" i="55" s="1"/>
  <c r="AC29" i="55"/>
  <c r="AC34" i="51"/>
  <c r="AC24" i="51"/>
  <c r="AC31" i="51"/>
  <c r="K43" i="62"/>
  <c r="AC43" i="62"/>
  <c r="AE43" i="62" s="1"/>
  <c r="AF43" i="62" s="1"/>
  <c r="AC26" i="62"/>
  <c r="AC27" i="62"/>
  <c r="AC25" i="62"/>
  <c r="AC20" i="62"/>
  <c r="AC30" i="62"/>
  <c r="AC35" i="62"/>
  <c r="AC13" i="62"/>
  <c r="AC32" i="62"/>
  <c r="AC14" i="62"/>
  <c r="AC17" i="62"/>
  <c r="AC24" i="62"/>
  <c r="AC40" i="62"/>
  <c r="H48" i="62"/>
  <c r="Q48" i="62"/>
  <c r="AC48" i="62"/>
  <c r="K48" i="62"/>
  <c r="AC15" i="62"/>
  <c r="W47" i="62"/>
  <c r="AC47" i="62"/>
  <c r="K47" i="62"/>
  <c r="S47" i="62" s="1"/>
  <c r="AC29" i="62"/>
  <c r="AC46" i="62"/>
  <c r="K46" i="62"/>
  <c r="S46" i="62" s="1"/>
  <c r="W46" i="62"/>
  <c r="H46" i="62"/>
  <c r="AC16" i="62"/>
  <c r="K45" i="62"/>
  <c r="AC45" i="62"/>
  <c r="W45" i="62"/>
  <c r="H45" i="62"/>
  <c r="H47" i="62"/>
  <c r="AC31" i="62"/>
  <c r="H44" i="62"/>
  <c r="W44" i="62"/>
  <c r="AC33" i="62"/>
  <c r="H43" i="62"/>
  <c r="K31" i="17"/>
  <c r="W31" i="17"/>
  <c r="H31" i="17"/>
  <c r="Q31" i="17"/>
  <c r="W30" i="17"/>
  <c r="K43" i="61"/>
  <c r="Q43" i="61"/>
  <c r="K48" i="61"/>
  <c r="W48" i="61"/>
  <c r="AF32" i="61"/>
  <c r="AC32" i="61"/>
  <c r="AF13" i="61"/>
  <c r="AC18" i="61"/>
  <c r="AC21" i="61"/>
  <c r="AC24" i="61"/>
  <c r="AC46" i="61"/>
  <c r="AE46" i="61" s="1"/>
  <c r="AF46" i="61" s="1"/>
  <c r="K46" i="61"/>
  <c r="AC17" i="61"/>
  <c r="AC40" i="61"/>
  <c r="K45" i="61"/>
  <c r="AC45" i="61"/>
  <c r="W45" i="61"/>
  <c r="H45" i="61"/>
  <c r="AC15" i="61"/>
  <c r="W47" i="61"/>
  <c r="Q47" i="61"/>
  <c r="AC47" i="61"/>
  <c r="K47" i="61"/>
  <c r="AC27" i="61"/>
  <c r="AC44" i="61"/>
  <c r="W44" i="61"/>
  <c r="H44" i="61"/>
  <c r="H46" i="61"/>
  <c r="AC31" i="61"/>
  <c r="AC20" i="61"/>
  <c r="K44" i="61"/>
  <c r="Q46" i="61"/>
  <c r="Y46" i="61" s="1"/>
  <c r="AC14" i="61"/>
  <c r="AC16" i="61"/>
  <c r="AE16" i="61" s="1"/>
  <c r="AC33" i="61"/>
  <c r="AC41" i="61"/>
  <c r="H43" i="61"/>
  <c r="Q48" i="61"/>
  <c r="K31" i="16"/>
  <c r="H31" i="16"/>
  <c r="Q31" i="16"/>
  <c r="AC31" i="16"/>
  <c r="W30" i="16"/>
  <c r="AC32" i="60"/>
  <c r="AE32" i="60" s="1"/>
  <c r="AF32" i="60"/>
  <c r="AC31" i="60"/>
  <c r="AC26" i="60"/>
  <c r="W43" i="60"/>
  <c r="H43" i="60"/>
  <c r="K43" i="60"/>
  <c r="Q43" i="60"/>
  <c r="AC43" i="60"/>
  <c r="AC25" i="60"/>
  <c r="AC33" i="60"/>
  <c r="AC21" i="60"/>
  <c r="AC30" i="60"/>
  <c r="AC27" i="60"/>
  <c r="K31" i="15"/>
  <c r="W31" i="15"/>
  <c r="H31" i="15"/>
  <c r="Q31" i="15"/>
  <c r="AC30" i="15"/>
  <c r="W30" i="15"/>
  <c r="AE42" i="59"/>
  <c r="AF42" i="59" s="1"/>
  <c r="AF18" i="59"/>
  <c r="AE18" i="59"/>
  <c r="F20" i="59"/>
  <c r="F29" i="59"/>
  <c r="F30" i="59"/>
  <c r="F27" i="59"/>
  <c r="F26" i="59"/>
  <c r="F24" i="59"/>
  <c r="F19" i="59"/>
  <c r="F33" i="59"/>
  <c r="AC26" i="58"/>
  <c r="AF14" i="58"/>
  <c r="AE14" i="58"/>
  <c r="AF18" i="58"/>
  <c r="AE42" i="58"/>
  <c r="AF42" i="58" s="1"/>
  <c r="F29" i="58"/>
  <c r="F30" i="58"/>
  <c r="F27" i="58"/>
  <c r="F31" i="58"/>
  <c r="F25" i="58"/>
  <c r="F24" i="58"/>
  <c r="F33" i="58"/>
  <c r="AF13" i="57"/>
  <c r="AE15" i="57"/>
  <c r="AE13" i="57"/>
  <c r="F27" i="57"/>
  <c r="F26" i="57"/>
  <c r="F30" i="57"/>
  <c r="F33" i="57"/>
  <c r="AF17" i="56"/>
  <c r="F29" i="56"/>
  <c r="F30" i="56"/>
  <c r="F27" i="56"/>
  <c r="F31" i="56"/>
  <c r="F25" i="56"/>
  <c r="F33" i="56"/>
  <c r="F19" i="56"/>
  <c r="F24" i="56"/>
  <c r="F20" i="56"/>
  <c r="AF14" i="55"/>
  <c r="AF15" i="55"/>
  <c r="AC25" i="55"/>
  <c r="AE42" i="55"/>
  <c r="AF42" i="55" s="1"/>
  <c r="AE14" i="55"/>
  <c r="AC26" i="55"/>
  <c r="AE15" i="55"/>
  <c r="Q43" i="55"/>
  <c r="AE16" i="55"/>
  <c r="AE18" i="55"/>
  <c r="AC32" i="54"/>
  <c r="AE32" i="54" s="1"/>
  <c r="AF32" i="54"/>
  <c r="AC20" i="54"/>
  <c r="AE20" i="54" s="1"/>
  <c r="AC29" i="54"/>
  <c r="AF27" i="54"/>
  <c r="AC24" i="54"/>
  <c r="F43" i="54"/>
  <c r="AF14" i="54"/>
  <c r="AC31" i="54"/>
  <c r="AC33" i="54"/>
  <c r="AC31" i="53"/>
  <c r="AC27" i="53"/>
  <c r="AE27" i="53" s="1"/>
  <c r="AC33" i="53"/>
  <c r="AC29" i="53"/>
  <c r="AC32" i="53"/>
  <c r="AC24" i="53"/>
  <c r="AC20" i="53"/>
  <c r="AE42" i="53"/>
  <c r="AF42" i="53" s="1"/>
  <c r="AF17" i="53"/>
  <c r="AE25" i="53"/>
  <c r="AC29" i="52"/>
  <c r="AC33" i="52"/>
  <c r="AC25" i="52"/>
  <c r="AE25" i="52" s="1"/>
  <c r="AE14" i="52"/>
  <c r="AC20" i="52"/>
  <c r="AF27" i="52"/>
  <c r="AE42" i="52"/>
  <c r="AF42" i="52" s="1"/>
  <c r="AE17" i="52"/>
  <c r="F43" i="52"/>
  <c r="AF17" i="52"/>
  <c r="AC26" i="52"/>
  <c r="AC32" i="52"/>
  <c r="AC24" i="52"/>
  <c r="W31" i="13"/>
  <c r="H31" i="13"/>
  <c r="Q31" i="13"/>
  <c r="K31" i="13"/>
  <c r="AC14" i="51"/>
  <c r="AE14" i="51" s="1"/>
  <c r="AE35" i="51"/>
  <c r="AE42" i="51"/>
  <c r="AF42" i="51" s="1"/>
  <c r="AE18" i="51"/>
  <c r="AC27" i="51"/>
  <c r="AE27" i="51" s="1"/>
  <c r="AC33" i="50"/>
  <c r="AC34" i="50"/>
  <c r="F38" i="50"/>
  <c r="AC24" i="50"/>
  <c r="AF26" i="50"/>
  <c r="AC25" i="50"/>
  <c r="AC26" i="50"/>
  <c r="AC31" i="50"/>
  <c r="AC32" i="50"/>
  <c r="AC27" i="50"/>
  <c r="AC14" i="50"/>
  <c r="AE14" i="50" s="1"/>
  <c r="AF14" i="50"/>
  <c r="AE35" i="50"/>
  <c r="AF17" i="50"/>
  <c r="AC29" i="50"/>
  <c r="AC33" i="49"/>
  <c r="AC26" i="49"/>
  <c r="AC24" i="49"/>
  <c r="AC32" i="49"/>
  <c r="AC14" i="49"/>
  <c r="AE14" i="49" s="1"/>
  <c r="AF15" i="49"/>
  <c r="AF17" i="49"/>
  <c r="AE42" i="49"/>
  <c r="AF42" i="49" s="1"/>
  <c r="AF18" i="49"/>
  <c r="AE35" i="49"/>
  <c r="AC27" i="49"/>
  <c r="AC29" i="49"/>
  <c r="AC34" i="49"/>
  <c r="F38" i="49"/>
  <c r="AC24" i="48"/>
  <c r="AC34" i="48"/>
  <c r="AC25" i="48"/>
  <c r="F38" i="48"/>
  <c r="AC33" i="48"/>
  <c r="AE35" i="48"/>
  <c r="AF18" i="48"/>
  <c r="AE18" i="48"/>
  <c r="AF15" i="48"/>
  <c r="AC29" i="48"/>
  <c r="AE27" i="48"/>
  <c r="K31" i="12"/>
  <c r="W31" i="12"/>
  <c r="H31" i="12"/>
  <c r="Q31" i="12"/>
  <c r="AC25" i="47"/>
  <c r="W32" i="47"/>
  <c r="AF32" i="47" s="1"/>
  <c r="K25" i="47"/>
  <c r="S25" i="47" s="1"/>
  <c r="W25" i="47"/>
  <c r="AF25" i="47" s="1"/>
  <c r="K32" i="47"/>
  <c r="S26" i="47"/>
  <c r="AC32" i="47"/>
  <c r="Y15" i="47"/>
  <c r="AF15" i="47"/>
  <c r="AE15" i="47"/>
  <c r="M14" i="47"/>
  <c r="AE35" i="47"/>
  <c r="S42" i="47"/>
  <c r="T42" i="47" s="1"/>
  <c r="Z14" i="47"/>
  <c r="Y14" i="47"/>
  <c r="S14" i="47"/>
  <c r="T15" i="47"/>
  <c r="M15" i="47"/>
  <c r="M17" i="47"/>
  <c r="N14" i="47"/>
  <c r="Y42" i="47"/>
  <c r="Z42" i="47" s="1"/>
  <c r="Z15" i="47"/>
  <c r="S15" i="47"/>
  <c r="S18" i="47"/>
  <c r="Z18" i="47"/>
  <c r="Z26" i="47"/>
  <c r="Y16" i="47"/>
  <c r="AF16" i="47"/>
  <c r="Z27" i="47"/>
  <c r="T14" i="47"/>
  <c r="S17" i="47"/>
  <c r="AE42" i="47"/>
  <c r="AF42" i="47" s="1"/>
  <c r="AC29" i="47"/>
  <c r="AE18" i="47"/>
  <c r="Y25" i="47"/>
  <c r="W29" i="47"/>
  <c r="S16" i="47"/>
  <c r="Y17" i="47"/>
  <c r="Z25" i="47"/>
  <c r="Z32" i="47"/>
  <c r="M42" i="47"/>
  <c r="N42" i="47" s="1"/>
  <c r="AC27" i="47"/>
  <c r="K27" i="47"/>
  <c r="H27" i="47"/>
  <c r="M16" i="47"/>
  <c r="Y18" i="47"/>
  <c r="W27" i="47"/>
  <c r="W26" i="47"/>
  <c r="H34" i="47"/>
  <c r="Q34" i="47"/>
  <c r="AC34" i="47"/>
  <c r="AC26" i="47"/>
  <c r="F38" i="47"/>
  <c r="K34" i="47"/>
  <c r="K24" i="47"/>
  <c r="K31" i="47"/>
  <c r="W24" i="46"/>
  <c r="AC29" i="46"/>
  <c r="K27" i="46"/>
  <c r="T27" i="46" s="1"/>
  <c r="AC27" i="46"/>
  <c r="AE27" i="46" s="1"/>
  <c r="Z15" i="46"/>
  <c r="S15" i="46"/>
  <c r="Y15" i="46"/>
  <c r="H14" i="46"/>
  <c r="AE14" i="46"/>
  <c r="W26" i="46"/>
  <c r="H26" i="46"/>
  <c r="AC26" i="46"/>
  <c r="Q26" i="46"/>
  <c r="K26" i="46"/>
  <c r="K32" i="46"/>
  <c r="W32" i="46"/>
  <c r="H32" i="46"/>
  <c r="Q32" i="46"/>
  <c r="AF14" i="46"/>
  <c r="AC32" i="46"/>
  <c r="Z18" i="46"/>
  <c r="S18" i="46"/>
  <c r="F41" i="46"/>
  <c r="F40" i="46"/>
  <c r="N15" i="46"/>
  <c r="M16" i="46"/>
  <c r="Y18" i="46"/>
  <c r="AC34" i="46"/>
  <c r="Q34" i="46"/>
  <c r="H34" i="46"/>
  <c r="K34" i="46"/>
  <c r="K25" i="46"/>
  <c r="W25" i="46"/>
  <c r="H25" i="46"/>
  <c r="AC25" i="46"/>
  <c r="Q25" i="46"/>
  <c r="AC31" i="46"/>
  <c r="Q31" i="46"/>
  <c r="H31" i="46"/>
  <c r="W31" i="46"/>
  <c r="Z14" i="46"/>
  <c r="AC24" i="46"/>
  <c r="Q24" i="46"/>
  <c r="H24" i="46"/>
  <c r="K24" i="46"/>
  <c r="AF27" i="46"/>
  <c r="M35" i="46"/>
  <c r="AE35" i="46"/>
  <c r="Y16" i="46"/>
  <c r="Q27" i="46"/>
  <c r="W29" i="46"/>
  <c r="H27" i="46"/>
  <c r="AC24" i="45"/>
  <c r="AC32" i="45"/>
  <c r="H32" i="45"/>
  <c r="W25" i="45"/>
  <c r="AF25" i="45" s="1"/>
  <c r="Q27" i="45"/>
  <c r="Z27" i="45" s="1"/>
  <c r="F38" i="45"/>
  <c r="F41" i="45" s="1"/>
  <c r="Q24" i="45"/>
  <c r="K25" i="45"/>
  <c r="T25" i="45" s="1"/>
  <c r="Q31" i="45"/>
  <c r="Z31" i="45" s="1"/>
  <c r="K32" i="45"/>
  <c r="T32" i="45" s="1"/>
  <c r="H34" i="45"/>
  <c r="K26" i="45"/>
  <c r="AC31" i="45"/>
  <c r="W32" i="45"/>
  <c r="AF32" i="45" s="1"/>
  <c r="Q34" i="45"/>
  <c r="T16" i="45"/>
  <c r="AC27" i="45"/>
  <c r="K27" i="45"/>
  <c r="W27" i="45"/>
  <c r="S18" i="45"/>
  <c r="M18" i="45"/>
  <c r="N15" i="45"/>
  <c r="S15" i="45"/>
  <c r="AE18" i="45"/>
  <c r="Q14" i="45"/>
  <c r="Y14" i="45" s="1"/>
  <c r="AC29" i="45"/>
  <c r="S35" i="45"/>
  <c r="W34" i="45"/>
  <c r="Y16" i="45"/>
  <c r="AE14" i="45"/>
  <c r="AE17" i="45"/>
  <c r="S25" i="45"/>
  <c r="K34" i="45"/>
  <c r="K24" i="45"/>
  <c r="K31" i="45"/>
  <c r="S26" i="44"/>
  <c r="AC26" i="44"/>
  <c r="W29" i="44"/>
  <c r="AF29" i="44" s="1"/>
  <c r="AC31" i="44"/>
  <c r="AE31" i="44" s="1"/>
  <c r="AC34" i="44"/>
  <c r="H31" i="44"/>
  <c r="AC24" i="44"/>
  <c r="H32" i="44"/>
  <c r="H26" i="44"/>
  <c r="N26" i="44" s="1"/>
  <c r="H34" i="44"/>
  <c r="N15" i="44"/>
  <c r="M15" i="44"/>
  <c r="AF14" i="44"/>
  <c r="Y14" i="44"/>
  <c r="AE15" i="44"/>
  <c r="N14" i="44"/>
  <c r="AF15" i="44"/>
  <c r="Y15" i="44"/>
  <c r="N18" i="44"/>
  <c r="S14" i="44"/>
  <c r="Z14" i="44"/>
  <c r="S17" i="44"/>
  <c r="Z17" i="44"/>
  <c r="Y17" i="44"/>
  <c r="AC27" i="44"/>
  <c r="K27" i="44"/>
  <c r="Q27" i="44"/>
  <c r="W27" i="44"/>
  <c r="H27" i="44"/>
  <c r="T25" i="44"/>
  <c r="AE14" i="44"/>
  <c r="AE35" i="44"/>
  <c r="T16" i="44"/>
  <c r="AE17" i="44"/>
  <c r="AC29" i="44"/>
  <c r="AE42" i="44"/>
  <c r="AF42" i="44" s="1"/>
  <c r="M14" i="44"/>
  <c r="S16" i="44"/>
  <c r="T14" i="44"/>
  <c r="S15" i="44"/>
  <c r="Y16" i="44"/>
  <c r="M17" i="44"/>
  <c r="M35" i="44"/>
  <c r="S35" i="44"/>
  <c r="M18" i="44"/>
  <c r="S18" i="44"/>
  <c r="AC25" i="44"/>
  <c r="AC32" i="44"/>
  <c r="F38" i="44"/>
  <c r="Q25" i="44"/>
  <c r="Q32" i="44"/>
  <c r="K34" i="44"/>
  <c r="K24" i="44"/>
  <c r="S24" i="44" s="1"/>
  <c r="K31" i="44"/>
  <c r="F40" i="43"/>
  <c r="H25" i="43"/>
  <c r="W27" i="43"/>
  <c r="AF27" i="43" s="1"/>
  <c r="AC34" i="43"/>
  <c r="AC24" i="43"/>
  <c r="H26" i="43"/>
  <c r="N26" i="43" s="1"/>
  <c r="H24" i="43"/>
  <c r="AF14" i="43"/>
  <c r="Y14" i="43"/>
  <c r="Z15" i="43"/>
  <c r="Y15" i="43"/>
  <c r="N16" i="43"/>
  <c r="AE35" i="43"/>
  <c r="AF16" i="43"/>
  <c r="Y16" i="43"/>
  <c r="AE16" i="43"/>
  <c r="N14" i="43"/>
  <c r="Z31" i="43"/>
  <c r="W29" i="43"/>
  <c r="M35" i="43"/>
  <c r="S26" i="43"/>
  <c r="M15" i="43"/>
  <c r="M16" i="43"/>
  <c r="S16" i="43"/>
  <c r="AE14" i="43"/>
  <c r="M14" i="43"/>
  <c r="S14" i="43"/>
  <c r="Z14" i="43"/>
  <c r="Y17" i="43"/>
  <c r="AC27" i="43"/>
  <c r="Q27" i="43"/>
  <c r="K27" i="43"/>
  <c r="AC29" i="43"/>
  <c r="W34" i="43"/>
  <c r="Q25" i="43"/>
  <c r="Q32" i="43"/>
  <c r="K34" i="43"/>
  <c r="K24" i="43"/>
  <c r="K31" i="43"/>
  <c r="W34" i="42"/>
  <c r="AC34" i="42"/>
  <c r="AC27" i="42"/>
  <c r="H34" i="42"/>
  <c r="H27" i="42"/>
  <c r="K34" i="42"/>
  <c r="H24" i="42"/>
  <c r="K24" i="42"/>
  <c r="AC24" i="42"/>
  <c r="W24" i="42"/>
  <c r="S14" i="42"/>
  <c r="Y15" i="42"/>
  <c r="M14" i="42"/>
  <c r="Y14" i="42"/>
  <c r="M15" i="42"/>
  <c r="T14" i="42"/>
  <c r="W25" i="42"/>
  <c r="H25" i="42"/>
  <c r="Q25" i="42"/>
  <c r="K25" i="42"/>
  <c r="AE15" i="42"/>
  <c r="M35" i="42"/>
  <c r="AF29" i="42"/>
  <c r="S35" i="42"/>
  <c r="Y35" i="42"/>
  <c r="AE14" i="42"/>
  <c r="Q24" i="42"/>
  <c r="AC25" i="42"/>
  <c r="AF14" i="42"/>
  <c r="S15" i="42"/>
  <c r="H26" i="42"/>
  <c r="K26" i="42"/>
  <c r="S26" i="42" s="1"/>
  <c r="AC26" i="42"/>
  <c r="W26" i="42"/>
  <c r="N15" i="42"/>
  <c r="Z15" i="42"/>
  <c r="T16" i="42"/>
  <c r="M16" i="42"/>
  <c r="F38" i="42"/>
  <c r="S16" i="42"/>
  <c r="M18" i="42"/>
  <c r="W31" i="42"/>
  <c r="W32" i="42"/>
  <c r="H32" i="42"/>
  <c r="K32" i="42"/>
  <c r="S32" i="42" s="1"/>
  <c r="AC32" i="42"/>
  <c r="Q34" i="42"/>
  <c r="M17" i="42"/>
  <c r="Q27" i="42"/>
  <c r="K31" i="11"/>
  <c r="W31" i="11"/>
  <c r="H31" i="11"/>
  <c r="Q31" i="11"/>
  <c r="K14" i="17"/>
  <c r="W14" i="17"/>
  <c r="H14" i="17"/>
  <c r="Q14" i="17"/>
  <c r="K14" i="16"/>
  <c r="W14" i="16"/>
  <c r="H14" i="16"/>
  <c r="Q14" i="16"/>
  <c r="N14" i="15"/>
  <c r="T14" i="15"/>
  <c r="M14" i="15"/>
  <c r="S14" i="15"/>
  <c r="Z14" i="15"/>
  <c r="AF14" i="15"/>
  <c r="Y14" i="15"/>
  <c r="AE14" i="15"/>
  <c r="AF15" i="37"/>
  <c r="AE15" i="37"/>
  <c r="S14" i="37"/>
  <c r="N14" i="14"/>
  <c r="T14" i="14"/>
  <c r="M14" i="14"/>
  <c r="S14" i="14"/>
  <c r="Z14" i="14"/>
  <c r="Y14" i="14"/>
  <c r="AE14" i="14"/>
  <c r="N14" i="13"/>
  <c r="T14" i="13"/>
  <c r="M14" i="13"/>
  <c r="S14" i="13"/>
  <c r="Z14" i="13"/>
  <c r="Y14" i="13"/>
  <c r="AE14" i="13"/>
  <c r="K14" i="12"/>
  <c r="AC14" i="12"/>
  <c r="W14" i="12"/>
  <c r="AF14" i="12" s="1"/>
  <c r="H14" i="12"/>
  <c r="N14" i="12" s="1"/>
  <c r="Q14" i="12"/>
  <c r="W14" i="11"/>
  <c r="Q14" i="11"/>
  <c r="K14" i="11"/>
  <c r="H14" i="11"/>
  <c r="AC14" i="11"/>
  <c r="Y27" i="62" l="1"/>
  <c r="Y21" i="62"/>
  <c r="Y31" i="54"/>
  <c r="Y27" i="48"/>
  <c r="Y20" i="61"/>
  <c r="Y32" i="53"/>
  <c r="Y26" i="60"/>
  <c r="Y25" i="50"/>
  <c r="Y25" i="53"/>
  <c r="Y16" i="61"/>
  <c r="Y25" i="55"/>
  <c r="Y27" i="53"/>
  <c r="Y16" i="62"/>
  <c r="Y14" i="61"/>
  <c r="Y26" i="48"/>
  <c r="Y27" i="60"/>
  <c r="Y26" i="44"/>
  <c r="M26" i="47"/>
  <c r="AE25" i="62"/>
  <c r="AF21" i="62"/>
  <c r="Y26" i="62"/>
  <c r="Y25" i="44"/>
  <c r="AE25" i="44"/>
  <c r="M48" i="61"/>
  <c r="N48" i="61" s="1"/>
  <c r="S44" i="62"/>
  <c r="T44" i="62" s="1"/>
  <c r="Y33" i="60"/>
  <c r="Z33" i="60" s="1"/>
  <c r="Y24" i="55"/>
  <c r="AE29" i="54"/>
  <c r="Y32" i="51"/>
  <c r="Y32" i="50"/>
  <c r="S33" i="51"/>
  <c r="T33" i="51" s="1"/>
  <c r="M33" i="49"/>
  <c r="N33" i="49" s="1"/>
  <c r="Y42" i="61"/>
  <c r="Z42" i="61" s="1"/>
  <c r="AE31" i="62"/>
  <c r="Y31" i="60"/>
  <c r="S33" i="55"/>
  <c r="T33" i="55" s="1"/>
  <c r="Y24" i="49"/>
  <c r="S33" i="62"/>
  <c r="T33" i="62" s="1"/>
  <c r="M33" i="60"/>
  <c r="N33" i="60" s="1"/>
  <c r="Y33" i="48"/>
  <c r="Z33" i="48" s="1"/>
  <c r="Y33" i="52"/>
  <c r="Z33" i="52" s="1"/>
  <c r="Y33" i="62"/>
  <c r="Z33" i="62" s="1"/>
  <c r="Y31" i="49"/>
  <c r="Y33" i="54"/>
  <c r="Z33" i="54" s="1"/>
  <c r="Y31" i="61"/>
  <c r="Y33" i="50"/>
  <c r="Z33" i="50" s="1"/>
  <c r="Y31" i="50"/>
  <c r="AE33" i="61"/>
  <c r="AF33" i="61" s="1"/>
  <c r="M33" i="52"/>
  <c r="N33" i="52" s="1"/>
  <c r="S33" i="61"/>
  <c r="T33" i="61" s="1"/>
  <c r="Y24" i="62"/>
  <c r="Y24" i="54"/>
  <c r="Y15" i="61"/>
  <c r="Y31" i="62"/>
  <c r="S33" i="60"/>
  <c r="T33" i="60" s="1"/>
  <c r="Y31" i="48"/>
  <c r="Y33" i="55"/>
  <c r="Z33" i="55" s="1"/>
  <c r="Y24" i="50"/>
  <c r="S33" i="53"/>
  <c r="T33" i="53" s="1"/>
  <c r="Y24" i="48"/>
  <c r="S33" i="54"/>
  <c r="T33" i="54" s="1"/>
  <c r="Y31" i="53"/>
  <c r="Z31" i="53" s="1"/>
  <c r="AE31" i="49"/>
  <c r="M33" i="62"/>
  <c r="N33" i="62" s="1"/>
  <c r="M33" i="53"/>
  <c r="N33" i="53" s="1"/>
  <c r="Y24" i="53"/>
  <c r="AE29" i="49"/>
  <c r="AF29" i="49"/>
  <c r="M33" i="61"/>
  <c r="N33" i="61" s="1"/>
  <c r="AF24" i="50"/>
  <c r="Y33" i="49"/>
  <c r="Z33" i="49" s="1"/>
  <c r="S34" i="62"/>
  <c r="T34" i="62" s="1"/>
  <c r="Y33" i="61"/>
  <c r="Z33" i="61" s="1"/>
  <c r="Y31" i="55"/>
  <c r="Z31" i="55" s="1"/>
  <c r="Y33" i="51"/>
  <c r="Z33" i="51" s="1"/>
  <c r="W40" i="43"/>
  <c r="K40" i="43"/>
  <c r="Q40" i="43"/>
  <c r="K25" i="56"/>
  <c r="H25" i="56"/>
  <c r="N25" i="56" s="1"/>
  <c r="Q25" i="56"/>
  <c r="W25" i="56"/>
  <c r="Y25" i="56" s="1"/>
  <c r="K27" i="59"/>
  <c r="H27" i="59"/>
  <c r="N27" i="59" s="1"/>
  <c r="Q27" i="59"/>
  <c r="W27" i="59"/>
  <c r="Y27" i="59" s="1"/>
  <c r="AC43" i="57"/>
  <c r="K43" i="57"/>
  <c r="H43" i="57"/>
  <c r="W43" i="57"/>
  <c r="Q43" i="57"/>
  <c r="AB34" i="58"/>
  <c r="J34" i="58"/>
  <c r="K34" i="58" s="1"/>
  <c r="H34" i="58"/>
  <c r="V34" i="58"/>
  <c r="W34" i="58" s="1"/>
  <c r="P34" i="58"/>
  <c r="Q34" i="58" s="1"/>
  <c r="M21" i="62"/>
  <c r="T21" i="62"/>
  <c r="Q41" i="59"/>
  <c r="W41" i="59"/>
  <c r="K41" i="59"/>
  <c r="H41" i="59"/>
  <c r="S21" i="60"/>
  <c r="Z21" i="60"/>
  <c r="S31" i="51"/>
  <c r="Z31" i="51"/>
  <c r="Z26" i="49"/>
  <c r="S26" i="49"/>
  <c r="H43" i="56"/>
  <c r="W43" i="56"/>
  <c r="Q43" i="56"/>
  <c r="K43" i="56"/>
  <c r="M25" i="53"/>
  <c r="T25" i="53"/>
  <c r="T24" i="48"/>
  <c r="M24" i="48"/>
  <c r="M32" i="55"/>
  <c r="T32" i="55"/>
  <c r="H31" i="56"/>
  <c r="W31" i="56"/>
  <c r="K31" i="56"/>
  <c r="Q31" i="56"/>
  <c r="F38" i="58"/>
  <c r="T21" i="61"/>
  <c r="M21" i="61"/>
  <c r="Z20" i="55"/>
  <c r="S20" i="55"/>
  <c r="Z32" i="55"/>
  <c r="S32" i="55"/>
  <c r="Z24" i="49"/>
  <c r="S24" i="49"/>
  <c r="S27" i="62"/>
  <c r="Z27" i="62"/>
  <c r="F38" i="57"/>
  <c r="S27" i="52"/>
  <c r="Z27" i="52"/>
  <c r="M31" i="50"/>
  <c r="N31" i="50" s="1"/>
  <c r="T31" i="50"/>
  <c r="Y32" i="49"/>
  <c r="Z25" i="62"/>
  <c r="S25" i="62"/>
  <c r="T27" i="61"/>
  <c r="M27" i="61"/>
  <c r="H40" i="53"/>
  <c r="K40" i="53"/>
  <c r="Q40" i="53"/>
  <c r="W40" i="53"/>
  <c r="M24" i="51"/>
  <c r="T24" i="51"/>
  <c r="AF31" i="49"/>
  <c r="AE33" i="55"/>
  <c r="AF33" i="55" s="1"/>
  <c r="W27" i="56"/>
  <c r="Q27" i="56"/>
  <c r="K27" i="56"/>
  <c r="H27" i="56"/>
  <c r="N27" i="56" s="1"/>
  <c r="W25" i="58"/>
  <c r="K25" i="58"/>
  <c r="H25" i="58"/>
  <c r="N25" i="58" s="1"/>
  <c r="Q25" i="58"/>
  <c r="AC41" i="59"/>
  <c r="H34" i="59"/>
  <c r="P34" i="59"/>
  <c r="Q34" i="59" s="1"/>
  <c r="J34" i="59"/>
  <c r="K34" i="59" s="1"/>
  <c r="AB34" i="59"/>
  <c r="AC34" i="59" s="1"/>
  <c r="V34" i="59"/>
  <c r="W34" i="59" s="1"/>
  <c r="Q32" i="58"/>
  <c r="W32" i="58"/>
  <c r="Z32" i="54"/>
  <c r="S32" i="54"/>
  <c r="S24" i="52"/>
  <c r="Z24" i="52"/>
  <c r="Z26" i="50"/>
  <c r="S26" i="50"/>
  <c r="M42" i="61"/>
  <c r="N42" i="61" s="1"/>
  <c r="T14" i="61"/>
  <c r="M14" i="61"/>
  <c r="M26" i="53"/>
  <c r="T26" i="53"/>
  <c r="S20" i="52"/>
  <c r="Z20" i="52"/>
  <c r="Y26" i="49"/>
  <c r="Z31" i="48"/>
  <c r="S31" i="48"/>
  <c r="Z21" i="61"/>
  <c r="S21" i="61"/>
  <c r="Y25" i="49"/>
  <c r="Y17" i="62"/>
  <c r="S31" i="55"/>
  <c r="Z27" i="50"/>
  <c r="S27" i="50"/>
  <c r="Z31" i="61"/>
  <c r="S31" i="61"/>
  <c r="K40" i="52"/>
  <c r="Q40" i="52"/>
  <c r="H40" i="52"/>
  <c r="W40" i="52"/>
  <c r="AF24" i="49"/>
  <c r="Z26" i="51"/>
  <c r="S26" i="51"/>
  <c r="T26" i="61"/>
  <c r="M26" i="61"/>
  <c r="T18" i="61"/>
  <c r="M18" i="61"/>
  <c r="W32" i="57"/>
  <c r="Q32" i="57"/>
  <c r="S25" i="54"/>
  <c r="Z25" i="54"/>
  <c r="Y25" i="62"/>
  <c r="Z27" i="61"/>
  <c r="S27" i="61"/>
  <c r="T26" i="60"/>
  <c r="M26" i="60"/>
  <c r="M16" i="61"/>
  <c r="T16" i="61"/>
  <c r="Q40" i="46"/>
  <c r="K40" i="46"/>
  <c r="W40" i="46"/>
  <c r="AE24" i="54"/>
  <c r="AC43" i="56"/>
  <c r="H30" i="56"/>
  <c r="W30" i="56"/>
  <c r="K31" i="58"/>
  <c r="W31" i="58"/>
  <c r="H31" i="58"/>
  <c r="Q31" i="58"/>
  <c r="W20" i="59"/>
  <c r="K20" i="59"/>
  <c r="Q20" i="59"/>
  <c r="H20" i="59"/>
  <c r="N20" i="59" s="1"/>
  <c r="AC41" i="43"/>
  <c r="Q41" i="43"/>
  <c r="W41" i="43"/>
  <c r="K41" i="43"/>
  <c r="W31" i="57"/>
  <c r="AF31" i="57" s="1"/>
  <c r="K31" i="57"/>
  <c r="H31" i="57"/>
  <c r="Q31" i="57"/>
  <c r="W21" i="56"/>
  <c r="Q21" i="56"/>
  <c r="K21" i="56"/>
  <c r="H21" i="56"/>
  <c r="Q21" i="59"/>
  <c r="K21" i="59"/>
  <c r="W21" i="59"/>
  <c r="H21" i="59"/>
  <c r="AE26" i="61"/>
  <c r="W26" i="58"/>
  <c r="Y26" i="58" s="1"/>
  <c r="Q26" i="58"/>
  <c r="K26" i="58"/>
  <c r="H26" i="58"/>
  <c r="N26" i="58" s="1"/>
  <c r="K26" i="56"/>
  <c r="H26" i="56"/>
  <c r="N26" i="56" s="1"/>
  <c r="W26" i="56"/>
  <c r="Q26" i="56"/>
  <c r="M25" i="61"/>
  <c r="T25" i="61"/>
  <c r="T24" i="60"/>
  <c r="M24" i="60"/>
  <c r="Y32" i="54"/>
  <c r="Y24" i="52"/>
  <c r="T26" i="50"/>
  <c r="M26" i="50"/>
  <c r="S42" i="61"/>
  <c r="T42" i="61" s="1"/>
  <c r="Z14" i="61"/>
  <c r="S14" i="61"/>
  <c r="M21" i="60"/>
  <c r="T21" i="60"/>
  <c r="M31" i="54"/>
  <c r="N31" i="54" s="1"/>
  <c r="Z26" i="53"/>
  <c r="S26" i="53"/>
  <c r="T20" i="52"/>
  <c r="M20" i="52"/>
  <c r="T25" i="50"/>
  <c r="M25" i="50"/>
  <c r="T27" i="48"/>
  <c r="M27" i="48"/>
  <c r="Y21" i="61"/>
  <c r="M32" i="52"/>
  <c r="T32" i="52"/>
  <c r="T31" i="55"/>
  <c r="M31" i="55"/>
  <c r="N31" i="55" s="1"/>
  <c r="M32" i="50"/>
  <c r="T32" i="50"/>
  <c r="Z26" i="55"/>
  <c r="S26" i="55"/>
  <c r="Y18" i="62"/>
  <c r="W43" i="58"/>
  <c r="Q43" i="58"/>
  <c r="K43" i="58"/>
  <c r="H43" i="58"/>
  <c r="Z24" i="53"/>
  <c r="S24" i="53"/>
  <c r="K41" i="52"/>
  <c r="Q41" i="52"/>
  <c r="W41" i="52"/>
  <c r="H41" i="52"/>
  <c r="M33" i="50"/>
  <c r="N33" i="50" s="1"/>
  <c r="S25" i="48"/>
  <c r="Z25" i="48"/>
  <c r="M27" i="62"/>
  <c r="T27" i="62"/>
  <c r="H40" i="55"/>
  <c r="W40" i="55"/>
  <c r="K40" i="55"/>
  <c r="Q40" i="55"/>
  <c r="S20" i="53"/>
  <c r="Z20" i="53"/>
  <c r="Y26" i="51"/>
  <c r="S26" i="61"/>
  <c r="Z26" i="61"/>
  <c r="M33" i="51"/>
  <c r="N33" i="51" s="1"/>
  <c r="M16" i="62"/>
  <c r="T16" i="62"/>
  <c r="Z18" i="61"/>
  <c r="S18" i="61"/>
  <c r="Q25" i="57"/>
  <c r="K25" i="57"/>
  <c r="W25" i="57"/>
  <c r="H25" i="57"/>
  <c r="N25" i="57" s="1"/>
  <c r="AF25" i="54"/>
  <c r="Y27" i="52"/>
  <c r="M33" i="48"/>
  <c r="N33" i="48" s="1"/>
  <c r="Z14" i="62"/>
  <c r="S14" i="62"/>
  <c r="S17" i="61"/>
  <c r="Z17" i="61"/>
  <c r="Y27" i="55"/>
  <c r="Z26" i="52"/>
  <c r="S26" i="52"/>
  <c r="T32" i="48"/>
  <c r="M32" i="48"/>
  <c r="K40" i="58"/>
  <c r="W40" i="58"/>
  <c r="Q40" i="58"/>
  <c r="H40" i="58"/>
  <c r="K41" i="46"/>
  <c r="Q41" i="46"/>
  <c r="W41" i="46"/>
  <c r="F41" i="48"/>
  <c r="AC41" i="48" s="1"/>
  <c r="AF32" i="49"/>
  <c r="AF25" i="50"/>
  <c r="AC40" i="52"/>
  <c r="H43" i="53"/>
  <c r="M43" i="53" s="1"/>
  <c r="N43" i="53" s="1"/>
  <c r="AF31" i="54"/>
  <c r="W29" i="56"/>
  <c r="K27" i="58"/>
  <c r="H27" i="58"/>
  <c r="N27" i="58" s="1"/>
  <c r="Q27" i="58"/>
  <c r="W27" i="58"/>
  <c r="Y27" i="58" s="1"/>
  <c r="Q33" i="59"/>
  <c r="K33" i="59"/>
  <c r="H33" i="59"/>
  <c r="W33" i="59"/>
  <c r="AF29" i="53"/>
  <c r="AC25" i="57"/>
  <c r="W29" i="57"/>
  <c r="AF29" i="57" s="1"/>
  <c r="AF31" i="53"/>
  <c r="AF24" i="55"/>
  <c r="W21" i="57"/>
  <c r="K21" i="57"/>
  <c r="Q21" i="57"/>
  <c r="H21" i="57"/>
  <c r="AF16" i="61"/>
  <c r="V34" i="57"/>
  <c r="W34" i="57" s="1"/>
  <c r="P34" i="57"/>
  <c r="Q34" i="57" s="1"/>
  <c r="J34" i="57"/>
  <c r="K34" i="57" s="1"/>
  <c r="AB34" i="57"/>
  <c r="AC34" i="57" s="1"/>
  <c r="H34" i="57"/>
  <c r="Y25" i="61"/>
  <c r="Y24" i="60"/>
  <c r="Z25" i="55"/>
  <c r="S25" i="55"/>
  <c r="T24" i="52"/>
  <c r="M24" i="52"/>
  <c r="Y26" i="50"/>
  <c r="F38" i="59"/>
  <c r="S31" i="54"/>
  <c r="T31" i="54" s="1"/>
  <c r="Z31" i="54"/>
  <c r="Y26" i="53"/>
  <c r="Y20" i="52"/>
  <c r="Z27" i="48"/>
  <c r="S27" i="48"/>
  <c r="AF31" i="48"/>
  <c r="Z31" i="60"/>
  <c r="S31" i="60"/>
  <c r="M33" i="55"/>
  <c r="N33" i="55" s="1"/>
  <c r="Y32" i="52"/>
  <c r="T24" i="50"/>
  <c r="M24" i="50"/>
  <c r="T25" i="49"/>
  <c r="M25" i="49"/>
  <c r="T17" i="62"/>
  <c r="M17" i="62"/>
  <c r="Y26" i="55"/>
  <c r="T27" i="50"/>
  <c r="M27" i="50"/>
  <c r="M20" i="61"/>
  <c r="F38" i="56"/>
  <c r="Y27" i="54"/>
  <c r="M31" i="52"/>
  <c r="N31" i="52" s="1"/>
  <c r="S27" i="51"/>
  <c r="Z27" i="51"/>
  <c r="S33" i="50"/>
  <c r="T33" i="50" s="1"/>
  <c r="Y25" i="48"/>
  <c r="AF27" i="62"/>
  <c r="T20" i="53"/>
  <c r="M20" i="53"/>
  <c r="T26" i="51"/>
  <c r="M26" i="51"/>
  <c r="Y25" i="52"/>
  <c r="Z16" i="62"/>
  <c r="S16" i="62"/>
  <c r="Y18" i="61"/>
  <c r="Z32" i="53"/>
  <c r="S32" i="53"/>
  <c r="T27" i="52"/>
  <c r="M27" i="52"/>
  <c r="Z31" i="50"/>
  <c r="S31" i="50"/>
  <c r="S33" i="48"/>
  <c r="T33" i="48" s="1"/>
  <c r="M14" i="62"/>
  <c r="T14" i="62"/>
  <c r="Y17" i="61"/>
  <c r="T27" i="55"/>
  <c r="M27" i="55"/>
  <c r="S31" i="53"/>
  <c r="Y32" i="48"/>
  <c r="S16" i="61"/>
  <c r="Z16" i="61"/>
  <c r="K41" i="58"/>
  <c r="Q41" i="58"/>
  <c r="H41" i="58"/>
  <c r="W41" i="58"/>
  <c r="K33" i="58"/>
  <c r="Q33" i="58"/>
  <c r="H33" i="58"/>
  <c r="W33" i="58"/>
  <c r="P34" i="56"/>
  <c r="J34" i="56"/>
  <c r="K34" i="56" s="1"/>
  <c r="AB34" i="56"/>
  <c r="AC34" i="56" s="1"/>
  <c r="H34" i="56"/>
  <c r="V34" i="56"/>
  <c r="W34" i="56" s="1"/>
  <c r="T24" i="54"/>
  <c r="M24" i="54"/>
  <c r="Q26" i="57"/>
  <c r="K26" i="57"/>
  <c r="H26" i="57"/>
  <c r="N26" i="57" s="1"/>
  <c r="W26" i="57"/>
  <c r="W30" i="59"/>
  <c r="AB34" i="52"/>
  <c r="AC34" i="52" s="1"/>
  <c r="H34" i="52"/>
  <c r="P34" i="52"/>
  <c r="Q34" i="52" s="1"/>
  <c r="V34" i="52"/>
  <c r="W34" i="52" s="1"/>
  <c r="J34" i="52"/>
  <c r="K34" i="52" s="1"/>
  <c r="Z25" i="61"/>
  <c r="S25" i="61"/>
  <c r="Z24" i="60"/>
  <c r="S24" i="60"/>
  <c r="Y21" i="60"/>
  <c r="H40" i="54"/>
  <c r="W40" i="54"/>
  <c r="Q40" i="54"/>
  <c r="K40" i="54"/>
  <c r="Y31" i="51"/>
  <c r="S17" i="62"/>
  <c r="Z17" i="62"/>
  <c r="T26" i="55"/>
  <c r="M26" i="55"/>
  <c r="T24" i="53"/>
  <c r="M24" i="53"/>
  <c r="T24" i="62"/>
  <c r="M24" i="62"/>
  <c r="AE24" i="49"/>
  <c r="AE24" i="50"/>
  <c r="W43" i="53"/>
  <c r="AF24" i="54"/>
  <c r="H43" i="55"/>
  <c r="H24" i="56"/>
  <c r="N24" i="56" s="1"/>
  <c r="Q24" i="56"/>
  <c r="K24" i="56"/>
  <c r="W24" i="56"/>
  <c r="AC26" i="56"/>
  <c r="W30" i="58"/>
  <c r="H30" i="58"/>
  <c r="AF14" i="61"/>
  <c r="AF32" i="51"/>
  <c r="AC34" i="58"/>
  <c r="H31" i="59"/>
  <c r="K31" i="59"/>
  <c r="Q31" i="59"/>
  <c r="W31" i="59"/>
  <c r="AF31" i="59" s="1"/>
  <c r="AE33" i="51"/>
  <c r="AF33" i="51" s="1"/>
  <c r="AE31" i="48"/>
  <c r="W21" i="58"/>
  <c r="Q21" i="58"/>
  <c r="K21" i="58"/>
  <c r="H21" i="58"/>
  <c r="AF27" i="60"/>
  <c r="AF26" i="49"/>
  <c r="AB34" i="55"/>
  <c r="AC34" i="55" s="1"/>
  <c r="V34" i="55"/>
  <c r="W34" i="55" s="1"/>
  <c r="P34" i="55"/>
  <c r="Q34" i="55" s="1"/>
  <c r="H34" i="55"/>
  <c r="J34" i="55"/>
  <c r="K34" i="55" s="1"/>
  <c r="Z21" i="62"/>
  <c r="S21" i="62"/>
  <c r="Z15" i="61"/>
  <c r="S15" i="61"/>
  <c r="S27" i="53"/>
  <c r="Z27" i="53"/>
  <c r="T32" i="51"/>
  <c r="M32" i="51"/>
  <c r="Z31" i="62"/>
  <c r="S31" i="62"/>
  <c r="T24" i="61"/>
  <c r="M24" i="61"/>
  <c r="Q32" i="59"/>
  <c r="W32" i="59"/>
  <c r="AC32" i="59"/>
  <c r="S25" i="50"/>
  <c r="Z25" i="50"/>
  <c r="Y34" i="62"/>
  <c r="Z34" i="62" s="1"/>
  <c r="T13" i="61"/>
  <c r="M13" i="61"/>
  <c r="Q34" i="56"/>
  <c r="Z32" i="52"/>
  <c r="S32" i="52"/>
  <c r="S24" i="50"/>
  <c r="Z24" i="50"/>
  <c r="Y33" i="53"/>
  <c r="Z33" i="53" s="1"/>
  <c r="Z24" i="48"/>
  <c r="S24" i="48"/>
  <c r="M33" i="54"/>
  <c r="N33" i="54" s="1"/>
  <c r="T18" i="62"/>
  <c r="M18" i="62"/>
  <c r="S20" i="61"/>
  <c r="T20" i="61" s="1"/>
  <c r="Z20" i="61"/>
  <c r="W32" i="56"/>
  <c r="AF32" i="56" s="1"/>
  <c r="Q32" i="56"/>
  <c r="Y31" i="52"/>
  <c r="H41" i="55"/>
  <c r="Q41" i="55"/>
  <c r="W41" i="55"/>
  <c r="K41" i="55"/>
  <c r="Y20" i="53"/>
  <c r="AF26" i="61"/>
  <c r="M25" i="52"/>
  <c r="T25" i="52"/>
  <c r="T26" i="62"/>
  <c r="M26" i="62"/>
  <c r="T25" i="51"/>
  <c r="M25" i="51"/>
  <c r="AF31" i="50"/>
  <c r="Y14" i="62"/>
  <c r="T26" i="52"/>
  <c r="M26" i="52"/>
  <c r="M31" i="49"/>
  <c r="N31" i="49" s="1"/>
  <c r="T31" i="49"/>
  <c r="Z32" i="48"/>
  <c r="S32" i="48"/>
  <c r="K41" i="45"/>
  <c r="Q41" i="45"/>
  <c r="W41" i="45"/>
  <c r="W30" i="57"/>
  <c r="H30" i="57"/>
  <c r="M32" i="54"/>
  <c r="T32" i="54"/>
  <c r="T24" i="55"/>
  <c r="M24" i="55"/>
  <c r="M20" i="55"/>
  <c r="T20" i="55"/>
  <c r="S20" i="54"/>
  <c r="Z20" i="54"/>
  <c r="Z32" i="49"/>
  <c r="S32" i="49"/>
  <c r="Z24" i="51"/>
  <c r="S24" i="51"/>
  <c r="S25" i="60"/>
  <c r="Z25" i="60"/>
  <c r="Q24" i="58"/>
  <c r="K24" i="58"/>
  <c r="W24" i="58"/>
  <c r="H24" i="58"/>
  <c r="N24" i="58" s="1"/>
  <c r="AE27" i="62"/>
  <c r="T26" i="49"/>
  <c r="M26" i="49"/>
  <c r="T31" i="48"/>
  <c r="M31" i="48"/>
  <c r="N31" i="48" s="1"/>
  <c r="M31" i="60"/>
  <c r="N31" i="60" s="1"/>
  <c r="T31" i="60"/>
  <c r="S25" i="49"/>
  <c r="Z25" i="49"/>
  <c r="Z32" i="50"/>
  <c r="S32" i="50"/>
  <c r="T26" i="54"/>
  <c r="M26" i="54"/>
  <c r="AF26" i="62"/>
  <c r="Y25" i="60"/>
  <c r="AF32" i="50"/>
  <c r="W27" i="57"/>
  <c r="Q27" i="57"/>
  <c r="K27" i="57"/>
  <c r="H27" i="57"/>
  <c r="N27" i="57" s="1"/>
  <c r="W29" i="59"/>
  <c r="AE26" i="62"/>
  <c r="M27" i="46"/>
  <c r="AE26" i="49"/>
  <c r="AE33" i="52"/>
  <c r="AF33" i="52" s="1"/>
  <c r="Q43" i="53"/>
  <c r="Y43" i="53" s="1"/>
  <c r="Z43" i="53" s="1"/>
  <c r="AC43" i="55"/>
  <c r="AE43" i="55" s="1"/>
  <c r="AF43" i="55" s="1"/>
  <c r="W29" i="58"/>
  <c r="K24" i="59"/>
  <c r="Q24" i="59"/>
  <c r="W24" i="59"/>
  <c r="H24" i="59"/>
  <c r="N24" i="59" s="1"/>
  <c r="AE31" i="51"/>
  <c r="F41" i="51"/>
  <c r="W25" i="59"/>
  <c r="H25" i="59"/>
  <c r="N25" i="59" s="1"/>
  <c r="K25" i="59"/>
  <c r="Q25" i="59"/>
  <c r="AF26" i="48"/>
  <c r="AE25" i="51"/>
  <c r="Z32" i="51"/>
  <c r="S32" i="51"/>
  <c r="T27" i="49"/>
  <c r="M27" i="49"/>
  <c r="M31" i="62"/>
  <c r="N31" i="62" s="1"/>
  <c r="T31" i="62"/>
  <c r="S24" i="61"/>
  <c r="Z24" i="61"/>
  <c r="S33" i="52"/>
  <c r="T33" i="52" s="1"/>
  <c r="T31" i="51"/>
  <c r="M31" i="51"/>
  <c r="N31" i="51" s="1"/>
  <c r="S13" i="61"/>
  <c r="Z13" i="61"/>
  <c r="Q40" i="56"/>
  <c r="W40" i="56"/>
  <c r="H40" i="56"/>
  <c r="K40" i="56"/>
  <c r="Z26" i="48"/>
  <c r="S26" i="48"/>
  <c r="Q40" i="57"/>
  <c r="K40" i="57"/>
  <c r="H40" i="57"/>
  <c r="W40" i="57"/>
  <c r="S18" i="62"/>
  <c r="Z18" i="62"/>
  <c r="Y32" i="55"/>
  <c r="T27" i="54"/>
  <c r="M27" i="54"/>
  <c r="T25" i="48"/>
  <c r="M25" i="48"/>
  <c r="Y20" i="54"/>
  <c r="Z25" i="52"/>
  <c r="S25" i="52"/>
  <c r="T27" i="60"/>
  <c r="M27" i="60"/>
  <c r="T17" i="61"/>
  <c r="M17" i="61"/>
  <c r="Z27" i="55"/>
  <c r="S27" i="55"/>
  <c r="M31" i="53"/>
  <c r="N31" i="53" s="1"/>
  <c r="T31" i="53"/>
  <c r="Y24" i="51"/>
  <c r="M25" i="60"/>
  <c r="T25" i="60"/>
  <c r="AF25" i="49"/>
  <c r="AE31" i="50"/>
  <c r="AC43" i="53"/>
  <c r="AE31" i="54"/>
  <c r="K43" i="55"/>
  <c r="M43" i="55" s="1"/>
  <c r="N43" i="55" s="1"/>
  <c r="K33" i="56"/>
  <c r="H33" i="56"/>
  <c r="Q33" i="56"/>
  <c r="W33" i="56"/>
  <c r="Q33" i="57"/>
  <c r="W33" i="57"/>
  <c r="K33" i="57"/>
  <c r="H33" i="57"/>
  <c r="AC43" i="58"/>
  <c r="W26" i="59"/>
  <c r="Q26" i="59"/>
  <c r="H26" i="59"/>
  <c r="N26" i="59" s="1"/>
  <c r="K26" i="59"/>
  <c r="AE27" i="60"/>
  <c r="W24" i="57"/>
  <c r="AF24" i="57" s="1"/>
  <c r="H24" i="57"/>
  <c r="N24" i="57" s="1"/>
  <c r="K24" i="57"/>
  <c r="Q24" i="57"/>
  <c r="AF25" i="51"/>
  <c r="AE25" i="54"/>
  <c r="AB34" i="53"/>
  <c r="J34" i="53"/>
  <c r="K34" i="53" s="1"/>
  <c r="P34" i="53"/>
  <c r="Q34" i="53" s="1"/>
  <c r="H34" i="53"/>
  <c r="V34" i="53"/>
  <c r="W34" i="53" s="1"/>
  <c r="J34" i="54"/>
  <c r="K34" i="54" s="1"/>
  <c r="H34" i="54"/>
  <c r="V34" i="54"/>
  <c r="W34" i="54" s="1"/>
  <c r="AB34" i="54"/>
  <c r="P34" i="54"/>
  <c r="Q34" i="54" s="1"/>
  <c r="M15" i="61"/>
  <c r="T15" i="61"/>
  <c r="W40" i="59"/>
  <c r="H40" i="59"/>
  <c r="K40" i="59"/>
  <c r="Q40" i="59"/>
  <c r="M25" i="55"/>
  <c r="T25" i="55"/>
  <c r="T27" i="53"/>
  <c r="M27" i="53"/>
  <c r="Z27" i="49"/>
  <c r="S27" i="49"/>
  <c r="Y24" i="61"/>
  <c r="Z24" i="55"/>
  <c r="S24" i="55"/>
  <c r="K41" i="54"/>
  <c r="W41" i="54"/>
  <c r="H41" i="54"/>
  <c r="Q41" i="54"/>
  <c r="M34" i="62"/>
  <c r="N34" i="62" s="1"/>
  <c r="Y13" i="61"/>
  <c r="W41" i="56"/>
  <c r="K41" i="56"/>
  <c r="H41" i="56"/>
  <c r="Q41" i="56"/>
  <c r="Y20" i="55"/>
  <c r="Z25" i="53"/>
  <c r="S25" i="53"/>
  <c r="T26" i="48"/>
  <c r="M26" i="48"/>
  <c r="H41" i="57"/>
  <c r="W41" i="57"/>
  <c r="K41" i="57"/>
  <c r="Q41" i="57"/>
  <c r="T31" i="61"/>
  <c r="M31" i="61"/>
  <c r="N31" i="61" s="1"/>
  <c r="S27" i="54"/>
  <c r="Z27" i="54"/>
  <c r="Z31" i="52"/>
  <c r="S31" i="52"/>
  <c r="T31" i="52" s="1"/>
  <c r="T27" i="51"/>
  <c r="M27" i="51"/>
  <c r="T24" i="49"/>
  <c r="M24" i="49"/>
  <c r="Z26" i="54"/>
  <c r="S26" i="54"/>
  <c r="S33" i="49"/>
  <c r="T33" i="49" s="1"/>
  <c r="T20" i="54"/>
  <c r="M20" i="54"/>
  <c r="S26" i="62"/>
  <c r="Z26" i="62"/>
  <c r="S27" i="60"/>
  <c r="Z27" i="60"/>
  <c r="T25" i="54"/>
  <c r="M25" i="54"/>
  <c r="M32" i="53"/>
  <c r="T32" i="53"/>
  <c r="S25" i="51"/>
  <c r="Z25" i="51"/>
  <c r="T32" i="49"/>
  <c r="M32" i="49"/>
  <c r="M25" i="62"/>
  <c r="T25" i="62"/>
  <c r="Y27" i="61"/>
  <c r="S26" i="60"/>
  <c r="Z26" i="60"/>
  <c r="S24" i="54"/>
  <c r="Z24" i="54"/>
  <c r="Q41" i="53"/>
  <c r="W41" i="53"/>
  <c r="H41" i="53"/>
  <c r="K41" i="53"/>
  <c r="S31" i="49"/>
  <c r="Z31" i="49"/>
  <c r="S24" i="62"/>
  <c r="Z24" i="62"/>
  <c r="Y20" i="60"/>
  <c r="S20" i="62"/>
  <c r="T20" i="62" s="1"/>
  <c r="Z20" i="62"/>
  <c r="S13" i="62"/>
  <c r="Z13" i="62"/>
  <c r="M20" i="62"/>
  <c r="N13" i="62"/>
  <c r="AE20" i="60"/>
  <c r="Q20" i="56"/>
  <c r="K20" i="56"/>
  <c r="H20" i="56"/>
  <c r="W20" i="56"/>
  <c r="K20" i="57"/>
  <c r="W20" i="57"/>
  <c r="H20" i="57"/>
  <c r="Q20" i="57"/>
  <c r="Y20" i="62"/>
  <c r="Y13" i="62"/>
  <c r="S20" i="60"/>
  <c r="T20" i="60"/>
  <c r="M20" i="60"/>
  <c r="AF20" i="60"/>
  <c r="K20" i="58"/>
  <c r="H20" i="58"/>
  <c r="W20" i="58"/>
  <c r="AE20" i="58" s="1"/>
  <c r="Q20" i="58"/>
  <c r="N20" i="60"/>
  <c r="M13" i="62"/>
  <c r="T13" i="62"/>
  <c r="N26" i="47"/>
  <c r="M32" i="43"/>
  <c r="AE31" i="45"/>
  <c r="AE24" i="45"/>
  <c r="AF24" i="45" s="1"/>
  <c r="S43" i="62"/>
  <c r="T43" i="62" s="1"/>
  <c r="M43" i="62"/>
  <c r="N43" i="62" s="1"/>
  <c r="AE48" i="62"/>
  <c r="AF48" i="62" s="1"/>
  <c r="M43" i="61"/>
  <c r="AE48" i="61"/>
  <c r="AF48" i="61" s="1"/>
  <c r="AE14" i="61"/>
  <c r="AE43" i="60"/>
  <c r="Q43" i="59"/>
  <c r="S43" i="59" s="1"/>
  <c r="T43" i="59" s="1"/>
  <c r="AC25" i="59"/>
  <c r="AC43" i="59"/>
  <c r="AC31" i="59"/>
  <c r="H43" i="59"/>
  <c r="AC41" i="57"/>
  <c r="AC24" i="57"/>
  <c r="AC46" i="55"/>
  <c r="H46" i="55"/>
  <c r="Q46" i="55"/>
  <c r="K46" i="55"/>
  <c r="W46" i="55"/>
  <c r="Q45" i="55"/>
  <c r="W45" i="55"/>
  <c r="K45" i="55"/>
  <c r="H45" i="55"/>
  <c r="AC45" i="55"/>
  <c r="AC47" i="55"/>
  <c r="H47" i="55"/>
  <c r="K47" i="55"/>
  <c r="Q47" i="55"/>
  <c r="W47" i="55"/>
  <c r="K48" i="55"/>
  <c r="AC48" i="55"/>
  <c r="W48" i="55"/>
  <c r="Q48" i="55"/>
  <c r="H48" i="55"/>
  <c r="AC44" i="55"/>
  <c r="K44" i="55"/>
  <c r="H44" i="55"/>
  <c r="W44" i="55"/>
  <c r="Q44" i="55"/>
  <c r="AC44" i="54"/>
  <c r="W44" i="54"/>
  <c r="Q44" i="54"/>
  <c r="H44" i="54"/>
  <c r="K44" i="54"/>
  <c r="AC45" i="54"/>
  <c r="Q45" i="54"/>
  <c r="W45" i="54"/>
  <c r="Y45" i="54" s="1"/>
  <c r="Z45" i="54" s="1"/>
  <c r="H45" i="54"/>
  <c r="K45" i="54"/>
  <c r="W47" i="54"/>
  <c r="AC47" i="54"/>
  <c r="K47" i="54"/>
  <c r="H47" i="54"/>
  <c r="Q47" i="54"/>
  <c r="K46" i="54"/>
  <c r="AC46" i="54"/>
  <c r="W46" i="54"/>
  <c r="H46" i="54"/>
  <c r="Q46" i="54"/>
  <c r="W48" i="54"/>
  <c r="AC48" i="54"/>
  <c r="K48" i="54"/>
  <c r="H48" i="54"/>
  <c r="Q48" i="54"/>
  <c r="AE26" i="53"/>
  <c r="Q45" i="53"/>
  <c r="AC45" i="53"/>
  <c r="W45" i="53"/>
  <c r="K45" i="53"/>
  <c r="H45" i="53"/>
  <c r="AC46" i="53"/>
  <c r="Q46" i="53"/>
  <c r="W46" i="53"/>
  <c r="K46" i="53"/>
  <c r="H46" i="53"/>
  <c r="K48" i="53"/>
  <c r="AC48" i="53"/>
  <c r="H48" i="53"/>
  <c r="W48" i="53"/>
  <c r="Q48" i="53"/>
  <c r="H44" i="53"/>
  <c r="K44" i="53"/>
  <c r="AC44" i="53"/>
  <c r="W44" i="53"/>
  <c r="Q44" i="53"/>
  <c r="AC47" i="53"/>
  <c r="K47" i="53"/>
  <c r="H47" i="53"/>
  <c r="Q47" i="53"/>
  <c r="W47" i="53"/>
  <c r="Q44" i="52"/>
  <c r="H44" i="52"/>
  <c r="AC44" i="52"/>
  <c r="W44" i="52"/>
  <c r="K44" i="52"/>
  <c r="W48" i="52"/>
  <c r="AC48" i="52"/>
  <c r="K48" i="52"/>
  <c r="H48" i="52"/>
  <c r="Q48" i="52"/>
  <c r="AC46" i="52"/>
  <c r="K46" i="52"/>
  <c r="H46" i="52"/>
  <c r="Q46" i="52"/>
  <c r="W46" i="52"/>
  <c r="AC45" i="52"/>
  <c r="W45" i="52"/>
  <c r="Q45" i="52"/>
  <c r="H45" i="52"/>
  <c r="K45" i="52"/>
  <c r="K47" i="52"/>
  <c r="AC47" i="52"/>
  <c r="H47" i="52"/>
  <c r="Q47" i="52"/>
  <c r="W47" i="52"/>
  <c r="AC41" i="51"/>
  <c r="F40" i="51"/>
  <c r="AE25" i="49"/>
  <c r="AE26" i="47"/>
  <c r="F40" i="45"/>
  <c r="H40" i="45" s="1"/>
  <c r="Y25" i="45"/>
  <c r="AE29" i="45"/>
  <c r="S26" i="45"/>
  <c r="S27" i="45"/>
  <c r="T26" i="45"/>
  <c r="AE27" i="45"/>
  <c r="Y26" i="45"/>
  <c r="M25" i="44"/>
  <c r="AE26" i="44"/>
  <c r="H40" i="43"/>
  <c r="AE26" i="43"/>
  <c r="M25" i="43"/>
  <c r="Y26" i="43"/>
  <c r="H41" i="43"/>
  <c r="W46" i="58"/>
  <c r="AC46" i="58"/>
  <c r="K46" i="58"/>
  <c r="H46" i="58"/>
  <c r="Q46" i="58"/>
  <c r="AC44" i="56"/>
  <c r="W44" i="56"/>
  <c r="K44" i="56"/>
  <c r="H44" i="56"/>
  <c r="Q44" i="56"/>
  <c r="AC46" i="57"/>
  <c r="H46" i="57"/>
  <c r="Q46" i="57"/>
  <c r="K46" i="57"/>
  <c r="W46" i="57"/>
  <c r="Q47" i="59"/>
  <c r="K47" i="59"/>
  <c r="W47" i="59"/>
  <c r="AC47" i="59"/>
  <c r="H47" i="59"/>
  <c r="W47" i="58"/>
  <c r="AC47" i="58"/>
  <c r="K47" i="58"/>
  <c r="H47" i="58"/>
  <c r="Q47" i="58"/>
  <c r="AC44" i="58"/>
  <c r="W44" i="58"/>
  <c r="K44" i="58"/>
  <c r="H44" i="58"/>
  <c r="Q44" i="58"/>
  <c r="K47" i="56"/>
  <c r="AC47" i="56"/>
  <c r="W47" i="56"/>
  <c r="H47" i="56"/>
  <c r="Q47" i="56"/>
  <c r="K47" i="57"/>
  <c r="AC47" i="57"/>
  <c r="W47" i="57"/>
  <c r="H47" i="57"/>
  <c r="Q47" i="57"/>
  <c r="AC45" i="59"/>
  <c r="W45" i="59"/>
  <c r="K45" i="59"/>
  <c r="H45" i="59"/>
  <c r="Q45" i="59"/>
  <c r="K45" i="58"/>
  <c r="AC45" i="58"/>
  <c r="H45" i="58"/>
  <c r="Q45" i="58"/>
  <c r="W45" i="58"/>
  <c r="H44" i="59"/>
  <c r="K44" i="59"/>
  <c r="AC44" i="59"/>
  <c r="W44" i="59"/>
  <c r="Q44" i="59"/>
  <c r="Q45" i="56"/>
  <c r="AC45" i="56"/>
  <c r="K45" i="56"/>
  <c r="W45" i="56"/>
  <c r="H45" i="56"/>
  <c r="W48" i="57"/>
  <c r="AC48" i="57"/>
  <c r="K48" i="57"/>
  <c r="H48" i="57"/>
  <c r="Q48" i="57"/>
  <c r="Q46" i="59"/>
  <c r="K46" i="59"/>
  <c r="AC46" i="59"/>
  <c r="W46" i="59"/>
  <c r="H46" i="59"/>
  <c r="H48" i="58"/>
  <c r="AC48" i="58"/>
  <c r="W48" i="58"/>
  <c r="K48" i="58"/>
  <c r="Q48" i="58"/>
  <c r="W46" i="56"/>
  <c r="Q46" i="56"/>
  <c r="H46" i="56"/>
  <c r="K46" i="56"/>
  <c r="AC46" i="56"/>
  <c r="Q48" i="56"/>
  <c r="AC48" i="56"/>
  <c r="K48" i="56"/>
  <c r="W48" i="56"/>
  <c r="H48" i="56"/>
  <c r="H45" i="57"/>
  <c r="W45" i="57"/>
  <c r="Q45" i="57"/>
  <c r="AC45" i="57"/>
  <c r="K45" i="57"/>
  <c r="Q48" i="59"/>
  <c r="AC48" i="59"/>
  <c r="W48" i="59"/>
  <c r="H48" i="59"/>
  <c r="K48" i="59"/>
  <c r="Q44" i="57"/>
  <c r="AC44" i="57"/>
  <c r="W44" i="57"/>
  <c r="K44" i="57"/>
  <c r="H44" i="57"/>
  <c r="Y27" i="42"/>
  <c r="AE27" i="42"/>
  <c r="AE33" i="62"/>
  <c r="AF33" i="62" s="1"/>
  <c r="M44" i="62"/>
  <c r="N44" i="62" s="1"/>
  <c r="M25" i="45"/>
  <c r="M25" i="47"/>
  <c r="M26" i="45"/>
  <c r="Y31" i="44"/>
  <c r="AE29" i="50"/>
  <c r="Y34" i="46"/>
  <c r="Z34" i="46" s="1"/>
  <c r="AE34" i="46"/>
  <c r="AF34" i="46" s="1"/>
  <c r="AE30" i="60"/>
  <c r="S43" i="61"/>
  <c r="T43" i="61" s="1"/>
  <c r="AC21" i="59"/>
  <c r="AC21" i="58"/>
  <c r="AC21" i="57"/>
  <c r="AC21" i="56"/>
  <c r="T25" i="47"/>
  <c r="AE26" i="45"/>
  <c r="AE30" i="61"/>
  <c r="Y31" i="47"/>
  <c r="S31" i="42"/>
  <c r="T31" i="42" s="1"/>
  <c r="Y24" i="47"/>
  <c r="Z24" i="47" s="1"/>
  <c r="S31" i="47"/>
  <c r="T31" i="47" s="1"/>
  <c r="AE32" i="44"/>
  <c r="AE31" i="53"/>
  <c r="Z31" i="42"/>
  <c r="AE24" i="52"/>
  <c r="M32" i="47"/>
  <c r="M31" i="42"/>
  <c r="N31" i="42" s="1"/>
  <c r="AE24" i="55"/>
  <c r="AE32" i="43"/>
  <c r="AE34" i="60"/>
  <c r="AF34" i="60" s="1"/>
  <c r="AE21" i="62"/>
  <c r="AE34" i="61"/>
  <c r="AF34" i="61" s="1"/>
  <c r="AE21" i="61"/>
  <c r="AC31" i="57"/>
  <c r="AC40" i="55"/>
  <c r="AE27" i="49"/>
  <c r="AE25" i="48"/>
  <c r="AE25" i="47"/>
  <c r="AE27" i="47"/>
  <c r="AE26" i="42"/>
  <c r="AC20" i="57"/>
  <c r="AE35" i="62"/>
  <c r="W43" i="59"/>
  <c r="Y34" i="44"/>
  <c r="Z34" i="44" s="1"/>
  <c r="AE42" i="62"/>
  <c r="AF42" i="62" s="1"/>
  <c r="AE34" i="47"/>
  <c r="AF34" i="47" s="1"/>
  <c r="AE34" i="49"/>
  <c r="AF34" i="49" s="1"/>
  <c r="AE32" i="47"/>
  <c r="AE32" i="48"/>
  <c r="AE13" i="61"/>
  <c r="AE32" i="61"/>
  <c r="AE33" i="48"/>
  <c r="AF33" i="48" s="1"/>
  <c r="AE32" i="50"/>
  <c r="AE34" i="48"/>
  <c r="AF34" i="48" s="1"/>
  <c r="AE34" i="44"/>
  <c r="AF34" i="44" s="1"/>
  <c r="AF14" i="48"/>
  <c r="AE20" i="52"/>
  <c r="AE24" i="48"/>
  <c r="Y34" i="42"/>
  <c r="Z34" i="42" s="1"/>
  <c r="AE29" i="61"/>
  <c r="Y31" i="43"/>
  <c r="S32" i="47"/>
  <c r="Y32" i="47"/>
  <c r="AE32" i="42"/>
  <c r="AE24" i="43"/>
  <c r="AF24" i="43" s="1"/>
  <c r="S32" i="45"/>
  <c r="AE34" i="51"/>
  <c r="AF34" i="51" s="1"/>
  <c r="AE31" i="43"/>
  <c r="AE32" i="49"/>
  <c r="AF13" i="62"/>
  <c r="T32" i="47"/>
  <c r="AE33" i="50"/>
  <c r="AF33" i="50" s="1"/>
  <c r="AE13" i="62"/>
  <c r="AE32" i="53"/>
  <c r="M34" i="42"/>
  <c r="N34" i="42" s="1"/>
  <c r="M32" i="45"/>
  <c r="Y24" i="44"/>
  <c r="Z24" i="44" s="1"/>
  <c r="AE31" i="52"/>
  <c r="AE31" i="55"/>
  <c r="AE29" i="52"/>
  <c r="Y24" i="45"/>
  <c r="Z24" i="45" s="1"/>
  <c r="AE24" i="42"/>
  <c r="AF24" i="42" s="1"/>
  <c r="AE33" i="53"/>
  <c r="AF33" i="53" s="1"/>
  <c r="AE29" i="53"/>
  <c r="AE33" i="60"/>
  <c r="AF33" i="60" s="1"/>
  <c r="AE33" i="49"/>
  <c r="AF33" i="49" s="1"/>
  <c r="Y24" i="43"/>
  <c r="Z24" i="43" s="1"/>
  <c r="AE29" i="48"/>
  <c r="AE24" i="51"/>
  <c r="AE33" i="54"/>
  <c r="AF33" i="54" s="1"/>
  <c r="AE24" i="44"/>
  <c r="AF24" i="44" s="1"/>
  <c r="AE31" i="16"/>
  <c r="AE29" i="62"/>
  <c r="AE25" i="55"/>
  <c r="AC41" i="55"/>
  <c r="AE27" i="55"/>
  <c r="AC40" i="51"/>
  <c r="AE32" i="51"/>
  <c r="AE34" i="62"/>
  <c r="AF34" i="62" s="1"/>
  <c r="AE16" i="62"/>
  <c r="AE14" i="62"/>
  <c r="Y47" i="62"/>
  <c r="Z47" i="62" s="1"/>
  <c r="AF32" i="62"/>
  <c r="M46" i="62"/>
  <c r="N46" i="62" s="1"/>
  <c r="T46" i="62"/>
  <c r="AF29" i="62"/>
  <c r="S45" i="62"/>
  <c r="T45" i="62" s="1"/>
  <c r="M45" i="62"/>
  <c r="N45" i="62" s="1"/>
  <c r="AE46" i="62"/>
  <c r="AF46" i="62" s="1"/>
  <c r="M48" i="62"/>
  <c r="N48" i="62" s="1"/>
  <c r="AF20" i="62"/>
  <c r="AE20" i="62"/>
  <c r="AE40" i="62"/>
  <c r="AF40" i="62" s="1"/>
  <c r="AE32" i="62"/>
  <c r="AF30" i="62"/>
  <c r="Y44" i="62"/>
  <c r="Z44" i="62" s="1"/>
  <c r="AE44" i="62"/>
  <c r="AF44" i="62" s="1"/>
  <c r="M47" i="62"/>
  <c r="N47" i="62" s="1"/>
  <c r="T47" i="62"/>
  <c r="AE30" i="62"/>
  <c r="Y45" i="62"/>
  <c r="Z45" i="62" s="1"/>
  <c r="Y46" i="62"/>
  <c r="Z46" i="62" s="1"/>
  <c r="AF17" i="62"/>
  <c r="AE45" i="62"/>
  <c r="AF45" i="62" s="1"/>
  <c r="AF24" i="62"/>
  <c r="AE17" i="62"/>
  <c r="AF14" i="62"/>
  <c r="AF18" i="62"/>
  <c r="AF16" i="62"/>
  <c r="AE47" i="62"/>
  <c r="AF47" i="62" s="1"/>
  <c r="AE15" i="62"/>
  <c r="AF15" i="62" s="1"/>
  <c r="S48" i="62"/>
  <c r="T48" i="62" s="1"/>
  <c r="Y48" i="62"/>
  <c r="Z48" i="62" s="1"/>
  <c r="AE24" i="62"/>
  <c r="AF31" i="17"/>
  <c r="Y31" i="17"/>
  <c r="T31" i="17"/>
  <c r="M31" i="17"/>
  <c r="N31" i="17" s="1"/>
  <c r="S31" i="17"/>
  <c r="Z31" i="17"/>
  <c r="AE31" i="17"/>
  <c r="AF30" i="17"/>
  <c r="AE30" i="17"/>
  <c r="Y43" i="61"/>
  <c r="Z43" i="61" s="1"/>
  <c r="AE41" i="61"/>
  <c r="AF41" i="61" s="1"/>
  <c r="AE31" i="61"/>
  <c r="AF25" i="61"/>
  <c r="AE20" i="61"/>
  <c r="AE25" i="61"/>
  <c r="AE18" i="61"/>
  <c r="M44" i="61"/>
  <c r="N44" i="61" s="1"/>
  <c r="Y45" i="61"/>
  <c r="Z45" i="61" s="1"/>
  <c r="AF17" i="61"/>
  <c r="S48" i="61"/>
  <c r="T48" i="61" s="1"/>
  <c r="AE45" i="61"/>
  <c r="AF45" i="61" s="1"/>
  <c r="AF24" i="61"/>
  <c r="N43" i="61"/>
  <c r="AF31" i="61"/>
  <c r="M45" i="61"/>
  <c r="N45" i="61" s="1"/>
  <c r="AE17" i="61"/>
  <c r="Y44" i="61"/>
  <c r="Z44" i="61" s="1"/>
  <c r="AE44" i="61"/>
  <c r="AF44" i="61" s="1"/>
  <c r="AE47" i="61"/>
  <c r="AF47" i="61" s="1"/>
  <c r="AF15" i="61"/>
  <c r="AE24" i="61"/>
  <c r="AE27" i="61"/>
  <c r="S47" i="61"/>
  <c r="T47" i="61" s="1"/>
  <c r="S45" i="61"/>
  <c r="T45" i="61" s="1"/>
  <c r="Y48" i="61"/>
  <c r="Z48" i="61" s="1"/>
  <c r="AE42" i="61"/>
  <c r="AF42" i="61" s="1"/>
  <c r="AE35" i="61"/>
  <c r="AF29" i="61"/>
  <c r="AF27" i="61"/>
  <c r="Y47" i="61"/>
  <c r="Z47" i="61" s="1"/>
  <c r="AE15" i="61"/>
  <c r="M46" i="61"/>
  <c r="N46" i="61" s="1"/>
  <c r="S44" i="61"/>
  <c r="T44" i="61" s="1"/>
  <c r="AF30" i="61"/>
  <c r="M47" i="61"/>
  <c r="N47" i="61" s="1"/>
  <c r="Z46" i="61"/>
  <c r="S46" i="61"/>
  <c r="T46" i="61" s="1"/>
  <c r="AF18" i="61"/>
  <c r="AE40" i="61"/>
  <c r="AF40" i="61" s="1"/>
  <c r="AF21" i="61"/>
  <c r="AF20" i="61"/>
  <c r="S31" i="16"/>
  <c r="Z31" i="16"/>
  <c r="Y31" i="16"/>
  <c r="T31" i="16"/>
  <c r="M31" i="16"/>
  <c r="N31" i="16" s="1"/>
  <c r="AF30" i="16"/>
  <c r="AE30" i="16"/>
  <c r="AC41" i="60"/>
  <c r="AE21" i="60"/>
  <c r="AE25" i="60"/>
  <c r="AE24" i="60"/>
  <c r="AC40" i="60"/>
  <c r="S43" i="60"/>
  <c r="T43" i="60" s="1"/>
  <c r="AE31" i="60"/>
  <c r="AF31" i="60"/>
  <c r="AF29" i="60"/>
  <c r="AE26" i="60"/>
  <c r="AF26" i="60"/>
  <c r="Y43" i="60"/>
  <c r="Z43" i="60" s="1"/>
  <c r="AF43" i="60"/>
  <c r="AE29" i="60"/>
  <c r="M43" i="60"/>
  <c r="N43" i="60" s="1"/>
  <c r="AF21" i="60"/>
  <c r="AF25" i="60"/>
  <c r="T31" i="15"/>
  <c r="M31" i="15"/>
  <c r="N31" i="15" s="1"/>
  <c r="Z31" i="15"/>
  <c r="S31" i="15"/>
  <c r="AF31" i="15"/>
  <c r="Y31" i="15"/>
  <c r="AE31" i="15"/>
  <c r="AF30" i="15"/>
  <c r="AE30" i="15"/>
  <c r="AC27" i="59"/>
  <c r="AC30" i="59"/>
  <c r="AC33" i="59"/>
  <c r="AC24" i="59"/>
  <c r="AC29" i="59"/>
  <c r="M43" i="59"/>
  <c r="N43" i="59" s="1"/>
  <c r="AC26" i="59"/>
  <c r="AC20" i="59"/>
  <c r="AC30" i="58"/>
  <c r="AC29" i="58"/>
  <c r="AC25" i="58"/>
  <c r="AC40" i="58"/>
  <c r="AC33" i="58"/>
  <c r="AC31" i="58"/>
  <c r="AC32" i="58"/>
  <c r="AC24" i="58"/>
  <c r="AC41" i="58"/>
  <c r="AC27" i="58"/>
  <c r="AC27" i="57"/>
  <c r="AC33" i="57"/>
  <c r="AC30" i="57"/>
  <c r="AF25" i="57"/>
  <c r="AC26" i="57"/>
  <c r="AC40" i="57"/>
  <c r="AF15" i="57"/>
  <c r="AC27" i="56"/>
  <c r="AC24" i="56"/>
  <c r="AC30" i="56"/>
  <c r="AC40" i="56"/>
  <c r="AC20" i="56"/>
  <c r="AC29" i="56"/>
  <c r="AC33" i="56"/>
  <c r="AC25" i="56"/>
  <c r="AC31" i="56"/>
  <c r="AF20" i="55"/>
  <c r="AF26" i="55"/>
  <c r="AE26" i="55"/>
  <c r="AF29" i="55"/>
  <c r="AE29" i="55"/>
  <c r="S43" i="55"/>
  <c r="T43" i="55" s="1"/>
  <c r="AF25" i="55"/>
  <c r="AF31" i="55"/>
  <c r="AF32" i="55"/>
  <c r="Y43" i="55"/>
  <c r="Z43" i="55" s="1"/>
  <c r="AE20" i="55"/>
  <c r="AE27" i="54"/>
  <c r="AC41" i="54"/>
  <c r="AC40" i="54"/>
  <c r="W43" i="54"/>
  <c r="H43" i="54"/>
  <c r="K43" i="54"/>
  <c r="AC43" i="54"/>
  <c r="Q43" i="54"/>
  <c r="AF26" i="54"/>
  <c r="AC34" i="54"/>
  <c r="AC41" i="53"/>
  <c r="AC40" i="53"/>
  <c r="AF24" i="53"/>
  <c r="AF20" i="53"/>
  <c r="AE43" i="53"/>
  <c r="AF43" i="53" s="1"/>
  <c r="AC34" i="53"/>
  <c r="AE20" i="53"/>
  <c r="AE24" i="53"/>
  <c r="AF25" i="53"/>
  <c r="AF32" i="53"/>
  <c r="AF31" i="52"/>
  <c r="AC41" i="52"/>
  <c r="AE26" i="52"/>
  <c r="AF29" i="52"/>
  <c r="AE32" i="52"/>
  <c r="AF20" i="52"/>
  <c r="Q43" i="52"/>
  <c r="K43" i="52"/>
  <c r="H43" i="52"/>
  <c r="AC43" i="52"/>
  <c r="W43" i="52"/>
  <c r="AF26" i="52"/>
  <c r="AF32" i="52"/>
  <c r="S31" i="13"/>
  <c r="T31" i="13" s="1"/>
  <c r="M31" i="13"/>
  <c r="N31" i="13" s="1"/>
  <c r="AF31" i="13"/>
  <c r="Y31" i="13"/>
  <c r="Z31" i="13" s="1"/>
  <c r="AE31" i="13"/>
  <c r="AF29" i="51"/>
  <c r="AE29" i="51"/>
  <c r="F41" i="50"/>
  <c r="F40" i="50"/>
  <c r="AE26" i="50"/>
  <c r="AE25" i="50"/>
  <c r="AE34" i="50"/>
  <c r="AF34" i="50" s="1"/>
  <c r="AF27" i="50"/>
  <c r="AE27" i="50"/>
  <c r="F40" i="49"/>
  <c r="F41" i="49"/>
  <c r="AF27" i="49"/>
  <c r="F40" i="48"/>
  <c r="AF25" i="48"/>
  <c r="AF29" i="48"/>
  <c r="Z31" i="12"/>
  <c r="S31" i="12"/>
  <c r="T31" i="12" s="1"/>
  <c r="AF31" i="12"/>
  <c r="Y31" i="12"/>
  <c r="M31" i="12"/>
  <c r="N31" i="12" s="1"/>
  <c r="AE31" i="12"/>
  <c r="M27" i="47"/>
  <c r="T27" i="47"/>
  <c r="F40" i="47"/>
  <c r="F41" i="47"/>
  <c r="N27" i="47"/>
  <c r="S34" i="47"/>
  <c r="T34" i="47" s="1"/>
  <c r="Y34" i="47"/>
  <c r="Z34" i="47" s="1"/>
  <c r="S27" i="47"/>
  <c r="M24" i="47"/>
  <c r="N24" i="47" s="1"/>
  <c r="AF26" i="47"/>
  <c r="Y26" i="47"/>
  <c r="M34" i="47"/>
  <c r="N34" i="47" s="1"/>
  <c r="M31" i="47"/>
  <c r="N31" i="47" s="1"/>
  <c r="AF27" i="47"/>
  <c r="Y27" i="47"/>
  <c r="S24" i="47"/>
  <c r="T24" i="47" s="1"/>
  <c r="AF29" i="47"/>
  <c r="AE29" i="47"/>
  <c r="Y24" i="46"/>
  <c r="AE24" i="46"/>
  <c r="AF24" i="46" s="1"/>
  <c r="AE25" i="46"/>
  <c r="Y31" i="46"/>
  <c r="AF31" i="46"/>
  <c r="Z32" i="46"/>
  <c r="S32" i="46"/>
  <c r="S27" i="46"/>
  <c r="Z27" i="46"/>
  <c r="Y27" i="46"/>
  <c r="N26" i="46"/>
  <c r="AC41" i="46"/>
  <c r="H41" i="46"/>
  <c r="Y32" i="46"/>
  <c r="AF32" i="46"/>
  <c r="Y26" i="46"/>
  <c r="AF26" i="46"/>
  <c r="M24" i="46"/>
  <c r="Z31" i="46"/>
  <c r="S31" i="46"/>
  <c r="T31" i="46" s="1"/>
  <c r="AC40" i="46"/>
  <c r="H40" i="46"/>
  <c r="AE32" i="46"/>
  <c r="T32" i="46"/>
  <c r="M32" i="46"/>
  <c r="AE31" i="46"/>
  <c r="N25" i="46"/>
  <c r="M34" i="46"/>
  <c r="N34" i="46" s="1"/>
  <c r="Z25" i="46"/>
  <c r="S25" i="46"/>
  <c r="N24" i="46"/>
  <c r="Y25" i="46"/>
  <c r="AF25" i="46"/>
  <c r="M31" i="46"/>
  <c r="N31" i="46" s="1"/>
  <c r="T26" i="46"/>
  <c r="M26" i="46"/>
  <c r="M14" i="46"/>
  <c r="N14" i="46"/>
  <c r="N32" i="46"/>
  <c r="Z24" i="46"/>
  <c r="S24" i="46"/>
  <c r="T24" i="46" s="1"/>
  <c r="T25" i="46"/>
  <c r="M25" i="46"/>
  <c r="S26" i="46"/>
  <c r="Z26" i="46"/>
  <c r="AF29" i="46"/>
  <c r="N27" i="46"/>
  <c r="S34" i="46"/>
  <c r="T34" i="46" s="1"/>
  <c r="AE29" i="46"/>
  <c r="AE26" i="46"/>
  <c r="AE32" i="45"/>
  <c r="N32" i="45"/>
  <c r="Y31" i="45"/>
  <c r="AE25" i="45"/>
  <c r="Y32" i="45"/>
  <c r="M31" i="45"/>
  <c r="N31" i="45" s="1"/>
  <c r="M24" i="45"/>
  <c r="N24" i="45" s="1"/>
  <c r="M34" i="45"/>
  <c r="N34" i="45" s="1"/>
  <c r="S14" i="45"/>
  <c r="Z14" i="45"/>
  <c r="Y34" i="45"/>
  <c r="Z34" i="45" s="1"/>
  <c r="AE34" i="45"/>
  <c r="AF34" i="45" s="1"/>
  <c r="AF27" i="45"/>
  <c r="Y27" i="45"/>
  <c r="AC41" i="45"/>
  <c r="H41" i="45"/>
  <c r="S34" i="45"/>
  <c r="T34" i="45" s="1"/>
  <c r="S24" i="45"/>
  <c r="T24" i="45" s="1"/>
  <c r="M27" i="45"/>
  <c r="T27" i="45"/>
  <c r="S31" i="45"/>
  <c r="T31" i="45" s="1"/>
  <c r="N32" i="44"/>
  <c r="AE29" i="44"/>
  <c r="AE27" i="44"/>
  <c r="M32" i="44"/>
  <c r="M26" i="44"/>
  <c r="F40" i="44"/>
  <c r="F41" i="44"/>
  <c r="M34" i="44"/>
  <c r="N34" i="44" s="1"/>
  <c r="N27" i="44"/>
  <c r="S32" i="44"/>
  <c r="Z32" i="44"/>
  <c r="Y27" i="44"/>
  <c r="AF27" i="44"/>
  <c r="M31" i="44"/>
  <c r="N31" i="44" s="1"/>
  <c r="S25" i="44"/>
  <c r="Z25" i="44"/>
  <c r="S31" i="44"/>
  <c r="T31" i="44" s="1"/>
  <c r="S34" i="44"/>
  <c r="T34" i="44" s="1"/>
  <c r="Z27" i="44"/>
  <c r="S27" i="44"/>
  <c r="T24" i="44"/>
  <c r="M24" i="44"/>
  <c r="N24" i="44" s="1"/>
  <c r="Y32" i="44"/>
  <c r="M27" i="44"/>
  <c r="T27" i="44"/>
  <c r="AE29" i="43"/>
  <c r="M26" i="43"/>
  <c r="N25" i="43"/>
  <c r="Y27" i="43"/>
  <c r="AC40" i="43"/>
  <c r="AE27" i="43"/>
  <c r="Y34" i="43"/>
  <c r="Z34" i="43" s="1"/>
  <c r="M24" i="43"/>
  <c r="N24" i="43" s="1"/>
  <c r="M34" i="43"/>
  <c r="N34" i="43" s="1"/>
  <c r="S34" i="43"/>
  <c r="T34" i="43" s="1"/>
  <c r="M27" i="43"/>
  <c r="T27" i="43"/>
  <c r="S25" i="43"/>
  <c r="Z25" i="43"/>
  <c r="Y25" i="43"/>
  <c r="AE34" i="43"/>
  <c r="AF34" i="43" s="1"/>
  <c r="S32" i="43"/>
  <c r="Z32" i="43"/>
  <c r="S27" i="43"/>
  <c r="Z27" i="43"/>
  <c r="Y32" i="43"/>
  <c r="S24" i="43"/>
  <c r="T24" i="43" s="1"/>
  <c r="M31" i="43"/>
  <c r="N31" i="43" s="1"/>
  <c r="AF29" i="43"/>
  <c r="S31" i="43"/>
  <c r="T31" i="43" s="1"/>
  <c r="N27" i="42"/>
  <c r="M27" i="42"/>
  <c r="AE34" i="42"/>
  <c r="AF34" i="42" s="1"/>
  <c r="Y25" i="42"/>
  <c r="AF25" i="42"/>
  <c r="AE25" i="42"/>
  <c r="Y31" i="42"/>
  <c r="AF31" i="42"/>
  <c r="AE31" i="42"/>
  <c r="Y24" i="42"/>
  <c r="T26" i="42"/>
  <c r="M26" i="42"/>
  <c r="N26" i="42"/>
  <c r="Z24" i="42"/>
  <c r="S24" i="42"/>
  <c r="T24" i="42" s="1"/>
  <c r="M24" i="42"/>
  <c r="N24" i="42" s="1"/>
  <c r="T25" i="42"/>
  <c r="M25" i="42"/>
  <c r="T32" i="42"/>
  <c r="M32" i="42"/>
  <c r="Z25" i="42"/>
  <c r="S25" i="42"/>
  <c r="S27" i="42"/>
  <c r="Z27" i="42"/>
  <c r="N32" i="42"/>
  <c r="F41" i="42"/>
  <c r="F40" i="42"/>
  <c r="S34" i="42"/>
  <c r="T34" i="42" s="1"/>
  <c r="AF32" i="42"/>
  <c r="Y32" i="42"/>
  <c r="AF26" i="42"/>
  <c r="Y26" i="42"/>
  <c r="N25" i="42"/>
  <c r="S31" i="11"/>
  <c r="T31" i="11" s="1"/>
  <c r="Z31" i="11"/>
  <c r="AF31" i="11"/>
  <c r="Y31" i="11"/>
  <c r="M31" i="11"/>
  <c r="N31" i="11" s="1"/>
  <c r="AE31" i="11"/>
  <c r="S14" i="17"/>
  <c r="Z14" i="17"/>
  <c r="T14" i="17"/>
  <c r="M14" i="17"/>
  <c r="N14" i="17"/>
  <c r="AF14" i="17"/>
  <c r="Y14" i="17"/>
  <c r="AE14" i="17"/>
  <c r="S14" i="16"/>
  <c r="Z14" i="16"/>
  <c r="N14" i="16"/>
  <c r="AF14" i="16"/>
  <c r="Y14" i="16"/>
  <c r="T14" i="16"/>
  <c r="M14" i="16"/>
  <c r="AE14" i="16"/>
  <c r="T14" i="12"/>
  <c r="M14" i="12"/>
  <c r="S14" i="12"/>
  <c r="Z14" i="12"/>
  <c r="Y14" i="12"/>
  <c r="AE14" i="12"/>
  <c r="AE14" i="11"/>
  <c r="N14" i="11"/>
  <c r="T14" i="11"/>
  <c r="M14" i="11"/>
  <c r="S14" i="11"/>
  <c r="Z14" i="11"/>
  <c r="AF14" i="11"/>
  <c r="Y14" i="11"/>
  <c r="F48" i="17"/>
  <c r="G34" i="17" s="1"/>
  <c r="F47" i="17"/>
  <c r="F48" i="16"/>
  <c r="F47" i="16"/>
  <c r="F48" i="12"/>
  <c r="F47" i="12"/>
  <c r="Y41" i="46" l="1"/>
  <c r="Z41" i="46" s="1"/>
  <c r="AC40" i="45"/>
  <c r="Y34" i="53"/>
  <c r="AE26" i="56"/>
  <c r="Y48" i="53"/>
  <c r="Z48" i="53" s="1"/>
  <c r="AE47" i="53"/>
  <c r="Y26" i="57"/>
  <c r="Y34" i="54"/>
  <c r="Y34" i="52"/>
  <c r="Z34" i="52" s="1"/>
  <c r="AE43" i="56"/>
  <c r="AF43" i="56" s="1"/>
  <c r="Y27" i="57"/>
  <c r="AE47" i="59"/>
  <c r="Y25" i="59"/>
  <c r="AE43" i="57"/>
  <c r="AF43" i="57" s="1"/>
  <c r="AF26" i="58"/>
  <c r="Y21" i="56"/>
  <c r="Y26" i="56"/>
  <c r="AE26" i="58"/>
  <c r="Y21" i="59"/>
  <c r="Y25" i="57"/>
  <c r="AE25" i="59"/>
  <c r="AE25" i="57"/>
  <c r="M47" i="55"/>
  <c r="Y33" i="57"/>
  <c r="Z33" i="57" s="1"/>
  <c r="M34" i="55"/>
  <c r="N34" i="55" s="1"/>
  <c r="M34" i="52"/>
  <c r="N34" i="52" s="1"/>
  <c r="M46" i="54"/>
  <c r="N46" i="54" s="1"/>
  <c r="M44" i="54"/>
  <c r="S34" i="56"/>
  <c r="T34" i="56" s="1"/>
  <c r="M41" i="53"/>
  <c r="N41" i="53" s="1"/>
  <c r="S41" i="57"/>
  <c r="T41" i="57" s="1"/>
  <c r="M40" i="56"/>
  <c r="N40" i="56" s="1"/>
  <c r="AE34" i="57"/>
  <c r="AF34" i="57" s="1"/>
  <c r="M43" i="56"/>
  <c r="N43" i="56" s="1"/>
  <c r="Y32" i="57"/>
  <c r="M34" i="57"/>
  <c r="N34" i="57" s="1"/>
  <c r="S34" i="58"/>
  <c r="T34" i="58" s="1"/>
  <c r="M41" i="46"/>
  <c r="N41" i="46" s="1"/>
  <c r="AE43" i="58"/>
  <c r="AF43" i="58" s="1"/>
  <c r="S34" i="59"/>
  <c r="T34" i="59" s="1"/>
  <c r="AE31" i="57"/>
  <c r="M40" i="43"/>
  <c r="N40" i="43" s="1"/>
  <c r="Y32" i="59"/>
  <c r="M41" i="45"/>
  <c r="N41" i="45" s="1"/>
  <c r="AE41" i="52"/>
  <c r="AF41" i="52" s="1"/>
  <c r="Y41" i="53"/>
  <c r="Z41" i="53" s="1"/>
  <c r="S41" i="56"/>
  <c r="T41" i="56" s="1"/>
  <c r="Y40" i="56"/>
  <c r="Z40" i="56" s="1"/>
  <c r="Y33" i="58"/>
  <c r="Z33" i="58" s="1"/>
  <c r="Y40" i="52"/>
  <c r="Z40" i="52" s="1"/>
  <c r="S41" i="46"/>
  <c r="T41" i="46" s="1"/>
  <c r="S40" i="55"/>
  <c r="T40" i="55" s="1"/>
  <c r="M40" i="46"/>
  <c r="N40" i="46" s="1"/>
  <c r="Y41" i="55"/>
  <c r="Z41" i="55" s="1"/>
  <c r="Y24" i="59"/>
  <c r="Y41" i="58"/>
  <c r="Z41" i="58" s="1"/>
  <c r="S40" i="58"/>
  <c r="T40" i="58" s="1"/>
  <c r="S41" i="52"/>
  <c r="T41" i="52" s="1"/>
  <c r="Y24" i="56"/>
  <c r="Y40" i="46"/>
  <c r="Z40" i="46" s="1"/>
  <c r="AE29" i="57"/>
  <c r="AE41" i="43"/>
  <c r="AF41" i="43" s="1"/>
  <c r="S33" i="58"/>
  <c r="T33" i="58" s="1"/>
  <c r="M41" i="43"/>
  <c r="N41" i="43" s="1"/>
  <c r="AE41" i="59"/>
  <c r="AF41" i="59" s="1"/>
  <c r="Y31" i="56"/>
  <c r="S33" i="56"/>
  <c r="T33" i="56" s="1"/>
  <c r="M40" i="54"/>
  <c r="N40" i="54" s="1"/>
  <c r="Y41" i="52"/>
  <c r="Z41" i="52" s="1"/>
  <c r="AE41" i="53"/>
  <c r="AF41" i="53" s="1"/>
  <c r="S34" i="57"/>
  <c r="T34" i="57" s="1"/>
  <c r="AE24" i="57"/>
  <c r="M41" i="57"/>
  <c r="N41" i="57" s="1"/>
  <c r="Y31" i="59"/>
  <c r="Y32" i="58"/>
  <c r="M40" i="53"/>
  <c r="N40" i="53" s="1"/>
  <c r="Y41" i="56"/>
  <c r="Z41" i="56" s="1"/>
  <c r="S40" i="59"/>
  <c r="T40" i="59" s="1"/>
  <c r="Y33" i="56"/>
  <c r="Z33" i="56" s="1"/>
  <c r="S40" i="57"/>
  <c r="T40" i="57" s="1"/>
  <c r="S41" i="45"/>
  <c r="T41" i="45" s="1"/>
  <c r="M40" i="55"/>
  <c r="N40" i="55" s="1"/>
  <c r="S40" i="52"/>
  <c r="T40" i="52" s="1"/>
  <c r="S40" i="43"/>
  <c r="T40" i="43" s="1"/>
  <c r="M40" i="59"/>
  <c r="N40" i="59" s="1"/>
  <c r="AE40" i="52"/>
  <c r="AF40" i="52" s="1"/>
  <c r="M41" i="55"/>
  <c r="N41" i="55" s="1"/>
  <c r="S41" i="54"/>
  <c r="T41" i="54" s="1"/>
  <c r="Y24" i="58"/>
  <c r="S41" i="59"/>
  <c r="T41" i="59" s="1"/>
  <c r="S43" i="57"/>
  <c r="T43" i="57" s="1"/>
  <c r="T31" i="56"/>
  <c r="M31" i="56"/>
  <c r="N31" i="56" s="1"/>
  <c r="T27" i="59"/>
  <c r="M27" i="59"/>
  <c r="Z31" i="57"/>
  <c r="S31" i="57"/>
  <c r="Y26" i="59"/>
  <c r="Y34" i="57"/>
  <c r="Z34" i="57" s="1"/>
  <c r="M31" i="58"/>
  <c r="N31" i="58" s="1"/>
  <c r="T31" i="58"/>
  <c r="M48" i="54"/>
  <c r="N48" i="54" s="1"/>
  <c r="S26" i="59"/>
  <c r="Z26" i="59"/>
  <c r="M34" i="54"/>
  <c r="N34" i="54" s="1"/>
  <c r="AE32" i="57"/>
  <c r="S20" i="59"/>
  <c r="Z20" i="59"/>
  <c r="Z25" i="56"/>
  <c r="S25" i="56"/>
  <c r="S43" i="53"/>
  <c r="T43" i="53" s="1"/>
  <c r="Y34" i="55"/>
  <c r="Z34" i="55" s="1"/>
  <c r="M31" i="57"/>
  <c r="N31" i="57" s="1"/>
  <c r="T31" i="57"/>
  <c r="T21" i="58"/>
  <c r="M21" i="58"/>
  <c r="N21" i="58" s="1"/>
  <c r="Y27" i="56"/>
  <c r="Z27" i="56"/>
  <c r="S27" i="56"/>
  <c r="Y32" i="56"/>
  <c r="Z32" i="59"/>
  <c r="S21" i="58"/>
  <c r="Z21" i="58"/>
  <c r="Y43" i="57"/>
  <c r="Z43" i="57" s="1"/>
  <c r="Q40" i="51"/>
  <c r="K40" i="51"/>
  <c r="H40" i="51"/>
  <c r="W40" i="51"/>
  <c r="Y21" i="58"/>
  <c r="T24" i="56"/>
  <c r="M24" i="56"/>
  <c r="S33" i="59"/>
  <c r="T33" i="59" s="1"/>
  <c r="Z25" i="58"/>
  <c r="S25" i="58"/>
  <c r="W40" i="48"/>
  <c r="K40" i="48"/>
  <c r="Q40" i="48"/>
  <c r="H40" i="48"/>
  <c r="Y40" i="59"/>
  <c r="Z40" i="59" s="1"/>
  <c r="T24" i="57"/>
  <c r="M24" i="57"/>
  <c r="Z24" i="59"/>
  <c r="S24" i="59"/>
  <c r="M33" i="58"/>
  <c r="N33" i="58" s="1"/>
  <c r="S43" i="58"/>
  <c r="T43" i="58" s="1"/>
  <c r="AF26" i="56"/>
  <c r="T20" i="59"/>
  <c r="M20" i="59"/>
  <c r="Y43" i="56"/>
  <c r="Z43" i="56" s="1"/>
  <c r="AE41" i="55"/>
  <c r="AF41" i="55" s="1"/>
  <c r="AE44" i="55"/>
  <c r="AF44" i="55" s="1"/>
  <c r="T24" i="58"/>
  <c r="M24" i="58"/>
  <c r="S41" i="55"/>
  <c r="T41" i="55" s="1"/>
  <c r="S40" i="54"/>
  <c r="T40" i="54" s="1"/>
  <c r="S27" i="58"/>
  <c r="Z27" i="58"/>
  <c r="Y43" i="58"/>
  <c r="Z43" i="58" s="1"/>
  <c r="S21" i="59"/>
  <c r="Z21" i="59"/>
  <c r="Y20" i="59"/>
  <c r="T25" i="58"/>
  <c r="M25" i="58"/>
  <c r="Y34" i="58"/>
  <c r="Z34" i="58" s="1"/>
  <c r="T25" i="56"/>
  <c r="M25" i="56"/>
  <c r="W40" i="44"/>
  <c r="K40" i="44"/>
  <c r="Q40" i="44"/>
  <c r="AF20" i="58"/>
  <c r="Y41" i="57"/>
  <c r="Z41" i="57" s="1"/>
  <c r="Y41" i="54"/>
  <c r="Z41" i="54" s="1"/>
  <c r="S34" i="53"/>
  <c r="T34" i="53" s="1"/>
  <c r="Z34" i="53"/>
  <c r="M33" i="57"/>
  <c r="N33" i="57" s="1"/>
  <c r="Y40" i="57"/>
  <c r="Z40" i="57" s="1"/>
  <c r="S21" i="57"/>
  <c r="Z21" i="57"/>
  <c r="M25" i="57"/>
  <c r="T25" i="57"/>
  <c r="Z31" i="58"/>
  <c r="S31" i="58"/>
  <c r="M40" i="52"/>
  <c r="N40" i="52" s="1"/>
  <c r="Y25" i="58"/>
  <c r="W40" i="49"/>
  <c r="H40" i="49"/>
  <c r="K40" i="49"/>
  <c r="Q40" i="49"/>
  <c r="S41" i="53"/>
  <c r="T41" i="53" s="1"/>
  <c r="M41" i="54"/>
  <c r="N41" i="54" s="1"/>
  <c r="S34" i="54"/>
  <c r="T34" i="54" s="1"/>
  <c r="Z34" i="54"/>
  <c r="M34" i="53"/>
  <c r="N34" i="53" s="1"/>
  <c r="S40" i="56"/>
  <c r="T40" i="56" s="1"/>
  <c r="T27" i="57"/>
  <c r="M27" i="57"/>
  <c r="S31" i="59"/>
  <c r="Z31" i="59"/>
  <c r="S34" i="52"/>
  <c r="T34" i="52" s="1"/>
  <c r="M26" i="57"/>
  <c r="T26" i="57"/>
  <c r="M34" i="56"/>
  <c r="N34" i="56" s="1"/>
  <c r="S41" i="58"/>
  <c r="T41" i="58" s="1"/>
  <c r="T21" i="57"/>
  <c r="M21" i="57"/>
  <c r="N21" i="57" s="1"/>
  <c r="M27" i="58"/>
  <c r="T27" i="58"/>
  <c r="M40" i="58"/>
  <c r="N40" i="58" s="1"/>
  <c r="S25" i="57"/>
  <c r="Z25" i="57"/>
  <c r="Z26" i="58"/>
  <c r="S26" i="58"/>
  <c r="T21" i="56"/>
  <c r="M21" i="56"/>
  <c r="N21" i="56" s="1"/>
  <c r="Y41" i="43"/>
  <c r="Z41" i="43" s="1"/>
  <c r="M34" i="59"/>
  <c r="N34" i="59" s="1"/>
  <c r="Y40" i="53"/>
  <c r="Z40" i="53" s="1"/>
  <c r="M41" i="59"/>
  <c r="N41" i="59" s="1"/>
  <c r="M34" i="58"/>
  <c r="N34" i="58" s="1"/>
  <c r="S27" i="59"/>
  <c r="Z27" i="59"/>
  <c r="M25" i="59"/>
  <c r="T25" i="59"/>
  <c r="Z32" i="56"/>
  <c r="AB34" i="17"/>
  <c r="V34" i="17"/>
  <c r="P34" i="17"/>
  <c r="J34" i="17"/>
  <c r="AE43" i="59"/>
  <c r="AF43" i="59" s="1"/>
  <c r="M33" i="59"/>
  <c r="N33" i="59" s="1"/>
  <c r="Z32" i="58"/>
  <c r="AF32" i="59"/>
  <c r="Z24" i="57"/>
  <c r="S24" i="57"/>
  <c r="S34" i="55"/>
  <c r="T34" i="55" s="1"/>
  <c r="M43" i="58"/>
  <c r="N43" i="58" s="1"/>
  <c r="M26" i="56"/>
  <c r="T26" i="56"/>
  <c r="S43" i="56"/>
  <c r="T43" i="56" s="1"/>
  <c r="AE32" i="56"/>
  <c r="M33" i="56"/>
  <c r="N33" i="56" s="1"/>
  <c r="Z24" i="56"/>
  <c r="S24" i="56"/>
  <c r="Y34" i="56"/>
  <c r="Z34" i="56" s="1"/>
  <c r="Y40" i="55"/>
  <c r="Z40" i="55" s="1"/>
  <c r="T21" i="59"/>
  <c r="M21" i="59"/>
  <c r="N21" i="59" s="1"/>
  <c r="M43" i="57"/>
  <c r="N43" i="57" s="1"/>
  <c r="W41" i="44"/>
  <c r="Q41" i="44"/>
  <c r="K41" i="44"/>
  <c r="Q40" i="50"/>
  <c r="H40" i="50"/>
  <c r="K40" i="50"/>
  <c r="W40" i="50"/>
  <c r="AE41" i="56"/>
  <c r="AF41" i="56" s="1"/>
  <c r="T24" i="59"/>
  <c r="M24" i="59"/>
  <c r="Y31" i="57"/>
  <c r="S40" i="46"/>
  <c r="T40" i="46" s="1"/>
  <c r="Y34" i="59"/>
  <c r="Z34" i="59" s="1"/>
  <c r="W41" i="49"/>
  <c r="Q41" i="49"/>
  <c r="H41" i="49"/>
  <c r="K41" i="49"/>
  <c r="K41" i="50"/>
  <c r="W41" i="50"/>
  <c r="H41" i="50"/>
  <c r="Q41" i="50"/>
  <c r="Y24" i="57"/>
  <c r="S24" i="58"/>
  <c r="Z24" i="58"/>
  <c r="Y40" i="54"/>
  <c r="Z40" i="54" s="1"/>
  <c r="Y40" i="58"/>
  <c r="Z40" i="58" s="1"/>
  <c r="M41" i="52"/>
  <c r="N41" i="52" s="1"/>
  <c r="M26" i="58"/>
  <c r="T26" i="58"/>
  <c r="AF25" i="59"/>
  <c r="AE32" i="59"/>
  <c r="S45" i="58"/>
  <c r="T45" i="58" s="1"/>
  <c r="Q40" i="45"/>
  <c r="K40" i="45"/>
  <c r="M40" i="45" s="1"/>
  <c r="N40" i="45" s="1"/>
  <c r="W40" i="45"/>
  <c r="AE40" i="45" s="1"/>
  <c r="AF40" i="45" s="1"/>
  <c r="S48" i="53"/>
  <c r="T48" i="53" s="1"/>
  <c r="Y20" i="57"/>
  <c r="M41" i="56"/>
  <c r="N41" i="56" s="1"/>
  <c r="M26" i="59"/>
  <c r="T26" i="59"/>
  <c r="S33" i="57"/>
  <c r="T33" i="57" s="1"/>
  <c r="M40" i="57"/>
  <c r="N40" i="57" s="1"/>
  <c r="Z25" i="59"/>
  <c r="S25" i="59"/>
  <c r="K41" i="51"/>
  <c r="Q41" i="51"/>
  <c r="W41" i="51"/>
  <c r="H41" i="51"/>
  <c r="S27" i="57"/>
  <c r="Z27" i="57"/>
  <c r="Y41" i="45"/>
  <c r="Z41" i="45" s="1"/>
  <c r="M31" i="59"/>
  <c r="N31" i="59" s="1"/>
  <c r="T31" i="59"/>
  <c r="Z26" i="57"/>
  <c r="S26" i="57"/>
  <c r="M41" i="58"/>
  <c r="N41" i="58" s="1"/>
  <c r="Y21" i="57"/>
  <c r="Y33" i="59"/>
  <c r="Z33" i="59" s="1"/>
  <c r="H41" i="48"/>
  <c r="Q41" i="48"/>
  <c r="K41" i="48"/>
  <c r="W41" i="48"/>
  <c r="AE41" i="48" s="1"/>
  <c r="AF41" i="48" s="1"/>
  <c r="S26" i="56"/>
  <c r="Z26" i="56"/>
  <c r="S21" i="56"/>
  <c r="Z21" i="56"/>
  <c r="S41" i="43"/>
  <c r="T41" i="43" s="1"/>
  <c r="Y31" i="58"/>
  <c r="Z32" i="57"/>
  <c r="T27" i="56"/>
  <c r="M27" i="56"/>
  <c r="S40" i="53"/>
  <c r="T40" i="53" s="1"/>
  <c r="Z31" i="56"/>
  <c r="S31" i="56"/>
  <c r="Y41" i="59"/>
  <c r="Z41" i="59" s="1"/>
  <c r="Y40" i="43"/>
  <c r="Z40" i="43" s="1"/>
  <c r="W40" i="42"/>
  <c r="Q40" i="42"/>
  <c r="K40" i="42"/>
  <c r="W41" i="42"/>
  <c r="K41" i="42"/>
  <c r="Q41" i="42"/>
  <c r="Y20" i="56"/>
  <c r="Y20" i="58"/>
  <c r="S20" i="56"/>
  <c r="T20" i="56" s="1"/>
  <c r="Z20" i="56"/>
  <c r="M20" i="57"/>
  <c r="AF20" i="57"/>
  <c r="M20" i="56"/>
  <c r="N20" i="58"/>
  <c r="S20" i="57"/>
  <c r="T20" i="57" s="1"/>
  <c r="Z20" i="57"/>
  <c r="N20" i="56"/>
  <c r="S20" i="58"/>
  <c r="T20" i="58" s="1"/>
  <c r="Z20" i="58"/>
  <c r="M20" i="58"/>
  <c r="N20" i="57"/>
  <c r="AE46" i="58"/>
  <c r="AF46" i="58" s="1"/>
  <c r="M44" i="55"/>
  <c r="N44" i="55" s="1"/>
  <c r="M45" i="55"/>
  <c r="N45" i="55" s="1"/>
  <c r="AE48" i="53"/>
  <c r="AF48" i="53" s="1"/>
  <c r="AE45" i="53"/>
  <c r="AF45" i="53" s="1"/>
  <c r="M48" i="53"/>
  <c r="N48" i="53" s="1"/>
  <c r="AE45" i="52"/>
  <c r="AF45" i="52" s="1"/>
  <c r="AE47" i="52"/>
  <c r="AF47" i="52" s="1"/>
  <c r="M48" i="52"/>
  <c r="N48" i="52" s="1"/>
  <c r="M44" i="52"/>
  <c r="N44" i="52" s="1"/>
  <c r="AE31" i="59"/>
  <c r="AE34" i="59"/>
  <c r="AF34" i="59" s="1"/>
  <c r="AE40" i="59"/>
  <c r="AF40" i="59" s="1"/>
  <c r="AE41" i="57"/>
  <c r="AF41" i="57" s="1"/>
  <c r="AE34" i="58"/>
  <c r="AF34" i="58" s="1"/>
  <c r="AE34" i="56"/>
  <c r="AF34" i="56" s="1"/>
  <c r="Y43" i="59"/>
  <c r="Z43" i="59" s="1"/>
  <c r="M46" i="59"/>
  <c r="N46" i="59" s="1"/>
  <c r="AE45" i="59"/>
  <c r="AF45" i="59" s="1"/>
  <c r="M44" i="59"/>
  <c r="N44" i="59" s="1"/>
  <c r="M48" i="58"/>
  <c r="N48" i="58" s="1"/>
  <c r="AE48" i="57"/>
  <c r="AF48" i="57" s="1"/>
  <c r="AE46" i="57"/>
  <c r="AF46" i="57" s="1"/>
  <c r="AE21" i="57"/>
  <c r="M47" i="57"/>
  <c r="N47" i="57" s="1"/>
  <c r="M47" i="56"/>
  <c r="N47" i="56" s="1"/>
  <c r="AE46" i="56"/>
  <c r="AF46" i="56" s="1"/>
  <c r="S48" i="56"/>
  <c r="T48" i="56" s="1"/>
  <c r="Y46" i="55"/>
  <c r="Z46" i="55" s="1"/>
  <c r="S48" i="55"/>
  <c r="T48" i="55" s="1"/>
  <c r="N47" i="55"/>
  <c r="M46" i="55"/>
  <c r="N46" i="55" s="1"/>
  <c r="Y47" i="55"/>
  <c r="Z47" i="55" s="1"/>
  <c r="S45" i="55"/>
  <c r="T45" i="55" s="1"/>
  <c r="S44" i="55"/>
  <c r="T44" i="55" s="1"/>
  <c r="Y48" i="55"/>
  <c r="Z48" i="55" s="1"/>
  <c r="AE47" i="55"/>
  <c r="AF47" i="55" s="1"/>
  <c r="S46" i="55"/>
  <c r="T46" i="55" s="1"/>
  <c r="Y45" i="55"/>
  <c r="Z45" i="55" s="1"/>
  <c r="S47" i="55"/>
  <c r="T47" i="55" s="1"/>
  <c r="Y44" i="55"/>
  <c r="Z44" i="55" s="1"/>
  <c r="AE48" i="55"/>
  <c r="AF48" i="55" s="1"/>
  <c r="AE45" i="55"/>
  <c r="AF45" i="55" s="1"/>
  <c r="M48" i="55"/>
  <c r="N48" i="55" s="1"/>
  <c r="AE46" i="55"/>
  <c r="AF46" i="55" s="1"/>
  <c r="AE47" i="54"/>
  <c r="AE46" i="54"/>
  <c r="AF46" i="54" s="1"/>
  <c r="S45" i="54"/>
  <c r="T45" i="54" s="1"/>
  <c r="AE48" i="54"/>
  <c r="AF48" i="54" s="1"/>
  <c r="S47" i="54"/>
  <c r="T47" i="54" s="1"/>
  <c r="S46" i="54"/>
  <c r="T46" i="54" s="1"/>
  <c r="M47" i="54"/>
  <c r="N47" i="54" s="1"/>
  <c r="N44" i="54"/>
  <c r="AE45" i="54"/>
  <c r="AF45" i="54" s="1"/>
  <c r="Y46" i="54"/>
  <c r="Z46" i="54" s="1"/>
  <c r="Y47" i="54"/>
  <c r="Z47" i="54" s="1"/>
  <c r="AF47" i="54"/>
  <c r="S44" i="54"/>
  <c r="T44" i="54" s="1"/>
  <c r="Y48" i="54"/>
  <c r="Z48" i="54" s="1"/>
  <c r="S48" i="54"/>
  <c r="T48" i="54" s="1"/>
  <c r="M45" i="54"/>
  <c r="N45" i="54" s="1"/>
  <c r="AE44" i="54"/>
  <c r="Y44" i="54"/>
  <c r="Z44" i="54" s="1"/>
  <c r="AF44" i="54"/>
  <c r="M44" i="53"/>
  <c r="N44" i="53" s="1"/>
  <c r="S46" i="53"/>
  <c r="T46" i="53" s="1"/>
  <c r="Y44" i="53"/>
  <c r="Z44" i="53" s="1"/>
  <c r="S44" i="53"/>
  <c r="T44" i="53" s="1"/>
  <c r="AE46" i="53"/>
  <c r="AF46" i="53" s="1"/>
  <c r="AE44" i="53"/>
  <c r="AF44" i="53" s="1"/>
  <c r="AF47" i="53"/>
  <c r="Y47" i="53"/>
  <c r="Z47" i="53" s="1"/>
  <c r="M45" i="53"/>
  <c r="N45" i="53" s="1"/>
  <c r="S47" i="53"/>
  <c r="T47" i="53" s="1"/>
  <c r="Y45" i="53"/>
  <c r="Z45" i="53" s="1"/>
  <c r="M46" i="53"/>
  <c r="N46" i="53" s="1"/>
  <c r="M47" i="53"/>
  <c r="N47" i="53" s="1"/>
  <c r="Y46" i="53"/>
  <c r="Z46" i="53" s="1"/>
  <c r="S45" i="53"/>
  <c r="T45" i="53" s="1"/>
  <c r="M45" i="52"/>
  <c r="N45" i="52" s="1"/>
  <c r="S47" i="52"/>
  <c r="T47" i="52" s="1"/>
  <c r="Y46" i="52"/>
  <c r="AE48" i="52"/>
  <c r="AF48" i="52" s="1"/>
  <c r="Z46" i="52"/>
  <c r="S46" i="52"/>
  <c r="T46" i="52" s="1"/>
  <c r="Y48" i="52"/>
  <c r="Z48" i="52" s="1"/>
  <c r="M47" i="52"/>
  <c r="N47" i="52" s="1"/>
  <c r="M46" i="52"/>
  <c r="N46" i="52" s="1"/>
  <c r="Y44" i="52"/>
  <c r="Z44" i="52" s="1"/>
  <c r="AE46" i="52"/>
  <c r="AF46" i="52" s="1"/>
  <c r="AE44" i="52"/>
  <c r="AF44" i="52" s="1"/>
  <c r="S45" i="52"/>
  <c r="T45" i="52" s="1"/>
  <c r="S48" i="52"/>
  <c r="T48" i="52" s="1"/>
  <c r="Y47" i="52"/>
  <c r="Z47" i="52" s="1"/>
  <c r="Y45" i="52"/>
  <c r="Z45" i="52" s="1"/>
  <c r="S44" i="52"/>
  <c r="T44" i="52" s="1"/>
  <c r="M44" i="57"/>
  <c r="N44" i="57" s="1"/>
  <c r="AF32" i="57"/>
  <c r="AE48" i="58"/>
  <c r="AF48" i="58" s="1"/>
  <c r="M45" i="56"/>
  <c r="N45" i="56" s="1"/>
  <c r="S47" i="56"/>
  <c r="T47" i="56" s="1"/>
  <c r="M47" i="59"/>
  <c r="N47" i="59" s="1"/>
  <c r="AE47" i="57"/>
  <c r="AF47" i="57" s="1"/>
  <c r="AE45" i="56"/>
  <c r="AF45" i="56" s="1"/>
  <c r="AE48" i="59"/>
  <c r="AF48" i="59" s="1"/>
  <c r="AE44" i="58"/>
  <c r="AF44" i="58" s="1"/>
  <c r="M48" i="56"/>
  <c r="N48" i="56" s="1"/>
  <c r="S47" i="57"/>
  <c r="T47" i="57" s="1"/>
  <c r="M47" i="58"/>
  <c r="N47" i="58" s="1"/>
  <c r="M45" i="59"/>
  <c r="N45" i="59" s="1"/>
  <c r="S46" i="57"/>
  <c r="T46" i="57" s="1"/>
  <c r="Y45" i="58"/>
  <c r="Z45" i="58" s="1"/>
  <c r="M46" i="56"/>
  <c r="N46" i="56" s="1"/>
  <c r="Y48" i="58"/>
  <c r="Z48" i="58" s="1"/>
  <c r="S46" i="59"/>
  <c r="T46" i="59" s="1"/>
  <c r="Y45" i="56"/>
  <c r="Z45" i="56" s="1"/>
  <c r="Y45" i="59"/>
  <c r="Z45" i="59" s="1"/>
  <c r="AF47" i="59"/>
  <c r="Y47" i="59"/>
  <c r="Z47" i="59" s="1"/>
  <c r="S46" i="58"/>
  <c r="T46" i="58" s="1"/>
  <c r="AE44" i="57"/>
  <c r="AF44" i="57" s="1"/>
  <c r="M45" i="57"/>
  <c r="N45" i="57" s="1"/>
  <c r="S48" i="57"/>
  <c r="T48" i="57" s="1"/>
  <c r="S44" i="58"/>
  <c r="T44" i="58" s="1"/>
  <c r="S44" i="56"/>
  <c r="T44" i="56" s="1"/>
  <c r="S47" i="58"/>
  <c r="T47" i="58" s="1"/>
  <c r="S44" i="57"/>
  <c r="T44" i="57" s="1"/>
  <c r="S46" i="56"/>
  <c r="T46" i="56" s="1"/>
  <c r="Y44" i="59"/>
  <c r="Z44" i="59" s="1"/>
  <c r="AE45" i="58"/>
  <c r="AF45" i="58" s="1"/>
  <c r="Y47" i="56"/>
  <c r="Z47" i="56" s="1"/>
  <c r="S47" i="59"/>
  <c r="T47" i="59" s="1"/>
  <c r="Y44" i="57"/>
  <c r="Z44" i="57" s="1"/>
  <c r="Y48" i="56"/>
  <c r="Z48" i="56" s="1"/>
  <c r="S44" i="59"/>
  <c r="T44" i="59" s="1"/>
  <c r="S48" i="59"/>
  <c r="T48" i="59" s="1"/>
  <c r="M48" i="59"/>
  <c r="N48" i="59" s="1"/>
  <c r="AE45" i="57"/>
  <c r="AF45" i="57" s="1"/>
  <c r="AE48" i="56"/>
  <c r="AF48" i="56" s="1"/>
  <c r="Y46" i="56"/>
  <c r="Z46" i="56" s="1"/>
  <c r="M48" i="57"/>
  <c r="N48" i="57" s="1"/>
  <c r="S45" i="56"/>
  <c r="T45" i="56" s="1"/>
  <c r="AE44" i="59"/>
  <c r="AF44" i="59" s="1"/>
  <c r="M45" i="58"/>
  <c r="N45" i="58" s="1"/>
  <c r="AE47" i="56"/>
  <c r="AF47" i="56" s="1"/>
  <c r="AE47" i="58"/>
  <c r="AF47" i="58" s="1"/>
  <c r="Y46" i="57"/>
  <c r="Z46" i="57" s="1"/>
  <c r="M44" i="56"/>
  <c r="N44" i="56" s="1"/>
  <c r="M46" i="58"/>
  <c r="N46" i="58" s="1"/>
  <c r="S45" i="57"/>
  <c r="T45" i="57" s="1"/>
  <c r="S48" i="58"/>
  <c r="T48" i="58" s="1"/>
  <c r="Y46" i="59"/>
  <c r="Z46" i="59" s="1"/>
  <c r="S45" i="59"/>
  <c r="T45" i="59" s="1"/>
  <c r="M44" i="58"/>
  <c r="N44" i="58" s="1"/>
  <c r="Y47" i="58"/>
  <c r="Z47" i="58" s="1"/>
  <c r="M46" i="57"/>
  <c r="N46" i="57" s="1"/>
  <c r="Y44" i="56"/>
  <c r="Z44" i="56" s="1"/>
  <c r="Y48" i="59"/>
  <c r="Z48" i="59" s="1"/>
  <c r="Y45" i="57"/>
  <c r="Z45" i="57" s="1"/>
  <c r="AE46" i="59"/>
  <c r="AF46" i="59" s="1"/>
  <c r="Y48" i="57"/>
  <c r="Z48" i="57" s="1"/>
  <c r="Y47" i="57"/>
  <c r="Z47" i="57" s="1"/>
  <c r="Y44" i="58"/>
  <c r="Z44" i="58" s="1"/>
  <c r="AE44" i="56"/>
  <c r="AF44" i="56" s="1"/>
  <c r="Y46" i="58"/>
  <c r="Z46" i="58" s="1"/>
  <c r="AC40" i="48"/>
  <c r="AE21" i="59"/>
  <c r="AF21" i="59"/>
  <c r="AE21" i="58"/>
  <c r="AF21" i="58"/>
  <c r="AF21" i="57"/>
  <c r="AF21" i="56"/>
  <c r="AE21" i="56"/>
  <c r="AE40" i="55"/>
  <c r="AF40" i="55" s="1"/>
  <c r="AE20" i="57"/>
  <c r="AE26" i="57"/>
  <c r="AE25" i="56"/>
  <c r="AE26" i="59"/>
  <c r="AE27" i="56"/>
  <c r="AE41" i="60"/>
  <c r="AF41" i="60" s="1"/>
  <c r="AE41" i="58"/>
  <c r="AF41" i="58" s="1"/>
  <c r="AE30" i="57"/>
  <c r="AE31" i="58"/>
  <c r="AE29" i="59"/>
  <c r="AE40" i="43"/>
  <c r="AF40" i="43" s="1"/>
  <c r="AE41" i="46"/>
  <c r="AF41" i="46" s="1"/>
  <c r="AE30" i="58"/>
  <c r="AE34" i="55"/>
  <c r="AF34" i="55" s="1"/>
  <c r="AE40" i="60"/>
  <c r="AF40" i="60" s="1"/>
  <c r="AE20" i="59"/>
  <c r="AE33" i="59"/>
  <c r="AF33" i="59" s="1"/>
  <c r="AF27" i="59"/>
  <c r="AE27" i="59"/>
  <c r="AF20" i="59"/>
  <c r="AE24" i="59"/>
  <c r="AF30" i="59"/>
  <c r="AF24" i="59"/>
  <c r="AF26" i="59"/>
  <c r="AF29" i="59"/>
  <c r="AE30" i="59"/>
  <c r="AE33" i="58"/>
  <c r="AF33" i="58" s="1"/>
  <c r="AE25" i="58"/>
  <c r="AF32" i="58"/>
  <c r="AE32" i="58"/>
  <c r="AF27" i="58"/>
  <c r="AE29" i="58"/>
  <c r="AE27" i="58"/>
  <c r="AF31" i="58"/>
  <c r="AE40" i="58"/>
  <c r="AF40" i="58" s="1"/>
  <c r="AF30" i="58"/>
  <c r="AF29" i="58"/>
  <c r="AF24" i="58"/>
  <c r="AE24" i="58"/>
  <c r="AF25" i="58"/>
  <c r="AF27" i="57"/>
  <c r="AE33" i="57"/>
  <c r="AF33" i="57" s="1"/>
  <c r="AF26" i="57"/>
  <c r="AE27" i="57"/>
  <c r="AE40" i="57"/>
  <c r="AF40" i="57" s="1"/>
  <c r="AF30" i="57"/>
  <c r="AE31" i="56"/>
  <c r="AE24" i="56"/>
  <c r="AE33" i="56"/>
  <c r="AF33" i="56" s="1"/>
  <c r="AE29" i="56"/>
  <c r="AF31" i="56"/>
  <c r="AF20" i="56"/>
  <c r="AF30" i="56"/>
  <c r="AF27" i="56"/>
  <c r="AF25" i="56"/>
  <c r="AF29" i="56"/>
  <c r="AE20" i="56"/>
  <c r="AE40" i="56"/>
  <c r="AF40" i="56" s="1"/>
  <c r="AE30" i="56"/>
  <c r="AF24" i="56"/>
  <c r="AE34" i="54"/>
  <c r="AF34" i="54" s="1"/>
  <c r="AE41" i="54"/>
  <c r="AF41" i="54" s="1"/>
  <c r="Y43" i="54"/>
  <c r="Z43" i="54" s="1"/>
  <c r="M43" i="54"/>
  <c r="N43" i="54" s="1"/>
  <c r="S43" i="54"/>
  <c r="T43" i="54" s="1"/>
  <c r="AE43" i="54"/>
  <c r="AF43" i="54" s="1"/>
  <c r="AE40" i="54"/>
  <c r="AF40" i="54" s="1"/>
  <c r="AE34" i="53"/>
  <c r="AF34" i="53" s="1"/>
  <c r="AE40" i="53"/>
  <c r="AF40" i="53" s="1"/>
  <c r="AE34" i="52"/>
  <c r="AF34" i="52" s="1"/>
  <c r="M43" i="52"/>
  <c r="N43" i="52" s="1"/>
  <c r="Y43" i="52"/>
  <c r="Z43" i="52" s="1"/>
  <c r="S43" i="52"/>
  <c r="T43" i="52" s="1"/>
  <c r="AE43" i="52"/>
  <c r="AF43" i="52" s="1"/>
  <c r="AC40" i="50"/>
  <c r="AC41" i="50"/>
  <c r="AC41" i="49"/>
  <c r="AC40" i="49"/>
  <c r="AC40" i="47"/>
  <c r="W40" i="47"/>
  <c r="H40" i="47"/>
  <c r="Q40" i="47"/>
  <c r="K40" i="47"/>
  <c r="AC41" i="47"/>
  <c r="Q41" i="47"/>
  <c r="H41" i="47"/>
  <c r="K41" i="47"/>
  <c r="W41" i="47"/>
  <c r="AE40" i="46"/>
  <c r="AF40" i="46" s="1"/>
  <c r="AE41" i="45"/>
  <c r="AF41" i="45" s="1"/>
  <c r="AC41" i="44"/>
  <c r="H41" i="44"/>
  <c r="AC40" i="44"/>
  <c r="H40" i="44"/>
  <c r="AC40" i="42"/>
  <c r="H40" i="42"/>
  <c r="AC41" i="42"/>
  <c r="H41" i="42"/>
  <c r="F46" i="17"/>
  <c r="F45" i="17"/>
  <c r="F44" i="17"/>
  <c r="F46" i="16"/>
  <c r="F45" i="16"/>
  <c r="F44" i="16"/>
  <c r="G8" i="13"/>
  <c r="Y40" i="51" l="1"/>
  <c r="Z40" i="51" s="1"/>
  <c r="Y40" i="50"/>
  <c r="Z40" i="50" s="1"/>
  <c r="M41" i="51"/>
  <c r="N41" i="51" s="1"/>
  <c r="Y41" i="51"/>
  <c r="Z41" i="51" s="1"/>
  <c r="S41" i="49"/>
  <c r="T41" i="49" s="1"/>
  <c r="S40" i="49"/>
  <c r="T40" i="49" s="1"/>
  <c r="S40" i="44"/>
  <c r="T40" i="44" s="1"/>
  <c r="M40" i="44"/>
  <c r="N40" i="44" s="1"/>
  <c r="S41" i="50"/>
  <c r="T41" i="50" s="1"/>
  <c r="Y40" i="45"/>
  <c r="Z40" i="45" s="1"/>
  <c r="S40" i="48"/>
  <c r="T40" i="48" s="1"/>
  <c r="S40" i="51"/>
  <c r="T40" i="51" s="1"/>
  <c r="M41" i="48"/>
  <c r="N41" i="48" s="1"/>
  <c r="S41" i="51"/>
  <c r="T41" i="51" s="1"/>
  <c r="Y40" i="48"/>
  <c r="Z40" i="48" s="1"/>
  <c r="M40" i="49"/>
  <c r="N40" i="49" s="1"/>
  <c r="S40" i="45"/>
  <c r="T40" i="45" s="1"/>
  <c r="M40" i="48"/>
  <c r="N40" i="48" s="1"/>
  <c r="S41" i="48"/>
  <c r="T41" i="48" s="1"/>
  <c r="S41" i="44"/>
  <c r="T41" i="44" s="1"/>
  <c r="Y41" i="49"/>
  <c r="Z41" i="49" s="1"/>
  <c r="Y41" i="44"/>
  <c r="Z41" i="44" s="1"/>
  <c r="AE40" i="48"/>
  <c r="AF40" i="48" s="1"/>
  <c r="Y41" i="50"/>
  <c r="Z41" i="50" s="1"/>
  <c r="M40" i="50"/>
  <c r="N40" i="50" s="1"/>
  <c r="M40" i="51"/>
  <c r="N40" i="51" s="1"/>
  <c r="F45" i="13"/>
  <c r="F41" i="13"/>
  <c r="F40" i="13"/>
  <c r="F34" i="13"/>
  <c r="F46" i="13"/>
  <c r="M41" i="44"/>
  <c r="N41" i="44" s="1"/>
  <c r="M41" i="50"/>
  <c r="N41" i="50" s="1"/>
  <c r="Y40" i="49"/>
  <c r="Z40" i="49" s="1"/>
  <c r="Y40" i="44"/>
  <c r="Z40" i="44" s="1"/>
  <c r="AE40" i="51"/>
  <c r="AF40" i="51" s="1"/>
  <c r="AE41" i="51"/>
  <c r="AF41" i="51" s="1"/>
  <c r="Y41" i="48"/>
  <c r="Z41" i="48" s="1"/>
  <c r="M41" i="49"/>
  <c r="N41" i="49" s="1"/>
  <c r="S40" i="50"/>
  <c r="T40" i="50" s="1"/>
  <c r="S41" i="42"/>
  <c r="T41" i="42" s="1"/>
  <c r="Y41" i="42"/>
  <c r="Z41" i="42" s="1"/>
  <c r="S40" i="42"/>
  <c r="T40" i="42" s="1"/>
  <c r="M41" i="42"/>
  <c r="N41" i="42" s="1"/>
  <c r="M40" i="42"/>
  <c r="N40" i="42" s="1"/>
  <c r="Y40" i="42"/>
  <c r="Z40" i="42" s="1"/>
  <c r="F44" i="13"/>
  <c r="AE41" i="49"/>
  <c r="AF41" i="49" s="1"/>
  <c r="AE41" i="42"/>
  <c r="AF41" i="42" s="1"/>
  <c r="AE40" i="50"/>
  <c r="AF40" i="50" s="1"/>
  <c r="AE41" i="50"/>
  <c r="AF41" i="50" s="1"/>
  <c r="AE40" i="49"/>
  <c r="AF40" i="49" s="1"/>
  <c r="AE41" i="47"/>
  <c r="AF41" i="47" s="1"/>
  <c r="S40" i="47"/>
  <c r="T40" i="47" s="1"/>
  <c r="AE40" i="47"/>
  <c r="AF40" i="47" s="1"/>
  <c r="M41" i="47"/>
  <c r="N41" i="47" s="1"/>
  <c r="S41" i="47"/>
  <c r="T41" i="47" s="1"/>
  <c r="M40" i="47"/>
  <c r="N40" i="47" s="1"/>
  <c r="Y40" i="47"/>
  <c r="Z40" i="47" s="1"/>
  <c r="Y41" i="47"/>
  <c r="Z41" i="47" s="1"/>
  <c r="AE40" i="44"/>
  <c r="AF40" i="44" s="1"/>
  <c r="AE41" i="44"/>
  <c r="AF41" i="44" s="1"/>
  <c r="AE40" i="42"/>
  <c r="AF40" i="42" s="1"/>
  <c r="F48" i="13"/>
  <c r="G34" i="13" s="1"/>
  <c r="F47" i="13"/>
  <c r="AE55" i="37" l="1"/>
  <c r="Y55" i="37"/>
  <c r="S55" i="37"/>
  <c r="M55" i="37"/>
  <c r="AE49" i="37"/>
  <c r="Y49" i="37"/>
  <c r="S49" i="37"/>
  <c r="M49" i="37"/>
  <c r="AC42" i="37"/>
  <c r="AC35" i="37"/>
  <c r="AC18" i="37"/>
  <c r="W18" i="37"/>
  <c r="AF18" i="37" s="1"/>
  <c r="Q18" i="37"/>
  <c r="K18" i="37"/>
  <c r="T18" i="37" s="1"/>
  <c r="H18" i="37"/>
  <c r="AC17" i="37"/>
  <c r="W17" i="37"/>
  <c r="AF17" i="37" s="1"/>
  <c r="Q17" i="37"/>
  <c r="K17" i="37"/>
  <c r="T17" i="37" s="1"/>
  <c r="H17" i="37"/>
  <c r="AC16" i="37"/>
  <c r="W16" i="37"/>
  <c r="AF16" i="37" s="1"/>
  <c r="Q16" i="37"/>
  <c r="Z16" i="37" s="1"/>
  <c r="K16" i="37"/>
  <c r="T16" i="37" s="1"/>
  <c r="H16" i="37"/>
  <c r="AC13" i="37"/>
  <c r="W13" i="37"/>
  <c r="AF13" i="37" s="1"/>
  <c r="Q13" i="37"/>
  <c r="K13" i="37"/>
  <c r="H13" i="37"/>
  <c r="N13" i="37" s="1"/>
  <c r="AB34" i="13"/>
  <c r="V34" i="13"/>
  <c r="P34" i="13"/>
  <c r="J34" i="13"/>
  <c r="F34" i="37" l="1"/>
  <c r="F41" i="37"/>
  <c r="F40" i="37"/>
  <c r="AC40" i="37" s="1"/>
  <c r="F32" i="14"/>
  <c r="F37" i="14"/>
  <c r="F38" i="14" s="1"/>
  <c r="F34" i="14"/>
  <c r="F40" i="14"/>
  <c r="F41" i="14"/>
  <c r="F31" i="37"/>
  <c r="F32" i="37"/>
  <c r="F37" i="37"/>
  <c r="M13" i="37"/>
  <c r="M18" i="37"/>
  <c r="F47" i="14"/>
  <c r="F46" i="14"/>
  <c r="F48" i="14"/>
  <c r="G34" i="14" s="1"/>
  <c r="F44" i="14"/>
  <c r="F45" i="14"/>
  <c r="F46" i="37"/>
  <c r="F45" i="37"/>
  <c r="F48" i="37"/>
  <c r="G34" i="37" s="1"/>
  <c r="F47" i="37"/>
  <c r="F44" i="37"/>
  <c r="T13" i="37"/>
  <c r="AE13" i="37"/>
  <c r="S18" i="37"/>
  <c r="F30" i="14"/>
  <c r="F31" i="14"/>
  <c r="F24" i="37"/>
  <c r="F30" i="37"/>
  <c r="AE16" i="37"/>
  <c r="AE17" i="37"/>
  <c r="AE18" i="37"/>
  <c r="M16" i="37"/>
  <c r="AE42" i="37"/>
  <c r="AF42" i="37" s="1"/>
  <c r="F33" i="37"/>
  <c r="F26" i="37"/>
  <c r="Q26" i="37" s="1"/>
  <c r="Z26" i="37" s="1"/>
  <c r="F29" i="37"/>
  <c r="F25" i="37"/>
  <c r="Q25" i="37" s="1"/>
  <c r="Z25" i="37" s="1"/>
  <c r="F21" i="37"/>
  <c r="W21" i="37" s="1"/>
  <c r="AF21" i="37" s="1"/>
  <c r="F20" i="37"/>
  <c r="F27" i="37"/>
  <c r="Q27" i="37" s="1"/>
  <c r="F43" i="37"/>
  <c r="K43" i="37" s="1"/>
  <c r="F19" i="37"/>
  <c r="S16" i="37"/>
  <c r="N16" i="37"/>
  <c r="S13" i="37"/>
  <c r="Z13" i="37"/>
  <c r="N17" i="37"/>
  <c r="Y13" i="37"/>
  <c r="Z17" i="37"/>
  <c r="Y17" i="37"/>
  <c r="Y16" i="37"/>
  <c r="S17" i="37"/>
  <c r="M17" i="37"/>
  <c r="N18" i="37"/>
  <c r="Z18" i="37"/>
  <c r="Y18" i="37"/>
  <c r="AE35" i="37"/>
  <c r="W29" i="37" l="1"/>
  <c r="W24" i="37"/>
  <c r="Q24" i="37"/>
  <c r="H24" i="37"/>
  <c r="N24" i="37" s="1"/>
  <c r="K24" i="37"/>
  <c r="AC33" i="37"/>
  <c r="K33" i="37"/>
  <c r="W33" i="37"/>
  <c r="H33" i="37"/>
  <c r="Q33" i="37"/>
  <c r="F38" i="37"/>
  <c r="H40" i="37"/>
  <c r="Q40" i="37"/>
  <c r="W40" i="37"/>
  <c r="K40" i="37"/>
  <c r="W32" i="37"/>
  <c r="Q32" i="37"/>
  <c r="K41" i="37"/>
  <c r="W41" i="37"/>
  <c r="Q41" i="37"/>
  <c r="H41" i="37"/>
  <c r="W30" i="37"/>
  <c r="AB34" i="37"/>
  <c r="AC34" i="37" s="1"/>
  <c r="V34" i="37"/>
  <c r="W34" i="37" s="1"/>
  <c r="P34" i="37"/>
  <c r="Q34" i="37" s="1"/>
  <c r="J34" i="37"/>
  <c r="K34" i="37" s="1"/>
  <c r="H34" i="37"/>
  <c r="K31" i="37"/>
  <c r="H31" i="37"/>
  <c r="W31" i="37"/>
  <c r="Q31" i="37"/>
  <c r="AC24" i="37"/>
  <c r="Q47" i="37"/>
  <c r="K47" i="37"/>
  <c r="H47" i="37"/>
  <c r="W47" i="37"/>
  <c r="AC47" i="37"/>
  <c r="AC44" i="14"/>
  <c r="W44" i="14"/>
  <c r="K44" i="14"/>
  <c r="H44" i="14"/>
  <c r="Q44" i="14"/>
  <c r="Q48" i="37"/>
  <c r="K48" i="37"/>
  <c r="H48" i="37"/>
  <c r="W48" i="37"/>
  <c r="AC48" i="37"/>
  <c r="K48" i="14"/>
  <c r="AC48" i="14"/>
  <c r="Q48" i="14"/>
  <c r="W48" i="14"/>
  <c r="Y48" i="14" s="1"/>
  <c r="H48" i="14"/>
  <c r="Q45" i="14"/>
  <c r="H45" i="14"/>
  <c r="AC45" i="14"/>
  <c r="W45" i="14"/>
  <c r="K45" i="14"/>
  <c r="W45" i="37"/>
  <c r="K45" i="37"/>
  <c r="H45" i="37"/>
  <c r="AC45" i="37"/>
  <c r="Q45" i="37"/>
  <c r="H46" i="14"/>
  <c r="K46" i="14"/>
  <c r="Q46" i="14"/>
  <c r="W46" i="14"/>
  <c r="AC46" i="14"/>
  <c r="Q44" i="37"/>
  <c r="K44" i="37"/>
  <c r="H44" i="37"/>
  <c r="AC44" i="37"/>
  <c r="W44" i="37"/>
  <c r="Q46" i="37"/>
  <c r="W46" i="37"/>
  <c r="K46" i="37"/>
  <c r="H46" i="37"/>
  <c r="AC46" i="37"/>
  <c r="AC47" i="14"/>
  <c r="H47" i="14"/>
  <c r="K47" i="14"/>
  <c r="W47" i="14"/>
  <c r="Q47" i="14"/>
  <c r="AC29" i="37"/>
  <c r="AC43" i="37"/>
  <c r="V34" i="14"/>
  <c r="P34" i="14"/>
  <c r="AB34" i="14"/>
  <c r="J34" i="14"/>
  <c r="Q43" i="37"/>
  <c r="S43" i="37" s="1"/>
  <c r="T43" i="37" s="1"/>
  <c r="AC31" i="37"/>
  <c r="AC30" i="37"/>
  <c r="H27" i="37"/>
  <c r="N27" i="37" s="1"/>
  <c r="AC31" i="14"/>
  <c r="K31" i="14"/>
  <c r="W31" i="14"/>
  <c r="H31" i="14"/>
  <c r="Q31" i="14"/>
  <c r="AC30" i="14"/>
  <c r="W30" i="14"/>
  <c r="H30" i="14"/>
  <c r="W25" i="37"/>
  <c r="Y25" i="37" s="1"/>
  <c r="K26" i="37"/>
  <c r="T26" i="37" s="1"/>
  <c r="H43" i="37"/>
  <c r="M43" i="37" s="1"/>
  <c r="H25" i="37"/>
  <c r="N25" i="37" s="1"/>
  <c r="K25" i="37"/>
  <c r="S25" i="37" s="1"/>
  <c r="W43" i="37"/>
  <c r="AC25" i="37"/>
  <c r="W26" i="37"/>
  <c r="H26" i="37"/>
  <c r="AC26" i="37"/>
  <c r="K21" i="37"/>
  <c r="Q21" i="37"/>
  <c r="Y21" i="37" s="1"/>
  <c r="H21" i="37"/>
  <c r="AC21" i="37"/>
  <c r="AE21" i="37" s="1"/>
  <c r="AC20" i="37"/>
  <c r="H20" i="37"/>
  <c r="W20" i="37"/>
  <c r="Q20" i="37"/>
  <c r="K20" i="37"/>
  <c r="AC41" i="37"/>
  <c r="K27" i="37"/>
  <c r="S27" i="37" s="1"/>
  <c r="AC27" i="37"/>
  <c r="W27" i="37"/>
  <c r="AF27" i="37" s="1"/>
  <c r="AC32" i="37"/>
  <c r="Z27" i="37"/>
  <c r="N43" i="37" l="1"/>
  <c r="AE43" i="37"/>
  <c r="AF43" i="37" s="1"/>
  <c r="AE29" i="37"/>
  <c r="Y46" i="37"/>
  <c r="Z46" i="37" s="1"/>
  <c r="Y34" i="37"/>
  <c r="Z34" i="37" s="1"/>
  <c r="M46" i="14"/>
  <c r="N46" i="14" s="1"/>
  <c r="M45" i="14"/>
  <c r="N45" i="14" s="1"/>
  <c r="M40" i="37"/>
  <c r="N40" i="37" s="1"/>
  <c r="Y40" i="37"/>
  <c r="Z40" i="37" s="1"/>
  <c r="AE40" i="37"/>
  <c r="AF40" i="37" s="1"/>
  <c r="Y31" i="37"/>
  <c r="Y33" i="37"/>
  <c r="Z33" i="37" s="1"/>
  <c r="M33" i="37"/>
  <c r="N33" i="37" s="1"/>
  <c r="M24" i="37"/>
  <c r="T24" i="37"/>
  <c r="Z24" i="37"/>
  <c r="S24" i="37"/>
  <c r="M34" i="37"/>
  <c r="N34" i="37" s="1"/>
  <c r="S41" i="37"/>
  <c r="T41" i="37" s="1"/>
  <c r="S33" i="37"/>
  <c r="T33" i="37" s="1"/>
  <c r="Y24" i="37"/>
  <c r="AE33" i="37"/>
  <c r="AF33" i="37" s="1"/>
  <c r="Z31" i="37"/>
  <c r="S31" i="37"/>
  <c r="S34" i="37"/>
  <c r="T34" i="37" s="1"/>
  <c r="Y41" i="37"/>
  <c r="Z41" i="37" s="1"/>
  <c r="S40" i="37"/>
  <c r="T40" i="37" s="1"/>
  <c r="M41" i="37"/>
  <c r="N41" i="37" s="1"/>
  <c r="Z32" i="37"/>
  <c r="M31" i="37"/>
  <c r="N31" i="37" s="1"/>
  <c r="T31" i="37"/>
  <c r="Y32" i="37"/>
  <c r="AF29" i="37"/>
  <c r="AF24" i="37"/>
  <c r="AE48" i="37"/>
  <c r="AF48" i="37" s="1"/>
  <c r="S48" i="37"/>
  <c r="T48" i="37" s="1"/>
  <c r="S44" i="14"/>
  <c r="T44" i="14" s="1"/>
  <c r="AE24" i="37"/>
  <c r="T25" i="37"/>
  <c r="AE46" i="37"/>
  <c r="AF46" i="37" s="1"/>
  <c r="AE46" i="14"/>
  <c r="AF46" i="14" s="1"/>
  <c r="S47" i="14"/>
  <c r="T47" i="14" s="1"/>
  <c r="AE44" i="14"/>
  <c r="AF44" i="14" s="1"/>
  <c r="AE47" i="37"/>
  <c r="AF47" i="37" s="1"/>
  <c r="AE47" i="14"/>
  <c r="AF47" i="14" s="1"/>
  <c r="Y44" i="37"/>
  <c r="Z44" i="37" s="1"/>
  <c r="S46" i="14"/>
  <c r="T46" i="14" s="1"/>
  <c r="Y45" i="37"/>
  <c r="Z45" i="37" s="1"/>
  <c r="AE44" i="37"/>
  <c r="AF44" i="37" s="1"/>
  <c r="M48" i="37"/>
  <c r="N48" i="37" s="1"/>
  <c r="Z48" i="14"/>
  <c r="S48" i="14"/>
  <c r="T48" i="14" s="1"/>
  <c r="M46" i="37"/>
  <c r="N46" i="37" s="1"/>
  <c r="M44" i="37"/>
  <c r="N44" i="37" s="1"/>
  <c r="S45" i="37"/>
  <c r="T45" i="37" s="1"/>
  <c r="Y45" i="14"/>
  <c r="Z45" i="14" s="1"/>
  <c r="AE48" i="14"/>
  <c r="AF48" i="14" s="1"/>
  <c r="Y47" i="37"/>
  <c r="Z47" i="37" s="1"/>
  <c r="Y43" i="37"/>
  <c r="Z43" i="37" s="1"/>
  <c r="Y47" i="14"/>
  <c r="Z47" i="14" s="1"/>
  <c r="S44" i="37"/>
  <c r="T44" i="37" s="1"/>
  <c r="AE45" i="37"/>
  <c r="AF45" i="37" s="1"/>
  <c r="AE45" i="14"/>
  <c r="AF45" i="14" s="1"/>
  <c r="M48" i="14"/>
  <c r="N48" i="14" s="1"/>
  <c r="M47" i="14"/>
  <c r="N47" i="14" s="1"/>
  <c r="M44" i="14"/>
  <c r="N44" i="14" s="1"/>
  <c r="S47" i="37"/>
  <c r="T47" i="37" s="1"/>
  <c r="M47" i="37"/>
  <c r="N47" i="37" s="1"/>
  <c r="S46" i="37"/>
  <c r="T46" i="37" s="1"/>
  <c r="Y46" i="14"/>
  <c r="Z46" i="14" s="1"/>
  <c r="M45" i="37"/>
  <c r="N45" i="37" s="1"/>
  <c r="S45" i="14"/>
  <c r="T45" i="14" s="1"/>
  <c r="Y48" i="37"/>
  <c r="Z48" i="37" s="1"/>
  <c r="Y44" i="14"/>
  <c r="Z44" i="14" s="1"/>
  <c r="Z21" i="37"/>
  <c r="M25" i="37"/>
  <c r="S26" i="37"/>
  <c r="AE31" i="37"/>
  <c r="AE30" i="14"/>
  <c r="Z31" i="14"/>
  <c r="S31" i="14"/>
  <c r="AF31" i="14"/>
  <c r="Y31" i="14"/>
  <c r="AF31" i="37"/>
  <c r="AF30" i="14"/>
  <c r="T31" i="14"/>
  <c r="M31" i="14"/>
  <c r="N31" i="14" s="1"/>
  <c r="AF30" i="37"/>
  <c r="M21" i="37"/>
  <c r="N21" i="37" s="1"/>
  <c r="AE31" i="14"/>
  <c r="AE30" i="37"/>
  <c r="AE20" i="37"/>
  <c r="AE32" i="37"/>
  <c r="AF32" i="37"/>
  <c r="AE25" i="37"/>
  <c r="AF25" i="37"/>
  <c r="AE26" i="37"/>
  <c r="AE41" i="37"/>
  <c r="AF41" i="37" s="1"/>
  <c r="AF26" i="37"/>
  <c r="Y26" i="37"/>
  <c r="S21" i="37"/>
  <c r="T21" i="37"/>
  <c r="M26" i="37"/>
  <c r="N26" i="37"/>
  <c r="AE34" i="37"/>
  <c r="AF34" i="37" s="1"/>
  <c r="Y27" i="37"/>
  <c r="AF20" i="37"/>
  <c r="Y20" i="37"/>
  <c r="AE27" i="37"/>
  <c r="T20" i="37"/>
  <c r="M20" i="37"/>
  <c r="T27" i="37"/>
  <c r="M27" i="37"/>
  <c r="Z20" i="37"/>
  <c r="S20" i="37"/>
  <c r="N20" i="37"/>
  <c r="F42" i="17" l="1"/>
  <c r="F18" i="17"/>
  <c r="F17" i="17"/>
  <c r="F16" i="17"/>
  <c r="F15" i="17"/>
  <c r="F13" i="17"/>
  <c r="F12" i="17"/>
  <c r="F42" i="16"/>
  <c r="F35" i="16"/>
  <c r="F18" i="16"/>
  <c r="F17" i="16"/>
  <c r="F16" i="16"/>
  <c r="F15" i="16"/>
  <c r="F13" i="16"/>
  <c r="F12" i="16"/>
  <c r="AC42" i="17" l="1"/>
  <c r="AC15" i="17"/>
  <c r="W42" i="17"/>
  <c r="W15" i="17"/>
  <c r="Q42" i="17"/>
  <c r="K15" i="17"/>
  <c r="H15" i="17"/>
  <c r="Q15" i="17"/>
  <c r="AE55" i="17"/>
  <c r="Y55" i="17"/>
  <c r="S55" i="17"/>
  <c r="M55" i="17"/>
  <c r="AE49" i="17"/>
  <c r="Y49" i="17"/>
  <c r="S49" i="17"/>
  <c r="M49" i="17"/>
  <c r="W48" i="17"/>
  <c r="Q48" i="17"/>
  <c r="Q47" i="17"/>
  <c r="H46" i="17"/>
  <c r="K44" i="17"/>
  <c r="W44" i="17"/>
  <c r="F43" i="17"/>
  <c r="Q43" i="17" s="1"/>
  <c r="W40" i="17"/>
  <c r="AC35" i="17"/>
  <c r="W35" i="17"/>
  <c r="Q35" i="17"/>
  <c r="K35" i="17"/>
  <c r="H35" i="17"/>
  <c r="Q34" i="17"/>
  <c r="F33" i="17"/>
  <c r="Q32" i="17"/>
  <c r="F29" i="17"/>
  <c r="F27" i="17"/>
  <c r="F26" i="17"/>
  <c r="Q26" i="17" s="1"/>
  <c r="F25" i="17"/>
  <c r="W25" i="17" s="1"/>
  <c r="F24" i="17"/>
  <c r="F21" i="17"/>
  <c r="AC21" i="17" s="1"/>
  <c r="F20" i="17"/>
  <c r="F19" i="17"/>
  <c r="AC18" i="17"/>
  <c r="W18" i="17"/>
  <c r="AF18" i="17" s="1"/>
  <c r="Q18" i="17"/>
  <c r="K18" i="17"/>
  <c r="T18" i="17" s="1"/>
  <c r="H18" i="17"/>
  <c r="N18" i="17" s="1"/>
  <c r="AC17" i="17"/>
  <c r="W17" i="17"/>
  <c r="AF17" i="17" s="1"/>
  <c r="Q17" i="17"/>
  <c r="K17" i="17"/>
  <c r="T17" i="17" s="1"/>
  <c r="H17" i="17"/>
  <c r="N17" i="17" s="1"/>
  <c r="AC16" i="17"/>
  <c r="W16" i="17"/>
  <c r="AF16" i="17" s="1"/>
  <c r="Q16" i="17"/>
  <c r="K16" i="17"/>
  <c r="T16" i="17" s="1"/>
  <c r="H16" i="17"/>
  <c r="N16" i="17" s="1"/>
  <c r="AC13" i="17"/>
  <c r="W13" i="17"/>
  <c r="AF13" i="17" s="1"/>
  <c r="Q13" i="17"/>
  <c r="Z13" i="17" s="1"/>
  <c r="K13" i="17"/>
  <c r="H13" i="17"/>
  <c r="AC42" i="16"/>
  <c r="AC15" i="16"/>
  <c r="W42" i="16"/>
  <c r="W15" i="16"/>
  <c r="Q42" i="16"/>
  <c r="Q15" i="16"/>
  <c r="K42" i="16"/>
  <c r="H42" i="16"/>
  <c r="H15" i="16"/>
  <c r="AE55" i="16"/>
  <c r="Y55" i="16"/>
  <c r="S55" i="16"/>
  <c r="M55" i="16"/>
  <c r="AE49" i="16"/>
  <c r="Y49" i="16"/>
  <c r="S49" i="16"/>
  <c r="M49" i="16"/>
  <c r="K47" i="16"/>
  <c r="W46" i="16"/>
  <c r="H44" i="16"/>
  <c r="F43" i="16"/>
  <c r="AC43" i="16" s="1"/>
  <c r="AC35" i="16"/>
  <c r="W35" i="16"/>
  <c r="Q35" i="16"/>
  <c r="K35" i="16"/>
  <c r="H35" i="16"/>
  <c r="F33" i="16"/>
  <c r="F29" i="16"/>
  <c r="F27" i="16"/>
  <c r="K27" i="16" s="1"/>
  <c r="T27" i="16" s="1"/>
  <c r="F26" i="16"/>
  <c r="Q26" i="16" s="1"/>
  <c r="Z26" i="16" s="1"/>
  <c r="F25" i="16"/>
  <c r="F24" i="16"/>
  <c r="F21" i="16"/>
  <c r="F20" i="16"/>
  <c r="F19" i="16"/>
  <c r="AC18" i="16"/>
  <c r="W18" i="16"/>
  <c r="Q18" i="16"/>
  <c r="Z18" i="16" s="1"/>
  <c r="K18" i="16"/>
  <c r="T18" i="16" s="1"/>
  <c r="H18" i="16"/>
  <c r="AC17" i="16"/>
  <c r="W17" i="16"/>
  <c r="AF17" i="16" s="1"/>
  <c r="Q17" i="16"/>
  <c r="Z17" i="16" s="1"/>
  <c r="K17" i="16"/>
  <c r="T17" i="16" s="1"/>
  <c r="H17" i="16"/>
  <c r="N17" i="16" s="1"/>
  <c r="AC16" i="16"/>
  <c r="W16" i="16"/>
  <c r="AF16" i="16" s="1"/>
  <c r="Q16" i="16"/>
  <c r="K16" i="16"/>
  <c r="T16" i="16" s="1"/>
  <c r="H16" i="16"/>
  <c r="N16" i="16" s="1"/>
  <c r="K15" i="16"/>
  <c r="AC13" i="16"/>
  <c r="W13" i="16"/>
  <c r="AF13" i="16" s="1"/>
  <c r="Q13" i="16"/>
  <c r="Z13" i="16" s="1"/>
  <c r="K13" i="16"/>
  <c r="T13" i="16" s="1"/>
  <c r="H13" i="16"/>
  <c r="AC42" i="15"/>
  <c r="AC15" i="15"/>
  <c r="W15" i="15"/>
  <c r="Q42" i="15"/>
  <c r="Q15" i="15"/>
  <c r="K42" i="15"/>
  <c r="H42" i="15"/>
  <c r="H15" i="15"/>
  <c r="K15" i="15"/>
  <c r="AE55" i="15"/>
  <c r="Y55" i="15"/>
  <c r="S55" i="15"/>
  <c r="M55" i="15"/>
  <c r="AE49" i="15"/>
  <c r="Y49" i="15"/>
  <c r="S49" i="15"/>
  <c r="M49" i="15"/>
  <c r="F43" i="15"/>
  <c r="W42" i="15"/>
  <c r="F38" i="15"/>
  <c r="F41" i="15" s="1"/>
  <c r="AC35" i="15"/>
  <c r="W35" i="15"/>
  <c r="Q35" i="15"/>
  <c r="K35" i="15"/>
  <c r="H35" i="15"/>
  <c r="F33" i="15"/>
  <c r="W32" i="15"/>
  <c r="AF32" i="15" s="1"/>
  <c r="F29" i="15"/>
  <c r="F27" i="15"/>
  <c r="F26" i="15"/>
  <c r="H26" i="15" s="1"/>
  <c r="F25" i="15"/>
  <c r="W25" i="15" s="1"/>
  <c r="AF25" i="15" s="1"/>
  <c r="F24" i="15"/>
  <c r="F21" i="15"/>
  <c r="Q21" i="15" s="1"/>
  <c r="Z21" i="15" s="1"/>
  <c r="F20" i="15"/>
  <c r="F19" i="15"/>
  <c r="AC18" i="15"/>
  <c r="W18" i="15"/>
  <c r="AF18" i="15" s="1"/>
  <c r="Q18" i="15"/>
  <c r="Z18" i="15" s="1"/>
  <c r="K18" i="15"/>
  <c r="T18" i="15" s="1"/>
  <c r="H18" i="15"/>
  <c r="N18" i="15" s="1"/>
  <c r="AC17" i="15"/>
  <c r="W17" i="15"/>
  <c r="AF17" i="15" s="1"/>
  <c r="Q17" i="15"/>
  <c r="K17" i="15"/>
  <c r="T17" i="15" s="1"/>
  <c r="H17" i="15"/>
  <c r="N17" i="15" s="1"/>
  <c r="AC16" i="15"/>
  <c r="W16" i="15"/>
  <c r="AF16" i="15" s="1"/>
  <c r="Q16" i="15"/>
  <c r="K16" i="15"/>
  <c r="T16" i="15" s="1"/>
  <c r="H16" i="15"/>
  <c r="AC13" i="15"/>
  <c r="W13" i="15"/>
  <c r="AF13" i="15" s="1"/>
  <c r="Q13" i="15"/>
  <c r="Z13" i="15" s="1"/>
  <c r="K13" i="15"/>
  <c r="T13" i="15" s="1"/>
  <c r="H13" i="15"/>
  <c r="N13" i="15" s="1"/>
  <c r="F47" i="11"/>
  <c r="AC42" i="14"/>
  <c r="AC15" i="14"/>
  <c r="W42" i="14"/>
  <c r="W15" i="14"/>
  <c r="AF15" i="14" s="1"/>
  <c r="Q42" i="14"/>
  <c r="Q15" i="14"/>
  <c r="K42" i="14"/>
  <c r="K15" i="14"/>
  <c r="H42" i="14"/>
  <c r="H15" i="14"/>
  <c r="AE55" i="14"/>
  <c r="Y55" i="14"/>
  <c r="S55" i="14"/>
  <c r="M55" i="14"/>
  <c r="AE49" i="14"/>
  <c r="Y49" i="14"/>
  <c r="S49" i="14"/>
  <c r="M49" i="14"/>
  <c r="F43" i="14"/>
  <c r="W43" i="14" s="1"/>
  <c r="AC35" i="14"/>
  <c r="W35" i="14"/>
  <c r="Q35" i="14"/>
  <c r="K35" i="14"/>
  <c r="H35" i="14"/>
  <c r="F33" i="14"/>
  <c r="Q32" i="14"/>
  <c r="Z32" i="14" s="1"/>
  <c r="F29" i="14"/>
  <c r="F27" i="14"/>
  <c r="Q27" i="14" s="1"/>
  <c r="Z27" i="14" s="1"/>
  <c r="F26" i="14"/>
  <c r="W26" i="14" s="1"/>
  <c r="F25" i="14"/>
  <c r="W25" i="14" s="1"/>
  <c r="AF25" i="14" s="1"/>
  <c r="F24" i="14"/>
  <c r="F21" i="14"/>
  <c r="W21" i="14" s="1"/>
  <c r="AF21" i="14" s="1"/>
  <c r="F20" i="14"/>
  <c r="Q20" i="14" s="1"/>
  <c r="Z20" i="14" s="1"/>
  <c r="F19" i="14"/>
  <c r="AC18" i="14"/>
  <c r="W18" i="14"/>
  <c r="Q18" i="14"/>
  <c r="Z18" i="14" s="1"/>
  <c r="K18" i="14"/>
  <c r="H18" i="14"/>
  <c r="N18" i="14" s="1"/>
  <c r="AC17" i="14"/>
  <c r="W17" i="14"/>
  <c r="AF17" i="14" s="1"/>
  <c r="Q17" i="14"/>
  <c r="K17" i="14"/>
  <c r="T17" i="14" s="1"/>
  <c r="H17" i="14"/>
  <c r="AC16" i="14"/>
  <c r="W16" i="14"/>
  <c r="Q16" i="14"/>
  <c r="Z16" i="14" s="1"/>
  <c r="K16" i="14"/>
  <c r="H16" i="14"/>
  <c r="AC13" i="14"/>
  <c r="W13" i="14"/>
  <c r="Q13" i="14"/>
  <c r="Z13" i="14" s="1"/>
  <c r="K13" i="14"/>
  <c r="H13" i="14"/>
  <c r="N13" i="14" s="1"/>
  <c r="AC42" i="13"/>
  <c r="W42" i="13"/>
  <c r="W15" i="13"/>
  <c r="AF15" i="13" s="1"/>
  <c r="Q42" i="13"/>
  <c r="Q15" i="13"/>
  <c r="K42" i="13"/>
  <c r="K15" i="13"/>
  <c r="H42" i="13"/>
  <c r="F43" i="13"/>
  <c r="AE55" i="13"/>
  <c r="Y55" i="13"/>
  <c r="S55" i="13"/>
  <c r="M55" i="13"/>
  <c r="AE49" i="13"/>
  <c r="Y49" i="13"/>
  <c r="S49" i="13"/>
  <c r="M49" i="13"/>
  <c r="Q48" i="13"/>
  <c r="W47" i="13"/>
  <c r="H45" i="13"/>
  <c r="F38" i="13"/>
  <c r="AC35" i="13"/>
  <c r="W35" i="13"/>
  <c r="Q35" i="13"/>
  <c r="K35" i="13"/>
  <c r="H35" i="13"/>
  <c r="F33" i="13"/>
  <c r="F32" i="13"/>
  <c r="K32" i="13" s="1"/>
  <c r="F29" i="13"/>
  <c r="F27" i="13"/>
  <c r="F26" i="13"/>
  <c r="W26" i="13" s="1"/>
  <c r="AF26" i="13" s="1"/>
  <c r="F25" i="13"/>
  <c r="F24" i="13"/>
  <c r="F21" i="13"/>
  <c r="Q21" i="13" s="1"/>
  <c r="Z21" i="13" s="1"/>
  <c r="F20" i="13"/>
  <c r="F19" i="13"/>
  <c r="AC18" i="13"/>
  <c r="W18" i="13"/>
  <c r="AF18" i="13" s="1"/>
  <c r="Q18" i="13"/>
  <c r="K18" i="13"/>
  <c r="T18" i="13" s="1"/>
  <c r="H18" i="13"/>
  <c r="N18" i="13" s="1"/>
  <c r="AC17" i="13"/>
  <c r="W17" i="13"/>
  <c r="AF17" i="13" s="1"/>
  <c r="Q17" i="13"/>
  <c r="K17" i="13"/>
  <c r="T17" i="13" s="1"/>
  <c r="H17" i="13"/>
  <c r="N17" i="13" s="1"/>
  <c r="AC16" i="13"/>
  <c r="W16" i="13"/>
  <c r="Q16" i="13"/>
  <c r="K16" i="13"/>
  <c r="T16" i="13" s="1"/>
  <c r="H16" i="13"/>
  <c r="N16" i="13" s="1"/>
  <c r="AC13" i="13"/>
  <c r="W13" i="13"/>
  <c r="AF13" i="13" s="1"/>
  <c r="H13" i="13"/>
  <c r="AC42" i="12"/>
  <c r="AC35" i="12"/>
  <c r="AC15" i="12"/>
  <c r="W42" i="12"/>
  <c r="W35" i="12"/>
  <c r="W15" i="12"/>
  <c r="AF15" i="12" s="1"/>
  <c r="Q42" i="12"/>
  <c r="Q35" i="12"/>
  <c r="Q15" i="12"/>
  <c r="K42" i="12"/>
  <c r="K35" i="12"/>
  <c r="K15" i="12"/>
  <c r="H42" i="12"/>
  <c r="H35" i="12"/>
  <c r="H15" i="12"/>
  <c r="AE55" i="12"/>
  <c r="Y55" i="12"/>
  <c r="S55" i="12"/>
  <c r="M55" i="12"/>
  <c r="AE49" i="12"/>
  <c r="Y49" i="12"/>
  <c r="S49" i="12"/>
  <c r="M49" i="12"/>
  <c r="W48" i="12"/>
  <c r="W47" i="12"/>
  <c r="F46" i="12"/>
  <c r="F45" i="12"/>
  <c r="W45" i="12" s="1"/>
  <c r="F44" i="12"/>
  <c r="Q44" i="12" s="1"/>
  <c r="F33" i="12"/>
  <c r="F32" i="12"/>
  <c r="K32" i="12" s="1"/>
  <c r="T32" i="12" s="1"/>
  <c r="F29" i="12"/>
  <c r="F27" i="12"/>
  <c r="K27" i="12" s="1"/>
  <c r="T27" i="12" s="1"/>
  <c r="F26" i="12"/>
  <c r="F25" i="12"/>
  <c r="F24" i="12"/>
  <c r="F21" i="12"/>
  <c r="H21" i="12" s="1"/>
  <c r="F19" i="12"/>
  <c r="AC18" i="12"/>
  <c r="W18" i="12"/>
  <c r="AF18" i="12" s="1"/>
  <c r="Q18" i="12"/>
  <c r="K18" i="12"/>
  <c r="H18" i="12"/>
  <c r="AC17" i="12"/>
  <c r="W17" i="12"/>
  <c r="AF17" i="12" s="1"/>
  <c r="Q17" i="12"/>
  <c r="K17" i="12"/>
  <c r="T17" i="12" s="1"/>
  <c r="H17" i="12"/>
  <c r="AC16" i="12"/>
  <c r="W16" i="12"/>
  <c r="AF16" i="12" s="1"/>
  <c r="Q16" i="12"/>
  <c r="Z16" i="12" s="1"/>
  <c r="K16" i="12"/>
  <c r="T16" i="12" s="1"/>
  <c r="H16" i="12"/>
  <c r="AC13" i="12"/>
  <c r="W13" i="12"/>
  <c r="AF13" i="12" s="1"/>
  <c r="H13" i="12"/>
  <c r="AE13" i="15" l="1"/>
  <c r="AE13" i="14"/>
  <c r="S16" i="14"/>
  <c r="S17" i="14"/>
  <c r="T16" i="14"/>
  <c r="Z17" i="14"/>
  <c r="AC26" i="17"/>
  <c r="H40" i="17"/>
  <c r="AC40" i="17"/>
  <c r="AE40" i="17" s="1"/>
  <c r="AF40" i="17" s="1"/>
  <c r="M35" i="17"/>
  <c r="S35" i="14"/>
  <c r="K33" i="13"/>
  <c r="AC24" i="14"/>
  <c r="K33" i="14"/>
  <c r="AC24" i="16"/>
  <c r="W40" i="16"/>
  <c r="AC29" i="13"/>
  <c r="K41" i="16"/>
  <c r="W33" i="17"/>
  <c r="S42" i="12"/>
  <c r="T42" i="12" s="1"/>
  <c r="W21" i="15"/>
  <c r="AF21" i="15" s="1"/>
  <c r="H21" i="15"/>
  <c r="N21" i="15" s="1"/>
  <c r="K21" i="15"/>
  <c r="T21" i="15" s="1"/>
  <c r="AC21" i="15"/>
  <c r="AC27" i="15"/>
  <c r="H34" i="14"/>
  <c r="AC34" i="14"/>
  <c r="K34" i="14"/>
  <c r="W34" i="14"/>
  <c r="AC32" i="13"/>
  <c r="AC48" i="12"/>
  <c r="AE48" i="12" s="1"/>
  <c r="AF48" i="12" s="1"/>
  <c r="AC24" i="17"/>
  <c r="AC24" i="12"/>
  <c r="AC33" i="12"/>
  <c r="W33" i="15"/>
  <c r="Q48" i="12"/>
  <c r="Y48" i="12" s="1"/>
  <c r="Z48" i="12" s="1"/>
  <c r="H48" i="17"/>
  <c r="H44" i="17"/>
  <c r="K48" i="17"/>
  <c r="S48" i="17" s="1"/>
  <c r="T48" i="17" s="1"/>
  <c r="AC44" i="17"/>
  <c r="AE44" i="17" s="1"/>
  <c r="AF44" i="17" s="1"/>
  <c r="AC48" i="17"/>
  <c r="AE48" i="17" s="1"/>
  <c r="AF48" i="17" s="1"/>
  <c r="AC29" i="17"/>
  <c r="Q40" i="17"/>
  <c r="Y40" i="17" s="1"/>
  <c r="Z40" i="17" s="1"/>
  <c r="AC43" i="17"/>
  <c r="M13" i="17"/>
  <c r="AE18" i="17"/>
  <c r="M18" i="17"/>
  <c r="AE13" i="17"/>
  <c r="W44" i="16"/>
  <c r="H43" i="16"/>
  <c r="W43" i="16"/>
  <c r="AE43" i="16" s="1"/>
  <c r="AF43" i="16" s="1"/>
  <c r="AC47" i="16"/>
  <c r="Q47" i="16"/>
  <c r="S47" i="16" s="1"/>
  <c r="T47" i="16" s="1"/>
  <c r="Q20" i="16"/>
  <c r="Z20" i="16" s="1"/>
  <c r="H24" i="16"/>
  <c r="W20" i="16"/>
  <c r="AF20" i="16" s="1"/>
  <c r="K24" i="16"/>
  <c r="Q24" i="16"/>
  <c r="Z24" i="16" s="1"/>
  <c r="W24" i="16"/>
  <c r="S35" i="16"/>
  <c r="AE17" i="16"/>
  <c r="AC26" i="15"/>
  <c r="AC29" i="15"/>
  <c r="K25" i="15"/>
  <c r="T25" i="15" s="1"/>
  <c r="Q25" i="15"/>
  <c r="Y25" i="15" s="1"/>
  <c r="Q26" i="15"/>
  <c r="Z26" i="15" s="1"/>
  <c r="Q34" i="14"/>
  <c r="W27" i="14"/>
  <c r="AF27" i="14" s="1"/>
  <c r="K24" i="14"/>
  <c r="Q25" i="14"/>
  <c r="Z25" i="14" s="1"/>
  <c r="AC21" i="13"/>
  <c r="W21" i="13"/>
  <c r="AF21" i="13" s="1"/>
  <c r="W40" i="13"/>
  <c r="AC33" i="13"/>
  <c r="K27" i="13"/>
  <c r="T27" i="13" s="1"/>
  <c r="Q27" i="13"/>
  <c r="Z27" i="13" s="1"/>
  <c r="H24" i="13"/>
  <c r="H21" i="13"/>
  <c r="K24" i="13"/>
  <c r="W27" i="13"/>
  <c r="AF27" i="13" s="1"/>
  <c r="Q32" i="13"/>
  <c r="Z32" i="13" s="1"/>
  <c r="K47" i="13"/>
  <c r="W33" i="13"/>
  <c r="Q33" i="13"/>
  <c r="K21" i="13"/>
  <c r="T21" i="13" s="1"/>
  <c r="W24" i="13"/>
  <c r="AC27" i="13"/>
  <c r="W32" i="13"/>
  <c r="AF32" i="13" s="1"/>
  <c r="W29" i="12"/>
  <c r="AF29" i="12" s="1"/>
  <c r="H48" i="12"/>
  <c r="K47" i="12"/>
  <c r="AC47" i="12"/>
  <c r="AE47" i="12" s="1"/>
  <c r="AF47" i="12" s="1"/>
  <c r="H47" i="12"/>
  <c r="W44" i="12"/>
  <c r="Y44" i="12" s="1"/>
  <c r="Z44" i="12" s="1"/>
  <c r="AC44" i="12"/>
  <c r="K48" i="12"/>
  <c r="Q47" i="12"/>
  <c r="K34" i="12"/>
  <c r="H41" i="17"/>
  <c r="AC41" i="17"/>
  <c r="H43" i="17"/>
  <c r="Q41" i="17"/>
  <c r="H20" i="17"/>
  <c r="N20" i="17" s="1"/>
  <c r="AC34" i="17"/>
  <c r="K20" i="17"/>
  <c r="H47" i="17"/>
  <c r="Q20" i="17"/>
  <c r="Z20" i="17" s="1"/>
  <c r="K47" i="17"/>
  <c r="H34" i="17"/>
  <c r="W20" i="17"/>
  <c r="AF20" i="17" s="1"/>
  <c r="H26" i="17"/>
  <c r="W47" i="17"/>
  <c r="Y47" i="17" s="1"/>
  <c r="Z47" i="17" s="1"/>
  <c r="K26" i="17"/>
  <c r="W32" i="17"/>
  <c r="AF32" i="17" s="1"/>
  <c r="AC47" i="17"/>
  <c r="Q24" i="17"/>
  <c r="AC32" i="17"/>
  <c r="K46" i="17"/>
  <c r="M46" i="17" s="1"/>
  <c r="N46" i="17" s="1"/>
  <c r="AC20" i="17"/>
  <c r="H24" i="17"/>
  <c r="K21" i="17"/>
  <c r="T21" i="17" s="1"/>
  <c r="W26" i="17"/>
  <c r="AF26" i="17" s="1"/>
  <c r="W46" i="17"/>
  <c r="W41" i="16"/>
  <c r="K43" i="16"/>
  <c r="M43" i="16" s="1"/>
  <c r="N43" i="16" s="1"/>
  <c r="Q43" i="16"/>
  <c r="H27" i="16"/>
  <c r="N27" i="16" s="1"/>
  <c r="W33" i="16"/>
  <c r="Q27" i="16"/>
  <c r="Z27" i="16" s="1"/>
  <c r="AC33" i="16"/>
  <c r="K25" i="16"/>
  <c r="T25" i="16" s="1"/>
  <c r="W27" i="16"/>
  <c r="W25" i="16"/>
  <c r="AF25" i="16" s="1"/>
  <c r="F38" i="16"/>
  <c r="K33" i="16"/>
  <c r="H33" i="16"/>
  <c r="AE16" i="17"/>
  <c r="AE17" i="17"/>
  <c r="W34" i="17"/>
  <c r="Y34" i="17" s="1"/>
  <c r="Z34" i="17" s="1"/>
  <c r="AE15" i="17"/>
  <c r="AF15" i="17" s="1"/>
  <c r="Y15" i="17"/>
  <c r="Z15" i="17" s="1"/>
  <c r="Y13" i="17"/>
  <c r="S13" i="17"/>
  <c r="S18" i="17"/>
  <c r="M17" i="17"/>
  <c r="N13" i="17"/>
  <c r="M16" i="17"/>
  <c r="Z16" i="17"/>
  <c r="Y16" i="17"/>
  <c r="S16" i="17"/>
  <c r="M15" i="17"/>
  <c r="N15" i="17" s="1"/>
  <c r="W27" i="17"/>
  <c r="H27" i="17"/>
  <c r="K27" i="17"/>
  <c r="Q27" i="17"/>
  <c r="AC27" i="17"/>
  <c r="AE42" i="17"/>
  <c r="AF42" i="17" s="1"/>
  <c r="W45" i="17"/>
  <c r="H45" i="17"/>
  <c r="K45" i="17"/>
  <c r="Q45" i="17"/>
  <c r="AF25" i="17"/>
  <c r="Z17" i="17"/>
  <c r="Y17" i="17"/>
  <c r="S17" i="17"/>
  <c r="Z32" i="17"/>
  <c r="T13" i="17"/>
  <c r="S15" i="17"/>
  <c r="T15" i="17" s="1"/>
  <c r="Z18" i="17"/>
  <c r="Y18" i="17"/>
  <c r="Y42" i="17"/>
  <c r="Z42" i="17" s="1"/>
  <c r="AC45" i="17"/>
  <c r="K25" i="17"/>
  <c r="H25" i="17"/>
  <c r="M42" i="17"/>
  <c r="N42" i="17" s="1"/>
  <c r="Q21" i="17"/>
  <c r="W24" i="17"/>
  <c r="Y48" i="17"/>
  <c r="Z48" i="17" s="1"/>
  <c r="Z26" i="17"/>
  <c r="S35" i="17"/>
  <c r="S42" i="17"/>
  <c r="T42" i="17" s="1"/>
  <c r="K43" i="17"/>
  <c r="S43" i="17" s="1"/>
  <c r="W43" i="17"/>
  <c r="AC25" i="17"/>
  <c r="AE25" i="17" s="1"/>
  <c r="H21" i="17"/>
  <c r="W21" i="17"/>
  <c r="Q25" i="17"/>
  <c r="AE35" i="17"/>
  <c r="Y35" i="17"/>
  <c r="K24" i="17"/>
  <c r="S32" i="17"/>
  <c r="H33" i="17"/>
  <c r="Q33" i="17"/>
  <c r="AC33" i="17"/>
  <c r="Q44" i="17"/>
  <c r="AC46" i="17"/>
  <c r="W29" i="17"/>
  <c r="K41" i="17"/>
  <c r="W41" i="17"/>
  <c r="Q46" i="17"/>
  <c r="K34" i="17"/>
  <c r="K40" i="17"/>
  <c r="K33" i="17"/>
  <c r="AE35" i="16"/>
  <c r="W29" i="16"/>
  <c r="AE18" i="16"/>
  <c r="AE16" i="16"/>
  <c r="AE13" i="16"/>
  <c r="AE15" i="16"/>
  <c r="AF15" i="16" s="1"/>
  <c r="Y35" i="16"/>
  <c r="S13" i="16"/>
  <c r="N13" i="16"/>
  <c r="M13" i="16"/>
  <c r="N18" i="16"/>
  <c r="S16" i="16"/>
  <c r="Z16" i="16"/>
  <c r="Y16" i="16"/>
  <c r="S42" i="16"/>
  <c r="T42" i="16" s="1"/>
  <c r="S15" i="16"/>
  <c r="T15" i="16" s="1"/>
  <c r="W21" i="16"/>
  <c r="Q21" i="16"/>
  <c r="K21" i="16"/>
  <c r="H21" i="16"/>
  <c r="AC21" i="16"/>
  <c r="K34" i="16"/>
  <c r="W34" i="16"/>
  <c r="AC34" i="16"/>
  <c r="Q34" i="16"/>
  <c r="H34" i="16"/>
  <c r="H48" i="16"/>
  <c r="K48" i="16"/>
  <c r="AC48" i="16"/>
  <c r="W48" i="16"/>
  <c r="Q48" i="16"/>
  <c r="AC46" i="16"/>
  <c r="AE46" i="16" s="1"/>
  <c r="AF46" i="16" s="1"/>
  <c r="Y13" i="16"/>
  <c r="Y15" i="16"/>
  <c r="Z15" i="16" s="1"/>
  <c r="Y18" i="16"/>
  <c r="AF18" i="16"/>
  <c r="M17" i="16"/>
  <c r="H46" i="16"/>
  <c r="H40" i="16"/>
  <c r="K45" i="16"/>
  <c r="AC45" i="16"/>
  <c r="H45" i="16"/>
  <c r="W45" i="16"/>
  <c r="AC26" i="16"/>
  <c r="K26" i="16"/>
  <c r="S26" i="16" s="1"/>
  <c r="H26" i="16"/>
  <c r="W26" i="16"/>
  <c r="Q45" i="16"/>
  <c r="K46" i="16"/>
  <c r="S18" i="16"/>
  <c r="AC29" i="16"/>
  <c r="Q40" i="16"/>
  <c r="Y42" i="16"/>
  <c r="Z42" i="16" s="1"/>
  <c r="AC25" i="16"/>
  <c r="Q25" i="16"/>
  <c r="H25" i="16"/>
  <c r="AE42" i="16"/>
  <c r="AF42" i="16" s="1"/>
  <c r="M15" i="16"/>
  <c r="N15" i="16" s="1"/>
  <c r="M16" i="16"/>
  <c r="S17" i="16"/>
  <c r="W32" i="16"/>
  <c r="Q32" i="16"/>
  <c r="AC32" i="16"/>
  <c r="M42" i="16"/>
  <c r="N42" i="16" s="1"/>
  <c r="M18" i="16"/>
  <c r="K20" i="16"/>
  <c r="AC20" i="16"/>
  <c r="H20" i="16"/>
  <c r="AC27" i="16"/>
  <c r="K40" i="16"/>
  <c r="AC40" i="16"/>
  <c r="AC44" i="16"/>
  <c r="K44" i="16"/>
  <c r="Q44" i="16"/>
  <c r="Q46" i="16"/>
  <c r="Y17" i="16"/>
  <c r="Q33" i="16"/>
  <c r="M35" i="16"/>
  <c r="AC41" i="16"/>
  <c r="Q41" i="16"/>
  <c r="H41" i="16"/>
  <c r="W47" i="16"/>
  <c r="H47" i="16"/>
  <c r="W41" i="15"/>
  <c r="K41" i="15"/>
  <c r="K20" i="15"/>
  <c r="T20" i="15" s="1"/>
  <c r="Q20" i="15"/>
  <c r="AC25" i="15"/>
  <c r="AE25" i="15" s="1"/>
  <c r="AC32" i="15"/>
  <c r="AE32" i="15" s="1"/>
  <c r="AC20" i="15"/>
  <c r="K27" i="15"/>
  <c r="T27" i="15" s="1"/>
  <c r="H33" i="15"/>
  <c r="K26" i="15"/>
  <c r="T26" i="15" s="1"/>
  <c r="Q27" i="15"/>
  <c r="Z27" i="15" s="1"/>
  <c r="K33" i="15"/>
  <c r="H25" i="15"/>
  <c r="N26" i="15"/>
  <c r="W29" i="15"/>
  <c r="AE15" i="15"/>
  <c r="AF15" i="15" s="1"/>
  <c r="Y35" i="15"/>
  <c r="Y15" i="15"/>
  <c r="Z15" i="15" s="1"/>
  <c r="Y13" i="15"/>
  <c r="Q33" i="15"/>
  <c r="S15" i="15"/>
  <c r="T15" i="15" s="1"/>
  <c r="S35" i="15"/>
  <c r="M42" i="15"/>
  <c r="N42" i="15" s="1"/>
  <c r="K43" i="15"/>
  <c r="AC43" i="15"/>
  <c r="W43" i="15"/>
  <c r="H43" i="15"/>
  <c r="AE17" i="15"/>
  <c r="AC34" i="15"/>
  <c r="Q34" i="15"/>
  <c r="H34" i="15"/>
  <c r="Q43" i="15"/>
  <c r="S16" i="15"/>
  <c r="Z16" i="15"/>
  <c r="W34" i="15"/>
  <c r="AE35" i="15"/>
  <c r="Y42" i="15"/>
  <c r="Z42" i="15" s="1"/>
  <c r="M16" i="15"/>
  <c r="H24" i="15"/>
  <c r="Q24" i="15"/>
  <c r="AC24" i="15"/>
  <c r="S42" i="15"/>
  <c r="T42" i="15" s="1"/>
  <c r="S13" i="15"/>
  <c r="N16" i="15"/>
  <c r="S17" i="15"/>
  <c r="Z17" i="15"/>
  <c r="AE42" i="15"/>
  <c r="AF42" i="15" s="1"/>
  <c r="Y17" i="15"/>
  <c r="M13" i="15"/>
  <c r="Y18" i="15"/>
  <c r="W24" i="15"/>
  <c r="M17" i="15"/>
  <c r="AE18" i="15"/>
  <c r="M15" i="15"/>
  <c r="N15" i="15" s="1"/>
  <c r="Y16" i="15"/>
  <c r="M35" i="15"/>
  <c r="AE16" i="15"/>
  <c r="M18" i="15"/>
  <c r="K24" i="15"/>
  <c r="K34" i="15"/>
  <c r="Q32" i="15"/>
  <c r="AC41" i="15"/>
  <c r="W20" i="15"/>
  <c r="H20" i="15"/>
  <c r="W27" i="15"/>
  <c r="Q41" i="15"/>
  <c r="H27" i="15"/>
  <c r="AC33" i="15"/>
  <c r="F40" i="15"/>
  <c r="H41" i="15"/>
  <c r="S18" i="15"/>
  <c r="W26" i="15"/>
  <c r="AE18" i="14"/>
  <c r="AC33" i="14"/>
  <c r="AE35" i="14"/>
  <c r="AE15" i="14"/>
  <c r="Y17" i="14"/>
  <c r="AE17" i="14"/>
  <c r="AF13" i="14"/>
  <c r="Y35" i="14"/>
  <c r="S42" i="14"/>
  <c r="T42" i="14" s="1"/>
  <c r="M13" i="14"/>
  <c r="H41" i="14"/>
  <c r="Q41" i="14"/>
  <c r="AC41" i="14"/>
  <c r="AC21" i="14"/>
  <c r="AE21" i="14" s="1"/>
  <c r="H20" i="14"/>
  <c r="N20" i="14" s="1"/>
  <c r="AC27" i="14"/>
  <c r="K20" i="14"/>
  <c r="H21" i="14"/>
  <c r="W33" i="14"/>
  <c r="K21" i="14"/>
  <c r="T21" i="14" s="1"/>
  <c r="H27" i="14"/>
  <c r="Q21" i="14"/>
  <c r="Y21" i="14" s="1"/>
  <c r="W20" i="14"/>
  <c r="AF20" i="14" s="1"/>
  <c r="K27" i="14"/>
  <c r="AC20" i="14"/>
  <c r="AF26" i="14"/>
  <c r="S15" i="14"/>
  <c r="T15" i="14" s="1"/>
  <c r="M17" i="14"/>
  <c r="N17" i="14"/>
  <c r="AC29" i="14"/>
  <c r="W40" i="14"/>
  <c r="H40" i="14"/>
  <c r="Q40" i="14"/>
  <c r="AC40" i="14"/>
  <c r="K40" i="14"/>
  <c r="M15" i="14"/>
  <c r="N15" i="14" s="1"/>
  <c r="AF16" i="14"/>
  <c r="Y16" i="14"/>
  <c r="AE16" i="14"/>
  <c r="Y42" i="14"/>
  <c r="Z42" i="14" s="1"/>
  <c r="Y15" i="14"/>
  <c r="Z15" i="14" s="1"/>
  <c r="N16" i="14"/>
  <c r="M16" i="14"/>
  <c r="Q26" i="14"/>
  <c r="K26" i="14"/>
  <c r="W29" i="14"/>
  <c r="H26" i="14"/>
  <c r="S13" i="14"/>
  <c r="T13" i="14"/>
  <c r="M18" i="14"/>
  <c r="S18" i="14"/>
  <c r="T18" i="14"/>
  <c r="W24" i="14"/>
  <c r="H24" i="14"/>
  <c r="Q24" i="14"/>
  <c r="AC26" i="14"/>
  <c r="AE26" i="14" s="1"/>
  <c r="M35" i="14"/>
  <c r="Y13" i="14"/>
  <c r="AE42" i="14"/>
  <c r="AF42" i="14" s="1"/>
  <c r="AF18" i="14"/>
  <c r="Y18" i="14"/>
  <c r="H25" i="14"/>
  <c r="AC25" i="14"/>
  <c r="AE25" i="14" s="1"/>
  <c r="K25" i="14"/>
  <c r="AC32" i="14"/>
  <c r="W32" i="14"/>
  <c r="M42" i="14"/>
  <c r="N42" i="14" s="1"/>
  <c r="H43" i="14"/>
  <c r="Q43" i="14"/>
  <c r="Y43" i="14" s="1"/>
  <c r="AC43" i="14"/>
  <c r="AE43" i="14" s="1"/>
  <c r="AF43" i="14" s="1"/>
  <c r="K43" i="14"/>
  <c r="H33" i="14"/>
  <c r="Q33" i="14"/>
  <c r="K41" i="14"/>
  <c r="W41" i="14"/>
  <c r="W29" i="13"/>
  <c r="S18" i="13"/>
  <c r="K20" i="13"/>
  <c r="Q20" i="13"/>
  <c r="H48" i="13"/>
  <c r="AC20" i="13"/>
  <c r="K48" i="13"/>
  <c r="S48" i="13" s="1"/>
  <c r="T48" i="13" s="1"/>
  <c r="H32" i="13"/>
  <c r="N32" i="13" s="1"/>
  <c r="H33" i="13"/>
  <c r="W46" i="13"/>
  <c r="W48" i="13"/>
  <c r="Y48" i="13" s="1"/>
  <c r="Z48" i="13" s="1"/>
  <c r="H27" i="13"/>
  <c r="N27" i="13" s="1"/>
  <c r="AC48" i="13"/>
  <c r="AE42" i="13"/>
  <c r="AF42" i="13" s="1"/>
  <c r="AE16" i="13"/>
  <c r="AE15" i="13"/>
  <c r="AE13" i="13"/>
  <c r="AE18" i="13"/>
  <c r="Y18" i="13"/>
  <c r="Z18" i="13"/>
  <c r="S35" i="13"/>
  <c r="M42" i="13"/>
  <c r="N42" i="13" s="1"/>
  <c r="M35" i="13"/>
  <c r="M18" i="13"/>
  <c r="M16" i="13"/>
  <c r="S15" i="13"/>
  <c r="T15" i="13" s="1"/>
  <c r="M15" i="13"/>
  <c r="N15" i="13" s="1"/>
  <c r="W25" i="13"/>
  <c r="AC25" i="13"/>
  <c r="K25" i="13"/>
  <c r="Q40" i="13"/>
  <c r="S42" i="13"/>
  <c r="T42" i="13" s="1"/>
  <c r="AC44" i="13"/>
  <c r="K44" i="13"/>
  <c r="W44" i="13"/>
  <c r="H44" i="13"/>
  <c r="Y17" i="13"/>
  <c r="K43" i="13"/>
  <c r="W43" i="13"/>
  <c r="H43" i="13"/>
  <c r="Q34" i="13"/>
  <c r="AC34" i="13"/>
  <c r="H34" i="13"/>
  <c r="S16" i="13"/>
  <c r="Z16" i="13"/>
  <c r="H26" i="13"/>
  <c r="Q26" i="13"/>
  <c r="Y26" i="13" s="1"/>
  <c r="H25" i="13"/>
  <c r="AC26" i="13"/>
  <c r="AE26" i="13" s="1"/>
  <c r="Y35" i="13"/>
  <c r="Y42" i="13"/>
  <c r="Z42" i="13" s="1"/>
  <c r="Y16" i="13"/>
  <c r="AE17" i="13"/>
  <c r="H40" i="13"/>
  <c r="W45" i="13"/>
  <c r="AC45" i="13"/>
  <c r="K45" i="13"/>
  <c r="H46" i="13"/>
  <c r="AC46" i="13"/>
  <c r="K46" i="13"/>
  <c r="Q43" i="13"/>
  <c r="Q47" i="13"/>
  <c r="Y47" i="13" s="1"/>
  <c r="M17" i="13"/>
  <c r="Q25" i="13"/>
  <c r="T32" i="13"/>
  <c r="W34" i="13"/>
  <c r="AE35" i="13"/>
  <c r="Q44" i="13"/>
  <c r="H47" i="13"/>
  <c r="AC47" i="13"/>
  <c r="K26" i="13"/>
  <c r="K40" i="13"/>
  <c r="AC40" i="13"/>
  <c r="AC43" i="13"/>
  <c r="Q45" i="13"/>
  <c r="Y15" i="13"/>
  <c r="Z15" i="13" s="1"/>
  <c r="AF16" i="13"/>
  <c r="S17" i="13"/>
  <c r="Z17" i="13"/>
  <c r="K34" i="13"/>
  <c r="Q46" i="13"/>
  <c r="AC41" i="13"/>
  <c r="AC24" i="13"/>
  <c r="H20" i="13"/>
  <c r="W20" i="13"/>
  <c r="Q24" i="13"/>
  <c r="H24" i="12"/>
  <c r="Q27" i="12"/>
  <c r="Z27" i="12" s="1"/>
  <c r="H33" i="12"/>
  <c r="K24" i="12"/>
  <c r="T24" i="12" s="1"/>
  <c r="AC27" i="12"/>
  <c r="K33" i="12"/>
  <c r="Q45" i="12"/>
  <c r="Q24" i="12"/>
  <c r="Q33" i="12"/>
  <c r="W24" i="12"/>
  <c r="AF24" i="12" s="1"/>
  <c r="W33" i="12"/>
  <c r="H44" i="12"/>
  <c r="F38" i="12"/>
  <c r="K44" i="12"/>
  <c r="S44" i="12" s="1"/>
  <c r="T44" i="12" s="1"/>
  <c r="AE35" i="12"/>
  <c r="M18" i="12"/>
  <c r="N18" i="12"/>
  <c r="AE15" i="12"/>
  <c r="AE16" i="12"/>
  <c r="AE17" i="12"/>
  <c r="AE18" i="12"/>
  <c r="Y35" i="12"/>
  <c r="Y16" i="12"/>
  <c r="T18" i="12"/>
  <c r="M35" i="12"/>
  <c r="N16" i="12"/>
  <c r="N17" i="12"/>
  <c r="N15" i="12"/>
  <c r="S15" i="12"/>
  <c r="T15" i="12" s="1"/>
  <c r="AC46" i="12"/>
  <c r="K46" i="12"/>
  <c r="Q46" i="12"/>
  <c r="Z18" i="12"/>
  <c r="S18" i="12"/>
  <c r="AC26" i="12"/>
  <c r="K26" i="12"/>
  <c r="Q26" i="12"/>
  <c r="H26" i="12"/>
  <c r="Q21" i="12"/>
  <c r="AC21" i="12"/>
  <c r="K21" i="12"/>
  <c r="Y18" i="12"/>
  <c r="Y42" i="12"/>
  <c r="Z42" i="12" s="1"/>
  <c r="H46" i="12"/>
  <c r="M17" i="12"/>
  <c r="AE42" i="12"/>
  <c r="AF42" i="12" s="1"/>
  <c r="W46" i="12"/>
  <c r="Y15" i="12"/>
  <c r="Z15" i="12" s="1"/>
  <c r="S17" i="12"/>
  <c r="Z17" i="12"/>
  <c r="K25" i="12"/>
  <c r="AC25" i="12"/>
  <c r="H25" i="12"/>
  <c r="W25" i="12"/>
  <c r="M15" i="12"/>
  <c r="Y17" i="12"/>
  <c r="W21" i="12"/>
  <c r="AC34" i="12"/>
  <c r="Q34" i="12"/>
  <c r="H34" i="12"/>
  <c r="W34" i="12"/>
  <c r="M16" i="12"/>
  <c r="Q25" i="12"/>
  <c r="W26" i="12"/>
  <c r="S35" i="12"/>
  <c r="W32" i="12"/>
  <c r="Q32" i="12"/>
  <c r="AE13" i="12"/>
  <c r="S16" i="12"/>
  <c r="M42" i="12"/>
  <c r="N42" i="12" s="1"/>
  <c r="AC45" i="12"/>
  <c r="AE45" i="12" s="1"/>
  <c r="AF45" i="12" s="1"/>
  <c r="K45" i="12"/>
  <c r="W27" i="12"/>
  <c r="H32" i="12"/>
  <c r="M32" i="12" s="1"/>
  <c r="AC32" i="12"/>
  <c r="H27" i="12"/>
  <c r="AC29" i="12"/>
  <c r="H45" i="12"/>
  <c r="S43" i="16" l="1"/>
  <c r="T43" i="16" s="1"/>
  <c r="Y21" i="15"/>
  <c r="AE46" i="17"/>
  <c r="AF46" i="17" s="1"/>
  <c r="Y43" i="16"/>
  <c r="Z43" i="16" s="1"/>
  <c r="M26" i="17"/>
  <c r="M44" i="17"/>
  <c r="N44" i="17" s="1"/>
  <c r="AE20" i="17"/>
  <c r="M20" i="17"/>
  <c r="Y20" i="17"/>
  <c r="AE21" i="15"/>
  <c r="AE27" i="15"/>
  <c r="Y40" i="16"/>
  <c r="Z40" i="16" s="1"/>
  <c r="AE32" i="17"/>
  <c r="S33" i="13"/>
  <c r="T33" i="13" s="1"/>
  <c r="M24" i="16"/>
  <c r="AE24" i="14"/>
  <c r="AE33" i="17"/>
  <c r="AF33" i="17" s="1"/>
  <c r="AE24" i="16"/>
  <c r="AF24" i="16" s="1"/>
  <c r="AE47" i="17"/>
  <c r="AF47" i="17" s="1"/>
  <c r="M48" i="12"/>
  <c r="N48" i="12" s="1"/>
  <c r="S24" i="16"/>
  <c r="T24" i="16" s="1"/>
  <c r="Y33" i="15"/>
  <c r="Z33" i="15" s="1"/>
  <c r="Y33" i="17"/>
  <c r="Z33" i="17" s="1"/>
  <c r="S40" i="17"/>
  <c r="T40" i="17" s="1"/>
  <c r="M48" i="17"/>
  <c r="N48" i="17" s="1"/>
  <c r="AE44" i="16"/>
  <c r="AF44" i="16" s="1"/>
  <c r="M33" i="15"/>
  <c r="N33" i="15" s="1"/>
  <c r="AE29" i="15"/>
  <c r="AE33" i="15"/>
  <c r="AF33" i="15" s="1"/>
  <c r="S21" i="15"/>
  <c r="M21" i="15"/>
  <c r="S25" i="14"/>
  <c r="Y27" i="14"/>
  <c r="AE21" i="13"/>
  <c r="Y21" i="13"/>
  <c r="AE33" i="13"/>
  <c r="AF33" i="13" s="1"/>
  <c r="AE29" i="12"/>
  <c r="S47" i="12"/>
  <c r="T47" i="12" s="1"/>
  <c r="Y26" i="17"/>
  <c r="M47" i="17"/>
  <c r="N47" i="17" s="1"/>
  <c r="AE26" i="17"/>
  <c r="T26" i="17"/>
  <c r="AE41" i="16"/>
  <c r="AF41" i="16" s="1"/>
  <c r="Y24" i="16"/>
  <c r="AE34" i="16"/>
  <c r="AF34" i="16" s="1"/>
  <c r="Y20" i="16"/>
  <c r="S27" i="16"/>
  <c r="N24" i="16"/>
  <c r="Y27" i="16"/>
  <c r="AE20" i="16"/>
  <c r="S20" i="16"/>
  <c r="AE25" i="16"/>
  <c r="AE27" i="16"/>
  <c r="Y33" i="16"/>
  <c r="Z33" i="16" s="1"/>
  <c r="AF27" i="16"/>
  <c r="M27" i="16"/>
  <c r="M33" i="16"/>
  <c r="N33" i="16" s="1"/>
  <c r="AE33" i="16"/>
  <c r="AF33" i="16" s="1"/>
  <c r="Z25" i="15"/>
  <c r="AE41" i="15"/>
  <c r="AF41" i="15" s="1"/>
  <c r="AE26" i="15"/>
  <c r="S20" i="15"/>
  <c r="S25" i="15"/>
  <c r="S34" i="14"/>
  <c r="T34" i="14" s="1"/>
  <c r="Y25" i="14"/>
  <c r="AE27" i="14"/>
  <c r="M21" i="14"/>
  <c r="N21" i="14" s="1"/>
  <c r="AE41" i="14"/>
  <c r="AF41" i="14" s="1"/>
  <c r="M24" i="14"/>
  <c r="N24" i="14" s="1"/>
  <c r="AE45" i="13"/>
  <c r="AF45" i="13" s="1"/>
  <c r="AE27" i="13"/>
  <c r="M24" i="13"/>
  <c r="N24" i="13" s="1"/>
  <c r="Y40" i="13"/>
  <c r="Z40" i="13" s="1"/>
  <c r="S21" i="13"/>
  <c r="S32" i="13"/>
  <c r="Y27" i="13"/>
  <c r="Y33" i="13"/>
  <c r="Z33" i="13" s="1"/>
  <c r="Y32" i="13"/>
  <c r="S27" i="13"/>
  <c r="AE29" i="13"/>
  <c r="AF29" i="13" s="1"/>
  <c r="M47" i="13"/>
  <c r="N47" i="13" s="1"/>
  <c r="AE24" i="13"/>
  <c r="AF24" i="13" s="1"/>
  <c r="M21" i="13"/>
  <c r="N21" i="13" s="1"/>
  <c r="AE32" i="13"/>
  <c r="Y24" i="13"/>
  <c r="S33" i="12"/>
  <c r="T33" i="12" s="1"/>
  <c r="M47" i="12"/>
  <c r="N47" i="12" s="1"/>
  <c r="S45" i="12"/>
  <c r="T45" i="12" s="1"/>
  <c r="Y47" i="12"/>
  <c r="Z47" i="12" s="1"/>
  <c r="AE24" i="12"/>
  <c r="M34" i="12"/>
  <c r="N34" i="12" s="1"/>
  <c r="M24" i="12"/>
  <c r="N24" i="12" s="1"/>
  <c r="M33" i="12"/>
  <c r="N33" i="12" s="1"/>
  <c r="Y33" i="12"/>
  <c r="Z33" i="12" s="1"/>
  <c r="Y24" i="12"/>
  <c r="Z24" i="12" s="1"/>
  <c r="AE32" i="12"/>
  <c r="AE44" i="12"/>
  <c r="AF44" i="12" s="1"/>
  <c r="M44" i="12"/>
  <c r="N44" i="12" s="1"/>
  <c r="S48" i="12"/>
  <c r="T48" i="12" s="1"/>
  <c r="S47" i="17"/>
  <c r="T47" i="17" s="1"/>
  <c r="N26" i="17"/>
  <c r="S20" i="17"/>
  <c r="T20" i="17" s="1"/>
  <c r="S24" i="17"/>
  <c r="S26" i="17"/>
  <c r="Y32" i="17"/>
  <c r="AE32" i="16"/>
  <c r="Y25" i="16"/>
  <c r="AE27" i="17"/>
  <c r="AE34" i="17"/>
  <c r="AF34" i="17" s="1"/>
  <c r="T24" i="17"/>
  <c r="M24" i="17"/>
  <c r="N24" i="17" s="1"/>
  <c r="S44" i="17"/>
  <c r="T44" i="17" s="1"/>
  <c r="S21" i="17"/>
  <c r="Z21" i="17"/>
  <c r="Y45" i="17"/>
  <c r="Z45" i="17" s="1"/>
  <c r="S46" i="17"/>
  <c r="T46" i="17" s="1"/>
  <c r="Y46" i="17"/>
  <c r="Z46" i="17" s="1"/>
  <c r="AE45" i="17"/>
  <c r="AF45" i="17" s="1"/>
  <c r="Y41" i="17"/>
  <c r="Z41" i="17" s="1"/>
  <c r="S33" i="17"/>
  <c r="T33" i="17" s="1"/>
  <c r="Z25" i="17"/>
  <c r="S25" i="17"/>
  <c r="N25" i="17"/>
  <c r="S27" i="17"/>
  <c r="Z27" i="17"/>
  <c r="N21" i="17"/>
  <c r="M40" i="17"/>
  <c r="N40" i="17" s="1"/>
  <c r="M25" i="17"/>
  <c r="T25" i="17"/>
  <c r="Y27" i="17"/>
  <c r="AF27" i="17"/>
  <c r="M41" i="17"/>
  <c r="N41" i="17" s="1"/>
  <c r="Y44" i="17"/>
  <c r="Z44" i="17" s="1"/>
  <c r="Y43" i="17"/>
  <c r="Z43" i="17" s="1"/>
  <c r="AE43" i="17"/>
  <c r="AF43" i="17" s="1"/>
  <c r="M21" i="17"/>
  <c r="AE41" i="17"/>
  <c r="AF41" i="17" s="1"/>
  <c r="T27" i="17"/>
  <c r="M27" i="17"/>
  <c r="S41" i="17"/>
  <c r="T41" i="17" s="1"/>
  <c r="AF29" i="17"/>
  <c r="M45" i="17"/>
  <c r="N45" i="17" s="1"/>
  <c r="N27" i="17"/>
  <c r="M34" i="17"/>
  <c r="N34" i="17" s="1"/>
  <c r="M33" i="17"/>
  <c r="N33" i="17" s="1"/>
  <c r="T32" i="17"/>
  <c r="AF21" i="17"/>
  <c r="AE21" i="17"/>
  <c r="Y21" i="17"/>
  <c r="T43" i="17"/>
  <c r="M43" i="17"/>
  <c r="N43" i="17" s="1"/>
  <c r="Y24" i="17"/>
  <c r="Z24" i="17" s="1"/>
  <c r="AE24" i="17"/>
  <c r="AF24" i="17" s="1"/>
  <c r="S34" i="17"/>
  <c r="T34" i="17" s="1"/>
  <c r="Y25" i="17"/>
  <c r="S45" i="17"/>
  <c r="T45" i="17" s="1"/>
  <c r="AE29" i="17"/>
  <c r="AE29" i="16"/>
  <c r="AF29" i="16" s="1"/>
  <c r="AE26" i="16"/>
  <c r="AE40" i="16"/>
  <c r="AF40" i="16" s="1"/>
  <c r="Y45" i="16"/>
  <c r="Z45" i="16" s="1"/>
  <c r="S34" i="16"/>
  <c r="T34" i="16" s="1"/>
  <c r="AE21" i="16"/>
  <c r="Z21" i="16"/>
  <c r="S21" i="16"/>
  <c r="S46" i="16"/>
  <c r="T46" i="16" s="1"/>
  <c r="M40" i="16"/>
  <c r="N40" i="16" s="1"/>
  <c r="N20" i="16"/>
  <c r="Y32" i="16"/>
  <c r="AF32" i="16"/>
  <c r="Y26" i="16"/>
  <c r="AF26" i="16"/>
  <c r="S48" i="16"/>
  <c r="T48" i="16" s="1"/>
  <c r="Y21" i="16"/>
  <c r="AF21" i="16"/>
  <c r="M47" i="16"/>
  <c r="N47" i="16" s="1"/>
  <c r="S33" i="16"/>
  <c r="T33" i="16" s="1"/>
  <c r="S44" i="16"/>
  <c r="T44" i="16" s="1"/>
  <c r="N26" i="16"/>
  <c r="AE45" i="16"/>
  <c r="AF45" i="16" s="1"/>
  <c r="Y46" i="16"/>
  <c r="Z46" i="16" s="1"/>
  <c r="Y48" i="16"/>
  <c r="Z48" i="16" s="1"/>
  <c r="Y34" i="16"/>
  <c r="Z34" i="16" s="1"/>
  <c r="N25" i="16"/>
  <c r="M46" i="16"/>
  <c r="N46" i="16" s="1"/>
  <c r="M48" i="16"/>
  <c r="N48" i="16" s="1"/>
  <c r="Y47" i="16"/>
  <c r="Z47" i="16" s="1"/>
  <c r="S45" i="16"/>
  <c r="T45" i="16" s="1"/>
  <c r="AE47" i="16"/>
  <c r="AF47" i="16" s="1"/>
  <c r="N21" i="16"/>
  <c r="S25" i="16"/>
  <c r="Z25" i="16"/>
  <c r="S41" i="16"/>
  <c r="T41" i="16" s="1"/>
  <c r="M41" i="16"/>
  <c r="N41" i="16" s="1"/>
  <c r="Z32" i="16"/>
  <c r="S32" i="16"/>
  <c r="T32" i="16" s="1"/>
  <c r="T21" i="16"/>
  <c r="M21" i="16"/>
  <c r="M44" i="16"/>
  <c r="N44" i="16" s="1"/>
  <c r="T20" i="16"/>
  <c r="M20" i="16"/>
  <c r="Y41" i="16"/>
  <c r="Z41" i="16" s="1"/>
  <c r="S40" i="16"/>
  <c r="T40" i="16" s="1"/>
  <c r="M26" i="16"/>
  <c r="T26" i="16"/>
  <c r="M45" i="16"/>
  <c r="N45" i="16" s="1"/>
  <c r="AE48" i="16"/>
  <c r="AF48" i="16" s="1"/>
  <c r="M34" i="16"/>
  <c r="N34" i="16" s="1"/>
  <c r="Y44" i="16"/>
  <c r="Z44" i="16" s="1"/>
  <c r="M25" i="16"/>
  <c r="M41" i="15"/>
  <c r="N41" i="15" s="1"/>
  <c r="M27" i="15"/>
  <c r="S26" i="15"/>
  <c r="M20" i="15"/>
  <c r="N25" i="15"/>
  <c r="S27" i="15"/>
  <c r="AE43" i="15"/>
  <c r="AF43" i="15" s="1"/>
  <c r="S33" i="15"/>
  <c r="T33" i="15" s="1"/>
  <c r="M25" i="15"/>
  <c r="Z20" i="15"/>
  <c r="M26" i="15"/>
  <c r="AE20" i="15"/>
  <c r="AE24" i="15"/>
  <c r="AF29" i="15"/>
  <c r="S24" i="15"/>
  <c r="T24" i="15" s="1"/>
  <c r="S41" i="15"/>
  <c r="T41" i="15" s="1"/>
  <c r="S43" i="15"/>
  <c r="T43" i="15" s="1"/>
  <c r="S32" i="15"/>
  <c r="T32" i="15" s="1"/>
  <c r="Z32" i="15"/>
  <c r="Y32" i="15"/>
  <c r="Y27" i="15"/>
  <c r="AF27" i="15"/>
  <c r="Y41" i="15"/>
  <c r="Z41" i="15" s="1"/>
  <c r="AF26" i="15"/>
  <c r="Y26" i="15"/>
  <c r="AF24" i="15"/>
  <c r="Y24" i="15"/>
  <c r="Z24" i="15" s="1"/>
  <c r="Y20" i="15"/>
  <c r="AF20" i="15"/>
  <c r="M24" i="15"/>
  <c r="N24" i="15" s="1"/>
  <c r="S34" i="15"/>
  <c r="T34" i="15" s="1"/>
  <c r="N27" i="15"/>
  <c r="M43" i="15"/>
  <c r="N43" i="15" s="1"/>
  <c r="W40" i="15"/>
  <c r="K40" i="15"/>
  <c r="AC40" i="15"/>
  <c r="Q40" i="15"/>
  <c r="H40" i="15"/>
  <c r="N20" i="15"/>
  <c r="M34" i="15"/>
  <c r="N34" i="15" s="1"/>
  <c r="Y34" i="15"/>
  <c r="Z34" i="15" s="1"/>
  <c r="AE34" i="15"/>
  <c r="AF34" i="15" s="1"/>
  <c r="Y43" i="15"/>
  <c r="Z43" i="15" s="1"/>
  <c r="AE33" i="14"/>
  <c r="AF33" i="14" s="1"/>
  <c r="S41" i="14"/>
  <c r="T41" i="14" s="1"/>
  <c r="M34" i="14"/>
  <c r="N34" i="14" s="1"/>
  <c r="AE29" i="14"/>
  <c r="N27" i="14"/>
  <c r="M20" i="14"/>
  <c r="S20" i="14"/>
  <c r="T20" i="14" s="1"/>
  <c r="S21" i="14"/>
  <c r="Z21" i="14"/>
  <c r="M27" i="14"/>
  <c r="T27" i="14"/>
  <c r="Y20" i="14"/>
  <c r="S27" i="14"/>
  <c r="AE20" i="14"/>
  <c r="S26" i="14"/>
  <c r="Z26" i="14"/>
  <c r="S33" i="14"/>
  <c r="T33" i="14" s="1"/>
  <c r="AE32" i="14"/>
  <c r="M40" i="14"/>
  <c r="N40" i="14" s="1"/>
  <c r="AE40" i="14"/>
  <c r="AF40" i="14" s="1"/>
  <c r="T25" i="14"/>
  <c r="M25" i="14"/>
  <c r="S24" i="14"/>
  <c r="T24" i="14" s="1"/>
  <c r="Z24" i="14"/>
  <c r="Y33" i="14"/>
  <c r="Z33" i="14" s="1"/>
  <c r="M33" i="14"/>
  <c r="N33" i="14" s="1"/>
  <c r="N26" i="14"/>
  <c r="Y41" i="14"/>
  <c r="Z41" i="14" s="1"/>
  <c r="Y32" i="14"/>
  <c r="AF32" i="14"/>
  <c r="Y34" i="14"/>
  <c r="Z34" i="14" s="1"/>
  <c r="Z43" i="14"/>
  <c r="S43" i="14"/>
  <c r="T43" i="14" s="1"/>
  <c r="AE34" i="14"/>
  <c r="AF34" i="14" s="1"/>
  <c r="S40" i="14"/>
  <c r="T40" i="14" s="1"/>
  <c r="N25" i="14"/>
  <c r="Y24" i="14"/>
  <c r="AF24" i="14"/>
  <c r="AF29" i="14"/>
  <c r="Y40" i="14"/>
  <c r="Z40" i="14" s="1"/>
  <c r="Y26" i="14"/>
  <c r="M43" i="14"/>
  <c r="N43" i="14" s="1"/>
  <c r="M41" i="14"/>
  <c r="N41" i="14" s="1"/>
  <c r="M26" i="14"/>
  <c r="T26" i="14"/>
  <c r="AE48" i="13"/>
  <c r="AF48" i="13" s="1"/>
  <c r="S20" i="13"/>
  <c r="T20" i="13" s="1"/>
  <c r="M20" i="13"/>
  <c r="M33" i="13"/>
  <c r="N33" i="13" s="1"/>
  <c r="M27" i="13"/>
  <c r="AE46" i="13"/>
  <c r="AF46" i="13" s="1"/>
  <c r="M48" i="13"/>
  <c r="N48" i="13" s="1"/>
  <c r="Z20" i="13"/>
  <c r="AE43" i="13"/>
  <c r="AF43" i="13" s="1"/>
  <c r="M32" i="13"/>
  <c r="W41" i="13"/>
  <c r="AE41" i="13" s="1"/>
  <c r="K41" i="13"/>
  <c r="H41" i="13"/>
  <c r="Q41" i="13"/>
  <c r="M45" i="13"/>
  <c r="N45" i="13" s="1"/>
  <c r="M34" i="13"/>
  <c r="N34" i="13" s="1"/>
  <c r="Y44" i="13"/>
  <c r="Z44" i="13" s="1"/>
  <c r="Y20" i="13"/>
  <c r="AF20" i="13"/>
  <c r="AE40" i="13"/>
  <c r="AF40" i="13" s="1"/>
  <c r="AE20" i="13"/>
  <c r="M40" i="13"/>
  <c r="N40" i="13" s="1"/>
  <c r="AE47" i="13"/>
  <c r="AF47" i="13" s="1"/>
  <c r="AE44" i="13"/>
  <c r="AF44" i="13" s="1"/>
  <c r="M25" i="13"/>
  <c r="T25" i="13"/>
  <c r="Y43" i="13"/>
  <c r="Z43" i="13" s="1"/>
  <c r="AE25" i="13"/>
  <c r="T26" i="13"/>
  <c r="M26" i="13"/>
  <c r="S44" i="13"/>
  <c r="T44" i="13" s="1"/>
  <c r="S25" i="13"/>
  <c r="Z25" i="13"/>
  <c r="S47" i="13"/>
  <c r="T47" i="13" s="1"/>
  <c r="Z47" i="13"/>
  <c r="AE34" i="13"/>
  <c r="AF34" i="13" s="1"/>
  <c r="M43" i="13"/>
  <c r="N43" i="13" s="1"/>
  <c r="S40" i="13"/>
  <c r="T40" i="13" s="1"/>
  <c r="AF25" i="13"/>
  <c r="Y25" i="13"/>
  <c r="Y34" i="13"/>
  <c r="Z34" i="13" s="1"/>
  <c r="M44" i="13"/>
  <c r="N44" i="13" s="1"/>
  <c r="M46" i="13"/>
  <c r="N46" i="13" s="1"/>
  <c r="S26" i="13"/>
  <c r="Z26" i="13"/>
  <c r="S34" i="13"/>
  <c r="T34" i="13" s="1"/>
  <c r="S45" i="13"/>
  <c r="T45" i="13" s="1"/>
  <c r="Z24" i="13"/>
  <c r="S24" i="13"/>
  <c r="T24" i="13" s="1"/>
  <c r="Y45" i="13"/>
  <c r="Z45" i="13" s="1"/>
  <c r="N25" i="13"/>
  <c r="S46" i="13"/>
  <c r="T46" i="13" s="1"/>
  <c r="S43" i="13"/>
  <c r="T43" i="13" s="1"/>
  <c r="Y46" i="13"/>
  <c r="Z46" i="13" s="1"/>
  <c r="N26" i="13"/>
  <c r="F41" i="12"/>
  <c r="F40" i="12"/>
  <c r="S24" i="12"/>
  <c r="S27" i="12"/>
  <c r="Y45" i="12"/>
  <c r="Z45" i="12" s="1"/>
  <c r="AE33" i="12"/>
  <c r="AF33" i="12" s="1"/>
  <c r="AE46" i="12"/>
  <c r="AF46" i="12" s="1"/>
  <c r="M46" i="12"/>
  <c r="N46" i="12" s="1"/>
  <c r="Y34" i="12"/>
  <c r="Z34" i="12" s="1"/>
  <c r="N32" i="12"/>
  <c r="Z25" i="12"/>
  <c r="S25" i="12"/>
  <c r="AE26" i="12"/>
  <c r="AF27" i="12"/>
  <c r="Y27" i="12"/>
  <c r="AE27" i="12"/>
  <c r="AE34" i="12"/>
  <c r="AF34" i="12" s="1"/>
  <c r="Z32" i="12"/>
  <c r="S32" i="12"/>
  <c r="N25" i="12"/>
  <c r="M21" i="12"/>
  <c r="N21" i="12" s="1"/>
  <c r="T21" i="12"/>
  <c r="M25" i="12"/>
  <c r="T25" i="12"/>
  <c r="Z21" i="12"/>
  <c r="S21" i="12"/>
  <c r="S26" i="12"/>
  <c r="Z26" i="12"/>
  <c r="AF26" i="12"/>
  <c r="Y26" i="12"/>
  <c r="M26" i="12"/>
  <c r="T26" i="12"/>
  <c r="M45" i="12"/>
  <c r="N45" i="12" s="1"/>
  <c r="S34" i="12"/>
  <c r="T34" i="12" s="1"/>
  <c r="Y21" i="12"/>
  <c r="AF21" i="12"/>
  <c r="Y46" i="12"/>
  <c r="Z46" i="12" s="1"/>
  <c r="N27" i="12"/>
  <c r="M27" i="12"/>
  <c r="AF25" i="12"/>
  <c r="Y25" i="12"/>
  <c r="AF32" i="12"/>
  <c r="Y32" i="12"/>
  <c r="AE25" i="12"/>
  <c r="AE21" i="12"/>
  <c r="N26" i="12"/>
  <c r="S46" i="12"/>
  <c r="T46" i="12" s="1"/>
  <c r="S41" i="13" l="1"/>
  <c r="T41" i="13" s="1"/>
  <c r="S40" i="15"/>
  <c r="T40" i="15" s="1"/>
  <c r="AE40" i="15"/>
  <c r="AF40" i="15" s="1"/>
  <c r="M40" i="15"/>
  <c r="N40" i="15" s="1"/>
  <c r="Y40" i="15"/>
  <c r="Z40" i="15" s="1"/>
  <c r="M41" i="13"/>
  <c r="N41" i="13" s="1"/>
  <c r="Y41" i="13"/>
  <c r="Z41" i="13" s="1"/>
  <c r="AF41" i="13"/>
  <c r="AC40" i="12"/>
  <c r="H40" i="12"/>
  <c r="K40" i="12"/>
  <c r="W40" i="12"/>
  <c r="Q40" i="12"/>
  <c r="K41" i="12"/>
  <c r="W41" i="12"/>
  <c r="AC41" i="12"/>
  <c r="H41" i="12"/>
  <c r="Q41" i="12"/>
  <c r="AE41" i="12" l="1"/>
  <c r="AF41" i="12" s="1"/>
  <c r="M40" i="12"/>
  <c r="N40" i="12" s="1"/>
  <c r="S41" i="12"/>
  <c r="T41" i="12" s="1"/>
  <c r="S40" i="12"/>
  <c r="T40" i="12" s="1"/>
  <c r="Y40" i="12"/>
  <c r="Z40" i="12" s="1"/>
  <c r="Y41" i="12"/>
  <c r="Z41" i="12" s="1"/>
  <c r="M41" i="12"/>
  <c r="N41" i="12" s="1"/>
  <c r="AE40" i="12"/>
  <c r="AF40" i="12" s="1"/>
  <c r="AC42" i="11" l="1"/>
  <c r="AC35" i="11"/>
  <c r="AC15" i="11"/>
  <c r="AE55" i="11"/>
  <c r="AE49" i="11"/>
  <c r="AC18" i="11"/>
  <c r="AC17" i="11"/>
  <c r="AC16" i="11"/>
  <c r="AC13" i="11"/>
  <c r="W35" i="11"/>
  <c r="W15" i="11"/>
  <c r="Y55" i="11"/>
  <c r="Y49" i="11"/>
  <c r="W18" i="11"/>
  <c r="AF18" i="11" s="1"/>
  <c r="W17" i="11"/>
  <c r="AF17" i="11" s="1"/>
  <c r="W16" i="11"/>
  <c r="W13" i="11"/>
  <c r="AF13" i="11" s="1"/>
  <c r="Q35" i="11"/>
  <c r="Q15" i="11"/>
  <c r="S55" i="11"/>
  <c r="S49" i="11"/>
  <c r="Q18" i="11"/>
  <c r="Z18" i="11" s="1"/>
  <c r="Q17" i="11"/>
  <c r="Q16" i="11"/>
  <c r="Z16" i="11" s="1"/>
  <c r="K35" i="11"/>
  <c r="K15" i="11"/>
  <c r="M55" i="11"/>
  <c r="M49" i="11"/>
  <c r="K18" i="11"/>
  <c r="K17" i="11"/>
  <c r="T17" i="11" s="1"/>
  <c r="K16" i="11"/>
  <c r="T16" i="11" s="1"/>
  <c r="H18" i="11"/>
  <c r="N18" i="11" s="1"/>
  <c r="H17" i="11"/>
  <c r="N17" i="11" s="1"/>
  <c r="H16" i="11"/>
  <c r="N16" i="11" s="1"/>
  <c r="H13" i="11"/>
  <c r="F48" i="11"/>
  <c r="F46" i="11"/>
  <c r="F45" i="11"/>
  <c r="F44" i="11"/>
  <c r="F43" i="11"/>
  <c r="H42" i="11"/>
  <c r="M42" i="11" s="1"/>
  <c r="N42" i="11" s="1"/>
  <c r="H35" i="11"/>
  <c r="F33" i="11"/>
  <c r="F32" i="11"/>
  <c r="F29" i="11"/>
  <c r="F27" i="11"/>
  <c r="F26" i="11"/>
  <c r="F25" i="11"/>
  <c r="F24" i="11"/>
  <c r="F21" i="11"/>
  <c r="F19" i="11"/>
  <c r="H15" i="11"/>
  <c r="AC44" i="11" l="1"/>
  <c r="K21" i="11"/>
  <c r="AC25" i="11"/>
  <c r="F38" i="11"/>
  <c r="F40" i="11" s="1"/>
  <c r="AE16" i="11"/>
  <c r="K45" i="11"/>
  <c r="Q48" i="11"/>
  <c r="K48" i="11"/>
  <c r="AC48" i="11"/>
  <c r="H48" i="11"/>
  <c r="W48" i="11"/>
  <c r="Q47" i="11"/>
  <c r="K47" i="11"/>
  <c r="AC47" i="11"/>
  <c r="H47" i="11"/>
  <c r="W47" i="11"/>
  <c r="K34" i="11"/>
  <c r="AE13" i="11"/>
  <c r="M18" i="11"/>
  <c r="AE18" i="11"/>
  <c r="Q24" i="11"/>
  <c r="W44" i="11"/>
  <c r="AE44" i="11" s="1"/>
  <c r="AF44" i="11" s="1"/>
  <c r="H34" i="11"/>
  <c r="Q20" i="11"/>
  <c r="Z20" i="11" s="1"/>
  <c r="Q27" i="11"/>
  <c r="Z27" i="11" s="1"/>
  <c r="W34" i="11"/>
  <c r="H44" i="11"/>
  <c r="Y16" i="11"/>
  <c r="W29" i="11"/>
  <c r="AF29" i="11" s="1"/>
  <c r="K46" i="11"/>
  <c r="AC45" i="11"/>
  <c r="H45" i="11"/>
  <c r="AC24" i="11"/>
  <c r="M16" i="11"/>
  <c r="W45" i="11"/>
  <c r="AC29" i="11"/>
  <c r="Q34" i="11"/>
  <c r="K24" i="11"/>
  <c r="Q46" i="11"/>
  <c r="H24" i="11"/>
  <c r="H26" i="11"/>
  <c r="N26" i="11" s="1"/>
  <c r="W24" i="11"/>
  <c r="S15" i="11"/>
  <c r="M35" i="11"/>
  <c r="S17" i="11"/>
  <c r="Z17" i="11"/>
  <c r="H21" i="11"/>
  <c r="AC21" i="11"/>
  <c r="Q21" i="11"/>
  <c r="W43" i="11"/>
  <c r="AC43" i="11"/>
  <c r="H43" i="11"/>
  <c r="K43" i="11"/>
  <c r="Q43" i="11"/>
  <c r="K25" i="11"/>
  <c r="T18" i="11"/>
  <c r="W21" i="11"/>
  <c r="Q25" i="11"/>
  <c r="H25" i="11"/>
  <c r="N25" i="11" s="1"/>
  <c r="W25" i="11"/>
  <c r="W32" i="11"/>
  <c r="AC32" i="11"/>
  <c r="K32" i="11"/>
  <c r="H32" i="11"/>
  <c r="N32" i="11" s="1"/>
  <c r="T21" i="11"/>
  <c r="Q32" i="11"/>
  <c r="Y15" i="11"/>
  <c r="AE42" i="11"/>
  <c r="AF42" i="11" s="1"/>
  <c r="Y17" i="11"/>
  <c r="M15" i="11"/>
  <c r="N15" i="11" s="1"/>
  <c r="M17" i="11"/>
  <c r="T15" i="11"/>
  <c r="Q44" i="11"/>
  <c r="Y35" i="11"/>
  <c r="AC26" i="11"/>
  <c r="AC46" i="11"/>
  <c r="AE15" i="11"/>
  <c r="AF15" i="11" s="1"/>
  <c r="AE35" i="11"/>
  <c r="K44" i="11"/>
  <c r="S16" i="11"/>
  <c r="Q45" i="11"/>
  <c r="Y18" i="11"/>
  <c r="W46" i="11"/>
  <c r="AC20" i="11"/>
  <c r="S35" i="11"/>
  <c r="W26" i="11"/>
  <c r="AC27" i="11"/>
  <c r="H20" i="11"/>
  <c r="H27" i="11"/>
  <c r="N27" i="11" s="1"/>
  <c r="H46" i="11"/>
  <c r="K26" i="11"/>
  <c r="Q26" i="11"/>
  <c r="Z15" i="11"/>
  <c r="W20" i="11"/>
  <c r="W27" i="11"/>
  <c r="AF16" i="11"/>
  <c r="K20" i="11"/>
  <c r="K27" i="11"/>
  <c r="S18" i="11"/>
  <c r="AE17" i="11"/>
  <c r="AC34" i="11"/>
  <c r="W40" i="11" l="1"/>
  <c r="K40" i="11"/>
  <c r="Q40" i="11"/>
  <c r="AE48" i="11"/>
  <c r="AF48" i="11" s="1"/>
  <c r="S45" i="11"/>
  <c r="T45" i="11" s="1"/>
  <c r="F41" i="11"/>
  <c r="AE25" i="11"/>
  <c r="S20" i="11"/>
  <c r="Y46" i="11"/>
  <c r="Z46" i="11" s="1"/>
  <c r="S34" i="11"/>
  <c r="T34" i="11" s="1"/>
  <c r="S27" i="11"/>
  <c r="M34" i="11"/>
  <c r="N34" i="11" s="1"/>
  <c r="S43" i="11"/>
  <c r="T43" i="11" s="1"/>
  <c r="AE47" i="11"/>
  <c r="AF47" i="11" s="1"/>
  <c r="Y45" i="11"/>
  <c r="Z45" i="11" s="1"/>
  <c r="AE24" i="11"/>
  <c r="AF24" i="11" s="1"/>
  <c r="AE29" i="11"/>
  <c r="M48" i="11"/>
  <c r="N48" i="11" s="1"/>
  <c r="M47" i="11"/>
  <c r="N47" i="11" s="1"/>
  <c r="S46" i="11"/>
  <c r="T46" i="11" s="1"/>
  <c r="M45" i="11"/>
  <c r="N45" i="11" s="1"/>
  <c r="S24" i="11"/>
  <c r="T24" i="11" s="1"/>
  <c r="AE34" i="11"/>
  <c r="AF34" i="11" s="1"/>
  <c r="M43" i="11"/>
  <c r="N43" i="11" s="1"/>
  <c r="M44" i="11"/>
  <c r="N44" i="11" s="1"/>
  <c r="S44" i="11"/>
  <c r="T44" i="11" s="1"/>
  <c r="Y24" i="11"/>
  <c r="Z24" i="11" s="1"/>
  <c r="AE21" i="11"/>
  <c r="S48" i="11"/>
  <c r="T48" i="11" s="1"/>
  <c r="AE20" i="11"/>
  <c r="M21" i="11"/>
  <c r="N21" i="11" s="1"/>
  <c r="M24" i="11"/>
  <c r="N24" i="11" s="1"/>
  <c r="AE45" i="11"/>
  <c r="AF45" i="11" s="1"/>
  <c r="Y48" i="11"/>
  <c r="Z48" i="11" s="1"/>
  <c r="Y34" i="11"/>
  <c r="Z34" i="11" s="1"/>
  <c r="AE43" i="11"/>
  <c r="AF43" i="11" s="1"/>
  <c r="T26" i="11"/>
  <c r="M26" i="11"/>
  <c r="Y26" i="11"/>
  <c r="AF26" i="11"/>
  <c r="S25" i="11"/>
  <c r="Z25" i="11"/>
  <c r="Y27" i="11"/>
  <c r="AF27" i="11"/>
  <c r="AE46" i="11"/>
  <c r="AF46" i="11" s="1"/>
  <c r="Y44" i="11"/>
  <c r="Z44" i="11" s="1"/>
  <c r="S32" i="11"/>
  <c r="Z32" i="11"/>
  <c r="Y20" i="11"/>
  <c r="AF20" i="11"/>
  <c r="T32" i="11"/>
  <c r="M32" i="11"/>
  <c r="Y47" i="11"/>
  <c r="Z47" i="11" s="1"/>
  <c r="AE26" i="11"/>
  <c r="AE32" i="11"/>
  <c r="Y43" i="11"/>
  <c r="Z43" i="11" s="1"/>
  <c r="Y32" i="11"/>
  <c r="AF32" i="11"/>
  <c r="M46" i="11"/>
  <c r="N46" i="11" s="1"/>
  <c r="AC40" i="11"/>
  <c r="H40" i="11"/>
  <c r="T27" i="11"/>
  <c r="M27" i="11"/>
  <c r="AE27" i="11"/>
  <c r="Y21" i="11"/>
  <c r="AF21" i="11"/>
  <c r="S21" i="11"/>
  <c r="Z21" i="11"/>
  <c r="T20" i="11"/>
  <c r="M20" i="11"/>
  <c r="N20" i="11" s="1"/>
  <c r="S26" i="11"/>
  <c r="Z26" i="11"/>
  <c r="Y25" i="11"/>
  <c r="AF25" i="11"/>
  <c r="M25" i="11"/>
  <c r="T25" i="11"/>
  <c r="S47" i="11"/>
  <c r="T47" i="11" s="1"/>
  <c r="M40" i="11" l="1"/>
  <c r="N40" i="11" s="1"/>
  <c r="K41" i="11"/>
  <c r="Q41" i="11"/>
  <c r="W41" i="11"/>
  <c r="S40" i="11"/>
  <c r="T40" i="11" s="1"/>
  <c r="Y40" i="11"/>
  <c r="Z40" i="11" s="1"/>
  <c r="AC41" i="11"/>
  <c r="AE41" i="11" s="1"/>
  <c r="AF41" i="11" s="1"/>
  <c r="H41" i="11"/>
  <c r="AE40" i="11"/>
  <c r="AF40" i="11" s="1"/>
  <c r="Y41" i="11" l="1"/>
  <c r="Z41" i="11" s="1"/>
  <c r="S41" i="11"/>
  <c r="T41" i="11" s="1"/>
  <c r="M41" i="11"/>
  <c r="N41" i="11" s="1"/>
  <c r="H33" i="45" l="1"/>
  <c r="H33" i="43"/>
  <c r="H33" i="47"/>
  <c r="H33" i="11"/>
  <c r="H33" i="42"/>
  <c r="H33" i="46"/>
  <c r="H33" i="44"/>
  <c r="Q33" i="43"/>
  <c r="Q33" i="46"/>
  <c r="Q33" i="44"/>
  <c r="Q33" i="47"/>
  <c r="Q33" i="45"/>
  <c r="Q33" i="42"/>
  <c r="Q33" i="11"/>
  <c r="K33" i="46"/>
  <c r="K33" i="45"/>
  <c r="K33" i="44"/>
  <c r="K33" i="42"/>
  <c r="K33" i="43"/>
  <c r="K33" i="11"/>
  <c r="M33" i="11" s="1"/>
  <c r="N33" i="11" s="1"/>
  <c r="K33" i="47"/>
  <c r="AC33" i="45"/>
  <c r="AC33" i="11"/>
  <c r="AC33" i="46"/>
  <c r="AC33" i="44"/>
  <c r="AC33" i="43"/>
  <c r="AC33" i="42"/>
  <c r="AC33" i="47"/>
  <c r="M33" i="43" l="1"/>
  <c r="N33" i="43" s="1"/>
  <c r="M33" i="47"/>
  <c r="N33" i="47" s="1"/>
  <c r="M33" i="45"/>
  <c r="N33" i="45" s="1"/>
  <c r="M33" i="46"/>
  <c r="N33" i="46" s="1"/>
  <c r="M33" i="42"/>
  <c r="N33" i="42" s="1"/>
  <c r="M33" i="44"/>
  <c r="N33" i="44" s="1"/>
  <c r="S33" i="11"/>
  <c r="T33" i="11" s="1"/>
  <c r="S33" i="42"/>
  <c r="T33" i="42" s="1"/>
  <c r="S33" i="45"/>
  <c r="T33" i="45" s="1"/>
  <c r="S33" i="47"/>
  <c r="T33" i="47" s="1"/>
  <c r="S33" i="44"/>
  <c r="T33" i="44" s="1"/>
  <c r="S33" i="46"/>
  <c r="T33" i="46" s="1"/>
  <c r="W33" i="11"/>
  <c r="Y33" i="11" s="1"/>
  <c r="Z33" i="11" s="1"/>
  <c r="W33" i="44"/>
  <c r="Y33" i="44" s="1"/>
  <c r="Z33" i="44" s="1"/>
  <c r="W33" i="46"/>
  <c r="Y33" i="46" s="1"/>
  <c r="Z33" i="46" s="1"/>
  <c r="W33" i="47"/>
  <c r="Y33" i="47" s="1"/>
  <c r="Z33" i="47" s="1"/>
  <c r="W33" i="42"/>
  <c r="Y33" i="42" s="1"/>
  <c r="Z33" i="42" s="1"/>
  <c r="W33" i="45"/>
  <c r="Y33" i="45" s="1"/>
  <c r="Z33" i="45" s="1"/>
  <c r="W33" i="43"/>
  <c r="Y33" i="43" s="1"/>
  <c r="Z33" i="43" s="1"/>
  <c r="S33" i="43"/>
  <c r="T33" i="43" s="1"/>
  <c r="AE33" i="42" l="1"/>
  <c r="AF33" i="42" s="1"/>
  <c r="AE33" i="11"/>
  <c r="AF33" i="11" s="1"/>
  <c r="AE33" i="46"/>
  <c r="AF33" i="46" s="1"/>
  <c r="AE33" i="44"/>
  <c r="AF33" i="44" s="1"/>
  <c r="AE33" i="47"/>
  <c r="AF33" i="47" s="1"/>
  <c r="AE33" i="45"/>
  <c r="AF33" i="45" s="1"/>
  <c r="AE33" i="43"/>
  <c r="AF33" i="43" s="1"/>
  <c r="K30" i="58" l="1"/>
  <c r="K30" i="57"/>
  <c r="K30" i="56"/>
  <c r="K30" i="14"/>
  <c r="M30" i="56" l="1"/>
  <c r="N30" i="56" s="1"/>
  <c r="M30" i="57"/>
  <c r="N30" i="57" s="1"/>
  <c r="M30" i="14"/>
  <c r="N30" i="14" s="1"/>
  <c r="M30" i="58"/>
  <c r="N30" i="58" s="1"/>
  <c r="K30" i="59" l="1"/>
  <c r="K30" i="37"/>
  <c r="F4" i="63" l="1"/>
  <c r="G4" i="63"/>
  <c r="T30" i="59"/>
  <c r="F3" i="63"/>
  <c r="G3" i="63"/>
  <c r="H4" i="63"/>
  <c r="H3" i="63"/>
  <c r="F6" i="63" l="1"/>
  <c r="F7" i="63"/>
  <c r="M53" i="56" l="1"/>
  <c r="N53" i="56" s="1"/>
  <c r="M53" i="14"/>
  <c r="N53" i="14" s="1"/>
  <c r="H7" i="63"/>
  <c r="M59" i="59"/>
  <c r="N59" i="59" s="1"/>
  <c r="M53" i="59"/>
  <c r="N53" i="59" s="1"/>
  <c r="M59" i="56"/>
  <c r="N59" i="56" s="1"/>
  <c r="M59" i="15"/>
  <c r="N59" i="15" s="1"/>
  <c r="M53" i="57"/>
  <c r="N53" i="57" s="1"/>
  <c r="M53" i="15"/>
  <c r="N53" i="15" s="1"/>
  <c r="G7" i="63"/>
  <c r="M59" i="16"/>
  <c r="N59" i="16" s="1"/>
  <c r="M53" i="58"/>
  <c r="N53" i="58" s="1"/>
  <c r="M53" i="61"/>
  <c r="N53" i="61" s="1"/>
  <c r="M53" i="53"/>
  <c r="N53" i="53" s="1"/>
  <c r="M59" i="62"/>
  <c r="N59" i="62" s="1"/>
  <c r="M53" i="52"/>
  <c r="N53" i="52" s="1"/>
  <c r="M59" i="55"/>
  <c r="N59" i="55" s="1"/>
  <c r="M59" i="52"/>
  <c r="N59" i="52" s="1"/>
  <c r="M53" i="37"/>
  <c r="N53" i="37" s="1"/>
  <c r="M53" i="60"/>
  <c r="N53" i="60" s="1"/>
  <c r="M59" i="58"/>
  <c r="N59" i="58" s="1"/>
  <c r="M59" i="13"/>
  <c r="N59" i="13" s="1"/>
  <c r="M53" i="54"/>
  <c r="N53" i="54" s="1"/>
  <c r="M53" i="13"/>
  <c r="N53" i="13" s="1"/>
  <c r="M53" i="16"/>
  <c r="N53" i="16" s="1"/>
  <c r="M59" i="14"/>
  <c r="N59" i="14" s="1"/>
  <c r="M59" i="61"/>
  <c r="N59" i="61" s="1"/>
  <c r="M53" i="62"/>
  <c r="N53" i="62" s="1"/>
  <c r="M53" i="55"/>
  <c r="N53" i="55" s="1"/>
  <c r="M59" i="54"/>
  <c r="N59" i="54" s="1"/>
  <c r="M59" i="37"/>
  <c r="N59" i="37" s="1"/>
  <c r="M59" i="17" l="1"/>
  <c r="N59" i="17" s="1"/>
  <c r="M59" i="57"/>
  <c r="N59" i="57" s="1"/>
  <c r="M53" i="17"/>
  <c r="N53" i="17" s="1"/>
  <c r="M59" i="53"/>
  <c r="N59" i="53" s="1"/>
  <c r="M59" i="60"/>
  <c r="N59" i="60" s="1"/>
  <c r="G6" i="63" l="1"/>
  <c r="H6" i="63" l="1"/>
  <c r="Q30" i="16" l="1"/>
  <c r="K30" i="16"/>
  <c r="K30" i="61"/>
  <c r="Q30" i="61"/>
  <c r="Q30" i="66"/>
  <c r="Q30" i="56"/>
  <c r="Q30" i="58"/>
  <c r="Q30" i="14"/>
  <c r="Q30" i="57"/>
  <c r="Q30" i="60"/>
  <c r="K30" i="15"/>
  <c r="K30" i="60"/>
  <c r="Q30" i="15"/>
  <c r="K30" i="17"/>
  <c r="K30" i="62"/>
  <c r="Q30" i="62"/>
  <c r="Y30" i="62" s="1"/>
  <c r="Z30" i="62" s="1"/>
  <c r="Q30" i="17"/>
  <c r="Y30" i="17" s="1"/>
  <c r="Z30" i="17" s="1"/>
  <c r="Q30" i="37"/>
  <c r="Q30" i="59"/>
  <c r="K38" i="44" l="1"/>
  <c r="K38" i="11"/>
  <c r="K38" i="42"/>
  <c r="K38" i="46"/>
  <c r="K38" i="43"/>
  <c r="K38" i="65"/>
  <c r="K38" i="45"/>
  <c r="K38" i="47"/>
  <c r="Q38" i="47"/>
  <c r="Q38" i="11"/>
  <c r="S38" i="11" s="1"/>
  <c r="T38" i="11" s="1"/>
  <c r="Q38" i="42"/>
  <c r="S38" i="42" s="1"/>
  <c r="T38" i="42" s="1"/>
  <c r="Q38" i="43"/>
  <c r="Q38" i="45"/>
  <c r="Q38" i="65"/>
  <c r="S38" i="65" s="1"/>
  <c r="T38" i="65" s="1"/>
  <c r="Q38" i="44"/>
  <c r="Q38" i="46"/>
  <c r="S38" i="46" s="1"/>
  <c r="T38" i="46" s="1"/>
  <c r="K38" i="60"/>
  <c r="K38" i="15"/>
  <c r="Q38" i="15"/>
  <c r="S38" i="15" s="1"/>
  <c r="T38" i="15" s="1"/>
  <c r="Q38" i="60"/>
  <c r="K37" i="49"/>
  <c r="K37" i="50"/>
  <c r="K37" i="48"/>
  <c r="K37" i="12"/>
  <c r="K37" i="51"/>
  <c r="Q37" i="12"/>
  <c r="Q37" i="51"/>
  <c r="Q37" i="48"/>
  <c r="Q37" i="50"/>
  <c r="Q37" i="49"/>
  <c r="K37" i="61"/>
  <c r="K37" i="16"/>
  <c r="Q37" i="16"/>
  <c r="Q37" i="61"/>
  <c r="K38" i="16"/>
  <c r="K38" i="61"/>
  <c r="Q38" i="16"/>
  <c r="Q38" i="61"/>
  <c r="S38" i="61" s="1"/>
  <c r="T38" i="61" s="1"/>
  <c r="K37" i="55"/>
  <c r="K37" i="52"/>
  <c r="K37" i="53"/>
  <c r="K37" i="13"/>
  <c r="K37" i="54"/>
  <c r="Q37" i="52"/>
  <c r="Q37" i="13"/>
  <c r="S37" i="13" s="1"/>
  <c r="T37" i="13" s="1"/>
  <c r="Q37" i="54"/>
  <c r="S37" i="54" s="1"/>
  <c r="T37" i="54" s="1"/>
  <c r="Q37" i="53"/>
  <c r="Q37" i="55"/>
  <c r="K37" i="62"/>
  <c r="K37" i="17"/>
  <c r="Q37" i="62"/>
  <c r="Q37" i="17"/>
  <c r="K38" i="52"/>
  <c r="K38" i="53"/>
  <c r="K38" i="54"/>
  <c r="K38" i="55"/>
  <c r="K38" i="13"/>
  <c r="Q38" i="52"/>
  <c r="Q38" i="54"/>
  <c r="Q38" i="13"/>
  <c r="Q38" i="53"/>
  <c r="Q38" i="55"/>
  <c r="S38" i="55" s="1"/>
  <c r="T38" i="55" s="1"/>
  <c r="K38" i="17"/>
  <c r="K38" i="62"/>
  <c r="Q38" i="62"/>
  <c r="S38" i="62" s="1"/>
  <c r="T38" i="62" s="1"/>
  <c r="Q38" i="17"/>
  <c r="K37" i="14"/>
  <c r="K37" i="59"/>
  <c r="K37" i="66"/>
  <c r="K37" i="58"/>
  <c r="Q37" i="66"/>
  <c r="K37" i="57"/>
  <c r="K37" i="56"/>
  <c r="K37" i="37"/>
  <c r="Q37" i="59"/>
  <c r="Q37" i="37"/>
  <c r="S37" i="37" s="1"/>
  <c r="T37" i="37" s="1"/>
  <c r="Q37" i="58"/>
  <c r="Q37" i="57"/>
  <c r="S37" i="57" s="1"/>
  <c r="T37" i="57" s="1"/>
  <c r="Q37" i="14"/>
  <c r="S37" i="14" s="1"/>
  <c r="T37" i="14" s="1"/>
  <c r="Q37" i="56"/>
  <c r="K38" i="49"/>
  <c r="K38" i="50"/>
  <c r="K38" i="48"/>
  <c r="K38" i="12"/>
  <c r="K38" i="51"/>
  <c r="Q38" i="12"/>
  <c r="Q38" i="49"/>
  <c r="Q38" i="48"/>
  <c r="S38" i="48" s="1"/>
  <c r="T38" i="48" s="1"/>
  <c r="Q38" i="51"/>
  <c r="Q38" i="50"/>
  <c r="S38" i="50" s="1"/>
  <c r="T38" i="50" s="1"/>
  <c r="K38" i="14"/>
  <c r="Q38" i="66"/>
  <c r="K38" i="58"/>
  <c r="K38" i="66"/>
  <c r="K38" i="56"/>
  <c r="K38" i="37"/>
  <c r="K38" i="59"/>
  <c r="K38" i="57"/>
  <c r="Q38" i="56"/>
  <c r="S38" i="56" s="1"/>
  <c r="T38" i="56" s="1"/>
  <c r="Q38" i="58"/>
  <c r="Q38" i="14"/>
  <c r="S38" i="14" s="1"/>
  <c r="T38" i="14" s="1"/>
  <c r="Q38" i="59"/>
  <c r="Q38" i="57"/>
  <c r="Q38" i="37"/>
  <c r="S38" i="37" s="1"/>
  <c r="T38" i="37" s="1"/>
  <c r="K37" i="60"/>
  <c r="K37" i="15"/>
  <c r="Q37" i="60"/>
  <c r="Q37" i="15"/>
  <c r="Y30" i="14"/>
  <c r="Z30" i="14" s="1"/>
  <c r="S30" i="14"/>
  <c r="T30" i="14" s="1"/>
  <c r="S30" i="62"/>
  <c r="T30" i="62" s="1"/>
  <c r="Y30" i="58"/>
  <c r="Z30" i="58" s="1"/>
  <c r="S30" i="58"/>
  <c r="T30" i="58" s="1"/>
  <c r="S30" i="17"/>
  <c r="T30" i="17" s="1"/>
  <c r="S30" i="56"/>
  <c r="T30" i="56" s="1"/>
  <c r="Y30" i="56"/>
  <c r="Z30" i="56" s="1"/>
  <c r="S30" i="15"/>
  <c r="T30" i="15" s="1"/>
  <c r="Y30" i="15"/>
  <c r="Z30" i="15" s="1"/>
  <c r="Y30" i="66"/>
  <c r="Z30" i="66" s="1"/>
  <c r="S30" i="66"/>
  <c r="Y30" i="61"/>
  <c r="Z30" i="61" s="1"/>
  <c r="S30" i="61"/>
  <c r="T30" i="61" s="1"/>
  <c r="Y30" i="59"/>
  <c r="Z30" i="59" s="1"/>
  <c r="S30" i="59"/>
  <c r="S30" i="37"/>
  <c r="T30" i="37" s="1"/>
  <c r="Y30" i="37"/>
  <c r="Z30" i="37" s="1"/>
  <c r="S30" i="60"/>
  <c r="T30" i="60" s="1"/>
  <c r="Y30" i="60"/>
  <c r="Z30" i="60" s="1"/>
  <c r="Y30" i="57"/>
  <c r="Z30" i="57" s="1"/>
  <c r="S30" i="57"/>
  <c r="T30" i="57" s="1"/>
  <c r="Y30" i="16"/>
  <c r="Z30" i="16" s="1"/>
  <c r="S30" i="16"/>
  <c r="T30" i="16" s="1"/>
  <c r="S37" i="52" l="1"/>
  <c r="T37" i="52" s="1"/>
  <c r="S37" i="61"/>
  <c r="T37" i="61" s="1"/>
  <c r="S37" i="16"/>
  <c r="T37" i="16" s="1"/>
  <c r="S37" i="53"/>
  <c r="T37" i="53" s="1"/>
  <c r="S38" i="44"/>
  <c r="T38" i="44" s="1"/>
  <c r="S38" i="13"/>
  <c r="T38" i="13" s="1"/>
  <c r="S38" i="60"/>
  <c r="T38" i="60" s="1"/>
  <c r="S38" i="43"/>
  <c r="T38" i="43" s="1"/>
  <c r="S37" i="62"/>
  <c r="T37" i="62" s="1"/>
  <c r="S37" i="51"/>
  <c r="T37" i="51" s="1"/>
  <c r="S37" i="12"/>
  <c r="T37" i="12" s="1"/>
  <c r="S38" i="16"/>
  <c r="T38" i="16" s="1"/>
  <c r="S38" i="17"/>
  <c r="T38" i="17" s="1"/>
  <c r="S38" i="12"/>
  <c r="T38" i="12" s="1"/>
  <c r="S38" i="58"/>
  <c r="T38" i="58" s="1"/>
  <c r="S37" i="58"/>
  <c r="T37" i="58" s="1"/>
  <c r="S38" i="53"/>
  <c r="T38" i="53" s="1"/>
  <c r="S37" i="50"/>
  <c r="T37" i="50" s="1"/>
  <c r="S38" i="54"/>
  <c r="T38" i="54" s="1"/>
  <c r="S38" i="51"/>
  <c r="T38" i="51" s="1"/>
  <c r="S38" i="52"/>
  <c r="T38" i="52" s="1"/>
  <c r="S37" i="49"/>
  <c r="T37" i="49" s="1"/>
  <c r="K37" i="47"/>
  <c r="K37" i="45"/>
  <c r="K37" i="44"/>
  <c r="K37" i="11"/>
  <c r="K37" i="65"/>
  <c r="K37" i="42"/>
  <c r="K37" i="46"/>
  <c r="K37" i="43"/>
  <c r="Q37" i="43"/>
  <c r="Q37" i="46"/>
  <c r="Q37" i="47"/>
  <c r="Q37" i="45"/>
  <c r="Q37" i="65"/>
  <c r="S37" i="65" s="1"/>
  <c r="T37" i="65" s="1"/>
  <c r="Q37" i="11"/>
  <c r="Q37" i="44"/>
  <c r="Q37" i="42"/>
  <c r="W38" i="48"/>
  <c r="Y38" i="48" s="1"/>
  <c r="Z38" i="48" s="1"/>
  <c r="W38" i="49"/>
  <c r="Y38" i="49" s="1"/>
  <c r="Z38" i="49" s="1"/>
  <c r="W38" i="50"/>
  <c r="Y38" i="50" s="1"/>
  <c r="Z38" i="50" s="1"/>
  <c r="W38" i="51"/>
  <c r="Y38" i="51" s="1"/>
  <c r="Z38" i="51" s="1"/>
  <c r="W38" i="12"/>
  <c r="Y38" i="12" s="1"/>
  <c r="Z38" i="12" s="1"/>
  <c r="S37" i="59"/>
  <c r="T37" i="59" s="1"/>
  <c r="S37" i="17"/>
  <c r="T37" i="17" s="1"/>
  <c r="S37" i="48"/>
  <c r="T37" i="48" s="1"/>
  <c r="W37" i="48"/>
  <c r="Y37" i="48" s="1"/>
  <c r="Z37" i="48" s="1"/>
  <c r="W37" i="50"/>
  <c r="Y37" i="50" s="1"/>
  <c r="Z37" i="50" s="1"/>
  <c r="W37" i="12"/>
  <c r="Y37" i="12" s="1"/>
  <c r="Z37" i="12" s="1"/>
  <c r="W37" i="49"/>
  <c r="Y37" i="49" s="1"/>
  <c r="Z37" i="49" s="1"/>
  <c r="W37" i="51"/>
  <c r="Y37" i="51" s="1"/>
  <c r="Z37" i="51" s="1"/>
  <c r="S38" i="45"/>
  <c r="T38" i="45" s="1"/>
  <c r="S38" i="57"/>
  <c r="T38" i="57" s="1"/>
  <c r="S38" i="49"/>
  <c r="T38" i="49" s="1"/>
  <c r="S38" i="59"/>
  <c r="T38" i="59" s="1"/>
  <c r="S37" i="15"/>
  <c r="T37" i="15" s="1"/>
  <c r="S37" i="56"/>
  <c r="T37" i="56" s="1"/>
  <c r="S37" i="60"/>
  <c r="T37" i="60" s="1"/>
  <c r="S38" i="66"/>
  <c r="T38" i="66" s="1"/>
  <c r="S37" i="66"/>
  <c r="T37" i="66" s="1"/>
  <c r="S37" i="55"/>
  <c r="T37" i="55" s="1"/>
  <c r="S38" i="47"/>
  <c r="T38" i="47" s="1"/>
  <c r="S37" i="47" l="1"/>
  <c r="T37" i="47" s="1"/>
  <c r="S37" i="45"/>
  <c r="T37" i="45" s="1"/>
  <c r="S37" i="44"/>
  <c r="T37" i="44" s="1"/>
  <c r="S37" i="11"/>
  <c r="T37" i="11" s="1"/>
  <c r="S37" i="42"/>
  <c r="T37" i="42" s="1"/>
  <c r="AC37" i="51"/>
  <c r="AE37" i="51" s="1"/>
  <c r="AF37" i="51" s="1"/>
  <c r="AC37" i="12"/>
  <c r="AE37" i="12" s="1"/>
  <c r="AF37" i="12" s="1"/>
  <c r="AC37" i="48"/>
  <c r="AE37" i="48" s="1"/>
  <c r="AF37" i="48" s="1"/>
  <c r="AC37" i="50"/>
  <c r="AE37" i="50" s="1"/>
  <c r="AF37" i="50" s="1"/>
  <c r="AC37" i="49"/>
  <c r="AE37" i="49" s="1"/>
  <c r="AF37" i="49" s="1"/>
  <c r="AC38" i="48"/>
  <c r="AE38" i="48" s="1"/>
  <c r="AF38" i="48" s="1"/>
  <c r="AC38" i="49"/>
  <c r="AE38" i="49" s="1"/>
  <c r="AF38" i="49" s="1"/>
  <c r="AC38" i="51"/>
  <c r="AE38" i="51" s="1"/>
  <c r="AF38" i="51" s="1"/>
  <c r="AC38" i="12"/>
  <c r="AE38" i="12" s="1"/>
  <c r="AF38" i="12" s="1"/>
  <c r="AC38" i="50"/>
  <c r="AE38" i="50" s="1"/>
  <c r="AF38" i="50" s="1"/>
  <c r="S37" i="46"/>
  <c r="T37" i="46" s="1"/>
  <c r="S37" i="43"/>
  <c r="T37" i="43" s="1"/>
  <c r="K13" i="65" l="1"/>
  <c r="K13" i="46"/>
  <c r="K13" i="43"/>
  <c r="K13" i="47"/>
  <c r="K13" i="42"/>
  <c r="K13" i="45"/>
  <c r="K13" i="11"/>
  <c r="K13" i="44"/>
  <c r="Q13" i="65"/>
  <c r="Q13" i="43"/>
  <c r="Q13" i="11"/>
  <c r="Q13" i="42"/>
  <c r="Q13" i="45"/>
  <c r="Q13" i="46"/>
  <c r="Q13" i="47"/>
  <c r="Q13" i="44"/>
  <c r="K13" i="49"/>
  <c r="K13" i="12"/>
  <c r="K13" i="50"/>
  <c r="K13" i="51"/>
  <c r="K13" i="48"/>
  <c r="Q13" i="51"/>
  <c r="Q13" i="50"/>
  <c r="Q13" i="48"/>
  <c r="Q13" i="12"/>
  <c r="Q13" i="49"/>
  <c r="K13" i="13"/>
  <c r="K13" i="54"/>
  <c r="K13" i="52"/>
  <c r="K13" i="55"/>
  <c r="K13" i="53"/>
  <c r="Q13" i="13"/>
  <c r="Q13" i="55"/>
  <c r="Q13" i="53"/>
  <c r="Q13" i="52"/>
  <c r="Q13" i="54"/>
  <c r="K12" i="60" l="1"/>
  <c r="K12" i="15"/>
  <c r="Q12" i="60"/>
  <c r="Q12" i="15"/>
  <c r="K12" i="58"/>
  <c r="Q12" i="66"/>
  <c r="K12" i="56"/>
  <c r="K12" i="14"/>
  <c r="K12" i="66"/>
  <c r="K12" i="57"/>
  <c r="Q12" i="56"/>
  <c r="Q12" i="14"/>
  <c r="Q12" i="58"/>
  <c r="Q12" i="57"/>
  <c r="K19" i="56"/>
  <c r="Q19" i="66"/>
  <c r="S19" i="66" s="1"/>
  <c r="T19" i="66" s="1"/>
  <c r="K19" i="58"/>
  <c r="K19" i="66"/>
  <c r="K19" i="57"/>
  <c r="K19" i="14"/>
  <c r="Q19" i="58"/>
  <c r="Q19" i="56"/>
  <c r="Q19" i="14"/>
  <c r="Q19" i="57"/>
  <c r="K19" i="60"/>
  <c r="K19" i="15"/>
  <c r="Q19" i="15"/>
  <c r="Q19" i="60"/>
  <c r="S13" i="48"/>
  <c r="T13" i="48" s="1"/>
  <c r="Y13" i="48"/>
  <c r="Z13" i="48" s="1"/>
  <c r="S13" i="44"/>
  <c r="T13" i="44" s="1"/>
  <c r="Y13" i="44"/>
  <c r="Z13" i="44" s="1"/>
  <c r="M13" i="44"/>
  <c r="N13" i="44" s="1"/>
  <c r="Y13" i="50"/>
  <c r="Z13" i="50" s="1"/>
  <c r="S13" i="50"/>
  <c r="T13" i="50" s="1"/>
  <c r="Y13" i="47"/>
  <c r="Z13" i="47" s="1"/>
  <c r="S13" i="47"/>
  <c r="T13" i="47" s="1"/>
  <c r="M13" i="11"/>
  <c r="N13" i="11" s="1"/>
  <c r="M13" i="55"/>
  <c r="N13" i="55" s="1"/>
  <c r="Y13" i="51"/>
  <c r="Z13" i="51" s="1"/>
  <c r="S13" i="51"/>
  <c r="T13" i="51" s="1"/>
  <c r="S13" i="46"/>
  <c r="T13" i="46" s="1"/>
  <c r="Y13" i="46"/>
  <c r="Z13" i="46" s="1"/>
  <c r="M13" i="45"/>
  <c r="N13" i="45" s="1"/>
  <c r="M13" i="52"/>
  <c r="N13" i="52" s="1"/>
  <c r="M13" i="48"/>
  <c r="N13" i="48" s="1"/>
  <c r="S13" i="45"/>
  <c r="T13" i="45" s="1"/>
  <c r="Y13" i="45"/>
  <c r="Z13" i="45" s="1"/>
  <c r="M13" i="42"/>
  <c r="N13" i="42" s="1"/>
  <c r="M13" i="53"/>
  <c r="N13" i="53" s="1"/>
  <c r="M13" i="51"/>
  <c r="N13" i="51" s="1"/>
  <c r="S13" i="42"/>
  <c r="T13" i="42" s="1"/>
  <c r="Y13" i="42"/>
  <c r="Z13" i="42" s="1"/>
  <c r="M13" i="47"/>
  <c r="N13" i="47" s="1"/>
  <c r="Y13" i="13"/>
  <c r="Z13" i="13" s="1"/>
  <c r="S13" i="13"/>
  <c r="T13" i="13" s="1"/>
  <c r="S13" i="52"/>
  <c r="T13" i="52" s="1"/>
  <c r="Y13" i="52"/>
  <c r="Z13" i="52" s="1"/>
  <c r="M13" i="13"/>
  <c r="N13" i="13" s="1"/>
  <c r="M13" i="50"/>
  <c r="N13" i="50" s="1"/>
  <c r="S13" i="11"/>
  <c r="T13" i="11" s="1"/>
  <c r="Y13" i="11"/>
  <c r="Z13" i="11" s="1"/>
  <c r="M13" i="43"/>
  <c r="N13" i="43" s="1"/>
  <c r="M13" i="54"/>
  <c r="N13" i="54" s="1"/>
  <c r="S13" i="53"/>
  <c r="T13" i="53" s="1"/>
  <c r="Y13" i="53"/>
  <c r="Z13" i="53" s="1"/>
  <c r="Y13" i="49"/>
  <c r="Z13" i="49" s="1"/>
  <c r="S13" i="49"/>
  <c r="T13" i="49" s="1"/>
  <c r="M13" i="12"/>
  <c r="N13" i="12" s="1"/>
  <c r="S13" i="43"/>
  <c r="T13" i="43" s="1"/>
  <c r="Y13" i="43"/>
  <c r="Z13" i="43" s="1"/>
  <c r="M13" i="46"/>
  <c r="N13" i="46" s="1"/>
  <c r="S13" i="54"/>
  <c r="T13" i="54" s="1"/>
  <c r="Y13" i="54"/>
  <c r="Z13" i="54" s="1"/>
  <c r="Y13" i="55"/>
  <c r="Z13" i="55" s="1"/>
  <c r="S13" i="55"/>
  <c r="T13" i="55" s="1"/>
  <c r="S13" i="12"/>
  <c r="T13" i="12" s="1"/>
  <c r="Y13" i="12"/>
  <c r="Z13" i="12" s="1"/>
  <c r="M13" i="49"/>
  <c r="N13" i="49" s="1"/>
  <c r="Y13" i="65"/>
  <c r="Z13" i="65" s="1"/>
  <c r="S13" i="65"/>
  <c r="T13" i="65" s="1"/>
  <c r="M13" i="65"/>
  <c r="N13" i="65" s="1"/>
  <c r="S19" i="14" l="1"/>
  <c r="T19" i="14" s="1"/>
  <c r="K28" i="56"/>
  <c r="S19" i="56"/>
  <c r="T19" i="56" s="1"/>
  <c r="Q28" i="57"/>
  <c r="S12" i="57"/>
  <c r="T12" i="57" s="1"/>
  <c r="S12" i="66"/>
  <c r="T12" i="66" s="1"/>
  <c r="Q28" i="66"/>
  <c r="S19" i="58"/>
  <c r="T19" i="58" s="1"/>
  <c r="Q28" i="58"/>
  <c r="S12" i="58"/>
  <c r="K28" i="58"/>
  <c r="T12" i="58"/>
  <c r="K28" i="14"/>
  <c r="S19" i="60"/>
  <c r="T19" i="60" s="1"/>
  <c r="Q28" i="14"/>
  <c r="S12" i="14"/>
  <c r="F20" i="64" s="1"/>
  <c r="F50" i="64" s="1"/>
  <c r="Q28" i="15"/>
  <c r="S12" i="15"/>
  <c r="S19" i="15"/>
  <c r="T19" i="15" s="1"/>
  <c r="Q28" i="56"/>
  <c r="S12" i="56"/>
  <c r="F21" i="64" s="1"/>
  <c r="F51" i="64" s="1"/>
  <c r="Q28" i="60"/>
  <c r="S12" i="60"/>
  <c r="K28" i="57"/>
  <c r="K28" i="15"/>
  <c r="S19" i="57"/>
  <c r="T19" i="57" s="1"/>
  <c r="K28" i="66"/>
  <c r="K28" i="60"/>
  <c r="T12" i="14" l="1"/>
  <c r="S28" i="14"/>
  <c r="T28" i="14" s="1"/>
  <c r="S28" i="56"/>
  <c r="T28" i="56" s="1"/>
  <c r="S28" i="60"/>
  <c r="T28" i="60" s="1"/>
  <c r="F26" i="64"/>
  <c r="F56" i="64" s="1"/>
  <c r="S28" i="58"/>
  <c r="T28" i="58" s="1"/>
  <c r="S28" i="15"/>
  <c r="T28" i="15" s="1"/>
  <c r="T12" i="56"/>
  <c r="S28" i="66"/>
  <c r="T28" i="66" s="1"/>
  <c r="T12" i="15"/>
  <c r="F22" i="64"/>
  <c r="F52" i="64" s="1"/>
  <c r="T12" i="60"/>
  <c r="F27" i="64"/>
  <c r="F57" i="64" s="1"/>
  <c r="F23" i="64"/>
  <c r="F53" i="64" s="1"/>
  <c r="S28" i="57"/>
  <c r="T28" i="57" s="1"/>
  <c r="H12" i="37" l="1"/>
  <c r="H12" i="59"/>
  <c r="H19" i="45"/>
  <c r="H19" i="47"/>
  <c r="H19" i="44"/>
  <c r="H19" i="46"/>
  <c r="H19" i="43"/>
  <c r="H19" i="65"/>
  <c r="H19" i="42"/>
  <c r="H19" i="11"/>
  <c r="H19" i="15"/>
  <c r="M19" i="15" s="1"/>
  <c r="N19" i="15" s="1"/>
  <c r="H19" i="60"/>
  <c r="M19" i="60" s="1"/>
  <c r="N19" i="60" s="1"/>
  <c r="H12" i="48"/>
  <c r="H12" i="12"/>
  <c r="H12" i="50"/>
  <c r="H12" i="49"/>
  <c r="H12" i="51"/>
  <c r="H19" i="51"/>
  <c r="H19" i="50"/>
  <c r="H19" i="49"/>
  <c r="H19" i="48"/>
  <c r="H19" i="12"/>
  <c r="H12" i="52"/>
  <c r="H12" i="13"/>
  <c r="H12" i="55"/>
  <c r="H12" i="53"/>
  <c r="H12" i="54"/>
  <c r="H19" i="16"/>
  <c r="H19" i="61"/>
  <c r="H19" i="55"/>
  <c r="H19" i="54"/>
  <c r="H19" i="53"/>
  <c r="H19" i="13"/>
  <c r="H19" i="52"/>
  <c r="H12" i="62"/>
  <c r="H12" i="17"/>
  <c r="H12" i="61"/>
  <c r="H12" i="16"/>
  <c r="H12" i="57"/>
  <c r="H12" i="56"/>
  <c r="H12" i="58"/>
  <c r="H12" i="14"/>
  <c r="H12" i="66"/>
  <c r="H19" i="62"/>
  <c r="H19" i="17"/>
  <c r="H19" i="66"/>
  <c r="H19" i="56"/>
  <c r="M19" i="56" s="1"/>
  <c r="N19" i="56" s="1"/>
  <c r="H19" i="58"/>
  <c r="M19" i="58" s="1"/>
  <c r="N19" i="58" s="1"/>
  <c r="H19" i="14"/>
  <c r="M19" i="14" s="1"/>
  <c r="N19" i="14" s="1"/>
  <c r="H19" i="57"/>
  <c r="M19" i="57" s="1"/>
  <c r="N19" i="57" s="1"/>
  <c r="H12" i="42"/>
  <c r="H12" i="11"/>
  <c r="H12" i="65"/>
  <c r="H12" i="47"/>
  <c r="H12" i="46"/>
  <c r="H12" i="43"/>
  <c r="H12" i="45"/>
  <c r="H12" i="44"/>
  <c r="H12" i="60"/>
  <c r="H12" i="15"/>
  <c r="H19" i="59"/>
  <c r="H19" i="37"/>
  <c r="H28" i="65" l="1"/>
  <c r="H28" i="17"/>
  <c r="H28" i="15"/>
  <c r="M28" i="15" s="1"/>
  <c r="N28" i="15" s="1"/>
  <c r="M12" i="15"/>
  <c r="E26" i="64" s="1"/>
  <c r="E56" i="64" s="1"/>
  <c r="H28" i="44"/>
  <c r="H28" i="53"/>
  <c r="H30" i="59"/>
  <c r="M30" i="59" s="1"/>
  <c r="N30" i="59" s="1"/>
  <c r="H30" i="37"/>
  <c r="M30" i="37" s="1"/>
  <c r="N30" i="37" s="1"/>
  <c r="H28" i="43"/>
  <c r="H28" i="56"/>
  <c r="M12" i="56"/>
  <c r="E21" i="64" s="1"/>
  <c r="E51" i="64" s="1"/>
  <c r="H28" i="13"/>
  <c r="H28" i="49"/>
  <c r="H29" i="50"/>
  <c r="H29" i="49"/>
  <c r="H29" i="48"/>
  <c r="H29" i="51"/>
  <c r="H29" i="12"/>
  <c r="H28" i="11"/>
  <c r="H29" i="43"/>
  <c r="H29" i="45"/>
  <c r="H29" i="44"/>
  <c r="H29" i="65"/>
  <c r="H29" i="42"/>
  <c r="H29" i="11"/>
  <c r="H29" i="47"/>
  <c r="H29" i="46"/>
  <c r="H30" i="53"/>
  <c r="H30" i="52"/>
  <c r="H30" i="54"/>
  <c r="H30" i="13"/>
  <c r="H30" i="55"/>
  <c r="H29" i="16"/>
  <c r="H29" i="61"/>
  <c r="H32" i="37"/>
  <c r="H32" i="59"/>
  <c r="H28" i="46"/>
  <c r="H28" i="57"/>
  <c r="M12" i="57"/>
  <c r="E22" i="64" s="1"/>
  <c r="E52" i="64" s="1"/>
  <c r="H28" i="52"/>
  <c r="H28" i="50"/>
  <c r="H36" i="50" s="1"/>
  <c r="H32" i="14"/>
  <c r="H32" i="57"/>
  <c r="H32" i="66"/>
  <c r="H32" i="56"/>
  <c r="H32" i="58"/>
  <c r="H30" i="16"/>
  <c r="M30" i="16" s="1"/>
  <c r="N30" i="16" s="1"/>
  <c r="H30" i="61"/>
  <c r="M30" i="61" s="1"/>
  <c r="N30" i="61" s="1"/>
  <c r="H28" i="47"/>
  <c r="M19" i="66"/>
  <c r="H28" i="12"/>
  <c r="H36" i="12" s="1"/>
  <c r="H29" i="56"/>
  <c r="H29" i="14"/>
  <c r="H29" i="57"/>
  <c r="H29" i="66"/>
  <c r="H29" i="58"/>
  <c r="H28" i="16"/>
  <c r="H28" i="61"/>
  <c r="H28" i="48"/>
  <c r="H29" i="15"/>
  <c r="H29" i="60"/>
  <c r="H30" i="17"/>
  <c r="M30" i="17" s="1"/>
  <c r="N30" i="17" s="1"/>
  <c r="H30" i="62"/>
  <c r="M30" i="62" s="1"/>
  <c r="N30" i="62" s="1"/>
  <c r="H28" i="60"/>
  <c r="M12" i="60"/>
  <c r="E27" i="64" s="1"/>
  <c r="E57" i="64" s="1"/>
  <c r="H28" i="42"/>
  <c r="H28" i="66"/>
  <c r="M28" i="66" s="1"/>
  <c r="N28" i="66" s="1"/>
  <c r="M12" i="66"/>
  <c r="N12" i="66" s="1"/>
  <c r="H28" i="62"/>
  <c r="H28" i="54"/>
  <c r="H29" i="17"/>
  <c r="H29" i="62"/>
  <c r="H28" i="59"/>
  <c r="H30" i="60"/>
  <c r="M30" i="60" s="1"/>
  <c r="N30" i="60" s="1"/>
  <c r="H30" i="15"/>
  <c r="M30" i="15" s="1"/>
  <c r="N30" i="15" s="1"/>
  <c r="H28" i="14"/>
  <c r="M28" i="14" s="1"/>
  <c r="N28" i="14" s="1"/>
  <c r="M12" i="14"/>
  <c r="E20" i="64" s="1"/>
  <c r="E50" i="64" s="1"/>
  <c r="H29" i="53"/>
  <c r="H36" i="53" s="1"/>
  <c r="H29" i="54"/>
  <c r="H29" i="52"/>
  <c r="H36" i="52" s="1"/>
  <c r="H29" i="13"/>
  <c r="H36" i="13" s="1"/>
  <c r="H29" i="55"/>
  <c r="H29" i="59"/>
  <c r="H29" i="37"/>
  <c r="H28" i="45"/>
  <c r="H28" i="58"/>
  <c r="M12" i="58"/>
  <c r="E23" i="64" s="1"/>
  <c r="E53" i="64" s="1"/>
  <c r="H28" i="55"/>
  <c r="H28" i="51"/>
  <c r="H36" i="51" s="1"/>
  <c r="H28" i="37"/>
  <c r="H36" i="61" l="1"/>
  <c r="H36" i="65"/>
  <c r="H36" i="44"/>
  <c r="H36" i="43"/>
  <c r="H36" i="37"/>
  <c r="H36" i="62"/>
  <c r="N12" i="14"/>
  <c r="N12" i="57"/>
  <c r="H36" i="48"/>
  <c r="N12" i="58"/>
  <c r="H36" i="47"/>
  <c r="H37" i="66"/>
  <c r="M37" i="66" s="1"/>
  <c r="N37" i="66" s="1"/>
  <c r="H37" i="57"/>
  <c r="M37" i="57" s="1"/>
  <c r="N37" i="57" s="1"/>
  <c r="H37" i="56"/>
  <c r="M37" i="56" s="1"/>
  <c r="N37" i="56" s="1"/>
  <c r="H37" i="58"/>
  <c r="M37" i="58" s="1"/>
  <c r="N37" i="58" s="1"/>
  <c r="H37" i="37"/>
  <c r="M37" i="37" s="1"/>
  <c r="N37" i="37" s="1"/>
  <c r="H37" i="59"/>
  <c r="M37" i="59" s="1"/>
  <c r="N37" i="59" s="1"/>
  <c r="H37" i="14"/>
  <c r="M37" i="14" s="1"/>
  <c r="N37" i="14" s="1"/>
  <c r="H36" i="58"/>
  <c r="M28" i="58"/>
  <c r="N28" i="58" s="1"/>
  <c r="H36" i="54"/>
  <c r="H36" i="16"/>
  <c r="H36" i="11"/>
  <c r="E19" i="64"/>
  <c r="E49" i="64" s="1"/>
  <c r="H36" i="42"/>
  <c r="H38" i="62"/>
  <c r="M38" i="62" s="1"/>
  <c r="N38" i="62" s="1"/>
  <c r="H38" i="17"/>
  <c r="M38" i="17" s="1"/>
  <c r="N38" i="17" s="1"/>
  <c r="H38" i="37"/>
  <c r="M38" i="37" s="1"/>
  <c r="N38" i="37" s="1"/>
  <c r="H38" i="56"/>
  <c r="M38" i="56" s="1"/>
  <c r="N38" i="56" s="1"/>
  <c r="H38" i="58"/>
  <c r="M38" i="58" s="1"/>
  <c r="N38" i="58" s="1"/>
  <c r="H38" i="66"/>
  <c r="M38" i="66" s="1"/>
  <c r="N38" i="66" s="1"/>
  <c r="H38" i="59"/>
  <c r="M38" i="59" s="1"/>
  <c r="N38" i="59" s="1"/>
  <c r="H38" i="14"/>
  <c r="M38" i="14" s="1"/>
  <c r="N38" i="14" s="1"/>
  <c r="H38" i="57"/>
  <c r="M38" i="57" s="1"/>
  <c r="N38" i="57" s="1"/>
  <c r="H37" i="46"/>
  <c r="M37" i="46" s="1"/>
  <c r="N37" i="46" s="1"/>
  <c r="H37" i="45"/>
  <c r="M37" i="45" s="1"/>
  <c r="N37" i="45" s="1"/>
  <c r="H37" i="44"/>
  <c r="M37" i="44" s="1"/>
  <c r="N37" i="44" s="1"/>
  <c r="H37" i="43"/>
  <c r="M37" i="43" s="1"/>
  <c r="N37" i="43" s="1"/>
  <c r="H37" i="65"/>
  <c r="M37" i="65" s="1"/>
  <c r="N37" i="65" s="1"/>
  <c r="H37" i="47"/>
  <c r="M37" i="47" s="1"/>
  <c r="N37" i="47" s="1"/>
  <c r="H37" i="42"/>
  <c r="M37" i="42" s="1"/>
  <c r="N37" i="42" s="1"/>
  <c r="H37" i="11"/>
  <c r="M37" i="11" s="1"/>
  <c r="N37" i="11" s="1"/>
  <c r="H37" i="15"/>
  <c r="M37" i="15" s="1"/>
  <c r="N37" i="15" s="1"/>
  <c r="H37" i="60"/>
  <c r="M37" i="60" s="1"/>
  <c r="N37" i="60" s="1"/>
  <c r="N19" i="66"/>
  <c r="H36" i="57"/>
  <c r="H39" i="57" s="1"/>
  <c r="M28" i="57"/>
  <c r="N28" i="57" s="1"/>
  <c r="N12" i="56"/>
  <c r="H36" i="60"/>
  <c r="M28" i="60"/>
  <c r="N28" i="60" s="1"/>
  <c r="H36" i="59"/>
  <c r="H39" i="59" s="1"/>
  <c r="H38" i="45"/>
  <c r="M38" i="45" s="1"/>
  <c r="N38" i="45" s="1"/>
  <c r="H38" i="44"/>
  <c r="M38" i="44" s="1"/>
  <c r="N38" i="44" s="1"/>
  <c r="H38" i="47"/>
  <c r="M38" i="47" s="1"/>
  <c r="N38" i="47" s="1"/>
  <c r="H38" i="43"/>
  <c r="M38" i="43" s="1"/>
  <c r="N38" i="43" s="1"/>
  <c r="H38" i="65"/>
  <c r="M38" i="65" s="1"/>
  <c r="N38" i="65" s="1"/>
  <c r="H38" i="42"/>
  <c r="M38" i="42" s="1"/>
  <c r="N38" i="42" s="1"/>
  <c r="H38" i="11"/>
  <c r="M38" i="11" s="1"/>
  <c r="N38" i="11" s="1"/>
  <c r="H38" i="46"/>
  <c r="M38" i="46" s="1"/>
  <c r="N38" i="46" s="1"/>
  <c r="H38" i="15"/>
  <c r="M38" i="15" s="1"/>
  <c r="N38" i="15" s="1"/>
  <c r="H38" i="60"/>
  <c r="M38" i="60" s="1"/>
  <c r="N38" i="60" s="1"/>
  <c r="H36" i="15"/>
  <c r="H39" i="15" s="1"/>
  <c r="H36" i="66"/>
  <c r="H36" i="56"/>
  <c r="M28" i="56"/>
  <c r="N28" i="56" s="1"/>
  <c r="H37" i="51"/>
  <c r="M37" i="51" s="1"/>
  <c r="N37" i="51" s="1"/>
  <c r="H37" i="50"/>
  <c r="M37" i="50" s="1"/>
  <c r="N37" i="50" s="1"/>
  <c r="H37" i="49"/>
  <c r="M37" i="49" s="1"/>
  <c r="N37" i="49" s="1"/>
  <c r="H37" i="48"/>
  <c r="M37" i="48" s="1"/>
  <c r="N37" i="48" s="1"/>
  <c r="H37" i="12"/>
  <c r="M37" i="12" s="1"/>
  <c r="N37" i="12" s="1"/>
  <c r="H37" i="61"/>
  <c r="M37" i="61" s="1"/>
  <c r="N37" i="61" s="1"/>
  <c r="H37" i="16"/>
  <c r="M37" i="16" s="1"/>
  <c r="N37" i="16" s="1"/>
  <c r="H36" i="45"/>
  <c r="H39" i="45" s="1"/>
  <c r="H36" i="14"/>
  <c r="H39" i="14" s="1"/>
  <c r="N12" i="15"/>
  <c r="H38" i="13"/>
  <c r="M38" i="13" s="1"/>
  <c r="N38" i="13" s="1"/>
  <c r="H38" i="55"/>
  <c r="M38" i="55" s="1"/>
  <c r="N38" i="55" s="1"/>
  <c r="H38" i="54"/>
  <c r="M38" i="54" s="1"/>
  <c r="N38" i="54" s="1"/>
  <c r="H38" i="53"/>
  <c r="M38" i="53" s="1"/>
  <c r="N38" i="53" s="1"/>
  <c r="H38" i="52"/>
  <c r="M38" i="52" s="1"/>
  <c r="N38" i="52" s="1"/>
  <c r="H36" i="17"/>
  <c r="H38" i="51"/>
  <c r="M38" i="51" s="1"/>
  <c r="N38" i="51" s="1"/>
  <c r="H38" i="50"/>
  <c r="M38" i="50" s="1"/>
  <c r="N38" i="50" s="1"/>
  <c r="H38" i="49"/>
  <c r="M38" i="49" s="1"/>
  <c r="N38" i="49" s="1"/>
  <c r="H38" i="48"/>
  <c r="M38" i="48" s="1"/>
  <c r="N38" i="48" s="1"/>
  <c r="H38" i="12"/>
  <c r="M38" i="12" s="1"/>
  <c r="N38" i="12" s="1"/>
  <c r="H38" i="16"/>
  <c r="M38" i="16" s="1"/>
  <c r="N38" i="16" s="1"/>
  <c r="H38" i="61"/>
  <c r="M38" i="61" s="1"/>
  <c r="N38" i="61" s="1"/>
  <c r="H36" i="55"/>
  <c r="H37" i="13"/>
  <c r="M37" i="13" s="1"/>
  <c r="N37" i="13" s="1"/>
  <c r="H37" i="55"/>
  <c r="M37" i="55" s="1"/>
  <c r="N37" i="55" s="1"/>
  <c r="H37" i="54"/>
  <c r="M37" i="54" s="1"/>
  <c r="N37" i="54" s="1"/>
  <c r="H37" i="52"/>
  <c r="M37" i="52" s="1"/>
  <c r="N37" i="52" s="1"/>
  <c r="H37" i="53"/>
  <c r="M37" i="53" s="1"/>
  <c r="N37" i="53" s="1"/>
  <c r="H37" i="62"/>
  <c r="M37" i="62" s="1"/>
  <c r="N37" i="62" s="1"/>
  <c r="H37" i="17"/>
  <c r="M37" i="17" s="1"/>
  <c r="N37" i="17" s="1"/>
  <c r="N12" i="60"/>
  <c r="H36" i="46"/>
  <c r="H39" i="46" s="1"/>
  <c r="H36" i="49"/>
  <c r="H39" i="50" l="1"/>
  <c r="H39" i="17"/>
  <c r="H39" i="61"/>
  <c r="H39" i="53"/>
  <c r="H39" i="56"/>
  <c r="H39" i="44"/>
  <c r="H39" i="13"/>
  <c r="H39" i="49"/>
  <c r="H56" i="49" s="1"/>
  <c r="H39" i="55"/>
  <c r="H56" i="61"/>
  <c r="H50" i="61"/>
  <c r="H39" i="51"/>
  <c r="H39" i="11"/>
  <c r="H56" i="53"/>
  <c r="H50" i="53"/>
  <c r="H39" i="16"/>
  <c r="H56" i="57"/>
  <c r="H50" i="57"/>
  <c r="H39" i="52"/>
  <c r="H39" i="12"/>
  <c r="H56" i="46"/>
  <c r="H50" i="46"/>
  <c r="H56" i="59"/>
  <c r="H50" i="59"/>
  <c r="H39" i="65"/>
  <c r="H50" i="45"/>
  <c r="H56" i="45"/>
  <c r="H39" i="43"/>
  <c r="H50" i="56"/>
  <c r="H56" i="56"/>
  <c r="H39" i="37"/>
  <c r="H39" i="54"/>
  <c r="H56" i="50"/>
  <c r="H50" i="50"/>
  <c r="H56" i="13"/>
  <c r="H50" i="13"/>
  <c r="H56" i="14"/>
  <c r="H50" i="14"/>
  <c r="H39" i="66"/>
  <c r="H39" i="60"/>
  <c r="H39" i="42"/>
  <c r="H39" i="58"/>
  <c r="H39" i="47"/>
  <c r="H56" i="17"/>
  <c r="H50" i="17"/>
  <c r="H56" i="44"/>
  <c r="H50" i="44"/>
  <c r="H39" i="48"/>
  <c r="H50" i="15"/>
  <c r="H56" i="15"/>
  <c r="H39" i="62"/>
  <c r="H50" i="49" l="1"/>
  <c r="H57" i="44"/>
  <c r="H58" i="44" s="1"/>
  <c r="H60" i="44" s="1"/>
  <c r="H51" i="14"/>
  <c r="H52" i="14" s="1"/>
  <c r="H54" i="14" s="1"/>
  <c r="H57" i="56"/>
  <c r="H58" i="56" s="1"/>
  <c r="H60" i="56" s="1"/>
  <c r="H51" i="46"/>
  <c r="H52" i="46" s="1"/>
  <c r="H54" i="46" s="1"/>
  <c r="H50" i="16"/>
  <c r="H56" i="16"/>
  <c r="H51" i="17"/>
  <c r="H52" i="17" s="1"/>
  <c r="H54" i="17" s="1"/>
  <c r="H57" i="14"/>
  <c r="H58" i="14" s="1"/>
  <c r="H60" i="14" s="1"/>
  <c r="H51" i="56"/>
  <c r="H52" i="56" s="1"/>
  <c r="H54" i="56" s="1"/>
  <c r="H57" i="46"/>
  <c r="H58" i="46"/>
  <c r="H60" i="46" s="1"/>
  <c r="H51" i="53"/>
  <c r="H52" i="53" s="1"/>
  <c r="H54" i="53" s="1"/>
  <c r="H57" i="17"/>
  <c r="H58" i="17" s="1"/>
  <c r="H60" i="17" s="1"/>
  <c r="H51" i="13"/>
  <c r="H52" i="13" s="1"/>
  <c r="H54" i="13" s="1"/>
  <c r="H56" i="43"/>
  <c r="H50" i="43"/>
  <c r="H50" i="12"/>
  <c r="H56" i="12"/>
  <c r="H57" i="53"/>
  <c r="H58" i="53" s="1"/>
  <c r="H60" i="53" s="1"/>
  <c r="H50" i="62"/>
  <c r="H51" i="62" s="1"/>
  <c r="H52" i="62" s="1"/>
  <c r="H54" i="62" s="1"/>
  <c r="H56" i="62"/>
  <c r="H50" i="47"/>
  <c r="H56" i="47"/>
  <c r="H57" i="13"/>
  <c r="H58" i="13" s="1"/>
  <c r="H60" i="13" s="1"/>
  <c r="H57" i="45"/>
  <c r="H58" i="45" s="1"/>
  <c r="H60" i="45" s="1"/>
  <c r="H50" i="52"/>
  <c r="H56" i="52"/>
  <c r="H50" i="11"/>
  <c r="H56" i="11"/>
  <c r="H57" i="15"/>
  <c r="H58" i="15" s="1"/>
  <c r="H60" i="15" s="1"/>
  <c r="H56" i="58"/>
  <c r="H50" i="58"/>
  <c r="H51" i="50"/>
  <c r="H52" i="50" s="1"/>
  <c r="H54" i="50" s="1"/>
  <c r="H51" i="45"/>
  <c r="H52" i="45"/>
  <c r="H54" i="45" s="1"/>
  <c r="H51" i="49"/>
  <c r="H52" i="49" s="1"/>
  <c r="H54" i="49" s="1"/>
  <c r="H50" i="51"/>
  <c r="H51" i="51" s="1"/>
  <c r="H52" i="51" s="1"/>
  <c r="H54" i="51" s="1"/>
  <c r="H56" i="51"/>
  <c r="H51" i="15"/>
  <c r="H52" i="15" s="1"/>
  <c r="H54" i="15" s="1"/>
  <c r="H50" i="42"/>
  <c r="H56" i="42"/>
  <c r="H57" i="50"/>
  <c r="H58" i="50" s="1"/>
  <c r="H60" i="50" s="1"/>
  <c r="H56" i="65"/>
  <c r="H57" i="65" s="1"/>
  <c r="H58" i="65" s="1"/>
  <c r="H60" i="65" s="1"/>
  <c r="H50" i="65"/>
  <c r="H51" i="65" s="1"/>
  <c r="H52" i="65" s="1"/>
  <c r="H54" i="65" s="1"/>
  <c r="H57" i="49"/>
  <c r="H58" i="49" s="1"/>
  <c r="H60" i="49" s="1"/>
  <c r="H51" i="61"/>
  <c r="H52" i="61" s="1"/>
  <c r="H54" i="61" s="1"/>
  <c r="H50" i="48"/>
  <c r="H56" i="48"/>
  <c r="H56" i="60"/>
  <c r="H50" i="60"/>
  <c r="H50" i="54"/>
  <c r="H56" i="54"/>
  <c r="H51" i="59"/>
  <c r="H52" i="59" s="1"/>
  <c r="H54" i="59" s="1"/>
  <c r="H51" i="57"/>
  <c r="H52" i="57" s="1"/>
  <c r="H54" i="57" s="1"/>
  <c r="H57" i="61"/>
  <c r="H58" i="61" s="1"/>
  <c r="H60" i="61" s="1"/>
  <c r="H51" i="44"/>
  <c r="H52" i="44" s="1"/>
  <c r="H54" i="44" s="1"/>
  <c r="H56" i="66"/>
  <c r="H50" i="66"/>
  <c r="H56" i="37"/>
  <c r="H50" i="37"/>
  <c r="H57" i="59"/>
  <c r="H58" i="59" s="1"/>
  <c r="H60" i="59" s="1"/>
  <c r="H57" i="57"/>
  <c r="H58" i="57" s="1"/>
  <c r="H60" i="57" s="1"/>
  <c r="H50" i="55"/>
  <c r="H56" i="55"/>
  <c r="H57" i="66" l="1"/>
  <c r="H58" i="66" s="1"/>
  <c r="H60" i="66" s="1"/>
  <c r="H57" i="37"/>
  <c r="H58" i="37" s="1"/>
  <c r="H60" i="37" s="1"/>
  <c r="H51" i="55"/>
  <c r="H52" i="55" s="1"/>
  <c r="H54" i="55" s="1"/>
  <c r="H57" i="54"/>
  <c r="H58" i="54" s="1"/>
  <c r="H60" i="54" s="1"/>
  <c r="H57" i="52"/>
  <c r="H58" i="52" s="1"/>
  <c r="H60" i="52" s="1"/>
  <c r="H57" i="62"/>
  <c r="H58" i="62" s="1"/>
  <c r="H60" i="62" s="1"/>
  <c r="H51" i="54"/>
  <c r="H52" i="54" s="1"/>
  <c r="H54" i="54" s="1"/>
  <c r="H51" i="52"/>
  <c r="H52" i="52" s="1"/>
  <c r="H54" i="52" s="1"/>
  <c r="H51" i="60"/>
  <c r="H52" i="60" s="1"/>
  <c r="H54" i="60" s="1"/>
  <c r="H57" i="51"/>
  <c r="H58" i="51" s="1"/>
  <c r="H60" i="51" s="1"/>
  <c r="H51" i="58"/>
  <c r="H52" i="58" s="1"/>
  <c r="H54" i="58" s="1"/>
  <c r="H57" i="58"/>
  <c r="H58" i="58" s="1"/>
  <c r="H60" i="58" s="1"/>
  <c r="H57" i="60"/>
  <c r="H58" i="60" s="1"/>
  <c r="H60" i="60" s="1"/>
  <c r="H51" i="37"/>
  <c r="H52" i="37" s="1"/>
  <c r="H54" i="37" s="1"/>
  <c r="H57" i="48"/>
  <c r="H58" i="48" s="1"/>
  <c r="H60" i="48" s="1"/>
  <c r="H57" i="12"/>
  <c r="H58" i="12" s="1"/>
  <c r="H60" i="12" s="1"/>
  <c r="H51" i="48"/>
  <c r="H52" i="48" s="1"/>
  <c r="H54" i="48" s="1"/>
  <c r="H51" i="12"/>
  <c r="H52" i="12"/>
  <c r="H54" i="12" s="1"/>
  <c r="H57" i="55"/>
  <c r="H58" i="55"/>
  <c r="H60" i="55" s="1"/>
  <c r="H51" i="66"/>
  <c r="H52" i="66" s="1"/>
  <c r="H54" i="66" s="1"/>
  <c r="H57" i="42"/>
  <c r="H58" i="42" s="1"/>
  <c r="H60" i="42" s="1"/>
  <c r="H57" i="11"/>
  <c r="H58" i="11" s="1"/>
  <c r="H60" i="11" s="1"/>
  <c r="H57" i="47"/>
  <c r="H58" i="47" s="1"/>
  <c r="H60" i="47" s="1"/>
  <c r="H51" i="43"/>
  <c r="H52" i="43" s="1"/>
  <c r="H54" i="43" s="1"/>
  <c r="H57" i="16"/>
  <c r="H58" i="16" s="1"/>
  <c r="H60" i="16" s="1"/>
  <c r="H51" i="42"/>
  <c r="H52" i="42" s="1"/>
  <c r="H54" i="42" s="1"/>
  <c r="H51" i="11"/>
  <c r="H52" i="11"/>
  <c r="H54" i="11" s="1"/>
  <c r="H51" i="47"/>
  <c r="H52" i="47" s="1"/>
  <c r="H54" i="47" s="1"/>
  <c r="H57" i="43"/>
  <c r="H58" i="43" s="1"/>
  <c r="H60" i="43" s="1"/>
  <c r="H51" i="16"/>
  <c r="H52" i="16" s="1"/>
  <c r="H54" i="16" s="1"/>
  <c r="K29" i="66" l="1"/>
  <c r="Q29" i="58"/>
  <c r="K29" i="56"/>
  <c r="K29" i="14"/>
  <c r="K29" i="58"/>
  <c r="Q29" i="66"/>
  <c r="K29" i="57"/>
  <c r="Q29" i="57"/>
  <c r="Q29" i="14"/>
  <c r="Q29" i="56"/>
  <c r="S29" i="57" l="1"/>
  <c r="T29" i="57" s="1"/>
  <c r="Y29" i="57"/>
  <c r="Z29" i="57" s="1"/>
  <c r="Q36" i="57"/>
  <c r="S29" i="66"/>
  <c r="T29" i="66" s="1"/>
  <c r="Y29" i="66"/>
  <c r="Z29" i="66" s="1"/>
  <c r="Q36" i="66"/>
  <c r="M29" i="58"/>
  <c r="N29" i="58" s="1"/>
  <c r="K29" i="13"/>
  <c r="K29" i="52"/>
  <c r="K29" i="55"/>
  <c r="Q29" i="53"/>
  <c r="K29" i="53"/>
  <c r="Q29" i="55"/>
  <c r="Q29" i="52"/>
  <c r="Q29" i="54"/>
  <c r="K29" i="54"/>
  <c r="Q29" i="13"/>
  <c r="M29" i="14"/>
  <c r="N29" i="14" s="1"/>
  <c r="K29" i="59"/>
  <c r="K29" i="37"/>
  <c r="Q29" i="37"/>
  <c r="Q29" i="59"/>
  <c r="M29" i="56"/>
  <c r="N29" i="56" s="1"/>
  <c r="M29" i="57"/>
  <c r="N29" i="57" s="1"/>
  <c r="Y29" i="56"/>
  <c r="Z29" i="56" s="1"/>
  <c r="S29" i="56"/>
  <c r="T29" i="56" s="1"/>
  <c r="Q36" i="56"/>
  <c r="S29" i="58"/>
  <c r="T29" i="58" s="1"/>
  <c r="Y29" i="58"/>
  <c r="Z29" i="58" s="1"/>
  <c r="Q36" i="58"/>
  <c r="S29" i="14"/>
  <c r="T29" i="14" s="1"/>
  <c r="Y29" i="14"/>
  <c r="Z29" i="14" s="1"/>
  <c r="Q36" i="14"/>
  <c r="M29" i="66"/>
  <c r="N29" i="66" s="1"/>
  <c r="W37" i="66" l="1"/>
  <c r="Y37" i="66" s="1"/>
  <c r="Z37" i="66" s="1"/>
  <c r="W37" i="58"/>
  <c r="Y37" i="58" s="1"/>
  <c r="Z37" i="58" s="1"/>
  <c r="W37" i="59"/>
  <c r="Y37" i="59" s="1"/>
  <c r="Z37" i="59" s="1"/>
  <c r="W37" i="14"/>
  <c r="Y37" i="14" s="1"/>
  <c r="Z37" i="14" s="1"/>
  <c r="W37" i="56"/>
  <c r="Y37" i="56" s="1"/>
  <c r="Z37" i="56" s="1"/>
  <c r="W37" i="57"/>
  <c r="Y37" i="57" s="1"/>
  <c r="Z37" i="57" s="1"/>
  <c r="W37" i="37"/>
  <c r="Y37" i="37" s="1"/>
  <c r="Z37" i="37" s="1"/>
  <c r="S29" i="59"/>
  <c r="T29" i="59" s="1"/>
  <c r="Y29" i="59"/>
  <c r="Z29" i="59" s="1"/>
  <c r="Y29" i="54"/>
  <c r="Z29" i="54" s="1"/>
  <c r="S29" i="54"/>
  <c r="T29" i="54" s="1"/>
  <c r="Q39" i="56"/>
  <c r="Y29" i="37"/>
  <c r="Z29" i="37" s="1"/>
  <c r="S29" i="37"/>
  <c r="T29" i="37" s="1"/>
  <c r="Y29" i="52"/>
  <c r="Z29" i="52" s="1"/>
  <c r="S29" i="52"/>
  <c r="T29" i="52" s="1"/>
  <c r="Q39" i="66"/>
  <c r="Q39" i="14"/>
  <c r="M29" i="59"/>
  <c r="N29" i="59" s="1"/>
  <c r="M29" i="53"/>
  <c r="N29" i="53" s="1"/>
  <c r="S29" i="55"/>
  <c r="T29" i="55" s="1"/>
  <c r="Y29" i="55"/>
  <c r="Z29" i="55" s="1"/>
  <c r="Y29" i="53"/>
  <c r="Z29" i="53" s="1"/>
  <c r="S29" i="53"/>
  <c r="T29" i="53" s="1"/>
  <c r="M29" i="37"/>
  <c r="N29" i="37" s="1"/>
  <c r="M29" i="55"/>
  <c r="N29" i="55" s="1"/>
  <c r="Q39" i="57"/>
  <c r="M29" i="52"/>
  <c r="N29" i="52" s="1"/>
  <c r="Q39" i="58"/>
  <c r="Y29" i="13"/>
  <c r="Z29" i="13" s="1"/>
  <c r="S29" i="13"/>
  <c r="T29" i="13" s="1"/>
  <c r="M29" i="54"/>
  <c r="N29" i="54" s="1"/>
  <c r="M29" i="13"/>
  <c r="N29" i="13" s="1"/>
  <c r="W37" i="15" l="1"/>
  <c r="Y37" i="15" s="1"/>
  <c r="Z37" i="15" s="1"/>
  <c r="W37" i="60"/>
  <c r="Y37" i="60" s="1"/>
  <c r="Z37" i="60" s="1"/>
  <c r="W37" i="13"/>
  <c r="Y37" i="13" s="1"/>
  <c r="Z37" i="13" s="1"/>
  <c r="W37" i="53"/>
  <c r="Y37" i="53" s="1"/>
  <c r="Z37" i="53" s="1"/>
  <c r="W37" i="55"/>
  <c r="Y37" i="55" s="1"/>
  <c r="Z37" i="55" s="1"/>
  <c r="W37" i="52"/>
  <c r="Y37" i="52" s="1"/>
  <c r="Z37" i="52" s="1"/>
  <c r="W37" i="54"/>
  <c r="Y37" i="54" s="1"/>
  <c r="Z37" i="54" s="1"/>
  <c r="W37" i="62"/>
  <c r="Y37" i="62" s="1"/>
  <c r="Z37" i="62" s="1"/>
  <c r="W37" i="17"/>
  <c r="Y37" i="17" s="1"/>
  <c r="Z37" i="17" s="1"/>
  <c r="W37" i="61"/>
  <c r="Y37" i="61" s="1"/>
  <c r="Z37" i="61" s="1"/>
  <c r="W37" i="16"/>
  <c r="Y37" i="16" s="1"/>
  <c r="Z37" i="16" s="1"/>
  <c r="AC37" i="66"/>
  <c r="AE37" i="66" s="1"/>
  <c r="AF37" i="66" s="1"/>
  <c r="AC37" i="58"/>
  <c r="AE37" i="58" s="1"/>
  <c r="AF37" i="58" s="1"/>
  <c r="AC37" i="14"/>
  <c r="AE37" i="14" s="1"/>
  <c r="AF37" i="14" s="1"/>
  <c r="AC37" i="56"/>
  <c r="AE37" i="56" s="1"/>
  <c r="AF37" i="56" s="1"/>
  <c r="AC37" i="37"/>
  <c r="AE37" i="37" s="1"/>
  <c r="AF37" i="37" s="1"/>
  <c r="AC37" i="57"/>
  <c r="AE37" i="57" s="1"/>
  <c r="AF37" i="57" s="1"/>
  <c r="AC37" i="59"/>
  <c r="AE37" i="59" s="1"/>
  <c r="AF37" i="59" s="1"/>
  <c r="Q56" i="56"/>
  <c r="Q50" i="56"/>
  <c r="Q50" i="57"/>
  <c r="Q56" i="57"/>
  <c r="Q56" i="14"/>
  <c r="Q50" i="14"/>
  <c r="Q50" i="58"/>
  <c r="Q56" i="58"/>
  <c r="Q56" i="66"/>
  <c r="Q50" i="66"/>
  <c r="W38" i="17" l="1"/>
  <c r="Y38" i="17" s="1"/>
  <c r="Z38" i="17" s="1"/>
  <c r="W38" i="62"/>
  <c r="Y38" i="62" s="1"/>
  <c r="Z38" i="62" s="1"/>
  <c r="AC37" i="61"/>
  <c r="AE37" i="61" s="1"/>
  <c r="AF37" i="61" s="1"/>
  <c r="AC37" i="16"/>
  <c r="AE37" i="16" s="1"/>
  <c r="AF37" i="16" s="1"/>
  <c r="W37" i="46"/>
  <c r="Y37" i="46" s="1"/>
  <c r="Z37" i="46" s="1"/>
  <c r="W37" i="43"/>
  <c r="Y37" i="43" s="1"/>
  <c r="Z37" i="43" s="1"/>
  <c r="W37" i="11"/>
  <c r="Y37" i="11" s="1"/>
  <c r="Z37" i="11" s="1"/>
  <c r="W37" i="44"/>
  <c r="Y37" i="44" s="1"/>
  <c r="Z37" i="44" s="1"/>
  <c r="W37" i="45"/>
  <c r="Y37" i="45" s="1"/>
  <c r="Z37" i="45" s="1"/>
  <c r="W37" i="65"/>
  <c r="Y37" i="65" s="1"/>
  <c r="Z37" i="65" s="1"/>
  <c r="W37" i="47"/>
  <c r="Y37" i="47" s="1"/>
  <c r="Z37" i="47" s="1"/>
  <c r="W37" i="42"/>
  <c r="Y37" i="42" s="1"/>
  <c r="Z37" i="42" s="1"/>
  <c r="AC37" i="52"/>
  <c r="AE37" i="52" s="1"/>
  <c r="AF37" i="52" s="1"/>
  <c r="AC37" i="54"/>
  <c r="AE37" i="54" s="1"/>
  <c r="AF37" i="54" s="1"/>
  <c r="AC37" i="13"/>
  <c r="AE37" i="13" s="1"/>
  <c r="AF37" i="13" s="1"/>
  <c r="AC37" i="55"/>
  <c r="AE37" i="55" s="1"/>
  <c r="AF37" i="55" s="1"/>
  <c r="AC37" i="53"/>
  <c r="AE37" i="53" s="1"/>
  <c r="AF37" i="53" s="1"/>
  <c r="AC37" i="17"/>
  <c r="AE37" i="17" s="1"/>
  <c r="AF37" i="17" s="1"/>
  <c r="AC37" i="62"/>
  <c r="AE37" i="62" s="1"/>
  <c r="AF37" i="62" s="1"/>
  <c r="AC37" i="60"/>
  <c r="AE37" i="60" s="1"/>
  <c r="AF37" i="60" s="1"/>
  <c r="AC37" i="15"/>
  <c r="AE37" i="15" s="1"/>
  <c r="AF37" i="15" s="1"/>
  <c r="Q51" i="66"/>
  <c r="Q52" i="66" s="1"/>
  <c r="Q51" i="56"/>
  <c r="Q52" i="56" s="1"/>
  <c r="Q57" i="56"/>
  <c r="Q58" i="56" s="1"/>
  <c r="Q51" i="14"/>
  <c r="Q57" i="14"/>
  <c r="Q57" i="66"/>
  <c r="Q58" i="66" s="1"/>
  <c r="Q57" i="58"/>
  <c r="Q51" i="58"/>
  <c r="Q52" i="58" s="1"/>
  <c r="Q57" i="57"/>
  <c r="Q58" i="57" s="1"/>
  <c r="Q51" i="57"/>
  <c r="Q52" i="57" s="1"/>
  <c r="AC37" i="11" l="1"/>
  <c r="AE37" i="11" s="1"/>
  <c r="AF37" i="11" s="1"/>
  <c r="AC37" i="44"/>
  <c r="AE37" i="44" s="1"/>
  <c r="AF37" i="44" s="1"/>
  <c r="AC37" i="65"/>
  <c r="AE37" i="65" s="1"/>
  <c r="AF37" i="65" s="1"/>
  <c r="AC37" i="46"/>
  <c r="AE37" i="46" s="1"/>
  <c r="AF37" i="46" s="1"/>
  <c r="AC37" i="47"/>
  <c r="AE37" i="47" s="1"/>
  <c r="AF37" i="47" s="1"/>
  <c r="AC37" i="43"/>
  <c r="AE37" i="43" s="1"/>
  <c r="AF37" i="43" s="1"/>
  <c r="AC37" i="42"/>
  <c r="AE37" i="42" s="1"/>
  <c r="AF37" i="42" s="1"/>
  <c r="AC37" i="45"/>
  <c r="AE37" i="45" s="1"/>
  <c r="AF37" i="45" s="1"/>
  <c r="W38" i="60"/>
  <c r="Y38" i="60" s="1"/>
  <c r="Z38" i="60" s="1"/>
  <c r="W38" i="15"/>
  <c r="Y38" i="15" s="1"/>
  <c r="Z38" i="15" s="1"/>
  <c r="W38" i="13"/>
  <c r="Y38" i="13" s="1"/>
  <c r="Z38" i="13" s="1"/>
  <c r="W38" i="55"/>
  <c r="Y38" i="55" s="1"/>
  <c r="Z38" i="55" s="1"/>
  <c r="W38" i="52"/>
  <c r="Y38" i="52" s="1"/>
  <c r="Z38" i="52" s="1"/>
  <c r="W38" i="53"/>
  <c r="Y38" i="53" s="1"/>
  <c r="Z38" i="53" s="1"/>
  <c r="W38" i="54"/>
  <c r="Y38" i="54" s="1"/>
  <c r="Z38" i="54" s="1"/>
  <c r="W38" i="47"/>
  <c r="Y38" i="47" s="1"/>
  <c r="Z38" i="47" s="1"/>
  <c r="W38" i="65"/>
  <c r="Y38" i="65" s="1"/>
  <c r="Z38" i="65" s="1"/>
  <c r="W38" i="11"/>
  <c r="Y38" i="11" s="1"/>
  <c r="Z38" i="11" s="1"/>
  <c r="W38" i="45"/>
  <c r="Y38" i="45" s="1"/>
  <c r="Z38" i="45" s="1"/>
  <c r="W38" i="43"/>
  <c r="Y38" i="43" s="1"/>
  <c r="Z38" i="43" s="1"/>
  <c r="W38" i="44"/>
  <c r="Y38" i="44" s="1"/>
  <c r="Z38" i="44" s="1"/>
  <c r="W38" i="42"/>
  <c r="Y38" i="42" s="1"/>
  <c r="Z38" i="42" s="1"/>
  <c r="W38" i="46"/>
  <c r="Y38" i="46" s="1"/>
  <c r="Z38" i="46" s="1"/>
  <c r="W38" i="66"/>
  <c r="Y38" i="66" s="1"/>
  <c r="Z38" i="66" s="1"/>
  <c r="W38" i="57"/>
  <c r="Y38" i="57" s="1"/>
  <c r="Z38" i="57" s="1"/>
  <c r="W38" i="59"/>
  <c r="Y38" i="59" s="1"/>
  <c r="Z38" i="59" s="1"/>
  <c r="W38" i="37"/>
  <c r="Y38" i="37" s="1"/>
  <c r="Z38" i="37" s="1"/>
  <c r="W38" i="14"/>
  <c r="Y38" i="14" s="1"/>
  <c r="Z38" i="14" s="1"/>
  <c r="W38" i="58"/>
  <c r="Y38" i="58" s="1"/>
  <c r="Z38" i="58" s="1"/>
  <c r="W38" i="56"/>
  <c r="Y38" i="56" s="1"/>
  <c r="Z38" i="56" s="1"/>
  <c r="W38" i="61"/>
  <c r="Y38" i="61" s="1"/>
  <c r="Z38" i="61" s="1"/>
  <c r="W38" i="16"/>
  <c r="Y38" i="16" s="1"/>
  <c r="Z38" i="16" s="1"/>
  <c r="AC38" i="62"/>
  <c r="AE38" i="62" s="1"/>
  <c r="AF38" i="62" s="1"/>
  <c r="AC38" i="17"/>
  <c r="AE38" i="17" s="1"/>
  <c r="AF38" i="17" s="1"/>
  <c r="Q59" i="57"/>
  <c r="Q53" i="58"/>
  <c r="Q53" i="57"/>
  <c r="Q59" i="56"/>
  <c r="Q60" i="56" s="1"/>
  <c r="Q53" i="56"/>
  <c r="Q54" i="56" s="1"/>
  <c r="Q58" i="58"/>
  <c r="Q52" i="14"/>
  <c r="Q59" i="66"/>
  <c r="Q53" i="66"/>
  <c r="Q58" i="14"/>
  <c r="AC38" i="54" l="1"/>
  <c r="AE38" i="54" s="1"/>
  <c r="AF38" i="54" s="1"/>
  <c r="AC38" i="53"/>
  <c r="AE38" i="53" s="1"/>
  <c r="AF38" i="53" s="1"/>
  <c r="AC38" i="55"/>
  <c r="AE38" i="55" s="1"/>
  <c r="AF38" i="55" s="1"/>
  <c r="AC38" i="13"/>
  <c r="AE38" i="13" s="1"/>
  <c r="AF38" i="13" s="1"/>
  <c r="AC38" i="52"/>
  <c r="AE38" i="52" s="1"/>
  <c r="AF38" i="52" s="1"/>
  <c r="AC38" i="16"/>
  <c r="AE38" i="16" s="1"/>
  <c r="AF38" i="16" s="1"/>
  <c r="AC38" i="61"/>
  <c r="AE38" i="61" s="1"/>
  <c r="AF38" i="61" s="1"/>
  <c r="AC38" i="66"/>
  <c r="AE38" i="66" s="1"/>
  <c r="AF38" i="66" s="1"/>
  <c r="AC38" i="57"/>
  <c r="AE38" i="57" s="1"/>
  <c r="AF38" i="57" s="1"/>
  <c r="AC38" i="56"/>
  <c r="AE38" i="56" s="1"/>
  <c r="AF38" i="56" s="1"/>
  <c r="AC38" i="58"/>
  <c r="AE38" i="58" s="1"/>
  <c r="AF38" i="58" s="1"/>
  <c r="AC38" i="59"/>
  <c r="AE38" i="59" s="1"/>
  <c r="AF38" i="59" s="1"/>
  <c r="AC38" i="14"/>
  <c r="AE38" i="14" s="1"/>
  <c r="AF38" i="14" s="1"/>
  <c r="AC38" i="37"/>
  <c r="AE38" i="37" s="1"/>
  <c r="AF38" i="37" s="1"/>
  <c r="AC38" i="11"/>
  <c r="AE38" i="11" s="1"/>
  <c r="AF38" i="11" s="1"/>
  <c r="AC38" i="42"/>
  <c r="AE38" i="42" s="1"/>
  <c r="AF38" i="42" s="1"/>
  <c r="AC38" i="65"/>
  <c r="AE38" i="65" s="1"/>
  <c r="AF38" i="65" s="1"/>
  <c r="AC38" i="43"/>
  <c r="AE38" i="43" s="1"/>
  <c r="AF38" i="43" s="1"/>
  <c r="AC38" i="45"/>
  <c r="AE38" i="45" s="1"/>
  <c r="AF38" i="45" s="1"/>
  <c r="AC38" i="46"/>
  <c r="AE38" i="46" s="1"/>
  <c r="AF38" i="46" s="1"/>
  <c r="AC38" i="47"/>
  <c r="AE38" i="47" s="1"/>
  <c r="AF38" i="47" s="1"/>
  <c r="AC38" i="44"/>
  <c r="AE38" i="44" s="1"/>
  <c r="AF38" i="44" s="1"/>
  <c r="AC38" i="15"/>
  <c r="AE38" i="15" s="1"/>
  <c r="AF38" i="15" s="1"/>
  <c r="AC38" i="60"/>
  <c r="AE38" i="60" s="1"/>
  <c r="AF38" i="60" s="1"/>
  <c r="Q54" i="57"/>
  <c r="S53" i="57"/>
  <c r="T53" i="57" s="1"/>
  <c r="Q53" i="14"/>
  <c r="S59" i="56"/>
  <c r="T59" i="56" s="1"/>
  <c r="Q59" i="14"/>
  <c r="Q54" i="66"/>
  <c r="S53" i="66"/>
  <c r="T53" i="66" s="1"/>
  <c r="Q59" i="58"/>
  <c r="Q60" i="58" s="1"/>
  <c r="Q54" i="58"/>
  <c r="S53" i="58"/>
  <c r="T53" i="58" s="1"/>
  <c r="S59" i="66"/>
  <c r="T59" i="66" s="1"/>
  <c r="S53" i="56"/>
  <c r="T53" i="56" s="1"/>
  <c r="Q60" i="66"/>
  <c r="Q60" i="57"/>
  <c r="S59" i="57"/>
  <c r="T59" i="57" s="1"/>
  <c r="S59" i="14" l="1"/>
  <c r="T59" i="14" s="1"/>
  <c r="Q54" i="14"/>
  <c r="S53" i="14"/>
  <c r="T53" i="14" s="1"/>
  <c r="K29" i="17"/>
  <c r="K29" i="62"/>
  <c r="Q29" i="17"/>
  <c r="Q29" i="62"/>
  <c r="K32" i="14"/>
  <c r="K32" i="56"/>
  <c r="K32" i="58"/>
  <c r="K32" i="66"/>
  <c r="K32" i="57"/>
  <c r="S59" i="58"/>
  <c r="T59" i="58" s="1"/>
  <c r="Q60" i="14"/>
  <c r="Q29" i="43" l="1"/>
  <c r="K29" i="47"/>
  <c r="K29" i="43"/>
  <c r="K29" i="45"/>
  <c r="Q29" i="42"/>
  <c r="K29" i="44"/>
  <c r="Q29" i="65"/>
  <c r="Q29" i="44"/>
  <c r="Q29" i="11"/>
  <c r="K29" i="11"/>
  <c r="Q29" i="46"/>
  <c r="K29" i="42"/>
  <c r="Q29" i="45"/>
  <c r="K29" i="65"/>
  <c r="Q29" i="47"/>
  <c r="K29" i="46"/>
  <c r="Y29" i="17"/>
  <c r="Z29" i="17" s="1"/>
  <c r="S29" i="17"/>
  <c r="T29" i="17" s="1"/>
  <c r="Q29" i="16"/>
  <c r="Q29" i="61"/>
  <c r="K29" i="61"/>
  <c r="K29" i="16"/>
  <c r="M29" i="62"/>
  <c r="N29" i="62" s="1"/>
  <c r="M29" i="17"/>
  <c r="N29" i="17" s="1"/>
  <c r="M32" i="66"/>
  <c r="N32" i="66" s="1"/>
  <c r="S32" i="66"/>
  <c r="T32" i="66" s="1"/>
  <c r="K36" i="66"/>
  <c r="S32" i="57"/>
  <c r="T32" i="57" s="1"/>
  <c r="M32" i="57"/>
  <c r="N32" i="57" s="1"/>
  <c r="K36" i="57"/>
  <c r="S32" i="58"/>
  <c r="T32" i="58" s="1"/>
  <c r="M32" i="58"/>
  <c r="N32" i="58" s="1"/>
  <c r="K36" i="58"/>
  <c r="Q29" i="48"/>
  <c r="K29" i="12"/>
  <c r="Q29" i="12"/>
  <c r="Q29" i="51"/>
  <c r="K29" i="50"/>
  <c r="Q29" i="50"/>
  <c r="K29" i="48"/>
  <c r="K29" i="51"/>
  <c r="Q29" i="49"/>
  <c r="K29" i="49"/>
  <c r="M32" i="56"/>
  <c r="N32" i="56" s="1"/>
  <c r="S32" i="56"/>
  <c r="T32" i="56" s="1"/>
  <c r="K36" i="56"/>
  <c r="Q29" i="15"/>
  <c r="K29" i="60"/>
  <c r="K29" i="15"/>
  <c r="Q29" i="60"/>
  <c r="M32" i="14"/>
  <c r="N32" i="14" s="1"/>
  <c r="S32" i="14"/>
  <c r="T32" i="14" s="1"/>
  <c r="K36" i="14"/>
  <c r="S29" i="62"/>
  <c r="T29" i="62" s="1"/>
  <c r="Y29" i="62"/>
  <c r="Z29" i="62" s="1"/>
  <c r="M29" i="15" l="1"/>
  <c r="N29" i="15" s="1"/>
  <c r="K36" i="15"/>
  <c r="M29" i="48"/>
  <c r="N29" i="48" s="1"/>
  <c r="M29" i="16"/>
  <c r="N29" i="16" s="1"/>
  <c r="M29" i="46"/>
  <c r="N29" i="46" s="1"/>
  <c r="S29" i="44"/>
  <c r="T29" i="44" s="1"/>
  <c r="Y29" i="44"/>
  <c r="Z29" i="44" s="1"/>
  <c r="M29" i="60"/>
  <c r="N29" i="60" s="1"/>
  <c r="K36" i="60"/>
  <c r="S29" i="50"/>
  <c r="T29" i="50" s="1"/>
  <c r="Y29" i="50"/>
  <c r="Z29" i="50" s="1"/>
  <c r="M29" i="61"/>
  <c r="N29" i="61" s="1"/>
  <c r="Y29" i="47"/>
  <c r="Z29" i="47" s="1"/>
  <c r="S29" i="47"/>
  <c r="T29" i="47" s="1"/>
  <c r="Y29" i="65"/>
  <c r="Z29" i="65" s="1"/>
  <c r="S29" i="65"/>
  <c r="T29" i="65" s="1"/>
  <c r="M36" i="14"/>
  <c r="N36" i="14" s="1"/>
  <c r="K39" i="14"/>
  <c r="S36" i="14"/>
  <c r="T36" i="14" s="1"/>
  <c r="M29" i="50"/>
  <c r="N29" i="50" s="1"/>
  <c r="M36" i="58"/>
  <c r="N36" i="58" s="1"/>
  <c r="K39" i="58"/>
  <c r="S36" i="58"/>
  <c r="T36" i="58" s="1"/>
  <c r="M36" i="66"/>
  <c r="N36" i="66" s="1"/>
  <c r="K39" i="66"/>
  <c r="S36" i="66"/>
  <c r="T36" i="66" s="1"/>
  <c r="Y29" i="61"/>
  <c r="Z29" i="61" s="1"/>
  <c r="S29" i="61"/>
  <c r="T29" i="61" s="1"/>
  <c r="M29" i="65"/>
  <c r="N29" i="65" s="1"/>
  <c r="M29" i="44"/>
  <c r="N29" i="44" s="1"/>
  <c r="Y29" i="51"/>
  <c r="Z29" i="51" s="1"/>
  <c r="S29" i="51"/>
  <c r="T29" i="51" s="1"/>
  <c r="Y29" i="16"/>
  <c r="Z29" i="16" s="1"/>
  <c r="S29" i="16"/>
  <c r="T29" i="16" s="1"/>
  <c r="Y29" i="45"/>
  <c r="Z29" i="45" s="1"/>
  <c r="S29" i="45"/>
  <c r="T29" i="45" s="1"/>
  <c r="S29" i="42"/>
  <c r="T29" i="42" s="1"/>
  <c r="Y29" i="42"/>
  <c r="Z29" i="42" s="1"/>
  <c r="S29" i="15"/>
  <c r="T29" i="15" s="1"/>
  <c r="Q36" i="15"/>
  <c r="Y29" i="15"/>
  <c r="Z29" i="15" s="1"/>
  <c r="Y29" i="12"/>
  <c r="Z29" i="12" s="1"/>
  <c r="S29" i="12"/>
  <c r="T29" i="12" s="1"/>
  <c r="M29" i="42"/>
  <c r="N29" i="42" s="1"/>
  <c r="M29" i="45"/>
  <c r="N29" i="45" s="1"/>
  <c r="K30" i="52"/>
  <c r="K30" i="13"/>
  <c r="K30" i="53"/>
  <c r="K30" i="54"/>
  <c r="K30" i="55"/>
  <c r="M29" i="49"/>
  <c r="N29" i="49" s="1"/>
  <c r="M29" i="12"/>
  <c r="N29" i="12" s="1"/>
  <c r="S29" i="46"/>
  <c r="T29" i="46" s="1"/>
  <c r="Y29" i="46"/>
  <c r="Z29" i="46" s="1"/>
  <c r="M29" i="43"/>
  <c r="N29" i="43" s="1"/>
  <c r="K32" i="59"/>
  <c r="K32" i="37"/>
  <c r="S29" i="48"/>
  <c r="T29" i="48" s="1"/>
  <c r="Y29" i="48"/>
  <c r="Z29" i="48" s="1"/>
  <c r="M29" i="11"/>
  <c r="N29" i="11" s="1"/>
  <c r="M29" i="47"/>
  <c r="N29" i="47" s="1"/>
  <c r="S29" i="49"/>
  <c r="T29" i="49" s="1"/>
  <c r="Y29" i="49"/>
  <c r="Z29" i="49" s="1"/>
  <c r="Y29" i="60"/>
  <c r="Z29" i="60" s="1"/>
  <c r="Q36" i="60"/>
  <c r="S29" i="60"/>
  <c r="T29" i="60" s="1"/>
  <c r="K39" i="56"/>
  <c r="M36" i="56"/>
  <c r="N36" i="56" s="1"/>
  <c r="S36" i="56"/>
  <c r="T36" i="56" s="1"/>
  <c r="M29" i="51"/>
  <c r="N29" i="51" s="1"/>
  <c r="K39" i="57"/>
  <c r="M36" i="57"/>
  <c r="N36" i="57" s="1"/>
  <c r="S36" i="57"/>
  <c r="T36" i="57" s="1"/>
  <c r="S29" i="11"/>
  <c r="T29" i="11" s="1"/>
  <c r="Y29" i="11"/>
  <c r="Z29" i="11" s="1"/>
  <c r="Y29" i="43"/>
  <c r="Z29" i="43" s="1"/>
  <c r="S29" i="43"/>
  <c r="T29" i="43" s="1"/>
  <c r="M39" i="56" l="1"/>
  <c r="N39" i="56" s="1"/>
  <c r="K56" i="56"/>
  <c r="K50" i="56"/>
  <c r="S39" i="56"/>
  <c r="T39" i="56" s="1"/>
  <c r="S36" i="60"/>
  <c r="T36" i="60" s="1"/>
  <c r="Q39" i="60"/>
  <c r="S32" i="37"/>
  <c r="T32" i="37" s="1"/>
  <c r="M32" i="37"/>
  <c r="N32" i="37" s="1"/>
  <c r="M30" i="13"/>
  <c r="N30" i="13" s="1"/>
  <c r="K56" i="57"/>
  <c r="M39" i="57"/>
  <c r="N39" i="57" s="1"/>
  <c r="K50" i="57"/>
  <c r="S39" i="57"/>
  <c r="T39" i="57" s="1"/>
  <c r="S32" i="59"/>
  <c r="T32" i="59" s="1"/>
  <c r="M32" i="59"/>
  <c r="N32" i="59" s="1"/>
  <c r="M30" i="52"/>
  <c r="N30" i="52" s="1"/>
  <c r="M39" i="58"/>
  <c r="N39" i="58" s="1"/>
  <c r="K50" i="58"/>
  <c r="K56" i="58"/>
  <c r="S39" i="58"/>
  <c r="T39" i="58" s="1"/>
  <c r="S36" i="15"/>
  <c r="T36" i="15" s="1"/>
  <c r="Q39" i="15"/>
  <c r="M30" i="55"/>
  <c r="N30" i="55" s="1"/>
  <c r="M30" i="54"/>
  <c r="N30" i="54" s="1"/>
  <c r="K39" i="60"/>
  <c r="M36" i="60"/>
  <c r="N36" i="60" s="1"/>
  <c r="K39" i="15"/>
  <c r="M36" i="15"/>
  <c r="N36" i="15" s="1"/>
  <c r="M30" i="53"/>
  <c r="N30" i="53" s="1"/>
  <c r="K56" i="66"/>
  <c r="K50" i="66"/>
  <c r="M39" i="66"/>
  <c r="N39" i="66" s="1"/>
  <c r="S39" i="66"/>
  <c r="T39" i="66" s="1"/>
  <c r="K50" i="14"/>
  <c r="K56" i="14"/>
  <c r="M39" i="14"/>
  <c r="N39" i="14" s="1"/>
  <c r="S39" i="14"/>
  <c r="T39" i="14" s="1"/>
  <c r="M50" i="57" l="1"/>
  <c r="N50" i="57" s="1"/>
  <c r="K51" i="57"/>
  <c r="S50" i="57"/>
  <c r="T50" i="57" s="1"/>
  <c r="M50" i="14"/>
  <c r="N50" i="14" s="1"/>
  <c r="K51" i="14"/>
  <c r="K52" i="14" s="1"/>
  <c r="S50" i="14"/>
  <c r="T50" i="14" s="1"/>
  <c r="K51" i="66"/>
  <c r="M50" i="66"/>
  <c r="N50" i="66" s="1"/>
  <c r="S50" i="66"/>
  <c r="T50" i="66" s="1"/>
  <c r="M39" i="60"/>
  <c r="N39" i="60" s="1"/>
  <c r="K50" i="60"/>
  <c r="K56" i="60"/>
  <c r="Q50" i="15"/>
  <c r="Q56" i="15"/>
  <c r="S39" i="15"/>
  <c r="T39" i="15" s="1"/>
  <c r="M56" i="57"/>
  <c r="K57" i="57"/>
  <c r="S56" i="57"/>
  <c r="N22" i="64" s="1"/>
  <c r="K57" i="58"/>
  <c r="M56" i="58"/>
  <c r="S56" i="58"/>
  <c r="N23" i="64" s="1"/>
  <c r="K57" i="66"/>
  <c r="M56" i="66"/>
  <c r="S56" i="66"/>
  <c r="T56" i="66" s="1"/>
  <c r="M56" i="14"/>
  <c r="K57" i="14"/>
  <c r="K58" i="14" s="1"/>
  <c r="S56" i="14"/>
  <c r="N20" i="64" s="1"/>
  <c r="K51" i="58"/>
  <c r="M50" i="58"/>
  <c r="N50" i="58" s="1"/>
  <c r="S50" i="58"/>
  <c r="T50" i="58" s="1"/>
  <c r="M50" i="56"/>
  <c r="N50" i="56" s="1"/>
  <c r="K51" i="56"/>
  <c r="S50" i="56"/>
  <c r="T50" i="56" s="1"/>
  <c r="Q50" i="60"/>
  <c r="Q56" i="60"/>
  <c r="S39" i="60"/>
  <c r="T39" i="60" s="1"/>
  <c r="M56" i="56"/>
  <c r="K57" i="56"/>
  <c r="S56" i="56"/>
  <c r="N21" i="64" s="1"/>
  <c r="M39" i="15"/>
  <c r="N39" i="15" s="1"/>
  <c r="K50" i="15"/>
  <c r="K56" i="15"/>
  <c r="T56" i="57" l="1"/>
  <c r="N52" i="64" s="1"/>
  <c r="T56" i="58"/>
  <c r="N53" i="64" s="1"/>
  <c r="K60" i="14"/>
  <c r="M58" i="14"/>
  <c r="N58" i="14" s="1"/>
  <c r="S58" i="14"/>
  <c r="T58" i="14" s="1"/>
  <c r="T56" i="56"/>
  <c r="N51" i="64" s="1"/>
  <c r="K58" i="56"/>
  <c r="M57" i="56"/>
  <c r="N57" i="56" s="1"/>
  <c r="S57" i="56"/>
  <c r="T57" i="56" s="1"/>
  <c r="K58" i="57"/>
  <c r="M57" i="57"/>
  <c r="N57" i="57" s="1"/>
  <c r="S57" i="57"/>
  <c r="T57" i="57" s="1"/>
  <c r="Q57" i="15"/>
  <c r="Q58" i="15" s="1"/>
  <c r="S56" i="15"/>
  <c r="N26" i="64" s="1"/>
  <c r="K52" i="66"/>
  <c r="M51" i="66"/>
  <c r="N51" i="66" s="1"/>
  <c r="S51" i="66"/>
  <c r="T51" i="66" s="1"/>
  <c r="M21" i="64"/>
  <c r="N56" i="56"/>
  <c r="M51" i="64" s="1"/>
  <c r="N56" i="57"/>
  <c r="M52" i="64" s="1"/>
  <c r="M22" i="64"/>
  <c r="Q51" i="15"/>
  <c r="S50" i="15"/>
  <c r="T50" i="15" s="1"/>
  <c r="K52" i="57"/>
  <c r="M51" i="57"/>
  <c r="N51" i="57" s="1"/>
  <c r="S51" i="57"/>
  <c r="T51" i="57" s="1"/>
  <c r="T56" i="14"/>
  <c r="N50" i="64" s="1"/>
  <c r="M23" i="64"/>
  <c r="N56" i="58"/>
  <c r="M53" i="64" s="1"/>
  <c r="K57" i="15"/>
  <c r="M57" i="15" s="1"/>
  <c r="N57" i="15" s="1"/>
  <c r="M56" i="15"/>
  <c r="K51" i="15"/>
  <c r="M51" i="15" s="1"/>
  <c r="N51" i="15" s="1"/>
  <c r="M50" i="15"/>
  <c r="N50" i="15" s="1"/>
  <c r="K52" i="58"/>
  <c r="M51" i="58"/>
  <c r="N51" i="58" s="1"/>
  <c r="S51" i="58"/>
  <c r="T51" i="58" s="1"/>
  <c r="N56" i="66"/>
  <c r="M49" i="64" s="1"/>
  <c r="M19" i="64"/>
  <c r="K58" i="58"/>
  <c r="M57" i="58"/>
  <c r="N57" i="58" s="1"/>
  <c r="S57" i="58"/>
  <c r="T57" i="58" s="1"/>
  <c r="K57" i="60"/>
  <c r="M57" i="60" s="1"/>
  <c r="N57" i="60" s="1"/>
  <c r="M56" i="60"/>
  <c r="Q57" i="60"/>
  <c r="S56" i="60"/>
  <c r="N27" i="64" s="1"/>
  <c r="M57" i="14"/>
  <c r="N57" i="14" s="1"/>
  <c r="S57" i="14"/>
  <c r="T57" i="14" s="1"/>
  <c r="K58" i="66"/>
  <c r="M57" i="66"/>
  <c r="N57" i="66" s="1"/>
  <c r="S57" i="66"/>
  <c r="T57" i="66" s="1"/>
  <c r="M50" i="60"/>
  <c r="N50" i="60" s="1"/>
  <c r="K51" i="60"/>
  <c r="M51" i="60" s="1"/>
  <c r="N51" i="60" s="1"/>
  <c r="S50" i="60"/>
  <c r="T50" i="60" s="1"/>
  <c r="Q51" i="60"/>
  <c r="Q52" i="60" s="1"/>
  <c r="K52" i="56"/>
  <c r="M51" i="56"/>
  <c r="N51" i="56" s="1"/>
  <c r="S51" i="56"/>
  <c r="T51" i="56" s="1"/>
  <c r="N56" i="14"/>
  <c r="M50" i="64" s="1"/>
  <c r="M20" i="64"/>
  <c r="M52" i="14"/>
  <c r="N52" i="14" s="1"/>
  <c r="K54" i="14"/>
  <c r="S52" i="14"/>
  <c r="T52" i="14" s="1"/>
  <c r="M51" i="14"/>
  <c r="N51" i="14" s="1"/>
  <c r="S51" i="14"/>
  <c r="T51" i="14" s="1"/>
  <c r="T56" i="15" l="1"/>
  <c r="N56" i="64" s="1"/>
  <c r="K58" i="15"/>
  <c r="K60" i="15" s="1"/>
  <c r="M60" i="15" s="1"/>
  <c r="N60" i="15" s="1"/>
  <c r="K52" i="15"/>
  <c r="K52" i="60"/>
  <c r="K54" i="60" s="1"/>
  <c r="M54" i="60" s="1"/>
  <c r="N54" i="60" s="1"/>
  <c r="K58" i="60"/>
  <c r="M58" i="60" s="1"/>
  <c r="N58" i="60" s="1"/>
  <c r="M52" i="56"/>
  <c r="N52" i="56" s="1"/>
  <c r="K54" i="56"/>
  <c r="S52" i="56"/>
  <c r="T52" i="56" s="1"/>
  <c r="K60" i="66"/>
  <c r="M58" i="66"/>
  <c r="N58" i="66" s="1"/>
  <c r="S58" i="66"/>
  <c r="T58" i="66" s="1"/>
  <c r="K54" i="57"/>
  <c r="M52" i="57"/>
  <c r="N52" i="57" s="1"/>
  <c r="S52" i="57"/>
  <c r="T52" i="57" s="1"/>
  <c r="M58" i="57"/>
  <c r="N58" i="57" s="1"/>
  <c r="K60" i="57"/>
  <c r="S58" i="57"/>
  <c r="T58" i="57" s="1"/>
  <c r="T56" i="60"/>
  <c r="N57" i="64" s="1"/>
  <c r="K60" i="58"/>
  <c r="M58" i="58"/>
  <c r="N58" i="58" s="1"/>
  <c r="S58" i="58"/>
  <c r="T58" i="58" s="1"/>
  <c r="S51" i="15"/>
  <c r="T51" i="15" s="1"/>
  <c r="M52" i="15"/>
  <c r="N52" i="15" s="1"/>
  <c r="K54" i="15"/>
  <c r="M54" i="15" s="1"/>
  <c r="N54" i="15" s="1"/>
  <c r="Q59" i="15"/>
  <c r="S58" i="15"/>
  <c r="T58" i="15" s="1"/>
  <c r="M52" i="60"/>
  <c r="N52" i="60" s="1"/>
  <c r="Q58" i="60"/>
  <c r="S57" i="60"/>
  <c r="T57" i="60" s="1"/>
  <c r="N56" i="60"/>
  <c r="M57" i="64" s="1"/>
  <c r="M27" i="64"/>
  <c r="M58" i="56"/>
  <c r="N58" i="56" s="1"/>
  <c r="K60" i="56"/>
  <c r="S58" i="56"/>
  <c r="T58" i="56" s="1"/>
  <c r="M52" i="66"/>
  <c r="N52" i="66" s="1"/>
  <c r="K54" i="66"/>
  <c r="S52" i="66"/>
  <c r="T52" i="66" s="1"/>
  <c r="M60" i="14"/>
  <c r="N60" i="14" s="1"/>
  <c r="S60" i="14"/>
  <c r="T60" i="14" s="1"/>
  <c r="Q53" i="60"/>
  <c r="Q54" i="60" s="1"/>
  <c r="S52" i="60"/>
  <c r="T52" i="60" s="1"/>
  <c r="S57" i="15"/>
  <c r="T57" i="15" s="1"/>
  <c r="M54" i="14"/>
  <c r="N54" i="14" s="1"/>
  <c r="S54" i="14"/>
  <c r="T54" i="14" s="1"/>
  <c r="S51" i="60"/>
  <c r="T51" i="60" s="1"/>
  <c r="K54" i="58"/>
  <c r="M52" i="58"/>
  <c r="N52" i="58" s="1"/>
  <c r="S52" i="58"/>
  <c r="T52" i="58" s="1"/>
  <c r="N56" i="15"/>
  <c r="M56" i="64" s="1"/>
  <c r="M26" i="64"/>
  <c r="Q52" i="15"/>
  <c r="M58" i="15" l="1"/>
  <c r="N58" i="15" s="1"/>
  <c r="K60" i="60"/>
  <c r="M60" i="60" s="1"/>
  <c r="N60" i="60" s="1"/>
  <c r="S54" i="60"/>
  <c r="T54" i="60" s="1"/>
  <c r="M54" i="58"/>
  <c r="N54" i="58" s="1"/>
  <c r="S54" i="58"/>
  <c r="T54" i="58" s="1"/>
  <c r="M60" i="56"/>
  <c r="N60" i="56" s="1"/>
  <c r="S60" i="56"/>
  <c r="T60" i="56" s="1"/>
  <c r="Q59" i="60"/>
  <c r="S58" i="60"/>
  <c r="T58" i="60" s="1"/>
  <c r="M60" i="58"/>
  <c r="N60" i="58" s="1"/>
  <c r="S60" i="58"/>
  <c r="T60" i="58" s="1"/>
  <c r="M54" i="56"/>
  <c r="N54" i="56" s="1"/>
  <c r="S54" i="56"/>
  <c r="T54" i="56" s="1"/>
  <c r="S53" i="60"/>
  <c r="T53" i="60" s="1"/>
  <c r="M54" i="66"/>
  <c r="N54" i="66" s="1"/>
  <c r="S54" i="66"/>
  <c r="T54" i="66" s="1"/>
  <c r="M60" i="57"/>
  <c r="N60" i="57" s="1"/>
  <c r="S60" i="57"/>
  <c r="T60" i="57" s="1"/>
  <c r="M54" i="57"/>
  <c r="N54" i="57" s="1"/>
  <c r="S54" i="57"/>
  <c r="T54" i="57" s="1"/>
  <c r="M60" i="66"/>
  <c r="N60" i="66" s="1"/>
  <c r="S60" i="66"/>
  <c r="T60" i="66" s="1"/>
  <c r="Q60" i="15"/>
  <c r="S59" i="15"/>
  <c r="T59" i="15" s="1"/>
  <c r="S52" i="15"/>
  <c r="T52" i="15" s="1"/>
  <c r="Q53" i="15"/>
  <c r="Q54" i="15" s="1"/>
  <c r="S60" i="15" l="1"/>
  <c r="T60" i="15" s="1"/>
  <c r="S54" i="15"/>
  <c r="T54" i="15" s="1"/>
  <c r="S59" i="60"/>
  <c r="T59" i="60" s="1"/>
  <c r="S53" i="15"/>
  <c r="T53" i="15" s="1"/>
  <c r="Q60" i="60"/>
  <c r="S60" i="60" l="1"/>
  <c r="T60" i="60" s="1"/>
  <c r="K12" i="47" l="1"/>
  <c r="K12" i="44"/>
  <c r="K12" i="11"/>
  <c r="K12" i="45"/>
  <c r="K12" i="42"/>
  <c r="K12" i="65"/>
  <c r="K12" i="46"/>
  <c r="K12" i="43"/>
  <c r="Q12" i="65"/>
  <c r="Q12" i="42"/>
  <c r="Q12" i="44"/>
  <c r="Q12" i="46"/>
  <c r="Q12" i="45"/>
  <c r="Q12" i="43"/>
  <c r="Q12" i="11"/>
  <c r="Q12" i="47"/>
  <c r="M12" i="43" l="1"/>
  <c r="M12" i="46"/>
  <c r="S12" i="11"/>
  <c r="S12" i="45"/>
  <c r="T12" i="45" s="1"/>
  <c r="M12" i="42"/>
  <c r="M12" i="65"/>
  <c r="N12" i="65" s="1"/>
  <c r="S12" i="46"/>
  <c r="M12" i="45"/>
  <c r="S12" i="43"/>
  <c r="S12" i="44"/>
  <c r="T12" i="44" s="1"/>
  <c r="M12" i="11"/>
  <c r="K28" i="11"/>
  <c r="S12" i="47"/>
  <c r="S12" i="42"/>
  <c r="M12" i="44"/>
  <c r="K19" i="46"/>
  <c r="M19" i="46" s="1"/>
  <c r="N19" i="46" s="1"/>
  <c r="K19" i="11"/>
  <c r="M19" i="11" s="1"/>
  <c r="N19" i="11" s="1"/>
  <c r="K19" i="43"/>
  <c r="M19" i="43" s="1"/>
  <c r="N19" i="43" s="1"/>
  <c r="K19" i="45"/>
  <c r="M19" i="45" s="1"/>
  <c r="N19" i="45" s="1"/>
  <c r="K19" i="44"/>
  <c r="M19" i="44" s="1"/>
  <c r="N19" i="44" s="1"/>
  <c r="K19" i="65"/>
  <c r="M19" i="65" s="1"/>
  <c r="N19" i="65" s="1"/>
  <c r="K19" i="42"/>
  <c r="M19" i="42" s="1"/>
  <c r="N19" i="42" s="1"/>
  <c r="K19" i="47"/>
  <c r="M19" i="47" s="1"/>
  <c r="N19" i="47" s="1"/>
  <c r="Q19" i="45"/>
  <c r="Q19" i="43"/>
  <c r="Q28" i="43" s="1"/>
  <c r="Q19" i="11"/>
  <c r="Q28" i="11" s="1"/>
  <c r="Q19" i="44"/>
  <c r="Q19" i="47"/>
  <c r="Q19" i="46"/>
  <c r="Q19" i="65"/>
  <c r="Q19" i="42"/>
  <c r="S12" i="65"/>
  <c r="T12" i="65" s="1"/>
  <c r="M12" i="47"/>
  <c r="K28" i="44" l="1"/>
  <c r="K36" i="44" s="1"/>
  <c r="K28" i="47"/>
  <c r="S19" i="65"/>
  <c r="T19" i="65" s="1"/>
  <c r="S28" i="11"/>
  <c r="T28" i="11" s="1"/>
  <c r="Q36" i="11"/>
  <c r="Q36" i="43"/>
  <c r="K12" i="54"/>
  <c r="K12" i="55"/>
  <c r="K12" i="53"/>
  <c r="K12" i="52"/>
  <c r="Q12" i="52"/>
  <c r="Q12" i="55"/>
  <c r="Q12" i="13"/>
  <c r="Q12" i="54"/>
  <c r="K12" i="13"/>
  <c r="Q12" i="53"/>
  <c r="S19" i="45"/>
  <c r="T19" i="45" s="1"/>
  <c r="E8" i="64"/>
  <c r="E38" i="64" s="1"/>
  <c r="N12" i="47"/>
  <c r="S19" i="42"/>
  <c r="T19" i="42" s="1"/>
  <c r="M28" i="44"/>
  <c r="N28" i="44" s="1"/>
  <c r="T12" i="47"/>
  <c r="K28" i="65"/>
  <c r="K12" i="62"/>
  <c r="K12" i="17"/>
  <c r="Q12" i="62"/>
  <c r="Q12" i="17"/>
  <c r="M28" i="11"/>
  <c r="N28" i="11" s="1"/>
  <c r="K36" i="11"/>
  <c r="T12" i="43"/>
  <c r="K12" i="59"/>
  <c r="Q12" i="59"/>
  <c r="K12" i="37"/>
  <c r="Q12" i="37"/>
  <c r="S19" i="46"/>
  <c r="T19" i="46" s="1"/>
  <c r="E5" i="64"/>
  <c r="E35" i="64" s="1"/>
  <c r="E3" i="63" s="1"/>
  <c r="N12" i="44"/>
  <c r="T12" i="11"/>
  <c r="K28" i="45"/>
  <c r="K28" i="42"/>
  <c r="K28" i="46"/>
  <c r="K12" i="16"/>
  <c r="K12" i="61"/>
  <c r="Q12" i="61"/>
  <c r="Q12" i="16"/>
  <c r="S19" i="47"/>
  <c r="T19" i="47" s="1"/>
  <c r="Q28" i="42"/>
  <c r="E2" i="64"/>
  <c r="E32" i="64" s="1"/>
  <c r="N12" i="11"/>
  <c r="E3" i="64"/>
  <c r="E33" i="64" s="1"/>
  <c r="N12" i="42"/>
  <c r="T12" i="46"/>
  <c r="K12" i="12"/>
  <c r="K12" i="51"/>
  <c r="Q12" i="50"/>
  <c r="Q12" i="49"/>
  <c r="Q12" i="51"/>
  <c r="Q12" i="48"/>
  <c r="K12" i="49"/>
  <c r="K12" i="48"/>
  <c r="K12" i="50"/>
  <c r="Q12" i="12"/>
  <c r="M28" i="47"/>
  <c r="N28" i="47" s="1"/>
  <c r="K36" i="47"/>
  <c r="S19" i="44"/>
  <c r="T19" i="44" s="1"/>
  <c r="Q28" i="44"/>
  <c r="E6" i="64"/>
  <c r="E36" i="64" s="1"/>
  <c r="N12" i="45"/>
  <c r="Q28" i="45"/>
  <c r="E7" i="64"/>
  <c r="E37" i="64" s="1"/>
  <c r="N12" i="46"/>
  <c r="S19" i="11"/>
  <c r="T19" i="11" s="1"/>
  <c r="T12" i="42"/>
  <c r="F3" i="64"/>
  <c r="F33" i="64" s="1"/>
  <c r="Q28" i="46"/>
  <c r="K28" i="43"/>
  <c r="Q28" i="65"/>
  <c r="S19" i="43"/>
  <c r="T19" i="43" s="1"/>
  <c r="Q28" i="47"/>
  <c r="F5" i="64"/>
  <c r="F35" i="64" s="1"/>
  <c r="F6" i="64"/>
  <c r="F36" i="64" s="1"/>
  <c r="E4" i="64"/>
  <c r="E34" i="64" s="1"/>
  <c r="N12" i="43"/>
  <c r="Q19" i="62" l="1"/>
  <c r="Q28" i="62" s="1"/>
  <c r="K19" i="62"/>
  <c r="M19" i="62" s="1"/>
  <c r="N19" i="62" s="1"/>
  <c r="K19" i="17"/>
  <c r="M19" i="17" s="1"/>
  <c r="N19" i="17" s="1"/>
  <c r="Q19" i="17"/>
  <c r="S19" i="17" s="1"/>
  <c r="T19" i="17" s="1"/>
  <c r="K19" i="16"/>
  <c r="M19" i="16" s="1"/>
  <c r="N19" i="16" s="1"/>
  <c r="Q19" i="61"/>
  <c r="K19" i="61"/>
  <c r="M19" i="61" s="1"/>
  <c r="N19" i="61" s="1"/>
  <c r="Q19" i="16"/>
  <c r="S12" i="51"/>
  <c r="M12" i="16"/>
  <c r="N12" i="16" s="1"/>
  <c r="M36" i="11"/>
  <c r="N36" i="11" s="1"/>
  <c r="K39" i="11"/>
  <c r="M12" i="52"/>
  <c r="K19" i="37"/>
  <c r="M19" i="37" s="1"/>
  <c r="N19" i="37" s="1"/>
  <c r="K19" i="59"/>
  <c r="M19" i="59" s="1"/>
  <c r="N19" i="59" s="1"/>
  <c r="Q19" i="59"/>
  <c r="Q28" i="59" s="1"/>
  <c r="Q19" i="37"/>
  <c r="K39" i="47"/>
  <c r="M36" i="47"/>
  <c r="N36" i="47" s="1"/>
  <c r="S12" i="49"/>
  <c r="M28" i="46"/>
  <c r="N28" i="46" s="1"/>
  <c r="K36" i="46"/>
  <c r="Q28" i="37"/>
  <c r="S12" i="37"/>
  <c r="M36" i="44"/>
  <c r="N36" i="44" s="1"/>
  <c r="K39" i="44"/>
  <c r="M12" i="53"/>
  <c r="S28" i="42"/>
  <c r="T28" i="42" s="1"/>
  <c r="Q36" i="42"/>
  <c r="K28" i="37"/>
  <c r="M12" i="37"/>
  <c r="Q28" i="17"/>
  <c r="S12" i="17"/>
  <c r="T12" i="17" s="1"/>
  <c r="S12" i="53"/>
  <c r="M12" i="55"/>
  <c r="S28" i="65"/>
  <c r="T28" i="65" s="1"/>
  <c r="Q36" i="65"/>
  <c r="S12" i="50"/>
  <c r="T12" i="50" s="1"/>
  <c r="M28" i="42"/>
  <c r="N28" i="42" s="1"/>
  <c r="K36" i="42"/>
  <c r="M28" i="43"/>
  <c r="N28" i="43" s="1"/>
  <c r="K36" i="43"/>
  <c r="S28" i="45"/>
  <c r="T28" i="45" s="1"/>
  <c r="Q36" i="45"/>
  <c r="S12" i="12"/>
  <c r="T12" i="12" s="1"/>
  <c r="M12" i="51"/>
  <c r="M28" i="45"/>
  <c r="N28" i="45" s="1"/>
  <c r="K36" i="45"/>
  <c r="S12" i="59"/>
  <c r="S12" i="62"/>
  <c r="M12" i="13"/>
  <c r="M12" i="54"/>
  <c r="M12" i="59"/>
  <c r="T12" i="59"/>
  <c r="M12" i="17"/>
  <c r="N12" i="17" s="1"/>
  <c r="K28" i="17"/>
  <c r="S12" i="54"/>
  <c r="T12" i="54" s="1"/>
  <c r="Q39" i="43"/>
  <c r="S36" i="43"/>
  <c r="T36" i="43" s="1"/>
  <c r="S28" i="46"/>
  <c r="T28" i="46" s="1"/>
  <c r="Q36" i="46"/>
  <c r="M12" i="50"/>
  <c r="M12" i="12"/>
  <c r="M12" i="48"/>
  <c r="S12" i="16"/>
  <c r="T12" i="16" s="1"/>
  <c r="F2" i="64"/>
  <c r="F32" i="64" s="1"/>
  <c r="M12" i="62"/>
  <c r="T12" i="62"/>
  <c r="S12" i="13"/>
  <c r="T12" i="13" s="1"/>
  <c r="S28" i="43"/>
  <c r="T28" i="43" s="1"/>
  <c r="S28" i="44"/>
  <c r="T28" i="44" s="1"/>
  <c r="Q36" i="44"/>
  <c r="S12" i="61"/>
  <c r="Q28" i="61"/>
  <c r="F4" i="64"/>
  <c r="F34" i="64" s="1"/>
  <c r="S12" i="55"/>
  <c r="T12" i="55" s="1"/>
  <c r="S36" i="11"/>
  <c r="T36" i="11" s="1"/>
  <c r="Q39" i="11"/>
  <c r="M12" i="49"/>
  <c r="T12" i="49"/>
  <c r="M28" i="65"/>
  <c r="N28" i="65" s="1"/>
  <c r="K36" i="65"/>
  <c r="S28" i="47"/>
  <c r="T28" i="47" s="1"/>
  <c r="Q36" i="47"/>
  <c r="S12" i="48"/>
  <c r="M12" i="61"/>
  <c r="K28" i="61"/>
  <c r="T12" i="61"/>
  <c r="F8" i="64"/>
  <c r="F38" i="64" s="1"/>
  <c r="F7" i="64"/>
  <c r="F37" i="64" s="1"/>
  <c r="S12" i="52"/>
  <c r="S19" i="16" l="1"/>
  <c r="T19" i="16" s="1"/>
  <c r="S19" i="61"/>
  <c r="T19" i="61" s="1"/>
  <c r="S19" i="37"/>
  <c r="T19" i="37" s="1"/>
  <c r="K28" i="16"/>
  <c r="K28" i="62"/>
  <c r="M28" i="62" s="1"/>
  <c r="N28" i="62" s="1"/>
  <c r="K28" i="59"/>
  <c r="M28" i="59" s="1"/>
  <c r="N28" i="59" s="1"/>
  <c r="E24" i="64"/>
  <c r="E54" i="64" s="1"/>
  <c r="N12" i="37"/>
  <c r="Q50" i="43"/>
  <c r="Q56" i="43"/>
  <c r="Q36" i="62"/>
  <c r="N12" i="55"/>
  <c r="M28" i="37"/>
  <c r="N28" i="37" s="1"/>
  <c r="K36" i="37"/>
  <c r="F24" i="64"/>
  <c r="F54" i="64" s="1"/>
  <c r="M39" i="47"/>
  <c r="N39" i="47" s="1"/>
  <c r="K50" i="47"/>
  <c r="K53" i="47" s="1"/>
  <c r="M53" i="47" s="1"/>
  <c r="N53" i="47" s="1"/>
  <c r="K56" i="47"/>
  <c r="K59" i="47" s="1"/>
  <c r="M59" i="47" s="1"/>
  <c r="N59" i="47" s="1"/>
  <c r="K50" i="11"/>
  <c r="K53" i="11" s="1"/>
  <c r="M53" i="11" s="1"/>
  <c r="N53" i="11" s="1"/>
  <c r="K56" i="11"/>
  <c r="K59" i="11" s="1"/>
  <c r="M59" i="11" s="1"/>
  <c r="N59" i="11" s="1"/>
  <c r="M39" i="11"/>
  <c r="N39" i="11" s="1"/>
  <c r="N12" i="51"/>
  <c r="N12" i="52"/>
  <c r="E29" i="64"/>
  <c r="E59" i="64" s="1"/>
  <c r="N12" i="62"/>
  <c r="N12" i="12"/>
  <c r="Q39" i="42"/>
  <c r="S36" i="42"/>
  <c r="T36" i="42" s="1"/>
  <c r="S28" i="37"/>
  <c r="T28" i="37" s="1"/>
  <c r="Q36" i="37"/>
  <c r="Q50" i="11"/>
  <c r="Q56" i="11"/>
  <c r="S39" i="11"/>
  <c r="T39" i="11" s="1"/>
  <c r="Q39" i="47"/>
  <c r="S36" i="47"/>
  <c r="T36" i="47" s="1"/>
  <c r="S36" i="44"/>
  <c r="T36" i="44" s="1"/>
  <c r="Q39" i="44"/>
  <c r="N12" i="54"/>
  <c r="K39" i="46"/>
  <c r="M36" i="46"/>
  <c r="N36" i="46" s="1"/>
  <c r="S19" i="59"/>
  <c r="T19" i="59" s="1"/>
  <c r="S28" i="61"/>
  <c r="T28" i="61" s="1"/>
  <c r="Q36" i="61"/>
  <c r="M28" i="17"/>
  <c r="N28" i="17" s="1"/>
  <c r="K36" i="17"/>
  <c r="Q36" i="59"/>
  <c r="Q39" i="45"/>
  <c r="S36" i="45"/>
  <c r="T36" i="45" s="1"/>
  <c r="M28" i="16"/>
  <c r="N28" i="16" s="1"/>
  <c r="K36" i="16"/>
  <c r="N12" i="49"/>
  <c r="T12" i="48"/>
  <c r="M28" i="61"/>
  <c r="N28" i="61" s="1"/>
  <c r="K36" i="61"/>
  <c r="Q28" i="16"/>
  <c r="N12" i="50"/>
  <c r="M36" i="45"/>
  <c r="N36" i="45" s="1"/>
  <c r="K39" i="45"/>
  <c r="S36" i="65"/>
  <c r="T36" i="65" s="1"/>
  <c r="Q39" i="65"/>
  <c r="T12" i="53"/>
  <c r="K19" i="13"/>
  <c r="K19" i="55"/>
  <c r="K19" i="54"/>
  <c r="Q19" i="13"/>
  <c r="K19" i="52"/>
  <c r="Q19" i="52"/>
  <c r="Q19" i="53"/>
  <c r="Q19" i="55"/>
  <c r="K19" i="53"/>
  <c r="Q19" i="54"/>
  <c r="N12" i="13"/>
  <c r="M36" i="43"/>
  <c r="N36" i="43" s="1"/>
  <c r="K39" i="43"/>
  <c r="S28" i="17"/>
  <c r="T28" i="17" s="1"/>
  <c r="Q36" i="17"/>
  <c r="N12" i="53"/>
  <c r="M36" i="42"/>
  <c r="N36" i="42" s="1"/>
  <c r="K39" i="42"/>
  <c r="M36" i="65"/>
  <c r="N36" i="65" s="1"/>
  <c r="K39" i="65"/>
  <c r="E28" i="64"/>
  <c r="E58" i="64" s="1"/>
  <c r="N12" i="61"/>
  <c r="Q39" i="46"/>
  <c r="S36" i="46"/>
  <c r="T36" i="46" s="1"/>
  <c r="K19" i="49"/>
  <c r="Q19" i="12"/>
  <c r="Q19" i="49"/>
  <c r="Q19" i="48"/>
  <c r="K19" i="48"/>
  <c r="Q19" i="50"/>
  <c r="K19" i="12"/>
  <c r="Q19" i="51"/>
  <c r="K19" i="50"/>
  <c r="K19" i="51"/>
  <c r="N12" i="48"/>
  <c r="E25" i="64"/>
  <c r="E55" i="64" s="1"/>
  <c r="N12" i="59"/>
  <c r="T12" i="37"/>
  <c r="M39" i="44"/>
  <c r="N39" i="44" s="1"/>
  <c r="K56" i="44"/>
  <c r="K59" i="44" s="1"/>
  <c r="M59" i="44" s="1"/>
  <c r="N59" i="44" s="1"/>
  <c r="K50" i="44"/>
  <c r="T12" i="52"/>
  <c r="T12" i="51"/>
  <c r="S19" i="62"/>
  <c r="T19" i="62" s="1"/>
  <c r="S28" i="62" l="1"/>
  <c r="T28" i="62" s="1"/>
  <c r="K53" i="44"/>
  <c r="M53" i="44" s="1"/>
  <c r="N53" i="44" s="1"/>
  <c r="S28" i="59"/>
  <c r="T28" i="59" s="1"/>
  <c r="F25" i="64"/>
  <c r="F55" i="64" s="1"/>
  <c r="K36" i="62"/>
  <c r="M36" i="62" s="1"/>
  <c r="N36" i="62" s="1"/>
  <c r="F28" i="64"/>
  <c r="F58" i="64" s="1"/>
  <c r="K36" i="59"/>
  <c r="S36" i="59" s="1"/>
  <c r="T36" i="59" s="1"/>
  <c r="M19" i="54"/>
  <c r="K28" i="54"/>
  <c r="F29" i="64"/>
  <c r="F59" i="64" s="1"/>
  <c r="Q56" i="45"/>
  <c r="Q50" i="45"/>
  <c r="S39" i="45"/>
  <c r="T39" i="45" s="1"/>
  <c r="Q57" i="43"/>
  <c r="Q51" i="43"/>
  <c r="M19" i="55"/>
  <c r="K28" i="55"/>
  <c r="Q39" i="59"/>
  <c r="S19" i="50"/>
  <c r="Q28" i="50"/>
  <c r="M19" i="53"/>
  <c r="K28" i="53"/>
  <c r="M19" i="13"/>
  <c r="K28" i="13"/>
  <c r="S28" i="16"/>
  <c r="T28" i="16" s="1"/>
  <c r="Q36" i="16"/>
  <c r="Q56" i="47"/>
  <c r="S39" i="47"/>
  <c r="T39" i="47" s="1"/>
  <c r="Q50" i="47"/>
  <c r="K39" i="62"/>
  <c r="S36" i="17"/>
  <c r="T36" i="17" s="1"/>
  <c r="Q39" i="17"/>
  <c r="S19" i="55"/>
  <c r="Q28" i="55"/>
  <c r="M36" i="16"/>
  <c r="N36" i="16" s="1"/>
  <c r="K39" i="16"/>
  <c r="M36" i="17"/>
  <c r="N36" i="17" s="1"/>
  <c r="K39" i="17"/>
  <c r="K57" i="11"/>
  <c r="M57" i="11" s="1"/>
  <c r="N57" i="11" s="1"/>
  <c r="M56" i="11"/>
  <c r="N56" i="11" s="1"/>
  <c r="M19" i="48"/>
  <c r="K28" i="48"/>
  <c r="S19" i="48"/>
  <c r="Q28" i="48"/>
  <c r="K50" i="65"/>
  <c r="K53" i="65" s="1"/>
  <c r="M53" i="65" s="1"/>
  <c r="N53" i="65" s="1"/>
  <c r="K56" i="65"/>
  <c r="K59" i="65" s="1"/>
  <c r="M59" i="65" s="1"/>
  <c r="N59" i="65" s="1"/>
  <c r="M39" i="65"/>
  <c r="N39" i="65" s="1"/>
  <c r="S19" i="53"/>
  <c r="Q28" i="53"/>
  <c r="Q50" i="65"/>
  <c r="S39" i="65"/>
  <c r="T39" i="65" s="1"/>
  <c r="Q56" i="65"/>
  <c r="M36" i="61"/>
  <c r="N36" i="61" s="1"/>
  <c r="K39" i="61"/>
  <c r="Q57" i="11"/>
  <c r="S56" i="11"/>
  <c r="T56" i="11" s="1"/>
  <c r="K51" i="11"/>
  <c r="M51" i="11" s="1"/>
  <c r="N51" i="11" s="1"/>
  <c r="M50" i="11"/>
  <c r="M19" i="12"/>
  <c r="K28" i="12"/>
  <c r="M36" i="37"/>
  <c r="N36" i="37" s="1"/>
  <c r="K39" i="37"/>
  <c r="S19" i="49"/>
  <c r="Q28" i="49"/>
  <c r="K50" i="43"/>
  <c r="M39" i="43"/>
  <c r="N39" i="43" s="1"/>
  <c r="K56" i="43"/>
  <c r="S19" i="52"/>
  <c r="Q28" i="52"/>
  <c r="S36" i="61"/>
  <c r="T36" i="61" s="1"/>
  <c r="Q39" i="61"/>
  <c r="S50" i="11"/>
  <c r="N2" i="64" s="1"/>
  <c r="Q51" i="11"/>
  <c r="M56" i="47"/>
  <c r="N56" i="47" s="1"/>
  <c r="K57" i="47"/>
  <c r="M57" i="47" s="1"/>
  <c r="N57" i="47" s="1"/>
  <c r="Q39" i="62"/>
  <c r="S19" i="54"/>
  <c r="Q28" i="54"/>
  <c r="Q50" i="42"/>
  <c r="S39" i="42"/>
  <c r="T39" i="42" s="1"/>
  <c r="Q56" i="42"/>
  <c r="K57" i="44"/>
  <c r="M57" i="44" s="1"/>
  <c r="N57" i="44" s="1"/>
  <c r="M56" i="44"/>
  <c r="N56" i="44" s="1"/>
  <c r="M19" i="51"/>
  <c r="K28" i="51"/>
  <c r="S19" i="12"/>
  <c r="Q28" i="12"/>
  <c r="M19" i="52"/>
  <c r="K28" i="52"/>
  <c r="K50" i="45"/>
  <c r="K53" i="45" s="1"/>
  <c r="M53" i="45" s="1"/>
  <c r="N53" i="45" s="1"/>
  <c r="M39" i="45"/>
  <c r="N39" i="45" s="1"/>
  <c r="K56" i="45"/>
  <c r="K59" i="45" s="1"/>
  <c r="M59" i="45" s="1"/>
  <c r="N59" i="45" s="1"/>
  <c r="Q39" i="37"/>
  <c r="S36" i="37"/>
  <c r="T36" i="37" s="1"/>
  <c r="K51" i="47"/>
  <c r="M51" i="47" s="1"/>
  <c r="N51" i="47" s="1"/>
  <c r="M50" i="47"/>
  <c r="K39" i="59"/>
  <c r="M36" i="59"/>
  <c r="N36" i="59" s="1"/>
  <c r="S19" i="51"/>
  <c r="Q28" i="51"/>
  <c r="Q50" i="46"/>
  <c r="Q56" i="46"/>
  <c r="S39" i="46"/>
  <c r="T39" i="46" s="1"/>
  <c r="K56" i="46"/>
  <c r="K59" i="46" s="1"/>
  <c r="M59" i="46" s="1"/>
  <c r="N59" i="46" s="1"/>
  <c r="K50" i="46"/>
  <c r="K53" i="46" s="1"/>
  <c r="M53" i="46" s="1"/>
  <c r="N53" i="46" s="1"/>
  <c r="M39" i="46"/>
  <c r="N39" i="46" s="1"/>
  <c r="K51" i="44"/>
  <c r="M51" i="44" s="1"/>
  <c r="N51" i="44" s="1"/>
  <c r="M50" i="44"/>
  <c r="M19" i="50"/>
  <c r="K28" i="50"/>
  <c r="M19" i="49"/>
  <c r="K28" i="49"/>
  <c r="M39" i="42"/>
  <c r="N39" i="42" s="1"/>
  <c r="K56" i="42"/>
  <c r="K59" i="42" s="1"/>
  <c r="M59" i="42" s="1"/>
  <c r="N59" i="42" s="1"/>
  <c r="K50" i="42"/>
  <c r="K53" i="42" s="1"/>
  <c r="M53" i="42" s="1"/>
  <c r="N53" i="42" s="1"/>
  <c r="S19" i="13"/>
  <c r="Q28" i="13"/>
  <c r="Q56" i="44"/>
  <c r="Q50" i="44"/>
  <c r="S39" i="44"/>
  <c r="T39" i="44" s="1"/>
  <c r="S39" i="43"/>
  <c r="T39" i="43" s="1"/>
  <c r="S36" i="62" l="1"/>
  <c r="T36" i="62" s="1"/>
  <c r="S50" i="43"/>
  <c r="N4" i="64" s="1"/>
  <c r="K53" i="43"/>
  <c r="M53" i="43" s="1"/>
  <c r="N53" i="43" s="1"/>
  <c r="S56" i="43"/>
  <c r="T56" i="43" s="1"/>
  <c r="K59" i="43"/>
  <c r="M59" i="43" s="1"/>
  <c r="N59" i="43" s="1"/>
  <c r="K52" i="47"/>
  <c r="T50" i="11"/>
  <c r="N32" i="64" s="1"/>
  <c r="K58" i="11"/>
  <c r="K58" i="47"/>
  <c r="Q50" i="37"/>
  <c r="Q56" i="37"/>
  <c r="S39" i="37"/>
  <c r="T39" i="37" s="1"/>
  <c r="Q52" i="11"/>
  <c r="S51" i="11"/>
  <c r="T51" i="11" s="1"/>
  <c r="S50" i="44"/>
  <c r="Q51" i="44"/>
  <c r="S51" i="44" s="1"/>
  <c r="T51" i="44" s="1"/>
  <c r="N19" i="49"/>
  <c r="E11" i="64"/>
  <c r="E41" i="64" s="1"/>
  <c r="M50" i="46"/>
  <c r="K51" i="46"/>
  <c r="M51" i="46" s="1"/>
  <c r="N51" i="46" s="1"/>
  <c r="K50" i="59"/>
  <c r="M39" i="59"/>
  <c r="N39" i="59" s="1"/>
  <c r="K56" i="59"/>
  <c r="K58" i="44"/>
  <c r="Q50" i="61"/>
  <c r="Q56" i="61"/>
  <c r="S39" i="61"/>
  <c r="T39" i="61" s="1"/>
  <c r="T19" i="49"/>
  <c r="F11" i="64"/>
  <c r="F41" i="64" s="1"/>
  <c r="S28" i="53"/>
  <c r="T28" i="53" s="1"/>
  <c r="Q36" i="53"/>
  <c r="N19" i="48"/>
  <c r="E10" i="64"/>
  <c r="E40" i="64" s="1"/>
  <c r="E4" i="63" s="1"/>
  <c r="S28" i="55"/>
  <c r="T28" i="55" s="1"/>
  <c r="Q36" i="55"/>
  <c r="Q57" i="47"/>
  <c r="S57" i="47" s="1"/>
  <c r="T57" i="47" s="1"/>
  <c r="S56" i="47"/>
  <c r="T56" i="47" s="1"/>
  <c r="T19" i="50"/>
  <c r="F12" i="64"/>
  <c r="F42" i="64" s="1"/>
  <c r="Q58" i="43"/>
  <c r="S56" i="44"/>
  <c r="T56" i="44" s="1"/>
  <c r="Q57" i="44"/>
  <c r="M28" i="50"/>
  <c r="N28" i="50" s="1"/>
  <c r="K36" i="50"/>
  <c r="M56" i="46"/>
  <c r="N56" i="46" s="1"/>
  <c r="K57" i="46"/>
  <c r="M57" i="46" s="1"/>
  <c r="N57" i="46" s="1"/>
  <c r="M50" i="45"/>
  <c r="K51" i="45"/>
  <c r="M51" i="45" s="1"/>
  <c r="N51" i="45" s="1"/>
  <c r="S39" i="62"/>
  <c r="T39" i="62" s="1"/>
  <c r="Q50" i="62"/>
  <c r="Q56" i="62"/>
  <c r="K56" i="37"/>
  <c r="M39" i="37"/>
  <c r="N39" i="37" s="1"/>
  <c r="K50" i="37"/>
  <c r="T19" i="53"/>
  <c r="F16" i="64"/>
  <c r="F46" i="64" s="1"/>
  <c r="M58" i="11"/>
  <c r="N58" i="11" s="1"/>
  <c r="K60" i="11"/>
  <c r="M60" i="11" s="1"/>
  <c r="N60" i="11" s="1"/>
  <c r="T19" i="55"/>
  <c r="F18" i="64"/>
  <c r="F48" i="64" s="1"/>
  <c r="Q39" i="16"/>
  <c r="S36" i="16"/>
  <c r="T36" i="16" s="1"/>
  <c r="M28" i="52"/>
  <c r="N28" i="52" s="1"/>
  <c r="K36" i="52"/>
  <c r="S28" i="52"/>
  <c r="T28" i="52" s="1"/>
  <c r="Q36" i="52"/>
  <c r="Q58" i="11"/>
  <c r="S57" i="11"/>
  <c r="T57" i="11" s="1"/>
  <c r="S39" i="17"/>
  <c r="T39" i="17" s="1"/>
  <c r="Q50" i="17"/>
  <c r="Q56" i="17"/>
  <c r="Q50" i="59"/>
  <c r="Q56" i="59"/>
  <c r="S39" i="59"/>
  <c r="T39" i="59" s="1"/>
  <c r="N19" i="50"/>
  <c r="E12" i="64"/>
  <c r="E42" i="64" s="1"/>
  <c r="T19" i="13"/>
  <c r="F14" i="64"/>
  <c r="F44" i="64" s="1"/>
  <c r="Q57" i="46"/>
  <c r="S56" i="46"/>
  <c r="T56" i="46" s="1"/>
  <c r="M8" i="64"/>
  <c r="N50" i="47"/>
  <c r="M38" i="64" s="1"/>
  <c r="N19" i="52"/>
  <c r="E15" i="64"/>
  <c r="E45" i="64" s="1"/>
  <c r="Q57" i="42"/>
  <c r="S56" i="42"/>
  <c r="T56" i="42" s="1"/>
  <c r="T19" i="52"/>
  <c r="F15" i="64"/>
  <c r="F45" i="64" s="1"/>
  <c r="M28" i="12"/>
  <c r="N28" i="12" s="1"/>
  <c r="K36" i="12"/>
  <c r="M39" i="61"/>
  <c r="N39" i="61" s="1"/>
  <c r="K56" i="61"/>
  <c r="K50" i="61"/>
  <c r="K57" i="65"/>
  <c r="M57" i="65" s="1"/>
  <c r="N57" i="65" s="1"/>
  <c r="M56" i="65"/>
  <c r="N56" i="65" s="1"/>
  <c r="M28" i="13"/>
  <c r="N28" i="13" s="1"/>
  <c r="K36" i="13"/>
  <c r="M28" i="55"/>
  <c r="N28" i="55" s="1"/>
  <c r="K36" i="55"/>
  <c r="S50" i="45"/>
  <c r="N6" i="64" s="1"/>
  <c r="Q51" i="45"/>
  <c r="S51" i="45" s="1"/>
  <c r="T51" i="45" s="1"/>
  <c r="S28" i="13"/>
  <c r="T28" i="13" s="1"/>
  <c r="Q36" i="13"/>
  <c r="K54" i="47"/>
  <c r="M54" i="47" s="1"/>
  <c r="N54" i="47" s="1"/>
  <c r="M52" i="47"/>
  <c r="N52" i="47" s="1"/>
  <c r="M58" i="47"/>
  <c r="N58" i="47" s="1"/>
  <c r="K60" i="47"/>
  <c r="M60" i="47" s="1"/>
  <c r="N60" i="47" s="1"/>
  <c r="M50" i="42"/>
  <c r="K51" i="42"/>
  <c r="M51" i="42" s="1"/>
  <c r="N51" i="42" s="1"/>
  <c r="K52" i="44"/>
  <c r="S50" i="46"/>
  <c r="N7" i="64" s="1"/>
  <c r="Q51" i="46"/>
  <c r="S28" i="12"/>
  <c r="T28" i="12" s="1"/>
  <c r="Q36" i="12"/>
  <c r="M56" i="43"/>
  <c r="N56" i="43" s="1"/>
  <c r="K57" i="43"/>
  <c r="M57" i="43" s="1"/>
  <c r="N57" i="43" s="1"/>
  <c r="N19" i="12"/>
  <c r="E9" i="64"/>
  <c r="E39" i="64" s="1"/>
  <c r="M50" i="65"/>
  <c r="N50" i="65" s="1"/>
  <c r="K51" i="65"/>
  <c r="M51" i="65" s="1"/>
  <c r="N51" i="65" s="1"/>
  <c r="K50" i="17"/>
  <c r="M39" i="17"/>
  <c r="N39" i="17" s="1"/>
  <c r="K56" i="17"/>
  <c r="K56" i="62"/>
  <c r="K50" i="62"/>
  <c r="M39" i="62"/>
  <c r="N39" i="62" s="1"/>
  <c r="N19" i="13"/>
  <c r="E14" i="64"/>
  <c r="E44" i="64" s="1"/>
  <c r="N19" i="55"/>
  <c r="E18" i="64"/>
  <c r="E48" i="64" s="1"/>
  <c r="Q57" i="45"/>
  <c r="S56" i="45"/>
  <c r="T56" i="45" s="1"/>
  <c r="W12" i="17"/>
  <c r="W12" i="62"/>
  <c r="K57" i="42"/>
  <c r="M57" i="42" s="1"/>
  <c r="N57" i="42" s="1"/>
  <c r="M56" i="42"/>
  <c r="N56" i="42" s="1"/>
  <c r="M5" i="64"/>
  <c r="N50" i="44"/>
  <c r="M35" i="64" s="1"/>
  <c r="E6" i="63" s="1"/>
  <c r="S28" i="51"/>
  <c r="T28" i="51" s="1"/>
  <c r="Q36" i="51"/>
  <c r="T19" i="12"/>
  <c r="F9" i="64"/>
  <c r="F39" i="64" s="1"/>
  <c r="S50" i="42"/>
  <c r="N3" i="64" s="1"/>
  <c r="Q51" i="42"/>
  <c r="K52" i="11"/>
  <c r="Q57" i="65"/>
  <c r="S57" i="65" s="1"/>
  <c r="T57" i="65" s="1"/>
  <c r="S56" i="65"/>
  <c r="T56" i="65" s="1"/>
  <c r="S28" i="48"/>
  <c r="T28" i="48" s="1"/>
  <c r="Q36" i="48"/>
  <c r="M28" i="53"/>
  <c r="N28" i="53" s="1"/>
  <c r="K36" i="53"/>
  <c r="T19" i="51"/>
  <c r="F13" i="64"/>
  <c r="F43" i="64" s="1"/>
  <c r="S28" i="54"/>
  <c r="T28" i="54" s="1"/>
  <c r="Q36" i="54"/>
  <c r="T19" i="48"/>
  <c r="F10" i="64"/>
  <c r="F40" i="64" s="1"/>
  <c r="M39" i="16"/>
  <c r="N39" i="16" s="1"/>
  <c r="K50" i="16"/>
  <c r="K56" i="16"/>
  <c r="S50" i="47"/>
  <c r="Q51" i="47"/>
  <c r="S51" i="47" s="1"/>
  <c r="T51" i="47" s="1"/>
  <c r="N19" i="53"/>
  <c r="E16" i="64"/>
  <c r="E46" i="64" s="1"/>
  <c r="M28" i="54"/>
  <c r="N28" i="54" s="1"/>
  <c r="K36" i="54"/>
  <c r="M28" i="51"/>
  <c r="N28" i="51" s="1"/>
  <c r="K36" i="51"/>
  <c r="K51" i="43"/>
  <c r="M51" i="43" s="1"/>
  <c r="N51" i="43" s="1"/>
  <c r="M50" i="43"/>
  <c r="T50" i="43"/>
  <c r="N34" i="64" s="1"/>
  <c r="M28" i="49"/>
  <c r="N28" i="49" s="1"/>
  <c r="K36" i="49"/>
  <c r="M56" i="45"/>
  <c r="N56" i="45" s="1"/>
  <c r="K57" i="45"/>
  <c r="M57" i="45" s="1"/>
  <c r="N57" i="45" s="1"/>
  <c r="N19" i="51"/>
  <c r="E13" i="64"/>
  <c r="E43" i="64" s="1"/>
  <c r="T19" i="54"/>
  <c r="F17" i="64"/>
  <c r="F47" i="64" s="1"/>
  <c r="S28" i="49"/>
  <c r="T28" i="49" s="1"/>
  <c r="Q36" i="49"/>
  <c r="N50" i="11"/>
  <c r="M32" i="64" s="1"/>
  <c r="M2" i="64"/>
  <c r="Q51" i="65"/>
  <c r="S50" i="65"/>
  <c r="T50" i="65" s="1"/>
  <c r="M28" i="48"/>
  <c r="N28" i="48" s="1"/>
  <c r="K36" i="48"/>
  <c r="S28" i="50"/>
  <c r="T28" i="50" s="1"/>
  <c r="Q36" i="50"/>
  <c r="Q52" i="43"/>
  <c r="S51" i="43"/>
  <c r="T51" i="43" s="1"/>
  <c r="N19" i="54"/>
  <c r="E17" i="64"/>
  <c r="E47" i="64" s="1"/>
  <c r="K58" i="65" l="1"/>
  <c r="K58" i="45"/>
  <c r="K52" i="45"/>
  <c r="Q52" i="47"/>
  <c r="Q58" i="65"/>
  <c r="Q52" i="45"/>
  <c r="Q52" i="44"/>
  <c r="S52" i="44" s="1"/>
  <c r="T52" i="44" s="1"/>
  <c r="K52" i="65"/>
  <c r="K52" i="46"/>
  <c r="K54" i="46" s="1"/>
  <c r="M54" i="46" s="1"/>
  <c r="N54" i="46" s="1"/>
  <c r="Q52" i="65"/>
  <c r="S51" i="65"/>
  <c r="T51" i="65" s="1"/>
  <c r="M4" i="64"/>
  <c r="N50" i="43"/>
  <c r="M34" i="64" s="1"/>
  <c r="Q53" i="47"/>
  <c r="S52" i="47"/>
  <c r="T52" i="47" s="1"/>
  <c r="M3" i="64"/>
  <c r="N50" i="42"/>
  <c r="M33" i="64" s="1"/>
  <c r="Q58" i="46"/>
  <c r="Q59" i="46" s="1"/>
  <c r="S57" i="46"/>
  <c r="T57" i="46" s="1"/>
  <c r="Q57" i="17"/>
  <c r="S56" i="17"/>
  <c r="T56" i="17" s="1"/>
  <c r="T50" i="45"/>
  <c r="N36" i="64" s="1"/>
  <c r="Q58" i="44"/>
  <c r="S57" i="44"/>
  <c r="T57" i="44" s="1"/>
  <c r="T50" i="46"/>
  <c r="N37" i="64" s="1"/>
  <c r="Q39" i="48"/>
  <c r="S36" i="48"/>
  <c r="T36" i="48" s="1"/>
  <c r="Q39" i="12"/>
  <c r="S36" i="12"/>
  <c r="T36" i="12" s="1"/>
  <c r="Q51" i="59"/>
  <c r="S50" i="59"/>
  <c r="T50" i="59" s="1"/>
  <c r="K60" i="45"/>
  <c r="M60" i="45" s="1"/>
  <c r="N60" i="45" s="1"/>
  <c r="M58" i="45"/>
  <c r="N58" i="45" s="1"/>
  <c r="Q39" i="54"/>
  <c r="S36" i="54"/>
  <c r="T36" i="54" s="1"/>
  <c r="Y12" i="62"/>
  <c r="Q51" i="17"/>
  <c r="S50" i="17"/>
  <c r="T50" i="17" s="1"/>
  <c r="K51" i="37"/>
  <c r="M51" i="37" s="1"/>
  <c r="N51" i="37" s="1"/>
  <c r="M50" i="37"/>
  <c r="N50" i="37" s="1"/>
  <c r="Q39" i="55"/>
  <c r="S36" i="55"/>
  <c r="T36" i="55" s="1"/>
  <c r="N5" i="64"/>
  <c r="T50" i="44"/>
  <c r="N35" i="64" s="1"/>
  <c r="M52" i="65"/>
  <c r="N52" i="65" s="1"/>
  <c r="K54" i="65"/>
  <c r="M54" i="65" s="1"/>
  <c r="N54" i="65" s="1"/>
  <c r="M58" i="65"/>
  <c r="N58" i="65" s="1"/>
  <c r="K60" i="65"/>
  <c r="M60" i="65" s="1"/>
  <c r="N60" i="65" s="1"/>
  <c r="Q59" i="65"/>
  <c r="S58" i="65"/>
  <c r="T58" i="65" s="1"/>
  <c r="Q53" i="43"/>
  <c r="S53" i="43" s="1"/>
  <c r="T53" i="43" s="1"/>
  <c r="M36" i="51"/>
  <c r="N36" i="51" s="1"/>
  <c r="K39" i="51"/>
  <c r="Q39" i="51"/>
  <c r="S36" i="51"/>
  <c r="T36" i="51" s="1"/>
  <c r="Y12" i="17"/>
  <c r="Z12" i="17" s="1"/>
  <c r="M50" i="62"/>
  <c r="N50" i="62" s="1"/>
  <c r="K51" i="62"/>
  <c r="M51" i="62" s="1"/>
  <c r="N51" i="62" s="1"/>
  <c r="Q52" i="46"/>
  <c r="S51" i="46"/>
  <c r="T51" i="46" s="1"/>
  <c r="K51" i="61"/>
  <c r="M51" i="61" s="1"/>
  <c r="N51" i="61" s="1"/>
  <c r="M50" i="61"/>
  <c r="N50" i="61" s="1"/>
  <c r="Q58" i="42"/>
  <c r="S57" i="42"/>
  <c r="T57" i="42" s="1"/>
  <c r="Q50" i="16"/>
  <c r="S39" i="16"/>
  <c r="T39" i="16" s="1"/>
  <c r="Q56" i="16"/>
  <c r="N50" i="45"/>
  <c r="M36" i="64" s="1"/>
  <c r="M6" i="64"/>
  <c r="S57" i="43"/>
  <c r="T57" i="43" s="1"/>
  <c r="Q57" i="61"/>
  <c r="Q58" i="61" s="1"/>
  <c r="S56" i="61"/>
  <c r="N28" i="64" s="1"/>
  <c r="K51" i="59"/>
  <c r="M51" i="59" s="1"/>
  <c r="N51" i="59" s="1"/>
  <c r="M50" i="59"/>
  <c r="N50" i="59" s="1"/>
  <c r="S36" i="49"/>
  <c r="T36" i="49" s="1"/>
  <c r="Q39" i="49"/>
  <c r="N8" i="64"/>
  <c r="T50" i="47"/>
  <c r="N38" i="64" s="1"/>
  <c r="M56" i="62"/>
  <c r="K57" i="62"/>
  <c r="M57" i="62" s="1"/>
  <c r="N57" i="62" s="1"/>
  <c r="M36" i="55"/>
  <c r="N36" i="55" s="1"/>
  <c r="K39" i="55"/>
  <c r="K57" i="61"/>
  <c r="M57" i="61" s="1"/>
  <c r="N57" i="61" s="1"/>
  <c r="M56" i="61"/>
  <c r="K57" i="37"/>
  <c r="M56" i="37"/>
  <c r="K58" i="46"/>
  <c r="Q59" i="43"/>
  <c r="S59" i="43" s="1"/>
  <c r="T59" i="43" s="1"/>
  <c r="S50" i="61"/>
  <c r="T50" i="61" s="1"/>
  <c r="Q51" i="61"/>
  <c r="M7" i="64"/>
  <c r="N50" i="46"/>
  <c r="M37" i="64" s="1"/>
  <c r="Q53" i="11"/>
  <c r="S53" i="11" s="1"/>
  <c r="T53" i="11" s="1"/>
  <c r="S52" i="45"/>
  <c r="T52" i="45" s="1"/>
  <c r="Q53" i="45"/>
  <c r="S53" i="45" s="1"/>
  <c r="T53" i="45" s="1"/>
  <c r="S36" i="50"/>
  <c r="T36" i="50" s="1"/>
  <c r="Q39" i="50"/>
  <c r="M36" i="49"/>
  <c r="N36" i="49" s="1"/>
  <c r="K39" i="49"/>
  <c r="K39" i="54"/>
  <c r="M36" i="54"/>
  <c r="N36" i="54" s="1"/>
  <c r="M56" i="16"/>
  <c r="N56" i="16" s="1"/>
  <c r="K57" i="16"/>
  <c r="M57" i="16" s="1"/>
  <c r="N57" i="16" s="1"/>
  <c r="S52" i="11"/>
  <c r="T52" i="11" s="1"/>
  <c r="K54" i="11"/>
  <c r="M54" i="11" s="1"/>
  <c r="N54" i="11" s="1"/>
  <c r="M52" i="11"/>
  <c r="N52" i="11" s="1"/>
  <c r="Q58" i="45"/>
  <c r="S57" i="45"/>
  <c r="T57" i="45" s="1"/>
  <c r="M56" i="17"/>
  <c r="N56" i="17" s="1"/>
  <c r="K57" i="17"/>
  <c r="M57" i="17" s="1"/>
  <c r="N57" i="17" s="1"/>
  <c r="K58" i="43"/>
  <c r="M52" i="44"/>
  <c r="N52" i="44" s="1"/>
  <c r="K54" i="44"/>
  <c r="M54" i="44" s="1"/>
  <c r="N54" i="44" s="1"/>
  <c r="S58" i="11"/>
  <c r="T58" i="11" s="1"/>
  <c r="Q59" i="11"/>
  <c r="S59" i="11" s="1"/>
  <c r="T59" i="11" s="1"/>
  <c r="Q57" i="62"/>
  <c r="Q58" i="62" s="1"/>
  <c r="S56" i="62"/>
  <c r="N29" i="64" s="1"/>
  <c r="K60" i="44"/>
  <c r="M60" i="44" s="1"/>
  <c r="N60" i="44" s="1"/>
  <c r="M58" i="44"/>
  <c r="N58" i="44" s="1"/>
  <c r="M36" i="52"/>
  <c r="N36" i="52" s="1"/>
  <c r="K39" i="52"/>
  <c r="M52" i="45"/>
  <c r="N52" i="45" s="1"/>
  <c r="K54" i="45"/>
  <c r="M54" i="45" s="1"/>
  <c r="N54" i="45" s="1"/>
  <c r="M36" i="53"/>
  <c r="N36" i="53" s="1"/>
  <c r="K39" i="53"/>
  <c r="K52" i="42"/>
  <c r="Q39" i="13"/>
  <c r="S36" i="13"/>
  <c r="T36" i="13" s="1"/>
  <c r="K39" i="13"/>
  <c r="M36" i="13"/>
  <c r="N36" i="13" s="1"/>
  <c r="M36" i="12"/>
  <c r="N36" i="12" s="1"/>
  <c r="K39" i="12"/>
  <c r="Q39" i="52"/>
  <c r="S36" i="52"/>
  <c r="T36" i="52" s="1"/>
  <c r="S50" i="62"/>
  <c r="T50" i="62" s="1"/>
  <c r="Q51" i="62"/>
  <c r="Q39" i="53"/>
  <c r="S36" i="53"/>
  <c r="T36" i="53" s="1"/>
  <c r="K57" i="59"/>
  <c r="M57" i="59" s="1"/>
  <c r="N57" i="59" s="1"/>
  <c r="M56" i="59"/>
  <c r="Q57" i="37"/>
  <c r="S57" i="37" s="1"/>
  <c r="T57" i="37" s="1"/>
  <c r="S56" i="37"/>
  <c r="N24" i="64" s="1"/>
  <c r="W12" i="61"/>
  <c r="W12" i="16"/>
  <c r="M36" i="48"/>
  <c r="N36" i="48" s="1"/>
  <c r="K39" i="48"/>
  <c r="K51" i="16"/>
  <c r="M51" i="16" s="1"/>
  <c r="N51" i="16" s="1"/>
  <c r="M50" i="16"/>
  <c r="N50" i="16" s="1"/>
  <c r="W19" i="62"/>
  <c r="Y19" i="62" s="1"/>
  <c r="Z19" i="62" s="1"/>
  <c r="W19" i="17"/>
  <c r="Y19" i="17" s="1"/>
  <c r="Z19" i="17" s="1"/>
  <c r="K52" i="43"/>
  <c r="S52" i="43" s="1"/>
  <c r="T52" i="43" s="1"/>
  <c r="Q52" i="42"/>
  <c r="Q53" i="42" s="1"/>
  <c r="S51" i="42"/>
  <c r="T51" i="42" s="1"/>
  <c r="K58" i="42"/>
  <c r="K51" i="17"/>
  <c r="M51" i="17" s="1"/>
  <c r="N51" i="17" s="1"/>
  <c r="M50" i="17"/>
  <c r="N50" i="17" s="1"/>
  <c r="T50" i="42"/>
  <c r="N33" i="64" s="1"/>
  <c r="Q57" i="59"/>
  <c r="Q58" i="59" s="1"/>
  <c r="S56" i="59"/>
  <c r="N25" i="64" s="1"/>
  <c r="M36" i="50"/>
  <c r="N36" i="50" s="1"/>
  <c r="K39" i="50"/>
  <c r="Q58" i="47"/>
  <c r="Q51" i="37"/>
  <c r="S50" i="37"/>
  <c r="T50" i="37" s="1"/>
  <c r="Q58" i="37" l="1"/>
  <c r="T56" i="61"/>
  <c r="N58" i="64" s="1"/>
  <c r="M52" i="46"/>
  <c r="N52" i="46" s="1"/>
  <c r="Q60" i="11"/>
  <c r="S60" i="11" s="1"/>
  <c r="T60" i="11" s="1"/>
  <c r="Q53" i="44"/>
  <c r="S53" i="44" s="1"/>
  <c r="T53" i="44" s="1"/>
  <c r="S57" i="62"/>
  <c r="T57" i="62" s="1"/>
  <c r="T56" i="59"/>
  <c r="N55" i="64" s="1"/>
  <c r="K58" i="59"/>
  <c r="S58" i="59" s="1"/>
  <c r="T58" i="59" s="1"/>
  <c r="Q60" i="43"/>
  <c r="S51" i="59"/>
  <c r="T51" i="59" s="1"/>
  <c r="T56" i="37"/>
  <c r="N54" i="64" s="1"/>
  <c r="S57" i="59"/>
  <c r="T57" i="59" s="1"/>
  <c r="K52" i="16"/>
  <c r="S51" i="61"/>
  <c r="T51" i="61" s="1"/>
  <c r="S57" i="61"/>
  <c r="T57" i="61" s="1"/>
  <c r="K58" i="61"/>
  <c r="S58" i="61" s="1"/>
  <c r="T58" i="61" s="1"/>
  <c r="K52" i="61"/>
  <c r="M39" i="51"/>
  <c r="N39" i="51" s="1"/>
  <c r="K50" i="51"/>
  <c r="K53" i="51" s="1"/>
  <c r="M53" i="51" s="1"/>
  <c r="N53" i="51" s="1"/>
  <c r="K56" i="51"/>
  <c r="K59" i="51" s="1"/>
  <c r="M59" i="51" s="1"/>
  <c r="N59" i="51" s="1"/>
  <c r="Q54" i="47"/>
  <c r="S54" i="47" s="1"/>
  <c r="T54" i="47" s="1"/>
  <c r="S53" i="47"/>
  <c r="T53" i="47" s="1"/>
  <c r="K52" i="17"/>
  <c r="Q59" i="37"/>
  <c r="M28" i="64"/>
  <c r="N56" i="61"/>
  <c r="M58" i="64" s="1"/>
  <c r="Q59" i="61"/>
  <c r="S50" i="16"/>
  <c r="T50" i="16" s="1"/>
  <c r="Q51" i="16"/>
  <c r="S51" i="16" s="1"/>
  <c r="T51" i="16" s="1"/>
  <c r="Q50" i="55"/>
  <c r="Q56" i="55"/>
  <c r="S39" i="55"/>
  <c r="T39" i="55" s="1"/>
  <c r="W28" i="62"/>
  <c r="K56" i="50"/>
  <c r="K59" i="50" s="1"/>
  <c r="M59" i="50" s="1"/>
  <c r="N59" i="50" s="1"/>
  <c r="M39" i="50"/>
  <c r="N39" i="50" s="1"/>
  <c r="K50" i="50"/>
  <c r="K53" i="50" s="1"/>
  <c r="M53" i="50" s="1"/>
  <c r="N53" i="50" s="1"/>
  <c r="M39" i="13"/>
  <c r="N39" i="13" s="1"/>
  <c r="K50" i="13"/>
  <c r="K56" i="13"/>
  <c r="N56" i="62"/>
  <c r="M59" i="64" s="1"/>
  <c r="M29" i="64"/>
  <c r="Q53" i="46"/>
  <c r="S53" i="46" s="1"/>
  <c r="T53" i="46" s="1"/>
  <c r="Q52" i="62"/>
  <c r="S51" i="62"/>
  <c r="T51" i="62" s="1"/>
  <c r="S58" i="42"/>
  <c r="T58" i="42" s="1"/>
  <c r="K60" i="42"/>
  <c r="M60" i="42" s="1"/>
  <c r="N60" i="42" s="1"/>
  <c r="M58" i="42"/>
  <c r="N58" i="42" s="1"/>
  <c r="Q56" i="13"/>
  <c r="Q50" i="13"/>
  <c r="S39" i="13"/>
  <c r="T39" i="13" s="1"/>
  <c r="Q59" i="45"/>
  <c r="S59" i="45" s="1"/>
  <c r="T59" i="45" s="1"/>
  <c r="S58" i="45"/>
  <c r="T58" i="45" s="1"/>
  <c r="K50" i="54"/>
  <c r="M39" i="54"/>
  <c r="N39" i="54" s="1"/>
  <c r="K56" i="54"/>
  <c r="Q54" i="11"/>
  <c r="S54" i="11" s="1"/>
  <c r="T54" i="11" s="1"/>
  <c r="K52" i="62"/>
  <c r="Q54" i="43"/>
  <c r="K52" i="37"/>
  <c r="Q50" i="12"/>
  <c r="Q56" i="12"/>
  <c r="S39" i="12"/>
  <c r="T39" i="12" s="1"/>
  <c r="Q58" i="17"/>
  <c r="S57" i="17"/>
  <c r="T57" i="17" s="1"/>
  <c r="W19" i="16"/>
  <c r="Y19" i="16" s="1"/>
  <c r="Z19" i="16" s="1"/>
  <c r="W19" i="61"/>
  <c r="Y19" i="61" s="1"/>
  <c r="Z19" i="61" s="1"/>
  <c r="Q59" i="59"/>
  <c r="S59" i="59" s="1"/>
  <c r="T59" i="59" s="1"/>
  <c r="K50" i="48"/>
  <c r="K56" i="48"/>
  <c r="K59" i="48" s="1"/>
  <c r="M59" i="48" s="1"/>
  <c r="N59" i="48" s="1"/>
  <c r="M39" i="48"/>
  <c r="N39" i="48" s="1"/>
  <c r="M58" i="59"/>
  <c r="N58" i="59" s="1"/>
  <c r="S52" i="42"/>
  <c r="T52" i="42" s="1"/>
  <c r="M52" i="42"/>
  <c r="N52" i="42" s="1"/>
  <c r="K54" i="42"/>
  <c r="M54" i="42" s="1"/>
  <c r="N54" i="42" s="1"/>
  <c r="K56" i="49"/>
  <c r="K59" i="49" s="1"/>
  <c r="M59" i="49" s="1"/>
  <c r="N59" i="49" s="1"/>
  <c r="M39" i="49"/>
  <c r="N39" i="49" s="1"/>
  <c r="K50" i="49"/>
  <c r="K53" i="49" s="1"/>
  <c r="M53" i="49" s="1"/>
  <c r="N53" i="49" s="1"/>
  <c r="S58" i="46"/>
  <c r="T58" i="46" s="1"/>
  <c r="K60" i="46"/>
  <c r="M60" i="46" s="1"/>
  <c r="N60" i="46" s="1"/>
  <c r="M58" i="46"/>
  <c r="N58" i="46" s="1"/>
  <c r="K56" i="55"/>
  <c r="M39" i="55"/>
  <c r="N39" i="55" s="1"/>
  <c r="K50" i="55"/>
  <c r="S39" i="49"/>
  <c r="T39" i="49" s="1"/>
  <c r="Q50" i="49"/>
  <c r="Q56" i="49"/>
  <c r="Q59" i="42"/>
  <c r="S59" i="42" s="1"/>
  <c r="T59" i="42" s="1"/>
  <c r="Q50" i="54"/>
  <c r="Q56" i="54"/>
  <c r="S39" i="54"/>
  <c r="T39" i="54" s="1"/>
  <c r="K54" i="61"/>
  <c r="M54" i="61" s="1"/>
  <c r="N54" i="61" s="1"/>
  <c r="M52" i="61"/>
  <c r="N52" i="61" s="1"/>
  <c r="Q50" i="48"/>
  <c r="S39" i="48"/>
  <c r="T39" i="48" s="1"/>
  <c r="Q56" i="48"/>
  <c r="Q60" i="46"/>
  <c r="S59" i="46"/>
  <c r="T59" i="46" s="1"/>
  <c r="S52" i="65"/>
  <c r="T52" i="65" s="1"/>
  <c r="Q53" i="65"/>
  <c r="Q56" i="53"/>
  <c r="Q50" i="53"/>
  <c r="S39" i="53"/>
  <c r="T39" i="53" s="1"/>
  <c r="Q54" i="42"/>
  <c r="S53" i="42"/>
  <c r="T53" i="42" s="1"/>
  <c r="Q56" i="52"/>
  <c r="Q50" i="52"/>
  <c r="S39" i="52"/>
  <c r="T39" i="52" s="1"/>
  <c r="Q59" i="62"/>
  <c r="M52" i="43"/>
  <c r="N52" i="43" s="1"/>
  <c r="K54" i="43"/>
  <c r="M54" i="43" s="1"/>
  <c r="N54" i="43" s="1"/>
  <c r="Y12" i="16"/>
  <c r="Z12" i="16" s="1"/>
  <c r="N56" i="59"/>
  <c r="M55" i="64" s="1"/>
  <c r="M25" i="64"/>
  <c r="K50" i="12"/>
  <c r="K53" i="12" s="1"/>
  <c r="M53" i="12" s="1"/>
  <c r="N53" i="12" s="1"/>
  <c r="K56" i="12"/>
  <c r="K59" i="12" s="1"/>
  <c r="M59" i="12" s="1"/>
  <c r="N59" i="12" s="1"/>
  <c r="M39" i="12"/>
  <c r="N39" i="12" s="1"/>
  <c r="S58" i="43"/>
  <c r="T58" i="43" s="1"/>
  <c r="K60" i="43"/>
  <c r="M60" i="43" s="1"/>
  <c r="N60" i="43" s="1"/>
  <c r="M58" i="43"/>
  <c r="N58" i="43" s="1"/>
  <c r="Q50" i="50"/>
  <c r="Q56" i="50"/>
  <c r="S39" i="50"/>
  <c r="T39" i="50" s="1"/>
  <c r="N56" i="37"/>
  <c r="M54" i="64" s="1"/>
  <c r="M24" i="64"/>
  <c r="K58" i="62"/>
  <c r="K52" i="59"/>
  <c r="W28" i="17"/>
  <c r="M52" i="16"/>
  <c r="N52" i="16" s="1"/>
  <c r="K54" i="16"/>
  <c r="M54" i="16" s="1"/>
  <c r="N54" i="16" s="1"/>
  <c r="K56" i="53"/>
  <c r="M39" i="53"/>
  <c r="N39" i="53" s="1"/>
  <c r="K50" i="53"/>
  <c r="Q52" i="37"/>
  <c r="S51" i="37"/>
  <c r="T51" i="37" s="1"/>
  <c r="W28" i="61"/>
  <c r="Y12" i="61"/>
  <c r="K58" i="17"/>
  <c r="K58" i="16"/>
  <c r="Q52" i="61"/>
  <c r="K58" i="37"/>
  <c r="S58" i="37" s="1"/>
  <c r="T58" i="37" s="1"/>
  <c r="M57" i="37"/>
  <c r="N57" i="37" s="1"/>
  <c r="T56" i="62"/>
  <c r="N59" i="64" s="1"/>
  <c r="Q60" i="65"/>
  <c r="S60" i="65" s="1"/>
  <c r="T60" i="65" s="1"/>
  <c r="S59" i="65"/>
  <c r="T59" i="65" s="1"/>
  <c r="Q52" i="17"/>
  <c r="S51" i="17"/>
  <c r="T51" i="17" s="1"/>
  <c r="K50" i="52"/>
  <c r="K56" i="52"/>
  <c r="M39" i="52"/>
  <c r="N39" i="52" s="1"/>
  <c r="W12" i="59"/>
  <c r="W12" i="37"/>
  <c r="S58" i="47"/>
  <c r="T58" i="47" s="1"/>
  <c r="Q59" i="47"/>
  <c r="S59" i="47" s="1"/>
  <c r="T59" i="47" s="1"/>
  <c r="Q54" i="45"/>
  <c r="S54" i="45" s="1"/>
  <c r="T54" i="45" s="1"/>
  <c r="S56" i="16"/>
  <c r="T56" i="16" s="1"/>
  <c r="Q57" i="16"/>
  <c r="Q50" i="51"/>
  <c r="Q56" i="51"/>
  <c r="S39" i="51"/>
  <c r="T39" i="51" s="1"/>
  <c r="S52" i="46"/>
  <c r="T52" i="46" s="1"/>
  <c r="G29" i="64"/>
  <c r="G59" i="64" s="1"/>
  <c r="Z12" i="62"/>
  <c r="Q52" i="59"/>
  <c r="S58" i="44"/>
  <c r="T58" i="44" s="1"/>
  <c r="Q59" i="44"/>
  <c r="S59" i="44" s="1"/>
  <c r="T59" i="44" s="1"/>
  <c r="K53" i="48" l="1"/>
  <c r="M53" i="48" s="1"/>
  <c r="N53" i="48" s="1"/>
  <c r="M58" i="61"/>
  <c r="N58" i="61" s="1"/>
  <c r="K60" i="59"/>
  <c r="M60" i="59" s="1"/>
  <c r="N60" i="59" s="1"/>
  <c r="Q60" i="44"/>
  <c r="S60" i="44" s="1"/>
  <c r="T60" i="44" s="1"/>
  <c r="K60" i="61"/>
  <c r="M60" i="61" s="1"/>
  <c r="N60" i="61" s="1"/>
  <c r="Q54" i="44"/>
  <c r="S54" i="44" s="1"/>
  <c r="T54" i="44" s="1"/>
  <c r="Q54" i="46"/>
  <c r="S54" i="46" s="1"/>
  <c r="T54" i="46" s="1"/>
  <c r="W12" i="13"/>
  <c r="W12" i="52"/>
  <c r="W12" i="53"/>
  <c r="W12" i="55"/>
  <c r="W12" i="54"/>
  <c r="K51" i="52"/>
  <c r="M50" i="52"/>
  <c r="N50" i="52" s="1"/>
  <c r="Q53" i="61"/>
  <c r="S53" i="61" s="1"/>
  <c r="T53" i="61" s="1"/>
  <c r="S52" i="61"/>
  <c r="T52" i="61" s="1"/>
  <c r="M50" i="53"/>
  <c r="N50" i="53" s="1"/>
  <c r="K51" i="53"/>
  <c r="K60" i="62"/>
  <c r="M60" i="62" s="1"/>
  <c r="N60" i="62" s="1"/>
  <c r="M58" i="62"/>
  <c r="N58" i="62" s="1"/>
  <c r="S54" i="42"/>
  <c r="T54" i="42" s="1"/>
  <c r="Q57" i="48"/>
  <c r="S56" i="48"/>
  <c r="T56" i="48" s="1"/>
  <c r="Q60" i="42"/>
  <c r="S60" i="42" s="1"/>
  <c r="T60" i="42" s="1"/>
  <c r="K54" i="37"/>
  <c r="M54" i="37" s="1"/>
  <c r="N54" i="37" s="1"/>
  <c r="M52" i="37"/>
  <c r="N52" i="37" s="1"/>
  <c r="Q52" i="16"/>
  <c r="S54" i="43"/>
  <c r="T54" i="43" s="1"/>
  <c r="Q53" i="62"/>
  <c r="S53" i="62" s="1"/>
  <c r="T53" i="62" s="1"/>
  <c r="S52" i="62"/>
  <c r="T52" i="62" s="1"/>
  <c r="M50" i="50"/>
  <c r="K51" i="50"/>
  <c r="M51" i="50" s="1"/>
  <c r="N51" i="50" s="1"/>
  <c r="Q60" i="37"/>
  <c r="S59" i="37"/>
  <c r="T59" i="37" s="1"/>
  <c r="Y12" i="37"/>
  <c r="M56" i="53"/>
  <c r="K57" i="53"/>
  <c r="M57" i="53" s="1"/>
  <c r="N57" i="53" s="1"/>
  <c r="Q60" i="62"/>
  <c r="S59" i="62"/>
  <c r="T59" i="62" s="1"/>
  <c r="Q51" i="53"/>
  <c r="Q52" i="53" s="1"/>
  <c r="S50" i="53"/>
  <c r="T50" i="53" s="1"/>
  <c r="S50" i="48"/>
  <c r="N10" i="64" s="1"/>
  <c r="Q51" i="48"/>
  <c r="S56" i="49"/>
  <c r="T56" i="49" s="1"/>
  <c r="Q57" i="49"/>
  <c r="M52" i="62"/>
  <c r="N52" i="62" s="1"/>
  <c r="K54" i="62"/>
  <c r="M54" i="62" s="1"/>
  <c r="N54" i="62" s="1"/>
  <c r="M52" i="17"/>
  <c r="N52" i="17" s="1"/>
  <c r="K54" i="17"/>
  <c r="M54" i="17" s="1"/>
  <c r="N54" i="17" s="1"/>
  <c r="S56" i="51"/>
  <c r="T56" i="51" s="1"/>
  <c r="Q57" i="51"/>
  <c r="Q58" i="51" s="1"/>
  <c r="Q53" i="17"/>
  <c r="S52" i="17"/>
  <c r="T52" i="17" s="1"/>
  <c r="Q51" i="51"/>
  <c r="Q52" i="51" s="1"/>
  <c r="S50" i="51"/>
  <c r="N13" i="64" s="1"/>
  <c r="Y12" i="59"/>
  <c r="G28" i="64"/>
  <c r="G58" i="64" s="1"/>
  <c r="Z12" i="61"/>
  <c r="M50" i="12"/>
  <c r="K51" i="12"/>
  <c r="M51" i="12" s="1"/>
  <c r="N51" i="12" s="1"/>
  <c r="S58" i="62"/>
  <c r="T58" i="62" s="1"/>
  <c r="Q57" i="53"/>
  <c r="S56" i="53"/>
  <c r="N16" i="64" s="1"/>
  <c r="Q51" i="49"/>
  <c r="S50" i="49"/>
  <c r="N11" i="64" s="1"/>
  <c r="K51" i="49"/>
  <c r="M51" i="49" s="1"/>
  <c r="N51" i="49" s="1"/>
  <c r="M50" i="49"/>
  <c r="Q51" i="13"/>
  <c r="S50" i="13"/>
  <c r="T50" i="13" s="1"/>
  <c r="K57" i="50"/>
  <c r="M57" i="50" s="1"/>
  <c r="N57" i="50" s="1"/>
  <c r="M56" i="50"/>
  <c r="N56" i="50" s="1"/>
  <c r="Q60" i="61"/>
  <c r="S60" i="61" s="1"/>
  <c r="T60" i="61" s="1"/>
  <c r="S59" i="61"/>
  <c r="T59" i="61" s="1"/>
  <c r="W19" i="37"/>
  <c r="Y19" i="37" s="1"/>
  <c r="Z19" i="37" s="1"/>
  <c r="W19" i="59"/>
  <c r="Y19" i="59" s="1"/>
  <c r="Z19" i="59" s="1"/>
  <c r="Q58" i="16"/>
  <c r="S57" i="16"/>
  <c r="T57" i="16" s="1"/>
  <c r="S56" i="50"/>
  <c r="T56" i="50" s="1"/>
  <c r="Q57" i="50"/>
  <c r="Q54" i="65"/>
  <c r="S54" i="65" s="1"/>
  <c r="T54" i="65" s="1"/>
  <c r="S53" i="65"/>
  <c r="T53" i="65" s="1"/>
  <c r="K57" i="48"/>
  <c r="M57" i="48" s="1"/>
  <c r="N57" i="48" s="1"/>
  <c r="M56" i="48"/>
  <c r="N56" i="48" s="1"/>
  <c r="Q59" i="17"/>
  <c r="S59" i="17" s="1"/>
  <c r="T59" i="17" s="1"/>
  <c r="S58" i="17"/>
  <c r="T58" i="17" s="1"/>
  <c r="K57" i="54"/>
  <c r="M56" i="54"/>
  <c r="Q57" i="13"/>
  <c r="S56" i="13"/>
  <c r="N14" i="64" s="1"/>
  <c r="W36" i="62"/>
  <c r="Y28" i="62"/>
  <c r="Z28" i="62" s="1"/>
  <c r="M58" i="17"/>
  <c r="N58" i="17" s="1"/>
  <c r="K60" i="17"/>
  <c r="M60" i="17" s="1"/>
  <c r="N60" i="17" s="1"/>
  <c r="K57" i="12"/>
  <c r="M57" i="12" s="1"/>
  <c r="N57" i="12" s="1"/>
  <c r="M56" i="12"/>
  <c r="N56" i="12" s="1"/>
  <c r="Q53" i="59"/>
  <c r="S52" i="59"/>
  <c r="T52" i="59" s="1"/>
  <c r="W36" i="61"/>
  <c r="Y28" i="61"/>
  <c r="Z28" i="61" s="1"/>
  <c r="Q51" i="50"/>
  <c r="S51" i="50" s="1"/>
  <c r="T51" i="50" s="1"/>
  <c r="S50" i="50"/>
  <c r="N12" i="64" s="1"/>
  <c r="Q51" i="52"/>
  <c r="S51" i="52" s="1"/>
  <c r="T51" i="52" s="1"/>
  <c r="S50" i="52"/>
  <c r="T50" i="52" s="1"/>
  <c r="K51" i="55"/>
  <c r="M51" i="55" s="1"/>
  <c r="N51" i="55" s="1"/>
  <c r="M50" i="55"/>
  <c r="N50" i="55" s="1"/>
  <c r="K57" i="49"/>
  <c r="M57" i="49" s="1"/>
  <c r="N57" i="49" s="1"/>
  <c r="M56" i="49"/>
  <c r="N56" i="49" s="1"/>
  <c r="K51" i="48"/>
  <c r="M51" i="48" s="1"/>
  <c r="N51" i="48" s="1"/>
  <c r="M50" i="48"/>
  <c r="K57" i="51"/>
  <c r="M57" i="51" s="1"/>
  <c r="N57" i="51" s="1"/>
  <c r="M56" i="51"/>
  <c r="N56" i="51" s="1"/>
  <c r="W36" i="17"/>
  <c r="Y28" i="17"/>
  <c r="Z28" i="17" s="1"/>
  <c r="Q57" i="54"/>
  <c r="Q58" i="54" s="1"/>
  <c r="S56" i="54"/>
  <c r="N17" i="64" s="1"/>
  <c r="Q57" i="12"/>
  <c r="Q58" i="12" s="1"/>
  <c r="S56" i="12"/>
  <c r="T56" i="12" s="1"/>
  <c r="M50" i="54"/>
  <c r="N50" i="54" s="1"/>
  <c r="K51" i="54"/>
  <c r="K57" i="13"/>
  <c r="M57" i="13" s="1"/>
  <c r="N57" i="13" s="1"/>
  <c r="M56" i="13"/>
  <c r="Q57" i="55"/>
  <c r="S56" i="55"/>
  <c r="N18" i="64" s="1"/>
  <c r="K51" i="51"/>
  <c r="M51" i="51" s="1"/>
  <c r="N51" i="51" s="1"/>
  <c r="M50" i="51"/>
  <c r="T50" i="51"/>
  <c r="N43" i="64" s="1"/>
  <c r="K60" i="16"/>
  <c r="M60" i="16" s="1"/>
  <c r="N60" i="16" s="1"/>
  <c r="M58" i="16"/>
  <c r="N58" i="16" s="1"/>
  <c r="Q57" i="52"/>
  <c r="S56" i="52"/>
  <c r="N15" i="64" s="1"/>
  <c r="Q60" i="47"/>
  <c r="S60" i="47" s="1"/>
  <c r="T60" i="47" s="1"/>
  <c r="M56" i="52"/>
  <c r="K57" i="52"/>
  <c r="M57" i="52" s="1"/>
  <c r="N57" i="52" s="1"/>
  <c r="M58" i="37"/>
  <c r="N58" i="37" s="1"/>
  <c r="K60" i="37"/>
  <c r="M60" i="37" s="1"/>
  <c r="N60" i="37" s="1"/>
  <c r="Q53" i="37"/>
  <c r="S52" i="37"/>
  <c r="T52" i="37" s="1"/>
  <c r="M52" i="59"/>
  <c r="N52" i="59" s="1"/>
  <c r="K54" i="59"/>
  <c r="M54" i="59" s="1"/>
  <c r="N54" i="59" s="1"/>
  <c r="W28" i="16"/>
  <c r="S60" i="46"/>
  <c r="T60" i="46" s="1"/>
  <c r="Q51" i="54"/>
  <c r="S50" i="54"/>
  <c r="T50" i="54" s="1"/>
  <c r="K57" i="55"/>
  <c r="M56" i="55"/>
  <c r="Q60" i="59"/>
  <c r="S60" i="59" s="1"/>
  <c r="T60" i="59" s="1"/>
  <c r="Q51" i="12"/>
  <c r="S50" i="12"/>
  <c r="N9" i="64" s="1"/>
  <c r="Q60" i="45"/>
  <c r="S60" i="45" s="1"/>
  <c r="T60" i="45" s="1"/>
  <c r="M50" i="13"/>
  <c r="N50" i="13" s="1"/>
  <c r="K51" i="13"/>
  <c r="M51" i="13" s="1"/>
  <c r="N51" i="13" s="1"/>
  <c r="Q51" i="55"/>
  <c r="S51" i="55" s="1"/>
  <c r="T51" i="55" s="1"/>
  <c r="S50" i="55"/>
  <c r="T50" i="55" s="1"/>
  <c r="S60" i="43"/>
  <c r="T60" i="43" s="1"/>
  <c r="S57" i="50" l="1"/>
  <c r="T57" i="50" s="1"/>
  <c r="K52" i="51"/>
  <c r="K58" i="49"/>
  <c r="K52" i="50"/>
  <c r="K58" i="50"/>
  <c r="K58" i="13"/>
  <c r="Q52" i="50"/>
  <c r="S60" i="62"/>
  <c r="T60" i="62" s="1"/>
  <c r="S51" i="54"/>
  <c r="T51" i="54" s="1"/>
  <c r="K58" i="52"/>
  <c r="M58" i="52" s="1"/>
  <c r="N58" i="52" s="1"/>
  <c r="S57" i="54"/>
  <c r="T57" i="54" s="1"/>
  <c r="K52" i="55"/>
  <c r="T56" i="52"/>
  <c r="N45" i="64" s="1"/>
  <c r="Q60" i="17"/>
  <c r="S60" i="17" s="1"/>
  <c r="T60" i="17" s="1"/>
  <c r="Q52" i="55"/>
  <c r="T50" i="49"/>
  <c r="N41" i="64" s="1"/>
  <c r="S57" i="52"/>
  <c r="T57" i="52" s="1"/>
  <c r="S57" i="13"/>
  <c r="T57" i="13" s="1"/>
  <c r="N56" i="52"/>
  <c r="M45" i="64" s="1"/>
  <c r="M15" i="64"/>
  <c r="Q52" i="49"/>
  <c r="S51" i="49"/>
  <c r="T51" i="49" s="1"/>
  <c r="K54" i="50"/>
  <c r="M54" i="50" s="1"/>
  <c r="N54" i="50" s="1"/>
  <c r="M52" i="50"/>
  <c r="N52" i="50" s="1"/>
  <c r="Q52" i="52"/>
  <c r="W39" i="62"/>
  <c r="Y36" i="62"/>
  <c r="Z36" i="62" s="1"/>
  <c r="Q58" i="50"/>
  <c r="M11" i="64"/>
  <c r="N50" i="49"/>
  <c r="M41" i="64" s="1"/>
  <c r="S57" i="53"/>
  <c r="T57" i="53" s="1"/>
  <c r="G25" i="64"/>
  <c r="G55" i="64" s="1"/>
  <c r="Z12" i="59"/>
  <c r="Q54" i="17"/>
  <c r="S54" i="17" s="1"/>
  <c r="T54" i="17" s="1"/>
  <c r="S53" i="17"/>
  <c r="T53" i="17" s="1"/>
  <c r="Q58" i="49"/>
  <c r="Q59" i="49" s="1"/>
  <c r="S57" i="49"/>
  <c r="T57" i="49" s="1"/>
  <c r="W28" i="37"/>
  <c r="Q58" i="48"/>
  <c r="S57" i="48"/>
  <c r="T57" i="48" s="1"/>
  <c r="Q59" i="12"/>
  <c r="S59" i="12" s="1"/>
  <c r="T59" i="12" s="1"/>
  <c r="W39" i="17"/>
  <c r="Y36" i="17"/>
  <c r="Z36" i="17" s="1"/>
  <c r="S58" i="49"/>
  <c r="T58" i="49" s="1"/>
  <c r="K60" i="49"/>
  <c r="M60" i="49" s="1"/>
  <c r="N60" i="49" s="1"/>
  <c r="M58" i="49"/>
  <c r="N58" i="49" s="1"/>
  <c r="Q54" i="59"/>
  <c r="S54" i="59" s="1"/>
  <c r="T54" i="59" s="1"/>
  <c r="S53" i="59"/>
  <c r="T53" i="59" s="1"/>
  <c r="K60" i="50"/>
  <c r="M60" i="50" s="1"/>
  <c r="N60" i="50" s="1"/>
  <c r="M58" i="50"/>
  <c r="N58" i="50" s="1"/>
  <c r="Q59" i="51"/>
  <c r="S59" i="51" s="1"/>
  <c r="T59" i="51" s="1"/>
  <c r="K54" i="51"/>
  <c r="M54" i="51" s="1"/>
  <c r="N54" i="51" s="1"/>
  <c r="M52" i="51"/>
  <c r="N52" i="51" s="1"/>
  <c r="M52" i="55"/>
  <c r="N52" i="55" s="1"/>
  <c r="K54" i="55"/>
  <c r="M54" i="55" s="1"/>
  <c r="N54" i="55" s="1"/>
  <c r="Q52" i="12"/>
  <c r="S51" i="12"/>
  <c r="T51" i="12" s="1"/>
  <c r="W36" i="16"/>
  <c r="Y28" i="16"/>
  <c r="Z28" i="16" s="1"/>
  <c r="Q58" i="55"/>
  <c r="S57" i="55"/>
  <c r="T57" i="55" s="1"/>
  <c r="K58" i="51"/>
  <c r="Q53" i="50"/>
  <c r="S52" i="50"/>
  <c r="T52" i="50" s="1"/>
  <c r="K58" i="12"/>
  <c r="S58" i="12" s="1"/>
  <c r="T58" i="12" s="1"/>
  <c r="Q58" i="13"/>
  <c r="K52" i="12"/>
  <c r="W28" i="59"/>
  <c r="S57" i="51"/>
  <c r="T57" i="51" s="1"/>
  <c r="K58" i="53"/>
  <c r="S60" i="37"/>
  <c r="T60" i="37" s="1"/>
  <c r="K52" i="52"/>
  <c r="M51" i="52"/>
  <c r="N51" i="52" s="1"/>
  <c r="N56" i="55"/>
  <c r="M48" i="64" s="1"/>
  <c r="M18" i="64"/>
  <c r="K60" i="13"/>
  <c r="M60" i="13" s="1"/>
  <c r="N60" i="13" s="1"/>
  <c r="M58" i="13"/>
  <c r="N58" i="13" s="1"/>
  <c r="Q53" i="55"/>
  <c r="S53" i="55" s="1"/>
  <c r="T53" i="55" s="1"/>
  <c r="S52" i="55"/>
  <c r="T52" i="55" s="1"/>
  <c r="K52" i="13"/>
  <c r="T56" i="55"/>
  <c r="N48" i="64" s="1"/>
  <c r="T56" i="13"/>
  <c r="N44" i="64" s="1"/>
  <c r="S57" i="12"/>
  <c r="T57" i="12" s="1"/>
  <c r="K58" i="48"/>
  <c r="T50" i="12"/>
  <c r="N39" i="64" s="1"/>
  <c r="Q53" i="51"/>
  <c r="S52" i="51"/>
  <c r="T52" i="51" s="1"/>
  <c r="Q52" i="48"/>
  <c r="S51" i="48"/>
  <c r="T51" i="48" s="1"/>
  <c r="T56" i="53"/>
  <c r="N46" i="64" s="1"/>
  <c r="T50" i="50"/>
  <c r="N42" i="64" s="1"/>
  <c r="Q53" i="16"/>
  <c r="S53" i="16" s="1"/>
  <c r="T53" i="16" s="1"/>
  <c r="S52" i="16"/>
  <c r="T52" i="16" s="1"/>
  <c r="Y12" i="54"/>
  <c r="M14" i="64"/>
  <c r="N56" i="13"/>
  <c r="M44" i="64" s="1"/>
  <c r="T50" i="48"/>
  <c r="N40" i="64" s="1"/>
  <c r="T56" i="54"/>
  <c r="N47" i="64" s="1"/>
  <c r="Q52" i="13"/>
  <c r="S51" i="13"/>
  <c r="T51" i="13" s="1"/>
  <c r="N50" i="12"/>
  <c r="M39" i="64" s="1"/>
  <c r="M9" i="64"/>
  <c r="N56" i="53"/>
  <c r="M46" i="64" s="1"/>
  <c r="M16" i="64"/>
  <c r="Y12" i="53"/>
  <c r="Y12" i="55"/>
  <c r="K58" i="55"/>
  <c r="M57" i="55"/>
  <c r="N57" i="55" s="1"/>
  <c r="N50" i="51"/>
  <c r="M43" i="64" s="1"/>
  <c r="M13" i="64"/>
  <c r="Q59" i="54"/>
  <c r="S59" i="54" s="1"/>
  <c r="T59" i="54" s="1"/>
  <c r="K52" i="48"/>
  <c r="N56" i="54"/>
  <c r="M47" i="64" s="1"/>
  <c r="M17" i="64"/>
  <c r="S51" i="51"/>
  <c r="T51" i="51" s="1"/>
  <c r="Q53" i="53"/>
  <c r="S53" i="53" s="1"/>
  <c r="T53" i="53" s="1"/>
  <c r="Z12" i="37"/>
  <c r="G24" i="64"/>
  <c r="G54" i="64" s="1"/>
  <c r="N50" i="50"/>
  <c r="M42" i="64" s="1"/>
  <c r="M12" i="64"/>
  <c r="Q54" i="61"/>
  <c r="S54" i="61" s="1"/>
  <c r="T54" i="61" s="1"/>
  <c r="Y12" i="52"/>
  <c r="Q59" i="16"/>
  <c r="S58" i="16"/>
  <c r="T58" i="16" s="1"/>
  <c r="K52" i="53"/>
  <c r="S52" i="53" s="1"/>
  <c r="T52" i="53" s="1"/>
  <c r="M51" i="53"/>
  <c r="N51" i="53" s="1"/>
  <c r="W19" i="53"/>
  <c r="W19" i="55"/>
  <c r="W28" i="55" s="1"/>
  <c r="W19" i="52"/>
  <c r="W19" i="13"/>
  <c r="W28" i="13" s="1"/>
  <c r="W19" i="54"/>
  <c r="W28" i="54" s="1"/>
  <c r="Q54" i="37"/>
  <c r="S54" i="37" s="1"/>
  <c r="T54" i="37" s="1"/>
  <c r="S53" i="37"/>
  <c r="T53" i="37" s="1"/>
  <c r="Q52" i="54"/>
  <c r="Q58" i="52"/>
  <c r="K52" i="54"/>
  <c r="M51" i="54"/>
  <c r="N51" i="54" s="1"/>
  <c r="N50" i="48"/>
  <c r="M40" i="64" s="1"/>
  <c r="E7" i="63" s="1"/>
  <c r="M10" i="64"/>
  <c r="W39" i="61"/>
  <c r="Y36" i="61"/>
  <c r="Z36" i="61" s="1"/>
  <c r="K58" i="54"/>
  <c r="S58" i="54" s="1"/>
  <c r="T58" i="54" s="1"/>
  <c r="M57" i="54"/>
  <c r="N57" i="54" s="1"/>
  <c r="K52" i="49"/>
  <c r="Q58" i="53"/>
  <c r="S51" i="53"/>
  <c r="T51" i="53" s="1"/>
  <c r="Q54" i="62"/>
  <c r="S54" i="62" s="1"/>
  <c r="T54" i="62" s="1"/>
  <c r="Y12" i="13"/>
  <c r="K60" i="52" l="1"/>
  <c r="M60" i="52" s="1"/>
  <c r="N60" i="52" s="1"/>
  <c r="Q60" i="51"/>
  <c r="Q54" i="53"/>
  <c r="Q60" i="54"/>
  <c r="W36" i="13"/>
  <c r="Y28" i="13"/>
  <c r="Z28" i="13" s="1"/>
  <c r="Q53" i="54"/>
  <c r="S52" i="54"/>
  <c r="T52" i="54" s="1"/>
  <c r="M52" i="53"/>
  <c r="N52" i="53" s="1"/>
  <c r="K54" i="53"/>
  <c r="M54" i="53" s="1"/>
  <c r="N54" i="53" s="1"/>
  <c r="M58" i="55"/>
  <c r="N58" i="55" s="1"/>
  <c r="K60" i="55"/>
  <c r="M60" i="55" s="1"/>
  <c r="N60" i="55" s="1"/>
  <c r="Q53" i="52"/>
  <c r="S52" i="52"/>
  <c r="T52" i="52" s="1"/>
  <c r="Z12" i="13"/>
  <c r="W50" i="61"/>
  <c r="W56" i="61"/>
  <c r="Y39" i="61"/>
  <c r="Z39" i="61" s="1"/>
  <c r="S52" i="48"/>
  <c r="T52" i="48" s="1"/>
  <c r="M52" i="48"/>
  <c r="N52" i="48" s="1"/>
  <c r="K54" i="48"/>
  <c r="M54" i="48" s="1"/>
  <c r="N54" i="48" s="1"/>
  <c r="Z12" i="55"/>
  <c r="Z12" i="54"/>
  <c r="G17" i="64"/>
  <c r="G47" i="64" s="1"/>
  <c r="W36" i="59"/>
  <c r="Y28" i="59"/>
  <c r="Z28" i="59" s="1"/>
  <c r="Q59" i="55"/>
  <c r="S58" i="55"/>
  <c r="T58" i="55" s="1"/>
  <c r="K60" i="53"/>
  <c r="M60" i="53" s="1"/>
  <c r="N60" i="53" s="1"/>
  <c r="M58" i="53"/>
  <c r="N58" i="53" s="1"/>
  <c r="M58" i="51"/>
  <c r="N58" i="51" s="1"/>
  <c r="K60" i="51"/>
  <c r="M60" i="51" s="1"/>
  <c r="N60" i="51" s="1"/>
  <c r="W50" i="62"/>
  <c r="W56" i="62"/>
  <c r="Y39" i="62"/>
  <c r="Z39" i="62" s="1"/>
  <c r="Y19" i="54"/>
  <c r="Z19" i="54" s="1"/>
  <c r="Q60" i="16"/>
  <c r="S60" i="16" s="1"/>
  <c r="T60" i="16" s="1"/>
  <c r="S59" i="16"/>
  <c r="T59" i="16" s="1"/>
  <c r="Q53" i="48"/>
  <c r="S53" i="48" s="1"/>
  <c r="T53" i="48" s="1"/>
  <c r="Q54" i="48"/>
  <c r="M52" i="13"/>
  <c r="N52" i="13" s="1"/>
  <c r="K54" i="13"/>
  <c r="M54" i="13" s="1"/>
  <c r="N54" i="13" s="1"/>
  <c r="S52" i="12"/>
  <c r="T52" i="12" s="1"/>
  <c r="K54" i="12"/>
  <c r="M54" i="12" s="1"/>
  <c r="N54" i="12" s="1"/>
  <c r="M52" i="12"/>
  <c r="N52" i="12" s="1"/>
  <c r="Q59" i="48"/>
  <c r="S58" i="48"/>
  <c r="T58" i="48" s="1"/>
  <c r="W39" i="16"/>
  <c r="Y36" i="16"/>
  <c r="Z36" i="16" s="1"/>
  <c r="S58" i="51"/>
  <c r="T58" i="51" s="1"/>
  <c r="W36" i="37"/>
  <c r="Y28" i="37"/>
  <c r="Z28" i="37" s="1"/>
  <c r="K60" i="54"/>
  <c r="M60" i="54" s="1"/>
  <c r="N60" i="54" s="1"/>
  <c r="M58" i="54"/>
  <c r="N58" i="54" s="1"/>
  <c r="W36" i="54"/>
  <c r="Y28" i="54"/>
  <c r="Z28" i="54" s="1"/>
  <c r="Y19" i="52"/>
  <c r="Z19" i="52" s="1"/>
  <c r="S54" i="53"/>
  <c r="T54" i="53" s="1"/>
  <c r="Z12" i="53"/>
  <c r="Q53" i="13"/>
  <c r="S52" i="13"/>
  <c r="T52" i="13" s="1"/>
  <c r="Q54" i="51"/>
  <c r="S54" i="51" s="1"/>
  <c r="T54" i="51" s="1"/>
  <c r="S53" i="51"/>
  <c r="T53" i="51" s="1"/>
  <c r="M58" i="12"/>
  <c r="N58" i="12" s="1"/>
  <c r="K60" i="12"/>
  <c r="M60" i="12" s="1"/>
  <c r="N60" i="12" s="1"/>
  <c r="Q53" i="49"/>
  <c r="S53" i="49" s="1"/>
  <c r="T53" i="49" s="1"/>
  <c r="S52" i="49"/>
  <c r="T52" i="49" s="1"/>
  <c r="Z12" i="52"/>
  <c r="W36" i="55"/>
  <c r="Y28" i="55"/>
  <c r="Z28" i="55" s="1"/>
  <c r="Q59" i="13"/>
  <c r="S59" i="13" s="1"/>
  <c r="T59" i="13" s="1"/>
  <c r="S58" i="13"/>
  <c r="T58" i="13" s="1"/>
  <c r="Q59" i="53"/>
  <c r="S59" i="53" s="1"/>
  <c r="T59" i="53" s="1"/>
  <c r="S58" i="53"/>
  <c r="T58" i="53" s="1"/>
  <c r="K54" i="54"/>
  <c r="M54" i="54" s="1"/>
  <c r="N54" i="54" s="1"/>
  <c r="M52" i="54"/>
  <c r="N52" i="54" s="1"/>
  <c r="W28" i="52"/>
  <c r="M52" i="52"/>
  <c r="N52" i="52" s="1"/>
  <c r="K54" i="52"/>
  <c r="M54" i="52" s="1"/>
  <c r="N54" i="52" s="1"/>
  <c r="Q53" i="12"/>
  <c r="S53" i="12" s="1"/>
  <c r="T53" i="12" s="1"/>
  <c r="W56" i="17"/>
  <c r="W50" i="17"/>
  <c r="Y39" i="17"/>
  <c r="Z39" i="17" s="1"/>
  <c r="Q60" i="49"/>
  <c r="S60" i="49" s="1"/>
  <c r="T60" i="49" s="1"/>
  <c r="S59" i="49"/>
  <c r="T59" i="49" s="1"/>
  <c r="Q59" i="50"/>
  <c r="S59" i="50" s="1"/>
  <c r="T59" i="50" s="1"/>
  <c r="S58" i="50"/>
  <c r="T58" i="50" s="1"/>
  <c r="Y19" i="13"/>
  <c r="Z19" i="13" s="1"/>
  <c r="M52" i="49"/>
  <c r="N52" i="49" s="1"/>
  <c r="K54" i="49"/>
  <c r="M54" i="49" s="1"/>
  <c r="N54" i="49" s="1"/>
  <c r="Y19" i="55"/>
  <c r="Z19" i="55" s="1"/>
  <c r="Q59" i="52"/>
  <c r="S58" i="52"/>
  <c r="T58" i="52" s="1"/>
  <c r="Y19" i="53"/>
  <c r="Z19" i="53" s="1"/>
  <c r="W28" i="53"/>
  <c r="Q54" i="16"/>
  <c r="S54" i="16" s="1"/>
  <c r="T54" i="16" s="1"/>
  <c r="K60" i="48"/>
  <c r="M60" i="48" s="1"/>
  <c r="N60" i="48" s="1"/>
  <c r="M58" i="48"/>
  <c r="N58" i="48" s="1"/>
  <c r="Q54" i="55"/>
  <c r="S54" i="55" s="1"/>
  <c r="T54" i="55" s="1"/>
  <c r="Q54" i="50"/>
  <c r="S54" i="50" s="1"/>
  <c r="T54" i="50" s="1"/>
  <c r="S53" i="50"/>
  <c r="T53" i="50" s="1"/>
  <c r="Q60" i="12"/>
  <c r="S60" i="12" s="1"/>
  <c r="T60" i="12" s="1"/>
  <c r="G15" i="64" l="1"/>
  <c r="G45" i="64" s="1"/>
  <c r="S60" i="54"/>
  <c r="T60" i="54" s="1"/>
  <c r="S54" i="48"/>
  <c r="T54" i="48" s="1"/>
  <c r="Q54" i="49"/>
  <c r="S54" i="49" s="1"/>
  <c r="T54" i="49" s="1"/>
  <c r="S60" i="51"/>
  <c r="T60" i="51" s="1"/>
  <c r="Q60" i="50"/>
  <c r="S60" i="50" s="1"/>
  <c r="T60" i="50" s="1"/>
  <c r="W57" i="17"/>
  <c r="Y56" i="17"/>
  <c r="Z56" i="17" s="1"/>
  <c r="W50" i="16"/>
  <c r="W56" i="16"/>
  <c r="Y39" i="16"/>
  <c r="Z39" i="16" s="1"/>
  <c r="W57" i="62"/>
  <c r="Y56" i="62"/>
  <c r="Q60" i="52"/>
  <c r="S60" i="52" s="1"/>
  <c r="T60" i="52" s="1"/>
  <c r="S59" i="52"/>
  <c r="T59" i="52" s="1"/>
  <c r="Q54" i="12"/>
  <c r="S54" i="12" s="1"/>
  <c r="T54" i="12" s="1"/>
  <c r="Q60" i="53"/>
  <c r="S60" i="53" s="1"/>
  <c r="T60" i="53" s="1"/>
  <c r="W39" i="54"/>
  <c r="Y36" i="54"/>
  <c r="Z36" i="54" s="1"/>
  <c r="W51" i="62"/>
  <c r="Y51" i="62" s="1"/>
  <c r="Z51" i="62" s="1"/>
  <c r="Y50" i="62"/>
  <c r="Z50" i="62" s="1"/>
  <c r="W39" i="59"/>
  <c r="Y36" i="59"/>
  <c r="Z36" i="59" s="1"/>
  <c r="Q54" i="13"/>
  <c r="S54" i="13" s="1"/>
  <c r="T54" i="13" s="1"/>
  <c r="S53" i="13"/>
  <c r="T53" i="13" s="1"/>
  <c r="Q60" i="48"/>
  <c r="S60" i="48" s="1"/>
  <c r="T60" i="48" s="1"/>
  <c r="S59" i="48"/>
  <c r="T59" i="48" s="1"/>
  <c r="W57" i="61"/>
  <c r="Y57" i="61" s="1"/>
  <c r="Z57" i="61" s="1"/>
  <c r="Y56" i="61"/>
  <c r="W51" i="61"/>
  <c r="Y50" i="61"/>
  <c r="Z50" i="61" s="1"/>
  <c r="W12" i="48"/>
  <c r="W12" i="12"/>
  <c r="W12" i="51"/>
  <c r="W12" i="49"/>
  <c r="W12" i="50"/>
  <c r="Q60" i="13"/>
  <c r="S60" i="13" s="1"/>
  <c r="T60" i="13" s="1"/>
  <c r="G16" i="64"/>
  <c r="G46" i="64" s="1"/>
  <c r="W12" i="15"/>
  <c r="W12" i="60"/>
  <c r="W39" i="37"/>
  <c r="Y36" i="37"/>
  <c r="Z36" i="37" s="1"/>
  <c r="G18" i="64"/>
  <c r="G48" i="64" s="1"/>
  <c r="G14" i="64"/>
  <c r="G44" i="64" s="1"/>
  <c r="Q54" i="54"/>
  <c r="S54" i="54" s="1"/>
  <c r="T54" i="54" s="1"/>
  <c r="S53" i="54"/>
  <c r="T53" i="54" s="1"/>
  <c r="W36" i="53"/>
  <c r="Y28" i="53"/>
  <c r="Z28" i="53" s="1"/>
  <c r="W36" i="52"/>
  <c r="Y28" i="52"/>
  <c r="Z28" i="52" s="1"/>
  <c r="W12" i="66"/>
  <c r="W12" i="56"/>
  <c r="W12" i="57"/>
  <c r="W12" i="14"/>
  <c r="W12" i="58"/>
  <c r="W51" i="17"/>
  <c r="Y50" i="17"/>
  <c r="Z50" i="17" s="1"/>
  <c r="W39" i="55"/>
  <c r="Y36" i="55"/>
  <c r="Z36" i="55" s="1"/>
  <c r="Q60" i="55"/>
  <c r="S60" i="55" s="1"/>
  <c r="T60" i="55" s="1"/>
  <c r="S59" i="55"/>
  <c r="T59" i="55" s="1"/>
  <c r="Q54" i="52"/>
  <c r="S54" i="52" s="1"/>
  <c r="T54" i="52" s="1"/>
  <c r="S53" i="52"/>
  <c r="T53" i="52" s="1"/>
  <c r="W39" i="13"/>
  <c r="Y36" i="13"/>
  <c r="Z36" i="13" s="1"/>
  <c r="W19" i="57" l="1"/>
  <c r="Y19" i="57" s="1"/>
  <c r="Z19" i="57" s="1"/>
  <c r="W19" i="56"/>
  <c r="Y19" i="56" s="1"/>
  <c r="Z19" i="56" s="1"/>
  <c r="W19" i="66"/>
  <c r="Y19" i="66" s="1"/>
  <c r="Z19" i="66" s="1"/>
  <c r="W19" i="14"/>
  <c r="Y19" i="14" s="1"/>
  <c r="Z19" i="14" s="1"/>
  <c r="W19" i="58"/>
  <c r="Y19" i="58" s="1"/>
  <c r="Z19" i="58" s="1"/>
  <c r="W50" i="55"/>
  <c r="W56" i="55"/>
  <c r="Y39" i="55"/>
  <c r="Z39" i="55" s="1"/>
  <c r="Y12" i="51"/>
  <c r="W52" i="62"/>
  <c r="O29" i="64"/>
  <c r="Z56" i="62"/>
  <c r="O59" i="64" s="1"/>
  <c r="W39" i="52"/>
  <c r="Y36" i="52"/>
  <c r="Z36" i="52" s="1"/>
  <c r="W56" i="37"/>
  <c r="W50" i="37"/>
  <c r="Y39" i="37"/>
  <c r="Z39" i="37" s="1"/>
  <c r="Y12" i="12"/>
  <c r="W50" i="13"/>
  <c r="W56" i="13"/>
  <c r="Y39" i="13"/>
  <c r="Z39" i="13" s="1"/>
  <c r="W52" i="17"/>
  <c r="Y51" i="17"/>
  <c r="Z51" i="17" s="1"/>
  <c r="Y12" i="60"/>
  <c r="Y12" i="48"/>
  <c r="W58" i="62"/>
  <c r="Y57" i="62"/>
  <c r="Z57" i="62" s="1"/>
  <c r="Y12" i="58"/>
  <c r="W28" i="58"/>
  <c r="W39" i="53"/>
  <c r="Y36" i="53"/>
  <c r="Z36" i="53" s="1"/>
  <c r="Y12" i="15"/>
  <c r="W56" i="54"/>
  <c r="W50" i="54"/>
  <c r="Y39" i="54"/>
  <c r="Z39" i="54" s="1"/>
  <c r="Y12" i="14"/>
  <c r="W52" i="61"/>
  <c r="Y51" i="61"/>
  <c r="Z51" i="61" s="1"/>
  <c r="W57" i="16"/>
  <c r="Y57" i="16" s="1"/>
  <c r="Z57" i="16" s="1"/>
  <c r="Y56" i="16"/>
  <c r="Z56" i="16" s="1"/>
  <c r="Y12" i="57"/>
  <c r="O28" i="64"/>
  <c r="Z56" i="61"/>
  <c r="O58" i="64" s="1"/>
  <c r="W51" i="16"/>
  <c r="Y51" i="16" s="1"/>
  <c r="Z51" i="16" s="1"/>
  <c r="Y50" i="16"/>
  <c r="Z50" i="16" s="1"/>
  <c r="W19" i="50"/>
  <c r="Y19" i="50" s="1"/>
  <c r="Z19" i="50" s="1"/>
  <c r="W19" i="48"/>
  <c r="Y19" i="48" s="1"/>
  <c r="Z19" i="48" s="1"/>
  <c r="W19" i="49"/>
  <c r="Y19" i="49" s="1"/>
  <c r="Z19" i="49" s="1"/>
  <c r="W19" i="51"/>
  <c r="Y19" i="51" s="1"/>
  <c r="Z19" i="51" s="1"/>
  <c r="W19" i="12"/>
  <c r="Y19" i="12" s="1"/>
  <c r="Z19" i="12" s="1"/>
  <c r="Y12" i="56"/>
  <c r="W28" i="56"/>
  <c r="Y12" i="50"/>
  <c r="W50" i="59"/>
  <c r="W56" i="59"/>
  <c r="Y39" i="59"/>
  <c r="Z39" i="59" s="1"/>
  <c r="W19" i="15"/>
  <c r="Y19" i="15" s="1"/>
  <c r="Z19" i="15" s="1"/>
  <c r="W19" i="60"/>
  <c r="Y19" i="60" s="1"/>
  <c r="Z19" i="60" s="1"/>
  <c r="Y12" i="66"/>
  <c r="Z12" i="66" s="1"/>
  <c r="W28" i="66"/>
  <c r="W28" i="49"/>
  <c r="Y12" i="49"/>
  <c r="W58" i="61"/>
  <c r="W58" i="17"/>
  <c r="Y57" i="17"/>
  <c r="Z57" i="17" s="1"/>
  <c r="W28" i="50" l="1"/>
  <c r="W52" i="16"/>
  <c r="W28" i="14"/>
  <c r="W28" i="57"/>
  <c r="Y28" i="57" s="1"/>
  <c r="Z28" i="57" s="1"/>
  <c r="W58" i="16"/>
  <c r="W36" i="14"/>
  <c r="Y28" i="14"/>
  <c r="Z28" i="14" s="1"/>
  <c r="W57" i="13"/>
  <c r="Y56" i="13"/>
  <c r="W12" i="43"/>
  <c r="W12" i="42"/>
  <c r="W12" i="44"/>
  <c r="W12" i="11"/>
  <c r="W12" i="46"/>
  <c r="W12" i="65"/>
  <c r="W12" i="47"/>
  <c r="W12" i="45"/>
  <c r="G22" i="64"/>
  <c r="G52" i="64" s="1"/>
  <c r="Z12" i="57"/>
  <c r="G20" i="64"/>
  <c r="G50" i="64" s="1"/>
  <c r="Z12" i="14"/>
  <c r="W56" i="53"/>
  <c r="W50" i="53"/>
  <c r="Y39" i="53"/>
  <c r="Z39" i="53" s="1"/>
  <c r="W28" i="48"/>
  <c r="W51" i="13"/>
  <c r="Y50" i="13"/>
  <c r="Z50" i="13" s="1"/>
  <c r="W56" i="52"/>
  <c r="W50" i="52"/>
  <c r="Y39" i="52"/>
  <c r="Z39" i="52" s="1"/>
  <c r="W57" i="55"/>
  <c r="Y56" i="55"/>
  <c r="Y28" i="66"/>
  <c r="Z28" i="66" s="1"/>
  <c r="W36" i="66"/>
  <c r="G9" i="64"/>
  <c r="G39" i="64" s="1"/>
  <c r="Z12" i="12"/>
  <c r="W51" i="55"/>
  <c r="Y50" i="55"/>
  <c r="Z50" i="55" s="1"/>
  <c r="Y28" i="56"/>
  <c r="Z28" i="56" s="1"/>
  <c r="W36" i="56"/>
  <c r="W53" i="16"/>
  <c r="Y52" i="16"/>
  <c r="Z52" i="16" s="1"/>
  <c r="W59" i="16"/>
  <c r="Y58" i="16"/>
  <c r="Z58" i="16" s="1"/>
  <c r="W51" i="54"/>
  <c r="Y50" i="54"/>
  <c r="Z50" i="54" s="1"/>
  <c r="Y28" i="58"/>
  <c r="Z28" i="58" s="1"/>
  <c r="W36" i="58"/>
  <c r="W28" i="60"/>
  <c r="W59" i="61"/>
  <c r="Y58" i="61"/>
  <c r="Z58" i="61" s="1"/>
  <c r="G21" i="64"/>
  <c r="G51" i="64" s="1"/>
  <c r="Z12" i="56"/>
  <c r="W57" i="54"/>
  <c r="Y57" i="54" s="1"/>
  <c r="Z57" i="54" s="1"/>
  <c r="Y56" i="54"/>
  <c r="G23" i="64"/>
  <c r="G53" i="64" s="1"/>
  <c r="Z12" i="58"/>
  <c r="G27" i="64"/>
  <c r="G57" i="64" s="1"/>
  <c r="Z12" i="60"/>
  <c r="W28" i="12"/>
  <c r="W53" i="62"/>
  <c r="Y52" i="62"/>
  <c r="Z52" i="62" s="1"/>
  <c r="W59" i="17"/>
  <c r="Y58" i="17"/>
  <c r="Z58" i="17" s="1"/>
  <c r="G11" i="64"/>
  <c r="G41" i="64" s="1"/>
  <c r="Z12" i="49"/>
  <c r="W57" i="59"/>
  <c r="Y57" i="59" s="1"/>
  <c r="Z57" i="59" s="1"/>
  <c r="W58" i="59"/>
  <c r="Y56" i="59"/>
  <c r="G13" i="64"/>
  <c r="G43" i="64" s="1"/>
  <c r="Z12" i="51"/>
  <c r="W51" i="59"/>
  <c r="Y50" i="59"/>
  <c r="Z50" i="59" s="1"/>
  <c r="W53" i="61"/>
  <c r="Y52" i="61"/>
  <c r="Z52" i="61" s="1"/>
  <c r="W28" i="15"/>
  <c r="W59" i="62"/>
  <c r="Y58" i="62"/>
  <c r="Z58" i="62" s="1"/>
  <c r="W53" i="17"/>
  <c r="Y52" i="17"/>
  <c r="Z52" i="17" s="1"/>
  <c r="W51" i="37"/>
  <c r="Y50" i="37"/>
  <c r="Z50" i="37" s="1"/>
  <c r="W36" i="50"/>
  <c r="Y28" i="50"/>
  <c r="Z28" i="50" s="1"/>
  <c r="W36" i="49"/>
  <c r="Y28" i="49"/>
  <c r="Z28" i="49" s="1"/>
  <c r="G12" i="64"/>
  <c r="G42" i="64" s="1"/>
  <c r="Z12" i="50"/>
  <c r="G26" i="64"/>
  <c r="G56" i="64" s="1"/>
  <c r="Z12" i="15"/>
  <c r="G10" i="64"/>
  <c r="G40" i="64" s="1"/>
  <c r="Z12" i="48"/>
  <c r="W57" i="37"/>
  <c r="Y56" i="37"/>
  <c r="W28" i="51"/>
  <c r="W36" i="57" l="1"/>
  <c r="W58" i="37"/>
  <c r="Y57" i="37"/>
  <c r="Z57" i="37" s="1"/>
  <c r="W39" i="49"/>
  <c r="Y36" i="49"/>
  <c r="Z36" i="49" s="1"/>
  <c r="W60" i="62"/>
  <c r="Y60" i="62" s="1"/>
  <c r="Z60" i="62" s="1"/>
  <c r="Y59" i="62"/>
  <c r="Z59" i="62" s="1"/>
  <c r="O25" i="64"/>
  <c r="Z56" i="59"/>
  <c r="O55" i="64" s="1"/>
  <c r="W39" i="58"/>
  <c r="Y36" i="58"/>
  <c r="Z36" i="58" s="1"/>
  <c r="W39" i="56"/>
  <c r="Y36" i="56"/>
  <c r="Z36" i="56" s="1"/>
  <c r="O18" i="64"/>
  <c r="Z56" i="55"/>
  <c r="O48" i="64" s="1"/>
  <c r="W36" i="48"/>
  <c r="Y28" i="48"/>
  <c r="Z28" i="48" s="1"/>
  <c r="Y12" i="45"/>
  <c r="O14" i="64"/>
  <c r="Z56" i="13"/>
  <c r="O44" i="64" s="1"/>
  <c r="Y12" i="43"/>
  <c r="Y28" i="15"/>
  <c r="Z28" i="15" s="1"/>
  <c r="W36" i="15"/>
  <c r="W54" i="62"/>
  <c r="Y54" i="62" s="1"/>
  <c r="Z54" i="62" s="1"/>
  <c r="Y53" i="62"/>
  <c r="Z53" i="62" s="1"/>
  <c r="W58" i="54"/>
  <c r="Y12" i="47"/>
  <c r="Y28" i="60"/>
  <c r="Z28" i="60" s="1"/>
  <c r="W36" i="60"/>
  <c r="W39" i="50"/>
  <c r="Y36" i="50"/>
  <c r="Z36" i="50" s="1"/>
  <c r="W59" i="59"/>
  <c r="Y58" i="59"/>
  <c r="Z58" i="59" s="1"/>
  <c r="W36" i="12"/>
  <c r="Y28" i="12"/>
  <c r="Z28" i="12" s="1"/>
  <c r="W58" i="55"/>
  <c r="Y57" i="55"/>
  <c r="Z57" i="55" s="1"/>
  <c r="W51" i="53"/>
  <c r="Y50" i="53"/>
  <c r="Z50" i="53" s="1"/>
  <c r="Y12" i="65"/>
  <c r="Z12" i="65" s="1"/>
  <c r="W58" i="13"/>
  <c r="Y57" i="13"/>
  <c r="Z57" i="13" s="1"/>
  <c r="W60" i="17"/>
  <c r="Y60" i="17" s="1"/>
  <c r="Z60" i="17" s="1"/>
  <c r="Y59" i="17"/>
  <c r="Z59" i="17" s="1"/>
  <c r="W52" i="13"/>
  <c r="Y51" i="13"/>
  <c r="Z51" i="13" s="1"/>
  <c r="W54" i="61"/>
  <c r="Y54" i="61" s="1"/>
  <c r="Z54" i="61" s="1"/>
  <c r="Y53" i="61"/>
  <c r="Z53" i="61" s="1"/>
  <c r="W52" i="54"/>
  <c r="Y51" i="54"/>
  <c r="Z51" i="54" s="1"/>
  <c r="W52" i="55"/>
  <c r="Y51" i="55"/>
  <c r="Z51" i="55" s="1"/>
  <c r="W57" i="53"/>
  <c r="Y56" i="53"/>
  <c r="Y12" i="46"/>
  <c r="W54" i="16"/>
  <c r="Y54" i="16" s="1"/>
  <c r="Z54" i="16" s="1"/>
  <c r="Y53" i="16"/>
  <c r="Z53" i="16" s="1"/>
  <c r="W19" i="45"/>
  <c r="W19" i="46"/>
  <c r="W28" i="46" s="1"/>
  <c r="W19" i="42"/>
  <c r="W28" i="42" s="1"/>
  <c r="W19" i="44"/>
  <c r="W19" i="11"/>
  <c r="W28" i="11" s="1"/>
  <c r="W19" i="43"/>
  <c r="W19" i="47"/>
  <c r="W28" i="47" s="1"/>
  <c r="W19" i="65"/>
  <c r="Y19" i="65" s="1"/>
  <c r="Z19" i="65" s="1"/>
  <c r="W52" i="37"/>
  <c r="Y51" i="37"/>
  <c r="Z51" i="37" s="1"/>
  <c r="W51" i="52"/>
  <c r="Y50" i="52"/>
  <c r="Z50" i="52" s="1"/>
  <c r="Y12" i="11"/>
  <c r="W39" i="14"/>
  <c r="Y36" i="14"/>
  <c r="Z36" i="14" s="1"/>
  <c r="O17" i="64"/>
  <c r="Z56" i="54"/>
  <c r="O47" i="64" s="1"/>
  <c r="W36" i="51"/>
  <c r="Y28" i="51"/>
  <c r="Z28" i="51" s="1"/>
  <c r="W52" i="59"/>
  <c r="Y51" i="59"/>
  <c r="Z51" i="59" s="1"/>
  <c r="W60" i="16"/>
  <c r="Y60" i="16" s="1"/>
  <c r="Z60" i="16" s="1"/>
  <c r="Y59" i="16"/>
  <c r="Z59" i="16" s="1"/>
  <c r="W57" i="52"/>
  <c r="Y56" i="52"/>
  <c r="Y12" i="44"/>
  <c r="W28" i="44"/>
  <c r="W39" i="57"/>
  <c r="Y36" i="57"/>
  <c r="Z36" i="57" s="1"/>
  <c r="O24" i="64"/>
  <c r="Z56" i="37"/>
  <c r="O54" i="64" s="1"/>
  <c r="W54" i="17"/>
  <c r="Y54" i="17" s="1"/>
  <c r="Z54" i="17" s="1"/>
  <c r="Y53" i="17"/>
  <c r="Z53" i="17" s="1"/>
  <c r="W60" i="61"/>
  <c r="Y60" i="61" s="1"/>
  <c r="Z60" i="61" s="1"/>
  <c r="Y59" i="61"/>
  <c r="Z59" i="61" s="1"/>
  <c r="W39" i="66"/>
  <c r="Y36" i="66"/>
  <c r="Z36" i="66" s="1"/>
  <c r="Y12" i="42"/>
  <c r="W36" i="11" l="1"/>
  <c r="Y28" i="11"/>
  <c r="Z28" i="11" s="1"/>
  <c r="Y19" i="43"/>
  <c r="Z19" i="43" s="1"/>
  <c r="Y19" i="11"/>
  <c r="Z19" i="11" s="1"/>
  <c r="W36" i="46"/>
  <c r="Y28" i="46"/>
  <c r="Z28" i="46" s="1"/>
  <c r="W53" i="54"/>
  <c r="Y52" i="54"/>
  <c r="Z52" i="54" s="1"/>
  <c r="W59" i="13"/>
  <c r="Y59" i="13" s="1"/>
  <c r="Z59" i="13" s="1"/>
  <c r="Y58" i="13"/>
  <c r="Z58" i="13" s="1"/>
  <c r="W39" i="12"/>
  <c r="Y36" i="12"/>
  <c r="Z36" i="12" s="1"/>
  <c r="W36" i="47"/>
  <c r="Y28" i="47"/>
  <c r="Z28" i="47" s="1"/>
  <c r="W28" i="43"/>
  <c r="W39" i="48"/>
  <c r="Y36" i="48"/>
  <c r="Z36" i="48" s="1"/>
  <c r="W53" i="59"/>
  <c r="Y52" i="59"/>
  <c r="Z52" i="59" s="1"/>
  <c r="W39" i="51"/>
  <c r="Y36" i="51"/>
  <c r="Z36" i="51" s="1"/>
  <c r="Y19" i="44"/>
  <c r="Z19" i="44" s="1"/>
  <c r="Z12" i="46"/>
  <c r="W28" i="65"/>
  <c r="Z12" i="47"/>
  <c r="G4" i="64"/>
  <c r="G34" i="64" s="1"/>
  <c r="Z12" i="43"/>
  <c r="AC12" i="51"/>
  <c r="AC12" i="12"/>
  <c r="AC12" i="50"/>
  <c r="AC12" i="49"/>
  <c r="AC12" i="48"/>
  <c r="Y19" i="42"/>
  <c r="Z19" i="42" s="1"/>
  <c r="O16" i="64"/>
  <c r="Z56" i="53"/>
  <c r="O46" i="64" s="1"/>
  <c r="W60" i="59"/>
  <c r="Y60" i="59" s="1"/>
  <c r="Z60" i="59" s="1"/>
  <c r="Y59" i="59"/>
  <c r="Z59" i="59" s="1"/>
  <c r="W59" i="54"/>
  <c r="Y58" i="54"/>
  <c r="Z58" i="54" s="1"/>
  <c r="G5" i="64"/>
  <c r="G35" i="64" s="1"/>
  <c r="Z12" i="44"/>
  <c r="Z12" i="42"/>
  <c r="Y19" i="46"/>
  <c r="Z19" i="46" s="1"/>
  <c r="W36" i="42"/>
  <c r="Y28" i="42"/>
  <c r="Z28" i="42" s="1"/>
  <c r="W52" i="52"/>
  <c r="Y51" i="52"/>
  <c r="Z51" i="52" s="1"/>
  <c r="W58" i="52"/>
  <c r="Y57" i="52"/>
  <c r="Z57" i="52" s="1"/>
  <c r="W53" i="37"/>
  <c r="Y53" i="37" s="1"/>
  <c r="Z53" i="37" s="1"/>
  <c r="Y52" i="37"/>
  <c r="Z52" i="37" s="1"/>
  <c r="Y19" i="45"/>
  <c r="Z19" i="45" s="1"/>
  <c r="W58" i="53"/>
  <c r="Y57" i="53"/>
  <c r="Z57" i="53" s="1"/>
  <c r="W53" i="13"/>
  <c r="Y52" i="13"/>
  <c r="Z52" i="13" s="1"/>
  <c r="W52" i="53"/>
  <c r="Y51" i="53"/>
  <c r="Z51" i="53" s="1"/>
  <c r="W50" i="50"/>
  <c r="W56" i="50"/>
  <c r="Y39" i="50"/>
  <c r="Z39" i="50" s="1"/>
  <c r="W56" i="56"/>
  <c r="W50" i="56"/>
  <c r="Y39" i="56"/>
  <c r="Z39" i="56" s="1"/>
  <c r="W56" i="49"/>
  <c r="W50" i="49"/>
  <c r="Y39" i="49"/>
  <c r="Z39" i="49" s="1"/>
  <c r="W36" i="44"/>
  <c r="Y28" i="44"/>
  <c r="Z28" i="44" s="1"/>
  <c r="O15" i="64"/>
  <c r="Z56" i="52"/>
  <c r="O45" i="64" s="1"/>
  <c r="AC12" i="13"/>
  <c r="AC12" i="53"/>
  <c r="AC12" i="55"/>
  <c r="AC12" i="52"/>
  <c r="AC12" i="54"/>
  <c r="W50" i="57"/>
  <c r="W56" i="57"/>
  <c r="Y39" i="57"/>
  <c r="Z39" i="57" s="1"/>
  <c r="W39" i="60"/>
  <c r="Y36" i="60"/>
  <c r="Z36" i="60" s="1"/>
  <c r="W39" i="15"/>
  <c r="Y36" i="15"/>
  <c r="Z36" i="15" s="1"/>
  <c r="W28" i="45"/>
  <c r="AC12" i="37"/>
  <c r="AC12" i="59"/>
  <c r="G2" i="64"/>
  <c r="G32" i="64" s="1"/>
  <c r="Z12" i="11"/>
  <c r="W56" i="66"/>
  <c r="W50" i="66"/>
  <c r="Y39" i="66"/>
  <c r="Z39" i="66" s="1"/>
  <c r="W56" i="14"/>
  <c r="W50" i="14"/>
  <c r="Y39" i="14"/>
  <c r="Z39" i="14" s="1"/>
  <c r="AC12" i="16"/>
  <c r="AC12" i="61"/>
  <c r="Y19" i="47"/>
  <c r="Z19" i="47" s="1"/>
  <c r="W53" i="55"/>
  <c r="Y52" i="55"/>
  <c r="Z52" i="55" s="1"/>
  <c r="W59" i="55"/>
  <c r="Y58" i="55"/>
  <c r="Z58" i="55" s="1"/>
  <c r="Z12" i="45"/>
  <c r="W56" i="58"/>
  <c r="W50" i="58"/>
  <c r="Y39" i="58"/>
  <c r="Z39" i="58" s="1"/>
  <c r="W59" i="37"/>
  <c r="Y58" i="37"/>
  <c r="Z58" i="37" s="1"/>
  <c r="G6" i="64" l="1"/>
  <c r="G36" i="64" s="1"/>
  <c r="W60" i="55"/>
  <c r="Y60" i="55" s="1"/>
  <c r="Z60" i="55" s="1"/>
  <c r="Y59" i="55"/>
  <c r="Z59" i="55" s="1"/>
  <c r="W51" i="14"/>
  <c r="Y50" i="14"/>
  <c r="Z50" i="14" s="1"/>
  <c r="AE12" i="37"/>
  <c r="W51" i="57"/>
  <c r="Y50" i="57"/>
  <c r="Z50" i="57" s="1"/>
  <c r="W59" i="53"/>
  <c r="Y58" i="53"/>
  <c r="Z58" i="53" s="1"/>
  <c r="W39" i="47"/>
  <c r="Y36" i="47"/>
  <c r="Z36" i="47" s="1"/>
  <c r="W57" i="14"/>
  <c r="Y56" i="14"/>
  <c r="W36" i="45"/>
  <c r="Y28" i="45"/>
  <c r="Z28" i="45" s="1"/>
  <c r="AE12" i="54"/>
  <c r="W39" i="44"/>
  <c r="Y36" i="44"/>
  <c r="Z36" i="44" s="1"/>
  <c r="W57" i="50"/>
  <c r="Y56" i="50"/>
  <c r="Z56" i="50" s="1"/>
  <c r="W53" i="52"/>
  <c r="Y52" i="52"/>
  <c r="Z52" i="52" s="1"/>
  <c r="W50" i="51"/>
  <c r="W56" i="51"/>
  <c r="Y39" i="51"/>
  <c r="Z39" i="51" s="1"/>
  <c r="W39" i="46"/>
  <c r="Y36" i="46"/>
  <c r="Z36" i="46" s="1"/>
  <c r="W54" i="55"/>
  <c r="Y54" i="55" s="1"/>
  <c r="Z54" i="55" s="1"/>
  <c r="Y53" i="55"/>
  <c r="Z53" i="55" s="1"/>
  <c r="AE12" i="52"/>
  <c r="W51" i="50"/>
  <c r="Y50" i="50"/>
  <c r="AE12" i="48"/>
  <c r="G8" i="64"/>
  <c r="G38" i="64" s="1"/>
  <c r="W56" i="12"/>
  <c r="W50" i="12"/>
  <c r="Y39" i="12"/>
  <c r="Z39" i="12" s="1"/>
  <c r="W51" i="66"/>
  <c r="Y51" i="66" s="1"/>
  <c r="Z51" i="66" s="1"/>
  <c r="W52" i="66"/>
  <c r="Y50" i="66"/>
  <c r="Z50" i="66" s="1"/>
  <c r="W56" i="15"/>
  <c r="W50" i="15"/>
  <c r="Y39" i="15"/>
  <c r="Z39" i="15" s="1"/>
  <c r="AE12" i="55"/>
  <c r="W51" i="49"/>
  <c r="Y50" i="49"/>
  <c r="W39" i="42"/>
  <c r="Y36" i="42"/>
  <c r="Z36" i="42" s="1"/>
  <c r="W60" i="54"/>
  <c r="Y60" i="54" s="1"/>
  <c r="Z60" i="54" s="1"/>
  <c r="Y59" i="54"/>
  <c r="Z59" i="54" s="1"/>
  <c r="AE12" i="49"/>
  <c r="W36" i="65"/>
  <c r="Y28" i="65"/>
  <c r="Z28" i="65" s="1"/>
  <c r="W54" i="59"/>
  <c r="Y54" i="59" s="1"/>
  <c r="Z54" i="59" s="1"/>
  <c r="Y53" i="59"/>
  <c r="Z53" i="59" s="1"/>
  <c r="AC19" i="16"/>
  <c r="AE19" i="16" s="1"/>
  <c r="AF19" i="16" s="1"/>
  <c r="AC19" i="61"/>
  <c r="AE19" i="61" s="1"/>
  <c r="AF19" i="61" s="1"/>
  <c r="W57" i="58"/>
  <c r="Y56" i="58"/>
  <c r="W57" i="66"/>
  <c r="Y57" i="66" s="1"/>
  <c r="Z57" i="66" s="1"/>
  <c r="Y56" i="66"/>
  <c r="Z56" i="66" s="1"/>
  <c r="AE12" i="53"/>
  <c r="W57" i="49"/>
  <c r="Y56" i="49"/>
  <c r="Z56" i="49" s="1"/>
  <c r="W53" i="53"/>
  <c r="Y52" i="53"/>
  <c r="Z52" i="53" s="1"/>
  <c r="W54" i="37"/>
  <c r="Y54" i="37" s="1"/>
  <c r="Z54" i="37" s="1"/>
  <c r="AE12" i="50"/>
  <c r="W60" i="13"/>
  <c r="Y60" i="13" s="1"/>
  <c r="Z60" i="13" s="1"/>
  <c r="W60" i="37"/>
  <c r="Y60" i="37" s="1"/>
  <c r="Z60" i="37" s="1"/>
  <c r="Y59" i="37"/>
  <c r="Z59" i="37" s="1"/>
  <c r="AC19" i="50"/>
  <c r="AE19" i="50" s="1"/>
  <c r="AF19" i="50" s="1"/>
  <c r="AC19" i="12"/>
  <c r="AE19" i="12" s="1"/>
  <c r="AF19" i="12" s="1"/>
  <c r="AC19" i="48"/>
  <c r="AE19" i="48" s="1"/>
  <c r="AF19" i="48" s="1"/>
  <c r="AC19" i="51"/>
  <c r="AE19" i="51" s="1"/>
  <c r="AF19" i="51" s="1"/>
  <c r="AC19" i="49"/>
  <c r="AE19" i="49" s="1"/>
  <c r="AF19" i="49" s="1"/>
  <c r="AE12" i="61"/>
  <c r="AC28" i="61"/>
  <c r="W50" i="60"/>
  <c r="W56" i="60"/>
  <c r="Y39" i="60"/>
  <c r="Z39" i="60" s="1"/>
  <c r="AE12" i="13"/>
  <c r="AE12" i="12"/>
  <c r="AC28" i="12"/>
  <c r="G7" i="64"/>
  <c r="G37" i="64" s="1"/>
  <c r="W56" i="48"/>
  <c r="W50" i="48"/>
  <c r="Y39" i="48"/>
  <c r="Z39" i="48" s="1"/>
  <c r="AC19" i="37"/>
  <c r="AE19" i="37" s="1"/>
  <c r="AF19" i="37" s="1"/>
  <c r="AC19" i="59"/>
  <c r="AE19" i="59" s="1"/>
  <c r="AF19" i="59" s="1"/>
  <c r="AE12" i="16"/>
  <c r="AF12" i="16" s="1"/>
  <c r="W51" i="56"/>
  <c r="Y50" i="56"/>
  <c r="Z50" i="56" s="1"/>
  <c r="W54" i="13"/>
  <c r="Y54" i="13" s="1"/>
  <c r="Z54" i="13" s="1"/>
  <c r="Y53" i="13"/>
  <c r="Z53" i="13" s="1"/>
  <c r="AE12" i="51"/>
  <c r="AC28" i="51"/>
  <c r="W36" i="43"/>
  <c r="Y28" i="43"/>
  <c r="Z28" i="43" s="1"/>
  <c r="W51" i="58"/>
  <c r="Y51" i="58" s="1"/>
  <c r="Z51" i="58" s="1"/>
  <c r="Y50" i="58"/>
  <c r="Z50" i="58" s="1"/>
  <c r="AC12" i="62"/>
  <c r="AC12" i="17"/>
  <c r="AE12" i="59"/>
  <c r="W57" i="57"/>
  <c r="Y57" i="57" s="1"/>
  <c r="Z57" i="57" s="1"/>
  <c r="Y56" i="57"/>
  <c r="W57" i="56"/>
  <c r="Y57" i="56" s="1"/>
  <c r="Z57" i="56" s="1"/>
  <c r="Y56" i="56"/>
  <c r="W59" i="52"/>
  <c r="Y58" i="52"/>
  <c r="Z58" i="52" s="1"/>
  <c r="G3" i="64"/>
  <c r="G33" i="64" s="1"/>
  <c r="W54" i="54"/>
  <c r="Y54" i="54" s="1"/>
  <c r="Z54" i="54" s="1"/>
  <c r="Y53" i="54"/>
  <c r="Z53" i="54" s="1"/>
  <c r="W39" i="11"/>
  <c r="Y36" i="11"/>
  <c r="Z36" i="11" s="1"/>
  <c r="W58" i="56" l="1"/>
  <c r="W59" i="56" s="1"/>
  <c r="Y59" i="56" s="1"/>
  <c r="Z59" i="56" s="1"/>
  <c r="W52" i="58"/>
  <c r="AC28" i="50"/>
  <c r="W58" i="66"/>
  <c r="W59" i="66" s="1"/>
  <c r="Y59" i="66" s="1"/>
  <c r="Z59" i="66" s="1"/>
  <c r="AC28" i="16"/>
  <c r="H25" i="64"/>
  <c r="H55" i="64" s="1"/>
  <c r="AF12" i="59"/>
  <c r="H12" i="64"/>
  <c r="H42" i="64" s="1"/>
  <c r="AF12" i="50"/>
  <c r="W51" i="15"/>
  <c r="Y50" i="15"/>
  <c r="Z50" i="15" s="1"/>
  <c r="W54" i="52"/>
  <c r="Y54" i="52" s="1"/>
  <c r="Z54" i="52" s="1"/>
  <c r="Y53" i="52"/>
  <c r="Z53" i="52" s="1"/>
  <c r="W39" i="45"/>
  <c r="Y36" i="45"/>
  <c r="Z36" i="45" s="1"/>
  <c r="Y58" i="56"/>
  <c r="Z58" i="56" s="1"/>
  <c r="AF12" i="13"/>
  <c r="W56" i="42"/>
  <c r="W50" i="42"/>
  <c r="Y39" i="42"/>
  <c r="Z39" i="42" s="1"/>
  <c r="W57" i="15"/>
  <c r="Y57" i="15" s="1"/>
  <c r="Z57" i="15" s="1"/>
  <c r="Y56" i="15"/>
  <c r="AC28" i="48"/>
  <c r="O20" i="64"/>
  <c r="Z56" i="14"/>
  <c r="O50" i="64" s="1"/>
  <c r="W52" i="57"/>
  <c r="Y51" i="57"/>
  <c r="Z51" i="57" s="1"/>
  <c r="AC19" i="13"/>
  <c r="AC19" i="52"/>
  <c r="AC19" i="55"/>
  <c r="AC19" i="53"/>
  <c r="AC19" i="54"/>
  <c r="AE12" i="17"/>
  <c r="AF12" i="17" s="1"/>
  <c r="AE12" i="62"/>
  <c r="O11" i="64"/>
  <c r="Z50" i="49"/>
  <c r="O41" i="64" s="1"/>
  <c r="H10" i="64"/>
  <c r="H40" i="64" s="1"/>
  <c r="AF12" i="48"/>
  <c r="W58" i="50"/>
  <c r="Y57" i="50"/>
  <c r="Z57" i="50" s="1"/>
  <c r="AC28" i="37"/>
  <c r="AC36" i="51"/>
  <c r="AE28" i="51"/>
  <c r="AF28" i="51" s="1"/>
  <c r="O22" i="64"/>
  <c r="Z56" i="57"/>
  <c r="O52" i="64" s="1"/>
  <c r="W51" i="48"/>
  <c r="Y50" i="48"/>
  <c r="W57" i="60"/>
  <c r="Y57" i="60" s="1"/>
  <c r="Z57" i="60" s="1"/>
  <c r="Y56" i="60"/>
  <c r="W54" i="53"/>
  <c r="Y54" i="53" s="1"/>
  <c r="Z54" i="53" s="1"/>
  <c r="Y53" i="53"/>
  <c r="Z53" i="53" s="1"/>
  <c r="O23" i="64"/>
  <c r="Z56" i="58"/>
  <c r="O53" i="64" s="1"/>
  <c r="W39" i="65"/>
  <c r="Y36" i="65"/>
  <c r="Z36" i="65" s="1"/>
  <c r="W53" i="66"/>
  <c r="Y53" i="66" s="1"/>
  <c r="Z53" i="66" s="1"/>
  <c r="Y52" i="66"/>
  <c r="Z52" i="66" s="1"/>
  <c r="O12" i="64"/>
  <c r="Z50" i="50"/>
  <c r="O42" i="64" s="1"/>
  <c r="W50" i="46"/>
  <c r="W56" i="46"/>
  <c r="Y39" i="46"/>
  <c r="Z39" i="46" s="1"/>
  <c r="W58" i="14"/>
  <c r="Y57" i="14"/>
  <c r="Z57" i="14" s="1"/>
  <c r="H24" i="64"/>
  <c r="H54" i="64" s="1"/>
  <c r="AF12" i="37"/>
  <c r="W56" i="11"/>
  <c r="W50" i="11"/>
  <c r="Y39" i="11"/>
  <c r="Z39" i="11" s="1"/>
  <c r="AC12" i="66"/>
  <c r="AC12" i="58"/>
  <c r="AC12" i="14"/>
  <c r="AC12" i="57"/>
  <c r="AC12" i="56"/>
  <c r="W53" i="58"/>
  <c r="Y53" i="58" s="1"/>
  <c r="Z53" i="58" s="1"/>
  <c r="Y52" i="58"/>
  <c r="Z52" i="58" s="1"/>
  <c r="W57" i="48"/>
  <c r="Y56" i="48"/>
  <c r="Z56" i="48" s="1"/>
  <c r="W51" i="60"/>
  <c r="Y51" i="60" s="1"/>
  <c r="Z51" i="60" s="1"/>
  <c r="Y50" i="60"/>
  <c r="Z50" i="60" s="1"/>
  <c r="AC28" i="49"/>
  <c r="W52" i="49"/>
  <c r="Y51" i="49"/>
  <c r="Z51" i="49" s="1"/>
  <c r="W50" i="44"/>
  <c r="W56" i="44"/>
  <c r="Y39" i="44"/>
  <c r="Z39" i="44" s="1"/>
  <c r="H13" i="64"/>
  <c r="H43" i="64" s="1"/>
  <c r="AF12" i="51"/>
  <c r="AC12" i="60"/>
  <c r="AC12" i="15"/>
  <c r="W58" i="57"/>
  <c r="W52" i="56"/>
  <c r="Y51" i="56"/>
  <c r="Z51" i="56" s="1"/>
  <c r="AE28" i="61"/>
  <c r="AF28" i="61" s="1"/>
  <c r="AC36" i="61"/>
  <c r="W58" i="49"/>
  <c r="Y57" i="49"/>
  <c r="Z57" i="49" s="1"/>
  <c r="W58" i="58"/>
  <c r="Y57" i="58"/>
  <c r="Z57" i="58" s="1"/>
  <c r="H11" i="64"/>
  <c r="H41" i="64" s="1"/>
  <c r="AF12" i="49"/>
  <c r="W52" i="50"/>
  <c r="Y51" i="50"/>
  <c r="Z51" i="50" s="1"/>
  <c r="W57" i="51"/>
  <c r="Y56" i="51"/>
  <c r="Z56" i="51" s="1"/>
  <c r="W50" i="47"/>
  <c r="W56" i="47"/>
  <c r="Y39" i="47"/>
  <c r="Z39" i="47" s="1"/>
  <c r="W52" i="14"/>
  <c r="Y51" i="14"/>
  <c r="Z51" i="14" s="1"/>
  <c r="AC36" i="16"/>
  <c r="AE28" i="16"/>
  <c r="AF28" i="16" s="1"/>
  <c r="AE28" i="12"/>
  <c r="AF28" i="12" s="1"/>
  <c r="AC36" i="12"/>
  <c r="H28" i="64"/>
  <c r="H58" i="64" s="1"/>
  <c r="AF12" i="61"/>
  <c r="AF12" i="55"/>
  <c r="W51" i="12"/>
  <c r="Y50" i="12"/>
  <c r="W51" i="51"/>
  <c r="Y50" i="51"/>
  <c r="AF12" i="54"/>
  <c r="W60" i="52"/>
  <c r="Y60" i="52" s="1"/>
  <c r="Z60" i="52" s="1"/>
  <c r="Y59" i="52"/>
  <c r="Z59" i="52" s="1"/>
  <c r="AC19" i="62"/>
  <c r="AE19" i="62" s="1"/>
  <c r="AF19" i="62" s="1"/>
  <c r="AC19" i="17"/>
  <c r="AE19" i="17" s="1"/>
  <c r="AF19" i="17" s="1"/>
  <c r="O21" i="64"/>
  <c r="Z56" i="56"/>
  <c r="O51" i="64" s="1"/>
  <c r="AC28" i="59"/>
  <c r="W39" i="43"/>
  <c r="Y36" i="43"/>
  <c r="Z36" i="43" s="1"/>
  <c r="H9" i="64"/>
  <c r="H39" i="64" s="1"/>
  <c r="AF12" i="12"/>
  <c r="AC36" i="50"/>
  <c r="AE28" i="50"/>
  <c r="AF28" i="50" s="1"/>
  <c r="AF12" i="53"/>
  <c r="W57" i="12"/>
  <c r="Y56" i="12"/>
  <c r="Z56" i="12" s="1"/>
  <c r="AF12" i="52"/>
  <c r="W60" i="53"/>
  <c r="Y60" i="53" s="1"/>
  <c r="Z60" i="53" s="1"/>
  <c r="Y59" i="53"/>
  <c r="Z59" i="53" s="1"/>
  <c r="Y58" i="66" l="1"/>
  <c r="Z58" i="66" s="1"/>
  <c r="W54" i="58"/>
  <c r="Y54" i="58" s="1"/>
  <c r="Z54" i="58" s="1"/>
  <c r="W58" i="15"/>
  <c r="W52" i="60"/>
  <c r="W58" i="60"/>
  <c r="W59" i="60" s="1"/>
  <c r="AC19" i="58"/>
  <c r="AE19" i="58" s="1"/>
  <c r="AF19" i="58" s="1"/>
  <c r="AC19" i="14"/>
  <c r="AE19" i="14" s="1"/>
  <c r="AF19" i="14" s="1"/>
  <c r="AC19" i="66"/>
  <c r="AE19" i="66" s="1"/>
  <c r="AF19" i="66" s="1"/>
  <c r="AC19" i="56"/>
  <c r="AE19" i="56" s="1"/>
  <c r="AF19" i="56" s="1"/>
  <c r="AC19" i="57"/>
  <c r="AE19" i="57" s="1"/>
  <c r="AF19" i="57" s="1"/>
  <c r="AE12" i="58"/>
  <c r="O13" i="64"/>
  <c r="Z50" i="51"/>
  <c r="O43" i="64" s="1"/>
  <c r="W53" i="56"/>
  <c r="Y52" i="56"/>
  <c r="Z52" i="56" s="1"/>
  <c r="W51" i="44"/>
  <c r="Y51" i="44" s="1"/>
  <c r="Z51" i="44" s="1"/>
  <c r="Y50" i="44"/>
  <c r="W58" i="48"/>
  <c r="Y57" i="48"/>
  <c r="Z57" i="48" s="1"/>
  <c r="AE12" i="66"/>
  <c r="AF12" i="66" s="1"/>
  <c r="AC28" i="66"/>
  <c r="AC39" i="51"/>
  <c r="AE36" i="51"/>
  <c r="AF36" i="51" s="1"/>
  <c r="AC28" i="62"/>
  <c r="AE19" i="13"/>
  <c r="AC28" i="13"/>
  <c r="W59" i="15"/>
  <c r="Y58" i="15"/>
  <c r="Z58" i="15" s="1"/>
  <c r="AE28" i="59"/>
  <c r="AF28" i="59" s="1"/>
  <c r="AC36" i="59"/>
  <c r="W57" i="47"/>
  <c r="Y56" i="47"/>
  <c r="Z56" i="47" s="1"/>
  <c r="W59" i="57"/>
  <c r="Y59" i="57" s="1"/>
  <c r="Z59" i="57" s="1"/>
  <c r="Y58" i="57"/>
  <c r="Z58" i="57" s="1"/>
  <c r="W57" i="46"/>
  <c r="Y57" i="46" s="1"/>
  <c r="Z57" i="46" s="1"/>
  <c r="Y56" i="46"/>
  <c r="Z56" i="46" s="1"/>
  <c r="W56" i="65"/>
  <c r="W50" i="65"/>
  <c r="Y39" i="65"/>
  <c r="Z39" i="65" s="1"/>
  <c r="AE28" i="37"/>
  <c r="AF28" i="37" s="1"/>
  <c r="AC36" i="37"/>
  <c r="H29" i="64"/>
  <c r="H59" i="64" s="1"/>
  <c r="AF12" i="62"/>
  <c r="W52" i="51"/>
  <c r="Y51" i="51"/>
  <c r="Z51" i="51" s="1"/>
  <c r="W51" i="47"/>
  <c r="Y51" i="47" s="1"/>
  <c r="Z51" i="47" s="1"/>
  <c r="Y50" i="47"/>
  <c r="W59" i="58"/>
  <c r="Y59" i="58" s="1"/>
  <c r="Z59" i="58" s="1"/>
  <c r="Y58" i="58"/>
  <c r="Z58" i="58" s="1"/>
  <c r="AE12" i="15"/>
  <c r="W53" i="49"/>
  <c r="Y53" i="49" s="1"/>
  <c r="Z53" i="49" s="1"/>
  <c r="Y52" i="49"/>
  <c r="Z52" i="49" s="1"/>
  <c r="W51" i="11"/>
  <c r="Y50" i="11"/>
  <c r="W51" i="46"/>
  <c r="Y51" i="46" s="1"/>
  <c r="Z51" i="46" s="1"/>
  <c r="Y50" i="46"/>
  <c r="O10" i="64"/>
  <c r="Z50" i="48"/>
  <c r="O40" i="64" s="1"/>
  <c r="AC28" i="17"/>
  <c r="W53" i="57"/>
  <c r="Y52" i="57"/>
  <c r="Z52" i="57" s="1"/>
  <c r="W52" i="15"/>
  <c r="Y51" i="15"/>
  <c r="Z51" i="15" s="1"/>
  <c r="W53" i="14"/>
  <c r="Y52" i="14"/>
  <c r="Z52" i="14" s="1"/>
  <c r="O9" i="64"/>
  <c r="Z50" i="12"/>
  <c r="O39" i="64" s="1"/>
  <c r="AE12" i="60"/>
  <c r="AC36" i="49"/>
  <c r="AE28" i="49"/>
  <c r="AF28" i="49" s="1"/>
  <c r="W57" i="11"/>
  <c r="Y57" i="11" s="1"/>
  <c r="Z57" i="11" s="1"/>
  <c r="Y56" i="11"/>
  <c r="Z56" i="11" s="1"/>
  <c r="W59" i="50"/>
  <c r="Y58" i="50"/>
  <c r="Z58" i="50" s="1"/>
  <c r="W51" i="42"/>
  <c r="Y50" i="42"/>
  <c r="W60" i="56"/>
  <c r="Y60" i="56" s="1"/>
  <c r="Z60" i="56" s="1"/>
  <c r="W58" i="51"/>
  <c r="Y57" i="51"/>
  <c r="Z57" i="51" s="1"/>
  <c r="W59" i="49"/>
  <c r="Y58" i="49"/>
  <c r="Z58" i="49" s="1"/>
  <c r="AE12" i="56"/>
  <c r="AC28" i="56"/>
  <c r="W52" i="48"/>
  <c r="Y51" i="48"/>
  <c r="Z51" i="48" s="1"/>
  <c r="AE19" i="54"/>
  <c r="AC28" i="54"/>
  <c r="W57" i="42"/>
  <c r="Y56" i="42"/>
  <c r="Z56" i="42" s="1"/>
  <c r="W57" i="44"/>
  <c r="Y56" i="44"/>
  <c r="Z56" i="44" s="1"/>
  <c r="AE19" i="52"/>
  <c r="AC28" i="52"/>
  <c r="AC39" i="12"/>
  <c r="AE36" i="12"/>
  <c r="AF36" i="12" s="1"/>
  <c r="AE36" i="16"/>
  <c r="AF36" i="16" s="1"/>
  <c r="AC39" i="16"/>
  <c r="AE36" i="61"/>
  <c r="AF36" i="61" s="1"/>
  <c r="AC39" i="61"/>
  <c r="W53" i="60"/>
  <c r="Y52" i="60"/>
  <c r="Z52" i="60" s="1"/>
  <c r="AE12" i="57"/>
  <c r="AE19" i="53"/>
  <c r="AC28" i="53"/>
  <c r="AC36" i="48"/>
  <c r="AE28" i="48"/>
  <c r="AF28" i="48" s="1"/>
  <c r="W59" i="14"/>
  <c r="Y59" i="14" s="1"/>
  <c r="Z59" i="14" s="1"/>
  <c r="Y58" i="14"/>
  <c r="Z58" i="14" s="1"/>
  <c r="AC19" i="15"/>
  <c r="AE19" i="15" s="1"/>
  <c r="AF19" i="15" s="1"/>
  <c r="AC19" i="60"/>
  <c r="AE19" i="60" s="1"/>
  <c r="AF19" i="60" s="1"/>
  <c r="AE36" i="50"/>
  <c r="AF36" i="50" s="1"/>
  <c r="AC39" i="50"/>
  <c r="W52" i="12"/>
  <c r="Y51" i="12"/>
  <c r="Z51" i="12" s="1"/>
  <c r="W58" i="12"/>
  <c r="Y57" i="12"/>
  <c r="Z57" i="12" s="1"/>
  <c r="W56" i="43"/>
  <c r="W50" i="43"/>
  <c r="Y39" i="43"/>
  <c r="Z39" i="43" s="1"/>
  <c r="W53" i="50"/>
  <c r="Y52" i="50"/>
  <c r="Z52" i="50" s="1"/>
  <c r="AE12" i="14"/>
  <c r="AC28" i="14"/>
  <c r="W54" i="66"/>
  <c r="Y54" i="66" s="1"/>
  <c r="Z54" i="66" s="1"/>
  <c r="O27" i="64"/>
  <c r="Z56" i="60"/>
  <c r="O57" i="64" s="1"/>
  <c r="AE19" i="55"/>
  <c r="AC28" i="55"/>
  <c r="O26" i="64"/>
  <c r="Z56" i="15"/>
  <c r="O56" i="64" s="1"/>
  <c r="W60" i="66"/>
  <c r="Y60" i="66" s="1"/>
  <c r="Z60" i="66" s="1"/>
  <c r="W56" i="45"/>
  <c r="W50" i="45"/>
  <c r="Y39" i="45"/>
  <c r="Z39" i="45" s="1"/>
  <c r="W60" i="57" l="1"/>
  <c r="Y60" i="57" s="1"/>
  <c r="Z60" i="57" s="1"/>
  <c r="W52" i="44"/>
  <c r="Y58" i="60"/>
  <c r="Z58" i="60" s="1"/>
  <c r="AC28" i="15"/>
  <c r="W58" i="46"/>
  <c r="W60" i="58"/>
  <c r="Y60" i="58" s="1"/>
  <c r="Z60" i="58" s="1"/>
  <c r="W60" i="14"/>
  <c r="Y60" i="14" s="1"/>
  <c r="Z60" i="14" s="1"/>
  <c r="W54" i="49"/>
  <c r="Y54" i="49" s="1"/>
  <c r="Z54" i="49" s="1"/>
  <c r="AC28" i="57"/>
  <c r="W52" i="46"/>
  <c r="W53" i="46" s="1"/>
  <c r="Y53" i="46" s="1"/>
  <c r="Z53" i="46" s="1"/>
  <c r="AC28" i="58"/>
  <c r="W53" i="15"/>
  <c r="Y53" i="15" s="1"/>
  <c r="Z53" i="15" s="1"/>
  <c r="Y52" i="15"/>
  <c r="Z52" i="15" s="1"/>
  <c r="W59" i="48"/>
  <c r="Y58" i="48"/>
  <c r="Z58" i="48" s="1"/>
  <c r="AC36" i="55"/>
  <c r="AE28" i="55"/>
  <c r="AF28" i="55" s="1"/>
  <c r="AE39" i="50"/>
  <c r="AF39" i="50" s="1"/>
  <c r="AC50" i="50"/>
  <c r="AC56" i="50"/>
  <c r="AC39" i="48"/>
  <c r="AE36" i="48"/>
  <c r="AF36" i="48" s="1"/>
  <c r="W58" i="44"/>
  <c r="Y57" i="44"/>
  <c r="Z57" i="44" s="1"/>
  <c r="H21" i="64"/>
  <c r="H51" i="64" s="1"/>
  <c r="AF12" i="56"/>
  <c r="W52" i="42"/>
  <c r="Y51" i="42"/>
  <c r="Z51" i="42" s="1"/>
  <c r="AC28" i="60"/>
  <c r="H26" i="64"/>
  <c r="H56" i="64" s="1"/>
  <c r="AF12" i="15"/>
  <c r="W57" i="65"/>
  <c r="Y57" i="65" s="1"/>
  <c r="Z57" i="65" s="1"/>
  <c r="Y56" i="65"/>
  <c r="Z56" i="65" s="1"/>
  <c r="W58" i="47"/>
  <c r="Y57" i="47"/>
  <c r="Z57" i="47" s="1"/>
  <c r="O5" i="64"/>
  <c r="Z50" i="44"/>
  <c r="O35" i="64" s="1"/>
  <c r="AC36" i="58"/>
  <c r="AE28" i="58"/>
  <c r="AF28" i="58" s="1"/>
  <c r="W53" i="12"/>
  <c r="Y53" i="12" s="1"/>
  <c r="Z53" i="12" s="1"/>
  <c r="Y52" i="12"/>
  <c r="Z52" i="12" s="1"/>
  <c r="W54" i="50"/>
  <c r="Y54" i="50" s="1"/>
  <c r="Z54" i="50" s="1"/>
  <c r="Y53" i="50"/>
  <c r="Z53" i="50" s="1"/>
  <c r="AC12" i="44"/>
  <c r="AC12" i="65"/>
  <c r="AC12" i="11"/>
  <c r="AC12" i="46"/>
  <c r="AC12" i="43"/>
  <c r="AC12" i="47"/>
  <c r="AC12" i="42"/>
  <c r="AC12" i="45"/>
  <c r="AF19" i="55"/>
  <c r="H18" i="64"/>
  <c r="H48" i="64" s="1"/>
  <c r="AE28" i="53"/>
  <c r="AF28" i="53" s="1"/>
  <c r="AC36" i="53"/>
  <c r="AE39" i="16"/>
  <c r="AF39" i="16" s="1"/>
  <c r="AC50" i="16"/>
  <c r="AC56" i="16"/>
  <c r="H27" i="64"/>
  <c r="H57" i="64" s="1"/>
  <c r="AF12" i="60"/>
  <c r="W54" i="57"/>
  <c r="Y54" i="57" s="1"/>
  <c r="Z54" i="57" s="1"/>
  <c r="Y53" i="57"/>
  <c r="Z53" i="57" s="1"/>
  <c r="O2" i="64"/>
  <c r="Z50" i="11"/>
  <c r="O32" i="64" s="1"/>
  <c r="W53" i="51"/>
  <c r="Y52" i="51"/>
  <c r="Z52" i="51" s="1"/>
  <c r="AC39" i="59"/>
  <c r="AE36" i="59"/>
  <c r="AF36" i="59" s="1"/>
  <c r="AC50" i="51"/>
  <c r="AC56" i="51"/>
  <c r="AE39" i="51"/>
  <c r="AF39" i="51" s="1"/>
  <c r="H23" i="64"/>
  <c r="H53" i="64" s="1"/>
  <c r="AF12" i="58"/>
  <c r="AE28" i="15"/>
  <c r="AF28" i="15" s="1"/>
  <c r="AC36" i="15"/>
  <c r="W51" i="43"/>
  <c r="Y51" i="43" s="1"/>
  <c r="Z51" i="43" s="1"/>
  <c r="Y50" i="43"/>
  <c r="AF19" i="53"/>
  <c r="H16" i="64"/>
  <c r="H46" i="64" s="1"/>
  <c r="W58" i="42"/>
  <c r="Y57" i="42"/>
  <c r="Z57" i="42" s="1"/>
  <c r="W60" i="49"/>
  <c r="Y60" i="49" s="1"/>
  <c r="Z60" i="49" s="1"/>
  <c r="Y59" i="49"/>
  <c r="Z59" i="49" s="1"/>
  <c r="W60" i="50"/>
  <c r="Y60" i="50" s="1"/>
  <c r="Z60" i="50" s="1"/>
  <c r="Y59" i="50"/>
  <c r="Z59" i="50" s="1"/>
  <c r="AE28" i="17"/>
  <c r="AF28" i="17" s="1"/>
  <c r="AC36" i="17"/>
  <c r="W59" i="46"/>
  <c r="Y58" i="46"/>
  <c r="Z58" i="46" s="1"/>
  <c r="W53" i="44"/>
  <c r="Y53" i="44" s="1"/>
  <c r="Z53" i="44" s="1"/>
  <c r="Y52" i="44"/>
  <c r="Z52" i="44" s="1"/>
  <c r="AC36" i="56"/>
  <c r="AE28" i="56"/>
  <c r="AF28" i="56" s="1"/>
  <c r="AC36" i="57"/>
  <c r="AE28" i="57"/>
  <c r="AF28" i="57" s="1"/>
  <c r="AE28" i="54"/>
  <c r="AF28" i="54" s="1"/>
  <c r="AC36" i="54"/>
  <c r="W52" i="11"/>
  <c r="Y51" i="11"/>
  <c r="Z51" i="11" s="1"/>
  <c r="W60" i="60"/>
  <c r="Y60" i="60" s="1"/>
  <c r="Z60" i="60" s="1"/>
  <c r="Y59" i="60"/>
  <c r="Z59" i="60" s="1"/>
  <c r="AE36" i="49"/>
  <c r="AF36" i="49" s="1"/>
  <c r="AC39" i="49"/>
  <c r="W51" i="65"/>
  <c r="Y51" i="65" s="1"/>
  <c r="Z51" i="65" s="1"/>
  <c r="Y50" i="65"/>
  <c r="Z50" i="65" s="1"/>
  <c r="W57" i="43"/>
  <c r="Y57" i="43" s="1"/>
  <c r="Z57" i="43" s="1"/>
  <c r="Y56" i="43"/>
  <c r="Z56" i="43" s="1"/>
  <c r="W57" i="45"/>
  <c r="Y57" i="45" s="1"/>
  <c r="Z57" i="45" s="1"/>
  <c r="Y56" i="45"/>
  <c r="Z56" i="45" s="1"/>
  <c r="H22" i="64"/>
  <c r="H52" i="64" s="1"/>
  <c r="AF12" i="57"/>
  <c r="AE39" i="12"/>
  <c r="AF39" i="12" s="1"/>
  <c r="AC56" i="12"/>
  <c r="AC50" i="12"/>
  <c r="AF19" i="54"/>
  <c r="H17" i="64"/>
  <c r="H47" i="64" s="1"/>
  <c r="W59" i="51"/>
  <c r="Y58" i="51"/>
  <c r="Z58" i="51" s="1"/>
  <c r="W58" i="11"/>
  <c r="O8" i="64"/>
  <c r="Z50" i="47"/>
  <c r="O38" i="64" s="1"/>
  <c r="AC39" i="37"/>
  <c r="AE36" i="37"/>
  <c r="AF36" i="37" s="1"/>
  <c r="W60" i="15"/>
  <c r="Y60" i="15" s="1"/>
  <c r="Z60" i="15" s="1"/>
  <c r="Y59" i="15"/>
  <c r="Z59" i="15" s="1"/>
  <c r="AE28" i="66"/>
  <c r="AF28" i="66" s="1"/>
  <c r="AC36" i="66"/>
  <c r="AC50" i="61"/>
  <c r="AC56" i="61"/>
  <c r="AE39" i="61"/>
  <c r="AF39" i="61" s="1"/>
  <c r="AE28" i="52"/>
  <c r="AF28" i="52" s="1"/>
  <c r="AC36" i="52"/>
  <c r="W54" i="14"/>
  <c r="Y54" i="14" s="1"/>
  <c r="Z54" i="14" s="1"/>
  <c r="Y53" i="14"/>
  <c r="Z53" i="14" s="1"/>
  <c r="O7" i="64"/>
  <c r="Z50" i="46"/>
  <c r="O37" i="64" s="1"/>
  <c r="AE28" i="13"/>
  <c r="AF28" i="13" s="1"/>
  <c r="AC36" i="13"/>
  <c r="W54" i="56"/>
  <c r="Y54" i="56" s="1"/>
  <c r="Z54" i="56" s="1"/>
  <c r="Y53" i="56"/>
  <c r="Z53" i="56" s="1"/>
  <c r="AC36" i="62"/>
  <c r="AE28" i="62"/>
  <c r="AF28" i="62" s="1"/>
  <c r="W51" i="45"/>
  <c r="Y51" i="45" s="1"/>
  <c r="Z51" i="45" s="1"/>
  <c r="Y50" i="45"/>
  <c r="AC36" i="14"/>
  <c r="AE28" i="14"/>
  <c r="AF28" i="14" s="1"/>
  <c r="W59" i="12"/>
  <c r="Y59" i="12" s="1"/>
  <c r="Z59" i="12" s="1"/>
  <c r="Y58" i="12"/>
  <c r="Z58" i="12" s="1"/>
  <c r="H20" i="64"/>
  <c r="H50" i="64" s="1"/>
  <c r="AF12" i="14"/>
  <c r="W54" i="60"/>
  <c r="Y54" i="60" s="1"/>
  <c r="Z54" i="60" s="1"/>
  <c r="Y53" i="60"/>
  <c r="Z53" i="60" s="1"/>
  <c r="AF19" i="52"/>
  <c r="H15" i="64"/>
  <c r="H45" i="64" s="1"/>
  <c r="W53" i="48"/>
  <c r="Y52" i="48"/>
  <c r="Z52" i="48" s="1"/>
  <c r="O3" i="64"/>
  <c r="Z50" i="42"/>
  <c r="O33" i="64" s="1"/>
  <c r="W52" i="47"/>
  <c r="AF19" i="13"/>
  <c r="H14" i="64"/>
  <c r="H44" i="64" s="1"/>
  <c r="W54" i="12" l="1"/>
  <c r="Y54" i="12" s="1"/>
  <c r="Z54" i="12" s="1"/>
  <c r="Y52" i="46"/>
  <c r="Z52" i="46" s="1"/>
  <c r="W54" i="46"/>
  <c r="Y54" i="46" s="1"/>
  <c r="Z54" i="46" s="1"/>
  <c r="W52" i="45"/>
  <c r="W52" i="65"/>
  <c r="W60" i="12"/>
  <c r="Y60" i="12" s="1"/>
  <c r="Z60" i="12" s="1"/>
  <c r="W58" i="45"/>
  <c r="AC19" i="44"/>
  <c r="AE19" i="44" s="1"/>
  <c r="AF19" i="44" s="1"/>
  <c r="AC19" i="46"/>
  <c r="AE19" i="46" s="1"/>
  <c r="AF19" i="46" s="1"/>
  <c r="AC19" i="43"/>
  <c r="AE19" i="43" s="1"/>
  <c r="AF19" i="43" s="1"/>
  <c r="AC19" i="47"/>
  <c r="AE19" i="47" s="1"/>
  <c r="AF19" i="47" s="1"/>
  <c r="AC19" i="65"/>
  <c r="AE19" i="65" s="1"/>
  <c r="AF19" i="65" s="1"/>
  <c r="AC19" i="42"/>
  <c r="AE19" i="42" s="1"/>
  <c r="AF19" i="42" s="1"/>
  <c r="AC19" i="11"/>
  <c r="AE19" i="11" s="1"/>
  <c r="AF19" i="11" s="1"/>
  <c r="AC19" i="45"/>
  <c r="AE19" i="45" s="1"/>
  <c r="AF19" i="45" s="1"/>
  <c r="AC39" i="66"/>
  <c r="AE36" i="66"/>
  <c r="AF36" i="66" s="1"/>
  <c r="W59" i="11"/>
  <c r="Y58" i="11"/>
  <c r="Z58" i="11" s="1"/>
  <c r="W53" i="11"/>
  <c r="Y53" i="11" s="1"/>
  <c r="Z53" i="11" s="1"/>
  <c r="W54" i="11"/>
  <c r="Y54" i="11" s="1"/>
  <c r="Z54" i="11" s="1"/>
  <c r="Y52" i="11"/>
  <c r="Z52" i="11" s="1"/>
  <c r="W54" i="44"/>
  <c r="Y54" i="44" s="1"/>
  <c r="Z54" i="44" s="1"/>
  <c r="W52" i="43"/>
  <c r="AC51" i="51"/>
  <c r="AE51" i="51" s="1"/>
  <c r="AF51" i="51" s="1"/>
  <c r="AE50" i="51"/>
  <c r="AE12" i="65"/>
  <c r="AF12" i="65" s="1"/>
  <c r="AC28" i="65"/>
  <c r="AE36" i="58"/>
  <c r="AF36" i="58" s="1"/>
  <c r="AC39" i="58"/>
  <c r="W59" i="44"/>
  <c r="Y58" i="44"/>
  <c r="Z58" i="44" s="1"/>
  <c r="W53" i="65"/>
  <c r="Y52" i="65"/>
  <c r="Z52" i="65" s="1"/>
  <c r="AE36" i="54"/>
  <c r="AF36" i="54" s="1"/>
  <c r="AC39" i="54"/>
  <c r="AE12" i="44"/>
  <c r="AC28" i="44"/>
  <c r="W60" i="48"/>
  <c r="Y60" i="48" s="1"/>
  <c r="Z60" i="48" s="1"/>
  <c r="Y59" i="48"/>
  <c r="Z59" i="48" s="1"/>
  <c r="W54" i="48"/>
  <c r="Y54" i="48" s="1"/>
  <c r="Z54" i="48" s="1"/>
  <c r="Y53" i="48"/>
  <c r="Z53" i="48" s="1"/>
  <c r="AE36" i="62"/>
  <c r="AF36" i="62" s="1"/>
  <c r="AC39" i="62"/>
  <c r="W60" i="51"/>
  <c r="Y60" i="51" s="1"/>
  <c r="Z60" i="51" s="1"/>
  <c r="Y59" i="51"/>
  <c r="Z59" i="51" s="1"/>
  <c r="AE36" i="15"/>
  <c r="AF36" i="15" s="1"/>
  <c r="AC39" i="15"/>
  <c r="AE39" i="59"/>
  <c r="AF39" i="59" s="1"/>
  <c r="AC50" i="59"/>
  <c r="AC56" i="59"/>
  <c r="AE12" i="45"/>
  <c r="AC28" i="45"/>
  <c r="AC36" i="60"/>
  <c r="AE28" i="60"/>
  <c r="AF28" i="60" s="1"/>
  <c r="AC56" i="48"/>
  <c r="AC50" i="48"/>
  <c r="AE39" i="48"/>
  <c r="AF39" i="48" s="1"/>
  <c r="AE36" i="52"/>
  <c r="AF36" i="52" s="1"/>
  <c r="AC39" i="52"/>
  <c r="W59" i="45"/>
  <c r="Y59" i="45" s="1"/>
  <c r="Z59" i="45" s="1"/>
  <c r="Y58" i="45"/>
  <c r="Z58" i="45" s="1"/>
  <c r="AC56" i="49"/>
  <c r="AC50" i="49"/>
  <c r="AE39" i="49"/>
  <c r="AF39" i="49" s="1"/>
  <c r="W60" i="46"/>
  <c r="Y60" i="46" s="1"/>
  <c r="Z60" i="46" s="1"/>
  <c r="Y59" i="46"/>
  <c r="Z59" i="46" s="1"/>
  <c r="W59" i="42"/>
  <c r="Y58" i="42"/>
  <c r="Z58" i="42" s="1"/>
  <c r="AE56" i="16"/>
  <c r="AF56" i="16" s="1"/>
  <c r="AC57" i="16"/>
  <c r="AE57" i="16" s="1"/>
  <c r="AF57" i="16" s="1"/>
  <c r="AE12" i="42"/>
  <c r="AC57" i="50"/>
  <c r="AE57" i="50" s="1"/>
  <c r="AF57" i="50" s="1"/>
  <c r="AE56" i="50"/>
  <c r="AF56" i="50" s="1"/>
  <c r="AE36" i="14"/>
  <c r="AF36" i="14" s="1"/>
  <c r="AC39" i="14"/>
  <c r="AE36" i="57"/>
  <c r="AF36" i="57" s="1"/>
  <c r="AC39" i="57"/>
  <c r="AE36" i="17"/>
  <c r="AF36" i="17" s="1"/>
  <c r="AC39" i="17"/>
  <c r="W54" i="51"/>
  <c r="Y54" i="51" s="1"/>
  <c r="Z54" i="51" s="1"/>
  <c r="Y53" i="51"/>
  <c r="Z53" i="51" s="1"/>
  <c r="AE50" i="16"/>
  <c r="AF50" i="16" s="1"/>
  <c r="AC51" i="16"/>
  <c r="AE51" i="16" s="1"/>
  <c r="AF51" i="16" s="1"/>
  <c r="AE12" i="47"/>
  <c r="AC28" i="47"/>
  <c r="W59" i="47"/>
  <c r="Y59" i="47" s="1"/>
  <c r="Z59" i="47" s="1"/>
  <c r="Y58" i="47"/>
  <c r="Z58" i="47" s="1"/>
  <c r="W53" i="42"/>
  <c r="Y52" i="42"/>
  <c r="Z52" i="42" s="1"/>
  <c r="AE50" i="50"/>
  <c r="AC51" i="50"/>
  <c r="AE51" i="50" s="1"/>
  <c r="AF51" i="50" s="1"/>
  <c r="AE36" i="13"/>
  <c r="AF36" i="13" s="1"/>
  <c r="AC39" i="13"/>
  <c r="AC50" i="37"/>
  <c r="AC56" i="37"/>
  <c r="AE39" i="37"/>
  <c r="AF39" i="37" s="1"/>
  <c r="AC51" i="12"/>
  <c r="AE51" i="12" s="1"/>
  <c r="AF51" i="12" s="1"/>
  <c r="AE50" i="12"/>
  <c r="AE12" i="43"/>
  <c r="AC28" i="43"/>
  <c r="W53" i="47"/>
  <c r="Y52" i="47"/>
  <c r="Z52" i="47" s="1"/>
  <c r="O6" i="64"/>
  <c r="Z50" i="45"/>
  <c r="O36" i="64" s="1"/>
  <c r="AE56" i="61"/>
  <c r="AC57" i="61"/>
  <c r="AE57" i="61" s="1"/>
  <c r="AF57" i="61" s="1"/>
  <c r="AE56" i="12"/>
  <c r="AF56" i="12" s="1"/>
  <c r="AC57" i="12"/>
  <c r="AE57" i="12" s="1"/>
  <c r="AF57" i="12" s="1"/>
  <c r="W58" i="43"/>
  <c r="AE36" i="56"/>
  <c r="AF36" i="56" s="1"/>
  <c r="AC39" i="56"/>
  <c r="O4" i="64"/>
  <c r="Z50" i="43"/>
  <c r="O34" i="64" s="1"/>
  <c r="AE36" i="53"/>
  <c r="AF36" i="53" s="1"/>
  <c r="AC39" i="53"/>
  <c r="AE12" i="46"/>
  <c r="AC28" i="46"/>
  <c r="W58" i="65"/>
  <c r="W54" i="15"/>
  <c r="Y54" i="15" s="1"/>
  <c r="Z54" i="15" s="1"/>
  <c r="W53" i="45"/>
  <c r="Y52" i="45"/>
  <c r="Z52" i="45" s="1"/>
  <c r="AE50" i="61"/>
  <c r="AF50" i="61" s="1"/>
  <c r="AC51" i="61"/>
  <c r="AE51" i="61" s="1"/>
  <c r="AF51" i="61" s="1"/>
  <c r="AC57" i="51"/>
  <c r="AE57" i="51" s="1"/>
  <c r="AF57" i="51" s="1"/>
  <c r="AE56" i="51"/>
  <c r="AF56" i="51" s="1"/>
  <c r="AE12" i="11"/>
  <c r="AC28" i="11"/>
  <c r="AE36" i="55"/>
  <c r="AF36" i="55" s="1"/>
  <c r="AC39" i="55"/>
  <c r="AC58" i="16" l="1"/>
  <c r="AC52" i="51"/>
  <c r="W60" i="47"/>
  <c r="Y60" i="47" s="1"/>
  <c r="Z60" i="47" s="1"/>
  <c r="AC28" i="42"/>
  <c r="AC52" i="12"/>
  <c r="AC52" i="50"/>
  <c r="AC53" i="50" s="1"/>
  <c r="AE53" i="50" s="1"/>
  <c r="AF53" i="50" s="1"/>
  <c r="AC58" i="50"/>
  <c r="AE58" i="50" s="1"/>
  <c r="AF58" i="50" s="1"/>
  <c r="W60" i="45"/>
  <c r="Y60" i="45" s="1"/>
  <c r="Z60" i="45" s="1"/>
  <c r="AC56" i="55"/>
  <c r="AE39" i="55"/>
  <c r="AF39" i="55" s="1"/>
  <c r="AC50" i="55"/>
  <c r="W54" i="47"/>
  <c r="Y54" i="47" s="1"/>
  <c r="Z54" i="47" s="1"/>
  <c r="Y53" i="47"/>
  <c r="Z53" i="47" s="1"/>
  <c r="AE50" i="37"/>
  <c r="AF50" i="37" s="1"/>
  <c r="AC51" i="37"/>
  <c r="AE51" i="37" s="1"/>
  <c r="AF51" i="37" s="1"/>
  <c r="AC59" i="50"/>
  <c r="AE59" i="50" s="1"/>
  <c r="AF59" i="50" s="1"/>
  <c r="AE36" i="60"/>
  <c r="AF36" i="60" s="1"/>
  <c r="AC39" i="60"/>
  <c r="AE28" i="44"/>
  <c r="AF28" i="44" s="1"/>
  <c r="AC36" i="44"/>
  <c r="AC56" i="58"/>
  <c r="AE39" i="58"/>
  <c r="AF39" i="58" s="1"/>
  <c r="AC50" i="58"/>
  <c r="AE28" i="43"/>
  <c r="AF28" i="43" s="1"/>
  <c r="AC36" i="43"/>
  <c r="AE39" i="13"/>
  <c r="AF39" i="13" s="1"/>
  <c r="AC50" i="13"/>
  <c r="AC56" i="13"/>
  <c r="W60" i="42"/>
  <c r="Y60" i="42" s="1"/>
  <c r="Z60" i="42" s="1"/>
  <c r="Y59" i="42"/>
  <c r="Z59" i="42" s="1"/>
  <c r="AC36" i="45"/>
  <c r="AE28" i="45"/>
  <c r="AF28" i="45" s="1"/>
  <c r="H5" i="64"/>
  <c r="H35" i="64" s="1"/>
  <c r="AF12" i="44"/>
  <c r="AE28" i="11"/>
  <c r="AF28" i="11" s="1"/>
  <c r="AC36" i="11"/>
  <c r="AC58" i="61"/>
  <c r="H4" i="64"/>
  <c r="H34" i="64" s="1"/>
  <c r="AF12" i="43"/>
  <c r="AC50" i="17"/>
  <c r="AC56" i="17"/>
  <c r="AE39" i="17"/>
  <c r="AF39" i="17" s="1"/>
  <c r="AC50" i="52"/>
  <c r="AC56" i="52"/>
  <c r="AE39" i="52"/>
  <c r="AF39" i="52" s="1"/>
  <c r="H6" i="64"/>
  <c r="H36" i="64" s="1"/>
  <c r="AF12" i="45"/>
  <c r="AC50" i="62"/>
  <c r="AC56" i="62"/>
  <c r="AE39" i="62"/>
  <c r="AF39" i="62" s="1"/>
  <c r="AE39" i="54"/>
  <c r="AF39" i="54" s="1"/>
  <c r="AC56" i="54"/>
  <c r="AC50" i="54"/>
  <c r="AC36" i="65"/>
  <c r="AE28" i="65"/>
  <c r="AF28" i="65" s="1"/>
  <c r="AC50" i="53"/>
  <c r="AE39" i="53"/>
  <c r="AF39" i="53" s="1"/>
  <c r="AC56" i="53"/>
  <c r="H2" i="64"/>
  <c r="H32" i="64" s="1"/>
  <c r="AF12" i="11"/>
  <c r="AE52" i="12"/>
  <c r="AF52" i="12" s="1"/>
  <c r="AC53" i="12"/>
  <c r="AE53" i="12" s="1"/>
  <c r="AF53" i="12" s="1"/>
  <c r="AE28" i="47"/>
  <c r="AF28" i="47" s="1"/>
  <c r="AC36" i="47"/>
  <c r="AE28" i="42"/>
  <c r="AF28" i="42" s="1"/>
  <c r="AC36" i="42"/>
  <c r="AC57" i="59"/>
  <c r="AE57" i="59" s="1"/>
  <c r="AF57" i="59" s="1"/>
  <c r="AE56" i="59"/>
  <c r="AC58" i="59"/>
  <c r="AC58" i="51"/>
  <c r="AC56" i="56"/>
  <c r="AC50" i="56"/>
  <c r="AE39" i="56"/>
  <c r="AF39" i="56" s="1"/>
  <c r="P28" i="64"/>
  <c r="AF56" i="61"/>
  <c r="P58" i="64" s="1"/>
  <c r="P9" i="64"/>
  <c r="AF50" i="12"/>
  <c r="P39" i="64" s="1"/>
  <c r="H8" i="64"/>
  <c r="H38" i="64" s="1"/>
  <c r="AF12" i="47"/>
  <c r="AE39" i="57"/>
  <c r="AF39" i="57" s="1"/>
  <c r="AC50" i="57"/>
  <c r="AC56" i="57"/>
  <c r="H3" i="64"/>
  <c r="H33" i="64" s="1"/>
  <c r="AF12" i="42"/>
  <c r="AE50" i="59"/>
  <c r="AF50" i="59" s="1"/>
  <c r="AC51" i="59"/>
  <c r="AE51" i="59" s="1"/>
  <c r="AF51" i="59" s="1"/>
  <c r="AC53" i="51"/>
  <c r="AE53" i="51" s="1"/>
  <c r="AF53" i="51" s="1"/>
  <c r="AE52" i="51"/>
  <c r="AF52" i="51" s="1"/>
  <c r="W59" i="65"/>
  <c r="Y58" i="65"/>
  <c r="Z58" i="65" s="1"/>
  <c r="P12" i="64"/>
  <c r="AF50" i="50"/>
  <c r="P42" i="64" s="1"/>
  <c r="AC52" i="16"/>
  <c r="AE58" i="16"/>
  <c r="AF58" i="16" s="1"/>
  <c r="AC59" i="16"/>
  <c r="AE59" i="16" s="1"/>
  <c r="AF59" i="16" s="1"/>
  <c r="AE50" i="49"/>
  <c r="AC51" i="49"/>
  <c r="AE51" i="49" s="1"/>
  <c r="AF51" i="49" s="1"/>
  <c r="AE50" i="48"/>
  <c r="AC51" i="48"/>
  <c r="AE51" i="48" s="1"/>
  <c r="AF51" i="48" s="1"/>
  <c r="W54" i="65"/>
  <c r="Y54" i="65" s="1"/>
  <c r="Z54" i="65" s="1"/>
  <c r="Y53" i="65"/>
  <c r="Z53" i="65" s="1"/>
  <c r="P13" i="64"/>
  <c r="AF50" i="51"/>
  <c r="P43" i="64" s="1"/>
  <c r="W60" i="11"/>
  <c r="Y60" i="11" s="1"/>
  <c r="Z60" i="11" s="1"/>
  <c r="Y59" i="11"/>
  <c r="Z59" i="11" s="1"/>
  <c r="AC36" i="46"/>
  <c r="AE28" i="46"/>
  <c r="AF28" i="46" s="1"/>
  <c r="AC50" i="14"/>
  <c r="AE39" i="14"/>
  <c r="AF39" i="14" s="1"/>
  <c r="AC56" i="14"/>
  <c r="AC57" i="49"/>
  <c r="AE57" i="49" s="1"/>
  <c r="AF57" i="49" s="1"/>
  <c r="AE56" i="49"/>
  <c r="AF56" i="49" s="1"/>
  <c r="AC57" i="48"/>
  <c r="AE57" i="48" s="1"/>
  <c r="AF57" i="48" s="1"/>
  <c r="AE56" i="48"/>
  <c r="AF56" i="48" s="1"/>
  <c r="AC50" i="15"/>
  <c r="AC56" i="15"/>
  <c r="AE39" i="15"/>
  <c r="AF39" i="15" s="1"/>
  <c r="W54" i="45"/>
  <c r="Y54" i="45" s="1"/>
  <c r="Z54" i="45" s="1"/>
  <c r="Y53" i="45"/>
  <c r="Z53" i="45" s="1"/>
  <c r="W59" i="43"/>
  <c r="Y59" i="43" s="1"/>
  <c r="Z59" i="43" s="1"/>
  <c r="Y58" i="43"/>
  <c r="Z58" i="43" s="1"/>
  <c r="AC52" i="61"/>
  <c r="H7" i="64"/>
  <c r="H37" i="64" s="1"/>
  <c r="AF12" i="46"/>
  <c r="AC58" i="12"/>
  <c r="AC57" i="37"/>
  <c r="AE57" i="37" s="1"/>
  <c r="AF57" i="37" s="1"/>
  <c r="AE56" i="37"/>
  <c r="W54" i="42"/>
  <c r="Y54" i="42" s="1"/>
  <c r="Z54" i="42" s="1"/>
  <c r="Y53" i="42"/>
  <c r="Z53" i="42" s="1"/>
  <c r="W60" i="44"/>
  <c r="Y60" i="44" s="1"/>
  <c r="Z60" i="44" s="1"/>
  <c r="Y59" i="44"/>
  <c r="Z59" i="44" s="1"/>
  <c r="W53" i="43"/>
  <c r="Y52" i="43"/>
  <c r="Z52" i="43" s="1"/>
  <c r="AC56" i="66"/>
  <c r="AE39" i="66"/>
  <c r="AF39" i="66" s="1"/>
  <c r="AC50" i="66"/>
  <c r="AC52" i="59" l="1"/>
  <c r="AC52" i="48"/>
  <c r="AC58" i="37"/>
  <c r="AE52" i="50"/>
  <c r="AF52" i="50" s="1"/>
  <c r="AC60" i="50"/>
  <c r="AE60" i="50" s="1"/>
  <c r="AF60" i="50" s="1"/>
  <c r="AC51" i="66"/>
  <c r="AE51" i="66" s="1"/>
  <c r="AF51" i="66" s="1"/>
  <c r="AE50" i="66"/>
  <c r="AF50" i="66" s="1"/>
  <c r="AC52" i="66"/>
  <c r="AC58" i="48"/>
  <c r="AC51" i="14"/>
  <c r="AE51" i="14" s="1"/>
  <c r="AF51" i="14" s="1"/>
  <c r="AE50" i="14"/>
  <c r="AF50" i="14" s="1"/>
  <c r="AE50" i="57"/>
  <c r="AF50" i="57" s="1"/>
  <c r="AC51" i="57"/>
  <c r="AE51" i="57" s="1"/>
  <c r="AF51" i="57" s="1"/>
  <c r="AE50" i="54"/>
  <c r="AF50" i="54" s="1"/>
  <c r="AC51" i="54"/>
  <c r="AE51" i="54" s="1"/>
  <c r="AF51" i="54" s="1"/>
  <c r="AC59" i="61"/>
  <c r="AE59" i="61" s="1"/>
  <c r="AF59" i="61" s="1"/>
  <c r="AE58" i="61"/>
  <c r="AF58" i="61" s="1"/>
  <c r="AE56" i="58"/>
  <c r="AC57" i="58"/>
  <c r="AE57" i="58" s="1"/>
  <c r="AF57" i="58" s="1"/>
  <c r="AC52" i="37"/>
  <c r="AE52" i="48"/>
  <c r="AF52" i="48" s="1"/>
  <c r="AC53" i="48"/>
  <c r="AE53" i="48" s="1"/>
  <c r="AF53" i="48" s="1"/>
  <c r="AC51" i="56"/>
  <c r="AE51" i="56" s="1"/>
  <c r="AF51" i="56" s="1"/>
  <c r="AE50" i="56"/>
  <c r="AF50" i="56" s="1"/>
  <c r="AE36" i="47"/>
  <c r="AF36" i="47" s="1"/>
  <c r="AC39" i="47"/>
  <c r="AE56" i="54"/>
  <c r="AC57" i="54"/>
  <c r="AE57" i="54" s="1"/>
  <c r="AF57" i="54" s="1"/>
  <c r="AC57" i="52"/>
  <c r="AE57" i="52" s="1"/>
  <c r="AF57" i="52" s="1"/>
  <c r="AE56" i="52"/>
  <c r="AE36" i="11"/>
  <c r="AF36" i="11" s="1"/>
  <c r="AC39" i="11"/>
  <c r="AC57" i="13"/>
  <c r="AE57" i="13" s="1"/>
  <c r="AF57" i="13" s="1"/>
  <c r="AE56" i="13"/>
  <c r="AE36" i="44"/>
  <c r="AF36" i="44" s="1"/>
  <c r="AC39" i="44"/>
  <c r="AE36" i="46"/>
  <c r="AF36" i="46" s="1"/>
  <c r="AC39" i="46"/>
  <c r="AE52" i="16"/>
  <c r="AF52" i="16" s="1"/>
  <c r="AC53" i="16"/>
  <c r="AE53" i="16" s="1"/>
  <c r="AF53" i="16" s="1"/>
  <c r="AC53" i="59"/>
  <c r="AE53" i="59" s="1"/>
  <c r="AF53" i="59" s="1"/>
  <c r="AE52" i="59"/>
  <c r="AF52" i="59" s="1"/>
  <c r="AE56" i="56"/>
  <c r="AC57" i="56"/>
  <c r="AE57" i="56" s="1"/>
  <c r="AF57" i="56" s="1"/>
  <c r="AE50" i="52"/>
  <c r="AF50" i="52" s="1"/>
  <c r="AC51" i="52"/>
  <c r="AE51" i="52" s="1"/>
  <c r="AF51" i="52" s="1"/>
  <c r="AC51" i="13"/>
  <c r="AE51" i="13" s="1"/>
  <c r="AF51" i="13" s="1"/>
  <c r="AE50" i="13"/>
  <c r="AF50" i="13" s="1"/>
  <c r="AE58" i="37"/>
  <c r="AF58" i="37" s="1"/>
  <c r="AC59" i="37"/>
  <c r="AE59" i="37" s="1"/>
  <c r="AF59" i="37" s="1"/>
  <c r="P24" i="64"/>
  <c r="AF56" i="37"/>
  <c r="P54" i="64" s="1"/>
  <c r="AC58" i="49"/>
  <c r="P10" i="64"/>
  <c r="AF50" i="48"/>
  <c r="P40" i="64" s="1"/>
  <c r="AC59" i="51"/>
  <c r="AE59" i="51" s="1"/>
  <c r="AF59" i="51" s="1"/>
  <c r="AE58" i="51"/>
  <c r="AF58" i="51" s="1"/>
  <c r="AC54" i="50"/>
  <c r="AE54" i="50" s="1"/>
  <c r="AF54" i="50" s="1"/>
  <c r="AE56" i="53"/>
  <c r="AC57" i="53"/>
  <c r="AE57" i="53" s="1"/>
  <c r="AF57" i="53" s="1"/>
  <c r="AC50" i="60"/>
  <c r="AE39" i="60"/>
  <c r="AF39" i="60" s="1"/>
  <c r="AC56" i="60"/>
  <c r="AC57" i="66"/>
  <c r="AE57" i="66" s="1"/>
  <c r="AF57" i="66" s="1"/>
  <c r="AE56" i="66"/>
  <c r="AF56" i="66" s="1"/>
  <c r="W54" i="43"/>
  <c r="Y54" i="43" s="1"/>
  <c r="Z54" i="43" s="1"/>
  <c r="Y53" i="43"/>
  <c r="Z53" i="43" s="1"/>
  <c r="AC59" i="12"/>
  <c r="AE59" i="12" s="1"/>
  <c r="AF59" i="12" s="1"/>
  <c r="AE58" i="12"/>
  <c r="AF58" i="12" s="1"/>
  <c r="AC52" i="49"/>
  <c r="AC59" i="59"/>
  <c r="AE59" i="59" s="1"/>
  <c r="AF59" i="59" s="1"/>
  <c r="AE58" i="59"/>
  <c r="AF58" i="59" s="1"/>
  <c r="AC57" i="62"/>
  <c r="AE57" i="62" s="1"/>
  <c r="AF57" i="62" s="1"/>
  <c r="AE56" i="62"/>
  <c r="AC57" i="17"/>
  <c r="AE57" i="17" s="1"/>
  <c r="AF57" i="17" s="1"/>
  <c r="AE56" i="17"/>
  <c r="AF56" i="17" s="1"/>
  <c r="AC58" i="17"/>
  <c r="AE36" i="43"/>
  <c r="AF36" i="43" s="1"/>
  <c r="AC39" i="43"/>
  <c r="P25" i="64"/>
  <c r="AF56" i="59"/>
  <c r="P55" i="64" s="1"/>
  <c r="AE50" i="53"/>
  <c r="AF50" i="53" s="1"/>
  <c r="AC51" i="53"/>
  <c r="AE51" i="53" s="1"/>
  <c r="AF51" i="53" s="1"/>
  <c r="AC52" i="53"/>
  <c r="AC51" i="62"/>
  <c r="AE51" i="62" s="1"/>
  <c r="AF51" i="62" s="1"/>
  <c r="AE50" i="62"/>
  <c r="AF50" i="62" s="1"/>
  <c r="AC51" i="17"/>
  <c r="AE51" i="17" s="1"/>
  <c r="AF51" i="17" s="1"/>
  <c r="AE50" i="17"/>
  <c r="AF50" i="17" s="1"/>
  <c r="AE50" i="55"/>
  <c r="AF50" i="55" s="1"/>
  <c r="AC51" i="55"/>
  <c r="AE51" i="55" s="1"/>
  <c r="AF51" i="55" s="1"/>
  <c r="W60" i="43"/>
  <c r="Y60" i="43" s="1"/>
  <c r="Z60" i="43" s="1"/>
  <c r="AE56" i="15"/>
  <c r="AC57" i="15"/>
  <c r="AE57" i="15" s="1"/>
  <c r="AF57" i="15" s="1"/>
  <c r="AC57" i="14"/>
  <c r="AE57" i="14" s="1"/>
  <c r="AF57" i="14" s="1"/>
  <c r="AE56" i="14"/>
  <c r="P11" i="64"/>
  <c r="AF50" i="49"/>
  <c r="P41" i="64" s="1"/>
  <c r="W60" i="65"/>
  <c r="Y60" i="65" s="1"/>
  <c r="Z60" i="65" s="1"/>
  <c r="Y59" i="65"/>
  <c r="Z59" i="65" s="1"/>
  <c r="AC54" i="12"/>
  <c r="AE54" i="12" s="1"/>
  <c r="AF54" i="12" s="1"/>
  <c r="AE36" i="45"/>
  <c r="AF36" i="45" s="1"/>
  <c r="AC39" i="45"/>
  <c r="AC51" i="58"/>
  <c r="AE51" i="58" s="1"/>
  <c r="AF51" i="58" s="1"/>
  <c r="AE50" i="58"/>
  <c r="AF50" i="58" s="1"/>
  <c r="AE52" i="61"/>
  <c r="AF52" i="61" s="1"/>
  <c r="AC53" i="61"/>
  <c r="AE53" i="61" s="1"/>
  <c r="AF53" i="61" s="1"/>
  <c r="AE50" i="15"/>
  <c r="AF50" i="15" s="1"/>
  <c r="AC51" i="15"/>
  <c r="AE51" i="15" s="1"/>
  <c r="AF51" i="15" s="1"/>
  <c r="AC60" i="16"/>
  <c r="AE60" i="16" s="1"/>
  <c r="AF60" i="16" s="1"/>
  <c r="AC54" i="51"/>
  <c r="AE54" i="51" s="1"/>
  <c r="AF54" i="51" s="1"/>
  <c r="AC57" i="57"/>
  <c r="AE57" i="57" s="1"/>
  <c r="AF57" i="57" s="1"/>
  <c r="AE56" i="57"/>
  <c r="AE36" i="42"/>
  <c r="AF36" i="42" s="1"/>
  <c r="AC39" i="42"/>
  <c r="AE36" i="65"/>
  <c r="AF36" i="65" s="1"/>
  <c r="AC39" i="65"/>
  <c r="AE56" i="55"/>
  <c r="AC57" i="55"/>
  <c r="AE57" i="55" s="1"/>
  <c r="AF57" i="55" s="1"/>
  <c r="AC52" i="54" l="1"/>
  <c r="AC52" i="58"/>
  <c r="AC52" i="55"/>
  <c r="AC52" i="17"/>
  <c r="AC60" i="51"/>
  <c r="AE60" i="51" s="1"/>
  <c r="AF60" i="51" s="1"/>
  <c r="AC58" i="62"/>
  <c r="AE58" i="62" s="1"/>
  <c r="AF58" i="62" s="1"/>
  <c r="AC54" i="61"/>
  <c r="AE54" i="61" s="1"/>
  <c r="AF54" i="61" s="1"/>
  <c r="AC58" i="15"/>
  <c r="AC60" i="37"/>
  <c r="AE60" i="37" s="1"/>
  <c r="AF60" i="37" s="1"/>
  <c r="AC58" i="13"/>
  <c r="AC59" i="13" s="1"/>
  <c r="AC58" i="58"/>
  <c r="AC52" i="57"/>
  <c r="AC54" i="16"/>
  <c r="AE54" i="16" s="1"/>
  <c r="AF54" i="16" s="1"/>
  <c r="AC52" i="15"/>
  <c r="AC53" i="15" s="1"/>
  <c r="AE53" i="15" s="1"/>
  <c r="AF53" i="15" s="1"/>
  <c r="AC58" i="14"/>
  <c r="AE58" i="14" s="1"/>
  <c r="AF58" i="14" s="1"/>
  <c r="AC52" i="14"/>
  <c r="P26" i="64"/>
  <c r="AF56" i="15"/>
  <c r="P56" i="64" s="1"/>
  <c r="AC52" i="62"/>
  <c r="AE39" i="43"/>
  <c r="AF39" i="43" s="1"/>
  <c r="AC50" i="43"/>
  <c r="AC56" i="43"/>
  <c r="AC60" i="59"/>
  <c r="AE60" i="59" s="1"/>
  <c r="AF60" i="59" s="1"/>
  <c r="AC59" i="49"/>
  <c r="AE59" i="49" s="1"/>
  <c r="AF59" i="49" s="1"/>
  <c r="AE58" i="49"/>
  <c r="AF58" i="49" s="1"/>
  <c r="AC60" i="61"/>
  <c r="AE60" i="61" s="1"/>
  <c r="AF60" i="61" s="1"/>
  <c r="P18" i="64"/>
  <c r="AF56" i="55"/>
  <c r="P48" i="64" s="1"/>
  <c r="AE52" i="58"/>
  <c r="AF52" i="58" s="1"/>
  <c r="AC53" i="58"/>
  <c r="AE53" i="58" s="1"/>
  <c r="AF53" i="58" s="1"/>
  <c r="AC58" i="66"/>
  <c r="P16" i="64"/>
  <c r="AF56" i="53"/>
  <c r="P46" i="64" s="1"/>
  <c r="AC52" i="52"/>
  <c r="AC58" i="54"/>
  <c r="AC54" i="48"/>
  <c r="AE54" i="48" s="1"/>
  <c r="AF54" i="48" s="1"/>
  <c r="AC53" i="14"/>
  <c r="AE53" i="14" s="1"/>
  <c r="AF53" i="14" s="1"/>
  <c r="AE52" i="14"/>
  <c r="AF52" i="14" s="1"/>
  <c r="AC56" i="65"/>
  <c r="AE39" i="65"/>
  <c r="AF39" i="65" s="1"/>
  <c r="AC50" i="65"/>
  <c r="AE52" i="55"/>
  <c r="AF52" i="55" s="1"/>
  <c r="AC53" i="55"/>
  <c r="AE53" i="55" s="1"/>
  <c r="AF53" i="55" s="1"/>
  <c r="AC59" i="17"/>
  <c r="AE59" i="17" s="1"/>
  <c r="AF59" i="17" s="1"/>
  <c r="AE58" i="17"/>
  <c r="AF58" i="17" s="1"/>
  <c r="P14" i="64"/>
  <c r="AF56" i="13"/>
  <c r="P44" i="64" s="1"/>
  <c r="AC53" i="53"/>
  <c r="AE53" i="53" s="1"/>
  <c r="AF53" i="53" s="1"/>
  <c r="AE52" i="53"/>
  <c r="AF52" i="53" s="1"/>
  <c r="AC53" i="49"/>
  <c r="AE53" i="49" s="1"/>
  <c r="AF53" i="49" s="1"/>
  <c r="AE52" i="49"/>
  <c r="AF52" i="49" s="1"/>
  <c r="P17" i="64"/>
  <c r="AF56" i="54"/>
  <c r="P47" i="64" s="1"/>
  <c r="AC53" i="54"/>
  <c r="AE53" i="54" s="1"/>
  <c r="AF53" i="54" s="1"/>
  <c r="AE52" i="54"/>
  <c r="AF52" i="54" s="1"/>
  <c r="AE39" i="42"/>
  <c r="AF39" i="42" s="1"/>
  <c r="AC50" i="42"/>
  <c r="AC56" i="42"/>
  <c r="AC50" i="45"/>
  <c r="AE39" i="45"/>
  <c r="AF39" i="45" s="1"/>
  <c r="AC56" i="45"/>
  <c r="P20" i="64"/>
  <c r="AF56" i="14"/>
  <c r="P50" i="64" s="1"/>
  <c r="AC60" i="12"/>
  <c r="AE60" i="12" s="1"/>
  <c r="AF60" i="12" s="1"/>
  <c r="AC57" i="60"/>
  <c r="AE57" i="60" s="1"/>
  <c r="AF57" i="60" s="1"/>
  <c r="AE56" i="60"/>
  <c r="AC58" i="56"/>
  <c r="AC56" i="11"/>
  <c r="AE39" i="11"/>
  <c r="AF39" i="11" s="1"/>
  <c r="AC50" i="11"/>
  <c r="AE39" i="47"/>
  <c r="AF39" i="47" s="1"/>
  <c r="AC56" i="47"/>
  <c r="AC50" i="47"/>
  <c r="AC53" i="37"/>
  <c r="AE53" i="37" s="1"/>
  <c r="AF53" i="37" s="1"/>
  <c r="AE52" i="37"/>
  <c r="AF52" i="37" s="1"/>
  <c r="AE58" i="48"/>
  <c r="AF58" i="48" s="1"/>
  <c r="AC59" i="48"/>
  <c r="AE59" i="48" s="1"/>
  <c r="AF59" i="48" s="1"/>
  <c r="AE52" i="17"/>
  <c r="AF52" i="17" s="1"/>
  <c r="AC53" i="17"/>
  <c r="AE53" i="17" s="1"/>
  <c r="AF53" i="17" s="1"/>
  <c r="AC59" i="62"/>
  <c r="AE59" i="62" s="1"/>
  <c r="AF59" i="62" s="1"/>
  <c r="AC50" i="46"/>
  <c r="AE39" i="46"/>
  <c r="AF39" i="46" s="1"/>
  <c r="AC56" i="46"/>
  <c r="AC59" i="58"/>
  <c r="AE59" i="58" s="1"/>
  <c r="AF59" i="58" s="1"/>
  <c r="AE58" i="58"/>
  <c r="AF58" i="58" s="1"/>
  <c r="AC53" i="66"/>
  <c r="AE53" i="66" s="1"/>
  <c r="AF53" i="66" s="1"/>
  <c r="AE52" i="66"/>
  <c r="AF52" i="66" s="1"/>
  <c r="AC58" i="57"/>
  <c r="AE58" i="15"/>
  <c r="AF58" i="15" s="1"/>
  <c r="AC59" i="15"/>
  <c r="AE59" i="15" s="1"/>
  <c r="AF59" i="15" s="1"/>
  <c r="P29" i="64"/>
  <c r="AF56" i="62"/>
  <c r="P59" i="64" s="1"/>
  <c r="AE50" i="60"/>
  <c r="AF50" i="60" s="1"/>
  <c r="AC51" i="60"/>
  <c r="AE51" i="60" s="1"/>
  <c r="AF51" i="60" s="1"/>
  <c r="AC52" i="13"/>
  <c r="P21" i="64"/>
  <c r="AF56" i="56"/>
  <c r="P51" i="64" s="1"/>
  <c r="AC58" i="52"/>
  <c r="AC52" i="56"/>
  <c r="AE52" i="57"/>
  <c r="AF52" i="57" s="1"/>
  <c r="AC53" i="57"/>
  <c r="AE53" i="57" s="1"/>
  <c r="AF53" i="57" s="1"/>
  <c r="AC58" i="55"/>
  <c r="P22" i="64"/>
  <c r="AF56" i="57"/>
  <c r="P52" i="64" s="1"/>
  <c r="AC58" i="53"/>
  <c r="AC54" i="59"/>
  <c r="AE54" i="59" s="1"/>
  <c r="AF54" i="59" s="1"/>
  <c r="AC56" i="44"/>
  <c r="AC50" i="44"/>
  <c r="AE39" i="44"/>
  <c r="AF39" i="44" s="1"/>
  <c r="P15" i="64"/>
  <c r="AF56" i="52"/>
  <c r="P45" i="64" s="1"/>
  <c r="P23" i="64"/>
  <c r="AF56" i="58"/>
  <c r="P53" i="64" s="1"/>
  <c r="AC60" i="17" l="1"/>
  <c r="AE60" i="17" s="1"/>
  <c r="AF60" i="17" s="1"/>
  <c r="AC54" i="14"/>
  <c r="AE54" i="14" s="1"/>
  <c r="AF54" i="14" s="1"/>
  <c r="AE59" i="13"/>
  <c r="AF59" i="13" s="1"/>
  <c r="AC60" i="13"/>
  <c r="AE60" i="13" s="1"/>
  <c r="AF60" i="13" s="1"/>
  <c r="AE58" i="13"/>
  <c r="AF58" i="13" s="1"/>
  <c r="AC60" i="58"/>
  <c r="AE60" i="58" s="1"/>
  <c r="AF60" i="58" s="1"/>
  <c r="AE52" i="15"/>
  <c r="AF52" i="15" s="1"/>
  <c r="AC59" i="14"/>
  <c r="AC54" i="37"/>
  <c r="AE54" i="37" s="1"/>
  <c r="AF54" i="37" s="1"/>
  <c r="AC54" i="49"/>
  <c r="AE54" i="49" s="1"/>
  <c r="AF54" i="49" s="1"/>
  <c r="AC54" i="15"/>
  <c r="AE54" i="15" s="1"/>
  <c r="AF54" i="15" s="1"/>
  <c r="AC54" i="55"/>
  <c r="AE54" i="55" s="1"/>
  <c r="AF54" i="55" s="1"/>
  <c r="AE50" i="44"/>
  <c r="AC51" i="44"/>
  <c r="AE51" i="44" s="1"/>
  <c r="AF51" i="44" s="1"/>
  <c r="AC52" i="44"/>
  <c r="AC54" i="66"/>
  <c r="AE54" i="66" s="1"/>
  <c r="AF54" i="66" s="1"/>
  <c r="AE50" i="46"/>
  <c r="AC51" i="46"/>
  <c r="AE51" i="46" s="1"/>
  <c r="AF51" i="46" s="1"/>
  <c r="AE50" i="11"/>
  <c r="AC51" i="11"/>
  <c r="AE51" i="11" s="1"/>
  <c r="AF51" i="11" s="1"/>
  <c r="AC54" i="54"/>
  <c r="AE54" i="54" s="1"/>
  <c r="AF54" i="54" s="1"/>
  <c r="AC54" i="53"/>
  <c r="AE54" i="53" s="1"/>
  <c r="AF54" i="53" s="1"/>
  <c r="AC59" i="54"/>
  <c r="AE59" i="54" s="1"/>
  <c r="AF59" i="54" s="1"/>
  <c r="AE58" i="54"/>
  <c r="AF58" i="54" s="1"/>
  <c r="AC54" i="58"/>
  <c r="AE54" i="58" s="1"/>
  <c r="AF54" i="58" s="1"/>
  <c r="AE56" i="44"/>
  <c r="AF56" i="44" s="1"/>
  <c r="AC57" i="44"/>
  <c r="AE57" i="44" s="1"/>
  <c r="AF57" i="44" s="1"/>
  <c r="AC60" i="62"/>
  <c r="AE60" i="62" s="1"/>
  <c r="AF60" i="62" s="1"/>
  <c r="AC51" i="65"/>
  <c r="AE51" i="65" s="1"/>
  <c r="AF51" i="65" s="1"/>
  <c r="AE50" i="65"/>
  <c r="AF50" i="65" s="1"/>
  <c r="AC57" i="11"/>
  <c r="AE57" i="11" s="1"/>
  <c r="AF57" i="11" s="1"/>
  <c r="AE56" i="11"/>
  <c r="AF56" i="11" s="1"/>
  <c r="AC57" i="43"/>
  <c r="AE57" i="43" s="1"/>
  <c r="AF57" i="43" s="1"/>
  <c r="AE56" i="43"/>
  <c r="AF56" i="43" s="1"/>
  <c r="AC59" i="53"/>
  <c r="AE59" i="53" s="1"/>
  <c r="AF59" i="53" s="1"/>
  <c r="AE58" i="53"/>
  <c r="AF58" i="53" s="1"/>
  <c r="AC59" i="52"/>
  <c r="AE59" i="52" s="1"/>
  <c r="AF59" i="52" s="1"/>
  <c r="AE58" i="52"/>
  <c r="AF58" i="52" s="1"/>
  <c r="AC60" i="52"/>
  <c r="AE60" i="52" s="1"/>
  <c r="AF60" i="52" s="1"/>
  <c r="AE58" i="56"/>
  <c r="AF58" i="56" s="1"/>
  <c r="AC59" i="56"/>
  <c r="AE59" i="56" s="1"/>
  <c r="AF59" i="56" s="1"/>
  <c r="AE56" i="65"/>
  <c r="AF56" i="65" s="1"/>
  <c r="AC57" i="65"/>
  <c r="AE57" i="65" s="1"/>
  <c r="AF57" i="65" s="1"/>
  <c r="AE50" i="43"/>
  <c r="AC51" i="43"/>
  <c r="AE51" i="43" s="1"/>
  <c r="AF51" i="43" s="1"/>
  <c r="AC52" i="43"/>
  <c r="AE56" i="45"/>
  <c r="AF56" i="45" s="1"/>
  <c r="AC57" i="45"/>
  <c r="AE57" i="45" s="1"/>
  <c r="AF57" i="45" s="1"/>
  <c r="AC60" i="15"/>
  <c r="AE60" i="15" s="1"/>
  <c r="AF60" i="15" s="1"/>
  <c r="AC54" i="17"/>
  <c r="AE54" i="17" s="1"/>
  <c r="AF54" i="17" s="1"/>
  <c r="AC58" i="60"/>
  <c r="AC51" i="45"/>
  <c r="AE51" i="45" s="1"/>
  <c r="AF51" i="45" s="1"/>
  <c r="AE50" i="45"/>
  <c r="AC52" i="45"/>
  <c r="AE52" i="52"/>
  <c r="AF52" i="52" s="1"/>
  <c r="AC53" i="52"/>
  <c r="AE53" i="52" s="1"/>
  <c r="AF53" i="52" s="1"/>
  <c r="AC51" i="47"/>
  <c r="AE51" i="47" s="1"/>
  <c r="AF51" i="47" s="1"/>
  <c r="AE50" i="47"/>
  <c r="P27" i="64"/>
  <c r="AF56" i="60"/>
  <c r="P57" i="64" s="1"/>
  <c r="AE56" i="42"/>
  <c r="AF56" i="42" s="1"/>
  <c r="AC57" i="42"/>
  <c r="AE57" i="42" s="1"/>
  <c r="AF57" i="42" s="1"/>
  <c r="AE52" i="62"/>
  <c r="AF52" i="62" s="1"/>
  <c r="AC53" i="62"/>
  <c r="AC59" i="55"/>
  <c r="AE59" i="55" s="1"/>
  <c r="AF59" i="55" s="1"/>
  <c r="AE58" i="55"/>
  <c r="AF58" i="55" s="1"/>
  <c r="AC60" i="55"/>
  <c r="AE60" i="55" s="1"/>
  <c r="AF60" i="55" s="1"/>
  <c r="AE52" i="13"/>
  <c r="AF52" i="13" s="1"/>
  <c r="AC53" i="13"/>
  <c r="AE53" i="13" s="1"/>
  <c r="AF53" i="13" s="1"/>
  <c r="AC57" i="46"/>
  <c r="AE57" i="46" s="1"/>
  <c r="AF57" i="46" s="1"/>
  <c r="AE56" i="46"/>
  <c r="AF56" i="46" s="1"/>
  <c r="AC57" i="47"/>
  <c r="AE57" i="47" s="1"/>
  <c r="AF57" i="47" s="1"/>
  <c r="AE56" i="47"/>
  <c r="AF56" i="47" s="1"/>
  <c r="AE50" i="42"/>
  <c r="AC51" i="42"/>
  <c r="AE51" i="42" s="1"/>
  <c r="AF51" i="42" s="1"/>
  <c r="AC60" i="49"/>
  <c r="AE60" i="49" s="1"/>
  <c r="AF60" i="49" s="1"/>
  <c r="AC53" i="56"/>
  <c r="AE53" i="56" s="1"/>
  <c r="AF53" i="56" s="1"/>
  <c r="AE52" i="56"/>
  <c r="AF52" i="56" s="1"/>
  <c r="AC54" i="57"/>
  <c r="AE54" i="57" s="1"/>
  <c r="AF54" i="57" s="1"/>
  <c r="AC52" i="60"/>
  <c r="AE58" i="57"/>
  <c r="AF58" i="57" s="1"/>
  <c r="AC59" i="57"/>
  <c r="AE59" i="57" s="1"/>
  <c r="AF59" i="57" s="1"/>
  <c r="AC60" i="48"/>
  <c r="AE60" i="48" s="1"/>
  <c r="AF60" i="48" s="1"/>
  <c r="AC59" i="66"/>
  <c r="AE59" i="66" s="1"/>
  <c r="AF59" i="66" s="1"/>
  <c r="AE58" i="66"/>
  <c r="AF58" i="66" s="1"/>
  <c r="AC54" i="52" l="1"/>
  <c r="AE54" i="52" s="1"/>
  <c r="AF54" i="52" s="1"/>
  <c r="AC60" i="56"/>
  <c r="AE60" i="56" s="1"/>
  <c r="AF60" i="56" s="1"/>
  <c r="AC58" i="42"/>
  <c r="AC52" i="47"/>
  <c r="AC53" i="47" s="1"/>
  <c r="AE53" i="47" s="1"/>
  <c r="AF53" i="47" s="1"/>
  <c r="AC52" i="65"/>
  <c r="AC60" i="66"/>
  <c r="AE60" i="66" s="1"/>
  <c r="AF60" i="66" s="1"/>
  <c r="AC54" i="56"/>
  <c r="AE54" i="56" s="1"/>
  <c r="AF54" i="56" s="1"/>
  <c r="AC58" i="46"/>
  <c r="AC59" i="46" s="1"/>
  <c r="AE59" i="46" s="1"/>
  <c r="AF59" i="46" s="1"/>
  <c r="AC60" i="53"/>
  <c r="AE60" i="53" s="1"/>
  <c r="AF60" i="53" s="1"/>
  <c r="AC60" i="54"/>
  <c r="AE60" i="54" s="1"/>
  <c r="AF60" i="54" s="1"/>
  <c r="AC52" i="11"/>
  <c r="AC54" i="13"/>
  <c r="AE54" i="13" s="1"/>
  <c r="AF54" i="13" s="1"/>
  <c r="AE59" i="14"/>
  <c r="AF59" i="14" s="1"/>
  <c r="AC60" i="14"/>
  <c r="AE60" i="14" s="1"/>
  <c r="AF60" i="14" s="1"/>
  <c r="AC58" i="43"/>
  <c r="AE58" i="43" s="1"/>
  <c r="AF58" i="43" s="1"/>
  <c r="AC58" i="47"/>
  <c r="AC59" i="47" s="1"/>
  <c r="AE59" i="47" s="1"/>
  <c r="AF59" i="47" s="1"/>
  <c r="AC58" i="44"/>
  <c r="AE58" i="44" s="1"/>
  <c r="AF58" i="44" s="1"/>
  <c r="P2" i="64"/>
  <c r="AF50" i="11"/>
  <c r="P32" i="64" s="1"/>
  <c r="AE52" i="60"/>
  <c r="AF52" i="60" s="1"/>
  <c r="AC53" i="60"/>
  <c r="AE53" i="60" s="1"/>
  <c r="AF53" i="60" s="1"/>
  <c r="P3" i="64"/>
  <c r="AF50" i="42"/>
  <c r="P33" i="64" s="1"/>
  <c r="AC58" i="45"/>
  <c r="AE52" i="65"/>
  <c r="AF52" i="65" s="1"/>
  <c r="AC53" i="65"/>
  <c r="AE53" i="65" s="1"/>
  <c r="AF53" i="65" s="1"/>
  <c r="AC52" i="46"/>
  <c r="AC59" i="42"/>
  <c r="AE59" i="42" s="1"/>
  <c r="AF59" i="42" s="1"/>
  <c r="AE58" i="42"/>
  <c r="AF58" i="42" s="1"/>
  <c r="AC53" i="45"/>
  <c r="AE53" i="45" s="1"/>
  <c r="AF53" i="45" s="1"/>
  <c r="AE52" i="45"/>
  <c r="AF52" i="45" s="1"/>
  <c r="AC59" i="43"/>
  <c r="AE59" i="43" s="1"/>
  <c r="AF59" i="43" s="1"/>
  <c r="P7" i="64"/>
  <c r="AF50" i="46"/>
  <c r="P37" i="64" s="1"/>
  <c r="P6" i="64"/>
  <c r="AF50" i="45"/>
  <c r="P36" i="64" s="1"/>
  <c r="AC53" i="43"/>
  <c r="AE53" i="43" s="1"/>
  <c r="AF53" i="43" s="1"/>
  <c r="AE52" i="43"/>
  <c r="AF52" i="43" s="1"/>
  <c r="AC54" i="43"/>
  <c r="AE54" i="43" s="1"/>
  <c r="AF54" i="43" s="1"/>
  <c r="AE52" i="47"/>
  <c r="AF52" i="47" s="1"/>
  <c r="AC53" i="44"/>
  <c r="AE53" i="44" s="1"/>
  <c r="AF53" i="44" s="1"/>
  <c r="AE52" i="44"/>
  <c r="AF52" i="44" s="1"/>
  <c r="AC60" i="57"/>
  <c r="AE60" i="57" s="1"/>
  <c r="AF60" i="57" s="1"/>
  <c r="AC54" i="62"/>
  <c r="AE54" i="62" s="1"/>
  <c r="AF54" i="62" s="1"/>
  <c r="AE53" i="62"/>
  <c r="AF53" i="62" s="1"/>
  <c r="P8" i="64"/>
  <c r="AF50" i="47"/>
  <c r="P38" i="64" s="1"/>
  <c r="AE58" i="60"/>
  <c r="AF58" i="60" s="1"/>
  <c r="AC59" i="60"/>
  <c r="AE59" i="60" s="1"/>
  <c r="AF59" i="60" s="1"/>
  <c r="P4" i="64"/>
  <c r="AF50" i="43"/>
  <c r="P34" i="64" s="1"/>
  <c r="AC58" i="11"/>
  <c r="AC53" i="11"/>
  <c r="AE53" i="11" s="1"/>
  <c r="AF53" i="11" s="1"/>
  <c r="AE52" i="11"/>
  <c r="AF52" i="11" s="1"/>
  <c r="AC52" i="42"/>
  <c r="AC58" i="65"/>
  <c r="P5" i="64"/>
  <c r="AF50" i="44"/>
  <c r="P35" i="64" s="1"/>
  <c r="AE58" i="46" l="1"/>
  <c r="AF58" i="46" s="1"/>
  <c r="AE58" i="47"/>
  <c r="AF58" i="47" s="1"/>
  <c r="AC59" i="44"/>
  <c r="AE59" i="44" s="1"/>
  <c r="AF59" i="44" s="1"/>
  <c r="AC60" i="43"/>
  <c r="AE60" i="43" s="1"/>
  <c r="AF60" i="43" s="1"/>
  <c r="AC54" i="47"/>
  <c r="AE54" i="47" s="1"/>
  <c r="AF54" i="47" s="1"/>
  <c r="AC54" i="44"/>
  <c r="AE54" i="44" s="1"/>
  <c r="AF54" i="44" s="1"/>
  <c r="AC60" i="42"/>
  <c r="AE60" i="42" s="1"/>
  <c r="AF60" i="42" s="1"/>
  <c r="AC54" i="60"/>
  <c r="AE54" i="60" s="1"/>
  <c r="AF54" i="60" s="1"/>
  <c r="AC60" i="60"/>
  <c r="AE60" i="60" s="1"/>
  <c r="AF60" i="60" s="1"/>
  <c r="AC60" i="47"/>
  <c r="AE60" i="47" s="1"/>
  <c r="AF60" i="47" s="1"/>
  <c r="AC53" i="46"/>
  <c r="AE53" i="46" s="1"/>
  <c r="AF53" i="46" s="1"/>
  <c r="AE52" i="46"/>
  <c r="AF52" i="46" s="1"/>
  <c r="AC59" i="11"/>
  <c r="AE59" i="11" s="1"/>
  <c r="AF59" i="11" s="1"/>
  <c r="AE58" i="11"/>
  <c r="AF58" i="11" s="1"/>
  <c r="AE58" i="65"/>
  <c r="AF58" i="65" s="1"/>
  <c r="AC59" i="65"/>
  <c r="AE59" i="65" s="1"/>
  <c r="AF59" i="65" s="1"/>
  <c r="AC54" i="65"/>
  <c r="AE54" i="65" s="1"/>
  <c r="AF54" i="65" s="1"/>
  <c r="AC60" i="46"/>
  <c r="AE60" i="46" s="1"/>
  <c r="AF60" i="46" s="1"/>
  <c r="AC54" i="45"/>
  <c r="AE54" i="45" s="1"/>
  <c r="AF54" i="45" s="1"/>
  <c r="AE58" i="45"/>
  <c r="AF58" i="45" s="1"/>
  <c r="AC59" i="45"/>
  <c r="AE59" i="45" s="1"/>
  <c r="AF59" i="45" s="1"/>
  <c r="AC53" i="42"/>
  <c r="AE53" i="42" s="1"/>
  <c r="AF53" i="42" s="1"/>
  <c r="AE52" i="42"/>
  <c r="AF52" i="42" s="1"/>
  <c r="AC54" i="11"/>
  <c r="AE54" i="11" s="1"/>
  <c r="AF54" i="11" s="1"/>
  <c r="AC54" i="42" l="1"/>
  <c r="AE54" i="42" s="1"/>
  <c r="AF54" i="42" s="1"/>
  <c r="AC60" i="44"/>
  <c r="AE60" i="44" s="1"/>
  <c r="AF60" i="44" s="1"/>
  <c r="AC54" i="46"/>
  <c r="AE54" i="46" s="1"/>
  <c r="AF54" i="46" s="1"/>
  <c r="AC60" i="65"/>
  <c r="AE60" i="65" s="1"/>
  <c r="AF60" i="65" s="1"/>
  <c r="AC60" i="11"/>
  <c r="AE60" i="11" s="1"/>
  <c r="AF60" i="11" s="1"/>
  <c r="AC60" i="45"/>
  <c r="AE60" i="45" s="1"/>
  <c r="AF60" i="45" s="1"/>
</calcChain>
</file>

<file path=xl/sharedStrings.xml><?xml version="1.0" encoding="utf-8"?>
<sst xmlns="http://schemas.openxmlformats.org/spreadsheetml/2006/main" count="3867" uniqueCount="110">
  <si>
    <t>Customer Class:</t>
  </si>
  <si>
    <t>TOU / non-TOU:</t>
  </si>
  <si>
    <t>TOU</t>
  </si>
  <si>
    <t>Consumption</t>
  </si>
  <si>
    <t xml:space="preserve"> kWh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</si>
  <si>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</si>
  <si>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</si>
  <si>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</si>
  <si>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</si>
  <si>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</si>
  <si>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</si>
  <si>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</si>
  <si>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</si>
  <si>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</si>
  <si>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</si>
  <si>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</si>
  <si>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</si>
  <si>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</si>
  <si>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</si>
  <si>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</si>
  <si>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</si>
  <si>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</si>
  <si>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</si>
  <si>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</si>
  <si>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</si>
  <si>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</si>
  <si>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</si>
  <si>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</si>
  <si>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</si>
  <si>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</si>
  <si>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</si>
  <si>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</si>
  <si>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</si>
  <si>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</si>
  <si>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</si>
  <si>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</si>
  <si>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</si>
  <si>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t>Total Bill on RPP (before Taxes)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</si>
  <si>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</si>
  <si>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</si>
  <si>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</si>
  <si>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</si>
  <si>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</si>
  <si>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</si>
  <si>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</si>
  <si>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</si>
  <si>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</si>
  <si>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</si>
  <si>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</si>
  <si>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</si>
  <si>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</si>
  <si>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</si>
  <si>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Global Adjustment Sub-Account</t>
  </si>
  <si>
    <t>Rate Rider for Tax Change</t>
  </si>
  <si>
    <t>per kWh</t>
  </si>
  <si>
    <t>2016 vs 2015</t>
  </si>
  <si>
    <t>% Chakge</t>
  </si>
  <si>
    <t>2017 Proposed Rates</t>
  </si>
  <si>
    <t>2017 vs 2016</t>
  </si>
  <si>
    <t>2018 Proposed Rates</t>
  </si>
  <si>
    <t>2018 vs 2017</t>
  </si>
  <si>
    <t>2019 Proposed Rates</t>
  </si>
  <si>
    <t>2019 vs 2018</t>
  </si>
  <si>
    <t>General Service Less Than 50 kW</t>
  </si>
  <si>
    <t xml:space="preserve"> kW</t>
  </si>
  <si>
    <t>per kW</t>
  </si>
  <si>
    <t>non-TOU</t>
  </si>
  <si>
    <t>Large Use</t>
  </si>
  <si>
    <t>Unmetered Scattered Load</t>
  </si>
  <si>
    <t>Sentinel Lighting</t>
  </si>
  <si>
    <t>Street Lighting</t>
  </si>
  <si>
    <t>General Service 50 to 4,999 kW</t>
  </si>
  <si>
    <t>Connections</t>
  </si>
  <si>
    <t>Rate Class</t>
  </si>
  <si>
    <t>kWh</t>
  </si>
  <si>
    <t>kW</t>
  </si>
  <si>
    <t>Residential (on TOU)</t>
  </si>
  <si>
    <t>GS &lt; 50 kW (On TOU)</t>
  </si>
  <si>
    <t>GS &gt; 50 kW (On RPP)</t>
  </si>
  <si>
    <t>Large Use (1) (On RPP)</t>
  </si>
  <si>
    <t>USL (On RPP)</t>
  </si>
  <si>
    <t>Sentinel (721 Connections)</t>
  </si>
  <si>
    <t>Large Use (2) (On RPP)</t>
  </si>
  <si>
    <t>Distribution $ (2017 vs 2016)</t>
  </si>
  <si>
    <t>Distribution $ (2018 vs 2017)</t>
  </si>
  <si>
    <t>Distribution $ (2019 vs 2018)</t>
  </si>
  <si>
    <t>Distribution % (2017 vs 2016)</t>
  </si>
  <si>
    <t>Distribution % (2018 vs 2017)</t>
  </si>
  <si>
    <t>Distribution % (2019 vs 2018)</t>
  </si>
  <si>
    <t>Total Bill $ (2017 vs 2016)</t>
  </si>
  <si>
    <t>Total Bill $ (2018 vs 2017)</t>
  </si>
  <si>
    <t>Total Bill $ (2019 vs 2018)</t>
  </si>
  <si>
    <t>Total Bill % (2017 vs 2016)</t>
  </si>
  <si>
    <t>Total Bill % (2018 vs 2017)</t>
  </si>
  <si>
    <t>Total Bill % (2019 vs 2018)</t>
  </si>
  <si>
    <t xml:space="preserve">Smart Meter Incremental Revenue </t>
  </si>
  <si>
    <t>Recovery of Green Energy Act</t>
  </si>
  <si>
    <t xml:space="preserve">Recovery of Green Energy Act </t>
  </si>
  <si>
    <t>Large Use 2</t>
  </si>
  <si>
    <t>Distribution</t>
  </si>
  <si>
    <t>Total Bill</t>
  </si>
  <si>
    <t>Devices</t>
  </si>
  <si>
    <t>Street Lighting (36,000 Devices)</t>
  </si>
  <si>
    <t>Stranded Meter Rate Adder</t>
  </si>
  <si>
    <t>2016 Approved Rates</t>
  </si>
  <si>
    <t>GS &lt; 50 kW (on TOU)</t>
  </si>
  <si>
    <t>Foregone Revenue Rider</t>
  </si>
  <si>
    <t>Ontario Rebate for Electricity Consumers ("OREC")</t>
  </si>
  <si>
    <t>Total Bill on TOU (including OREC)</t>
  </si>
  <si>
    <t>Total Bill on RPP (including OREC)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</si>
</sst>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#,##0.0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  <numFmt numFmtId="174" formatCode="_-&quot;$&quot;* #,##0.00000_-;\-&quot;$&quot;* #,##0.00000_-;_-&quot;$&quot;* &quot;-&quot;??_-;_-@_-"/>
    <numFmt numFmtId="175" formatCode="0.000%"/>
    <numFmt numFmtId="176" formatCode="0.00;\ \(0.00%\)"/>
    <numFmt numFmtId="177" formatCode="0.00%;\ \(0.00\)%"/>
  </numFmts>
  <fonts count="31" x14ac:knownFonts="1"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/>
    <xf numFmtId="169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14" fontId="3" fillId="0" borderId="0"/>
    <xf numFmtId="170" fontId="3" fillId="0" borderId="0"/>
    <xf numFmtId="14" fontId="3" fillId="0" borderId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18" fillId="2" borderId="0" applyNumberFormat="0" applyBorder="0" applyAlignment="0" applyProtection="0"/>
    <xf numFmtId="38" fontId="5" fillId="40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10" fontId="5" fillId="41" borderId="10" applyNumberFormat="0" applyBorder="0" applyAlignment="0" applyProtection="0"/>
    <xf numFmtId="0" fontId="22" fillId="5" borderId="4" applyNumberFormat="0" applyAlignment="0" applyProtection="0"/>
    <xf numFmtId="0" fontId="23" fillId="0" borderId="6" applyNumberFormat="0" applyFill="0" applyAlignment="0" applyProtection="0"/>
    <xf numFmtId="171" fontId="3" fillId="0" borderId="0"/>
    <xf numFmtId="172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0" fontId="24" fillId="4" borderId="0" applyNumberFormat="0" applyBorder="0" applyAlignment="0" applyProtection="0"/>
    <xf numFmtId="173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8" applyNumberFormat="0" applyFont="0" applyAlignment="0" applyProtection="0"/>
    <xf numFmtId="0" fontId="25" fillId="6" borderId="5" applyNumberFormat="0" applyAlignment="0" applyProtection="0"/>
    <xf numFmtId="10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34" borderId="0" xfId="0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166" fontId="4" fillId="33" borderId="10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7" xfId="0" quotePrefix="1" applyFont="1" applyBorder="1" applyAlignment="1" applyProtection="1">
      <alignment horizontal="center"/>
    </xf>
    <xf numFmtId="0" fontId="4" fillId="0" borderId="18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4" borderId="0" xfId="0" applyFill="1" applyAlignment="1" applyProtection="1">
      <alignment vertical="top"/>
      <protection locked="0"/>
    </xf>
    <xf numFmtId="167" fontId="0" fillId="33" borderId="16" xfId="2" applyNumberFormat="1" applyFont="1" applyFill="1" applyBorder="1" applyAlignment="1" applyProtection="1">
      <alignment vertical="top"/>
      <protection locked="0"/>
    </xf>
    <xf numFmtId="0" fontId="0" fillId="0" borderId="16" xfId="0" applyFill="1" applyBorder="1" applyAlignment="1" applyProtection="1">
      <alignment vertical="center"/>
    </xf>
    <xf numFmtId="164" fontId="0" fillId="0" borderId="15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0" fillId="33" borderId="16" xfId="2" applyNumberFormat="1" applyFont="1" applyFill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</xf>
    <xf numFmtId="10" fontId="0" fillId="0" borderId="15" xfId="3" applyNumberFormat="1" applyFont="1" applyBorder="1" applyAlignment="1" applyProtection="1">
      <alignment vertical="center"/>
    </xf>
    <xf numFmtId="0" fontId="0" fillId="33" borderId="0" xfId="0" applyFill="1" applyAlignment="1" applyProtection="1">
      <alignment vertical="top"/>
    </xf>
    <xf numFmtId="0" fontId="0" fillId="33" borderId="0" xfId="0" applyFill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/>
      <protection locked="0"/>
    </xf>
    <xf numFmtId="0" fontId="0" fillId="35" borderId="12" xfId="0" applyFill="1" applyBorder="1" applyAlignment="1" applyProtection="1">
      <alignment vertical="top"/>
    </xf>
    <xf numFmtId="0" fontId="0" fillId="35" borderId="12" xfId="0" applyFill="1" applyBorder="1" applyAlignment="1" applyProtection="1">
      <alignment vertical="top"/>
      <protection locked="0"/>
    </xf>
    <xf numFmtId="167" fontId="0" fillId="35" borderId="10" xfId="2" applyNumberFormat="1" applyFont="1" applyFill="1" applyBorder="1" applyAlignment="1" applyProtection="1">
      <alignment vertical="top"/>
      <protection locked="0"/>
    </xf>
    <xf numFmtId="0" fontId="0" fillId="35" borderId="10" xfId="0" applyFill="1" applyBorder="1" applyAlignment="1" applyProtection="1">
      <alignment vertical="center"/>
      <protection locked="0"/>
    </xf>
    <xf numFmtId="164" fontId="0" fillId="35" borderId="13" xfId="2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64" fontId="4" fillId="35" borderId="10" xfId="0" applyNumberFormat="1" applyFont="1" applyFill="1" applyBorder="1" applyAlignment="1" applyProtection="1">
      <alignment vertical="center"/>
    </xf>
    <xf numFmtId="10" fontId="4" fillId="35" borderId="13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3" fillId="33" borderId="0" xfId="0" applyFont="1" applyFill="1" applyAlignment="1" applyProtection="1">
      <alignment vertical="top" wrapText="1"/>
    </xf>
    <xf numFmtId="0" fontId="0" fillId="0" borderId="19" xfId="0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167" fontId="0" fillId="36" borderId="16" xfId="2" applyNumberFormat="1" applyFont="1" applyFill="1" applyBorder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 wrapText="1"/>
    </xf>
    <xf numFmtId="0" fontId="0" fillId="35" borderId="12" xfId="0" applyFill="1" applyBorder="1" applyProtection="1"/>
    <xf numFmtId="0" fontId="0" fillId="35" borderId="10" xfId="0" applyFill="1" applyBorder="1" applyProtection="1"/>
    <xf numFmtId="0" fontId="0" fillId="35" borderId="10" xfId="0" applyFill="1" applyBorder="1" applyAlignment="1" applyProtection="1">
      <alignment vertical="center"/>
    </xf>
    <xf numFmtId="164" fontId="4" fillId="35" borderId="13" xfId="0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  <protection locked="0"/>
    </xf>
    <xf numFmtId="1" fontId="0" fillId="37" borderId="1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5" borderId="10" xfId="0" applyFill="1" applyBorder="1" applyAlignment="1" applyProtection="1">
      <alignment vertical="top"/>
    </xf>
    <xf numFmtId="0" fontId="4" fillId="35" borderId="0" xfId="0" applyFont="1" applyFill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33" borderId="16" xfId="2" applyNumberFormat="1" applyFill="1" applyBorder="1" applyAlignment="1" applyProtection="1">
      <alignment vertical="top"/>
      <protection locked="0"/>
    </xf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167" fontId="3" fillId="0" borderId="16" xfId="2" applyNumberFormat="1" applyFill="1" applyBorder="1" applyAlignment="1" applyProtection="1">
      <alignment vertical="top"/>
      <protection locked="0"/>
    </xf>
    <xf numFmtId="1" fontId="3" fillId="36" borderId="16" xfId="0" applyNumberFormat="1" applyFont="1" applyFill="1" applyBorder="1" applyAlignment="1" applyProtection="1">
      <alignment vertical="center"/>
    </xf>
    <xf numFmtId="0" fontId="3" fillId="0" borderId="0" xfId="4" applyAlignment="1" applyProtection="1">
      <alignment vertical="top"/>
    </xf>
    <xf numFmtId="0" fontId="3" fillId="34" borderId="0" xfId="4" applyFill="1" applyAlignment="1" applyProtection="1">
      <alignment vertical="top"/>
      <protection locked="0"/>
    </xf>
    <xf numFmtId="1" fontId="3" fillId="36" borderId="16" xfId="4" applyNumberFormat="1" applyFill="1" applyBorder="1" applyAlignment="1" applyProtection="1">
      <alignment vertical="center"/>
    </xf>
    <xf numFmtId="0" fontId="3" fillId="0" borderId="0" xfId="4" applyAlignment="1" applyProtection="1">
      <alignment vertical="center"/>
    </xf>
    <xf numFmtId="164" fontId="3" fillId="0" borderId="16" xfId="4" applyNumberFormat="1" applyBorder="1" applyAlignment="1" applyProtection="1">
      <alignment vertical="center"/>
    </xf>
    <xf numFmtId="0" fontId="3" fillId="0" borderId="0" xfId="4" applyProtection="1"/>
    <xf numFmtId="0" fontId="3" fillId="38" borderId="20" xfId="0" applyFont="1" applyFill="1" applyBorder="1" applyProtection="1"/>
    <xf numFmtId="0" fontId="0" fillId="38" borderId="21" xfId="0" applyFill="1" applyBorder="1" applyAlignment="1" applyProtection="1">
      <alignment vertical="top"/>
    </xf>
    <xf numFmtId="0" fontId="0" fillId="38" borderId="21" xfId="0" applyFill="1" applyBorder="1" applyAlignment="1" applyProtection="1">
      <alignment vertical="top"/>
      <protection locked="0"/>
    </xf>
    <xf numFmtId="167" fontId="3" fillId="38" borderId="22" xfId="2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164" fontId="3" fillId="38" borderId="21" xfId="2" applyFill="1" applyBorder="1" applyAlignment="1" applyProtection="1">
      <alignment vertical="center"/>
    </xf>
    <xf numFmtId="0" fontId="0" fillId="38" borderId="21" xfId="0" applyFill="1" applyBorder="1" applyAlignment="1" applyProtection="1">
      <alignment vertical="center"/>
    </xf>
    <xf numFmtId="164" fontId="0" fillId="38" borderId="22" xfId="0" applyNumberFormat="1" applyFill="1" applyBorder="1" applyAlignment="1" applyProtection="1">
      <alignment vertical="center"/>
    </xf>
    <xf numFmtId="10" fontId="3" fillId="38" borderId="24" xfId="3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6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164" fontId="4" fillId="0" borderId="16" xfId="0" applyNumberFormat="1" applyFont="1" applyFill="1" applyBorder="1" applyAlignment="1" applyProtection="1">
      <alignment vertical="center"/>
    </xf>
    <xf numFmtId="10" fontId="4" fillId="0" borderId="15" xfId="3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6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164" fontId="3" fillId="0" borderId="15" xfId="0" applyNumberFormat="1" applyFont="1" applyFill="1" applyBorder="1" applyAlignment="1" applyProtection="1">
      <alignment vertical="center"/>
    </xf>
    <xf numFmtId="164" fontId="3" fillId="0" borderId="16" xfId="0" applyNumberFormat="1" applyFont="1" applyFill="1" applyBorder="1" applyAlignment="1" applyProtection="1">
      <alignment vertical="center"/>
    </xf>
    <xf numFmtId="10" fontId="3" fillId="0" borderId="15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16" xfId="0" applyFill="1" applyBorder="1" applyAlignment="1" applyProtection="1">
      <alignment vertical="top"/>
    </xf>
    <xf numFmtId="164" fontId="9" fillId="0" borderId="15" xfId="0" applyNumberFormat="1" applyFont="1" applyFill="1" applyBorder="1" applyAlignment="1" applyProtection="1">
      <alignment vertical="center"/>
    </xf>
    <xf numFmtId="164" fontId="9" fillId="0" borderId="16" xfId="0" applyNumberFormat="1" applyFont="1" applyFill="1" applyBorder="1" applyAlignment="1" applyProtection="1">
      <alignment vertical="center"/>
    </xf>
    <xf numFmtId="10" fontId="9" fillId="0" borderId="15" xfId="3" applyNumberFormat="1" applyFont="1" applyFill="1" applyBorder="1" applyAlignment="1" applyProtection="1">
      <alignment vertical="center"/>
    </xf>
    <xf numFmtId="0" fontId="0" fillId="39" borderId="17" xfId="0" applyFill="1" applyBorder="1" applyAlignment="1" applyProtection="1">
      <alignment vertical="top"/>
    </xf>
    <xf numFmtId="0" fontId="0" fillId="39" borderId="25" xfId="0" applyFill="1" applyBorder="1" applyAlignment="1" applyProtection="1">
      <alignment vertical="center"/>
    </xf>
    <xf numFmtId="0" fontId="4" fillId="39" borderId="17" xfId="0" applyFont="1" applyFill="1" applyBorder="1" applyAlignment="1" applyProtection="1">
      <alignment vertical="center"/>
    </xf>
    <xf numFmtId="164" fontId="4" fillId="39" borderId="18" xfId="0" applyNumberFormat="1" applyFont="1" applyFill="1" applyBorder="1" applyAlignment="1" applyProtection="1">
      <alignment vertical="center"/>
    </xf>
    <xf numFmtId="164" fontId="4" fillId="39" borderId="17" xfId="0" applyNumberFormat="1" applyFont="1" applyFill="1" applyBorder="1" applyAlignment="1" applyProtection="1">
      <alignment vertical="center"/>
    </xf>
    <xf numFmtId="10" fontId="4" fillId="39" borderId="18" xfId="3" applyNumberFormat="1" applyFont="1" applyFill="1" applyBorder="1" applyAlignment="1" applyProtection="1">
      <alignment vertical="center"/>
    </xf>
    <xf numFmtId="0" fontId="3" fillId="38" borderId="20" xfId="4" applyFont="1" applyFill="1" applyBorder="1" applyProtection="1"/>
    <xf numFmtId="0" fontId="3" fillId="38" borderId="21" xfId="4" applyFill="1" applyBorder="1" applyAlignment="1" applyProtection="1">
      <alignment vertical="top"/>
    </xf>
    <xf numFmtId="0" fontId="3" fillId="38" borderId="21" xfId="4" applyFill="1" applyBorder="1" applyAlignment="1" applyProtection="1">
      <alignment vertical="top"/>
      <protection locked="0"/>
    </xf>
    <xf numFmtId="0" fontId="3" fillId="38" borderId="23" xfId="4" applyFill="1" applyBorder="1" applyAlignment="1" applyProtection="1">
      <alignment vertical="center"/>
      <protection locked="0"/>
    </xf>
    <xf numFmtId="0" fontId="3" fillId="38" borderId="21" xfId="4" applyFill="1" applyBorder="1" applyAlignment="1" applyProtection="1">
      <alignment vertical="center"/>
    </xf>
    <xf numFmtId="164" fontId="3" fillId="38" borderId="22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3" fillId="0" borderId="16" xfId="4" applyNumberFormat="1" applyFill="1" applyBorder="1" applyAlignment="1" applyProtection="1">
      <alignment vertical="top"/>
    </xf>
    <xf numFmtId="9" fontId="3" fillId="0" borderId="0" xfId="4" applyNumberFormat="1" applyFill="1" applyBorder="1" applyAlignment="1" applyProtection="1">
      <alignment vertical="center"/>
    </xf>
    <xf numFmtId="164" fontId="4" fillId="0" borderId="19" xfId="4" applyNumberFormat="1" applyFont="1" applyFill="1" applyBorder="1" applyAlignment="1" applyProtection="1">
      <alignment vertical="center"/>
    </xf>
    <xf numFmtId="0" fontId="4" fillId="0" borderId="16" xfId="4" applyFont="1" applyFill="1" applyBorder="1" applyAlignment="1" applyProtection="1">
      <alignment vertical="center"/>
    </xf>
    <xf numFmtId="164" fontId="4" fillId="0" borderId="16" xfId="4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horizontal="left" vertical="top" indent="1"/>
    </xf>
    <xf numFmtId="9" fontId="3" fillId="0" borderId="16" xfId="4" applyNumberFormat="1" applyFill="1" applyBorder="1" applyAlignment="1" applyProtection="1">
      <alignment vertical="top"/>
      <protection locked="0"/>
    </xf>
    <xf numFmtId="0" fontId="3" fillId="0" borderId="16" xfId="4" applyFont="1" applyFill="1" applyBorder="1" applyAlignment="1" applyProtection="1">
      <alignment vertical="center"/>
    </xf>
    <xf numFmtId="164" fontId="3" fillId="0" borderId="15" xfId="4" applyNumberFormat="1" applyFont="1" applyFill="1" applyBorder="1" applyAlignment="1" applyProtection="1">
      <alignment vertical="center"/>
    </xf>
    <xf numFmtId="164" fontId="3" fillId="0" borderId="16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3" fillId="0" borderId="16" xfId="4" applyFill="1" applyBorder="1" applyAlignment="1" applyProtection="1">
      <alignment vertical="top"/>
    </xf>
    <xf numFmtId="0" fontId="3" fillId="0" borderId="0" xfId="4" applyFill="1" applyBorder="1" applyAlignment="1" applyProtection="1">
      <alignment vertical="center"/>
    </xf>
    <xf numFmtId="164" fontId="9" fillId="0" borderId="15" xfId="4" applyNumberFormat="1" applyFont="1" applyFill="1" applyBorder="1" applyAlignment="1" applyProtection="1">
      <alignment vertical="center"/>
    </xf>
    <xf numFmtId="164" fontId="9" fillId="0" borderId="16" xfId="4" applyNumberFormat="1" applyFont="1" applyFill="1" applyBorder="1" applyAlignment="1" applyProtection="1">
      <alignment vertical="center"/>
    </xf>
    <xf numFmtId="0" fontId="3" fillId="39" borderId="16" xfId="4" applyFill="1" applyBorder="1" applyAlignment="1" applyProtection="1">
      <alignment vertical="top"/>
    </xf>
    <xf numFmtId="0" fontId="3" fillId="39" borderId="0" xfId="4" applyFill="1" applyBorder="1" applyAlignment="1" applyProtection="1">
      <alignment vertical="center"/>
    </xf>
    <xf numFmtId="0" fontId="4" fillId="39" borderId="16" xfId="4" applyFont="1" applyFill="1" applyBorder="1" applyAlignment="1" applyProtection="1">
      <alignment vertical="center"/>
    </xf>
    <xf numFmtId="164" fontId="4" fillId="39" borderId="15" xfId="4" applyNumberFormat="1" applyFont="1" applyFill="1" applyBorder="1" applyAlignment="1" applyProtection="1">
      <alignment vertical="center"/>
    </xf>
    <xf numFmtId="164" fontId="4" fillId="39" borderId="16" xfId="4" applyNumberFormat="1" applyFont="1" applyFill="1" applyBorder="1" applyAlignment="1" applyProtection="1">
      <alignment vertical="center"/>
    </xf>
    <xf numFmtId="10" fontId="4" fillId="39" borderId="15" xfId="3" applyNumberFormat="1" applyFont="1" applyFill="1" applyBorder="1" applyAlignment="1" applyProtection="1">
      <alignment vertical="center"/>
    </xf>
    <xf numFmtId="167" fontId="3" fillId="38" borderId="23" xfId="2" applyNumberFormat="1" applyFill="1" applyBorder="1" applyAlignment="1" applyProtection="1">
      <alignment vertical="top"/>
      <protection locked="0"/>
    </xf>
    <xf numFmtId="0" fontId="3" fillId="38" borderId="21" xfId="4" applyFill="1" applyBorder="1" applyAlignment="1" applyProtection="1">
      <alignment vertical="center"/>
      <protection locked="0"/>
    </xf>
    <xf numFmtId="0" fontId="3" fillId="38" borderId="23" xfId="4" applyFill="1" applyBorder="1" applyAlignment="1" applyProtection="1">
      <alignment vertical="center"/>
    </xf>
    <xf numFmtId="164" fontId="3" fillId="38" borderId="22" xfId="2" applyFill="1" applyBorder="1" applyAlignment="1" applyProtection="1">
      <alignment vertical="center"/>
    </xf>
    <xf numFmtId="164" fontId="3" fillId="38" borderId="23" xfId="4" applyNumberFormat="1" applyFill="1" applyBorder="1" applyAlignment="1" applyProtection="1">
      <alignment vertical="center"/>
    </xf>
    <xf numFmtId="10" fontId="3" fillId="33" borderId="10" xfId="3" applyNumberFormat="1" applyFill="1" applyBorder="1" applyProtection="1">
      <protection locked="0"/>
    </xf>
    <xf numFmtId="0" fontId="10" fillId="0" borderId="0" xfId="0" applyFont="1" applyProtection="1"/>
    <xf numFmtId="0" fontId="0" fillId="37" borderId="0" xfId="0" applyFill="1" applyProtection="1"/>
    <xf numFmtId="0" fontId="0" fillId="33" borderId="0" xfId="0" applyFill="1" applyAlignment="1" applyProtection="1">
      <alignment horizontal="left" vertical="top"/>
      <protection locked="0"/>
    </xf>
    <xf numFmtId="174" fontId="0" fillId="33" borderId="16" xfId="2" applyNumberFormat="1" applyFont="1" applyFill="1" applyBorder="1" applyAlignment="1" applyProtection="1">
      <alignment vertical="top"/>
      <protection locked="0"/>
    </xf>
    <xf numFmtId="0" fontId="0" fillId="33" borderId="0" xfId="0" applyFont="1" applyFill="1" applyAlignment="1" applyProtection="1">
      <alignment vertical="top" wrapText="1"/>
    </xf>
    <xf numFmtId="0" fontId="4" fillId="39" borderId="0" xfId="4" applyFont="1" applyFill="1" applyAlignment="1" applyProtection="1">
      <alignment horizontal="left" vertical="top" wrapText="1"/>
    </xf>
    <xf numFmtId="0" fontId="6" fillId="3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0" fillId="0" borderId="18" xfId="0" applyBorder="1" applyAlignment="1">
      <alignment wrapText="1"/>
    </xf>
    <xf numFmtId="0" fontId="4" fillId="39" borderId="0" xfId="0" applyFont="1" applyFill="1" applyAlignment="1" applyProtection="1">
      <alignment horizontal="left" vertical="top" wrapText="1"/>
    </xf>
    <xf numFmtId="0" fontId="0" fillId="0" borderId="0" xfId="0" applyAlignment="1" applyProtection="1"/>
    <xf numFmtId="0" fontId="4" fillId="0" borderId="14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164" fontId="0" fillId="0" borderId="0" xfId="0" applyNumberFormat="1" applyAlignment="1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6" fillId="33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8" fillId="0" borderId="0" xfId="0" applyFont="1" applyProtection="1"/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66" fontId="0" fillId="37" borderId="16" xfId="1" applyNumberFormat="1" applyFont="1" applyFill="1" applyBorder="1" applyAlignment="1" applyProtection="1">
      <alignment vertical="center"/>
    </xf>
    <xf numFmtId="166" fontId="0" fillId="0" borderId="16" xfId="1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0" fontId="3" fillId="0" borderId="0" xfId="0" applyFont="1" applyFill="1" applyProtection="1"/>
    <xf numFmtId="165" fontId="4" fillId="33" borderId="10" xfId="1" applyNumberFormat="1" applyFont="1" applyFill="1" applyBorder="1" applyProtection="1">
      <protection locked="0"/>
    </xf>
    <xf numFmtId="166" fontId="0" fillId="0" borderId="16" xfId="0" applyNumberFormat="1" applyFill="1" applyBorder="1" applyAlignment="1" applyProtection="1">
      <alignment vertical="center"/>
    </xf>
    <xf numFmtId="0" fontId="0" fillId="0" borderId="29" xfId="0" applyBorder="1"/>
    <xf numFmtId="166" fontId="0" fillId="0" borderId="0" xfId="1" applyNumberFormat="1" applyFont="1" applyBorder="1"/>
    <xf numFmtId="0" fontId="0" fillId="0" borderId="0" xfId="0" applyBorder="1"/>
    <xf numFmtId="0" fontId="0" fillId="0" borderId="31" xfId="0" applyBorder="1"/>
    <xf numFmtId="166" fontId="0" fillId="0" borderId="32" xfId="1" applyNumberFormat="1" applyFont="1" applyBorder="1"/>
    <xf numFmtId="10" fontId="0" fillId="0" borderId="0" xfId="3" applyNumberFormat="1" applyFont="1" applyBorder="1"/>
    <xf numFmtId="0" fontId="29" fillId="42" borderId="26" xfId="0" applyFont="1" applyFill="1" applyBorder="1" applyAlignment="1">
      <alignment wrapText="1"/>
    </xf>
    <xf numFmtId="166" fontId="29" fillId="42" borderId="27" xfId="1" applyNumberFormat="1" applyFont="1" applyFill="1" applyBorder="1" applyAlignment="1">
      <alignment wrapText="1"/>
    </xf>
    <xf numFmtId="0" fontId="29" fillId="42" borderId="27" xfId="0" applyFont="1" applyFill="1" applyBorder="1" applyAlignment="1">
      <alignment horizontal="center" vertical="center" wrapText="1"/>
    </xf>
    <xf numFmtId="0" fontId="29" fillId="42" borderId="28" xfId="0" applyFont="1" applyFill="1" applyBorder="1" applyAlignment="1">
      <alignment horizontal="center" vertical="center" wrapText="1"/>
    </xf>
    <xf numFmtId="7" fontId="0" fillId="0" borderId="0" xfId="2" applyNumberFormat="1" applyFont="1" applyBorder="1"/>
    <xf numFmtId="7" fontId="0" fillId="0" borderId="30" xfId="2" applyNumberFormat="1" applyFont="1" applyBorder="1"/>
    <xf numFmtId="7" fontId="0" fillId="0" borderId="32" xfId="2" applyNumberFormat="1" applyFont="1" applyBorder="1"/>
    <xf numFmtId="7" fontId="0" fillId="0" borderId="33" xfId="2" applyNumberFormat="1" applyFont="1" applyBorder="1"/>
    <xf numFmtId="39" fontId="0" fillId="0" borderId="29" xfId="0" applyNumberFormat="1" applyBorder="1"/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0" fillId="37" borderId="16" xfId="0" applyNumberForma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5" fontId="3" fillId="33" borderId="10" xfId="3" applyNumberFormat="1" applyFill="1" applyBorder="1" applyProtection="1">
      <protection locked="0"/>
    </xf>
    <xf numFmtId="43" fontId="0" fillId="0" borderId="0" xfId="0" applyNumberFormat="1" applyProtection="1"/>
    <xf numFmtId="0" fontId="0" fillId="0" borderId="26" xfId="0" applyBorder="1"/>
    <xf numFmtId="166" fontId="0" fillId="0" borderId="27" xfId="1" applyNumberFormat="1" applyFont="1" applyBorder="1"/>
    <xf numFmtId="7" fontId="0" fillId="0" borderId="27" xfId="2" applyNumberFormat="1" applyFont="1" applyFill="1" applyBorder="1"/>
    <xf numFmtId="7" fontId="0" fillId="0" borderId="28" xfId="2" applyNumberFormat="1" applyFont="1" applyFill="1" applyBorder="1"/>
    <xf numFmtId="39" fontId="0" fillId="0" borderId="26" xfId="0" applyNumberFormat="1" applyBorder="1"/>
    <xf numFmtId="37" fontId="0" fillId="0" borderId="27" xfId="1" applyNumberFormat="1" applyFont="1" applyBorder="1"/>
    <xf numFmtId="37" fontId="0" fillId="0" borderId="0" xfId="1" applyNumberFormat="1" applyFont="1" applyBorder="1"/>
    <xf numFmtId="37" fontId="0" fillId="0" borderId="32" xfId="1" applyNumberFormat="1" applyFont="1" applyBorder="1"/>
    <xf numFmtId="176" fontId="29" fillId="42" borderId="27" xfId="0" applyNumberFormat="1" applyFont="1" applyFill="1" applyBorder="1" applyAlignment="1">
      <alignment horizontal="center" vertical="center" wrapText="1"/>
    </xf>
    <xf numFmtId="177" fontId="0" fillId="0" borderId="27" xfId="3" applyNumberFormat="1" applyFont="1" applyBorder="1"/>
    <xf numFmtId="177" fontId="0" fillId="0" borderId="28" xfId="3" applyNumberFormat="1" applyFont="1" applyBorder="1"/>
    <xf numFmtId="177" fontId="0" fillId="0" borderId="0" xfId="3" applyNumberFormat="1" applyFont="1" applyBorder="1"/>
    <xf numFmtId="177" fontId="0" fillId="0" borderId="30" xfId="3" applyNumberFormat="1" applyFont="1" applyBorder="1"/>
    <xf numFmtId="177" fontId="0" fillId="0" borderId="32" xfId="3" applyNumberFormat="1" applyFont="1" applyBorder="1"/>
    <xf numFmtId="177" fontId="0" fillId="0" borderId="33" xfId="3" applyNumberFormat="1" applyFont="1" applyBorder="1"/>
    <xf numFmtId="0" fontId="4" fillId="43" borderId="29" xfId="0" applyFont="1" applyFill="1" applyBorder="1"/>
    <xf numFmtId="166" fontId="4" fillId="43" borderId="0" xfId="1" applyNumberFormat="1" applyFont="1" applyFill="1" applyBorder="1"/>
    <xf numFmtId="177" fontId="4" fillId="43" borderId="0" xfId="3" applyNumberFormat="1" applyFont="1" applyFill="1" applyBorder="1"/>
    <xf numFmtId="177" fontId="4" fillId="43" borderId="30" xfId="3" applyNumberFormat="1" applyFont="1" applyFill="1" applyBorder="1"/>
    <xf numFmtId="7" fontId="4" fillId="43" borderId="0" xfId="2" applyNumberFormat="1" applyFont="1" applyFill="1" applyBorder="1"/>
    <xf numFmtId="7" fontId="4" fillId="43" borderId="30" xfId="2" applyNumberFormat="1" applyFont="1" applyFill="1" applyBorder="1"/>
    <xf numFmtId="7" fontId="0" fillId="0" borderId="27" xfId="2" applyNumberFormat="1" applyFont="1" applyBorder="1"/>
    <xf numFmtId="7" fontId="0" fillId="0" borderId="28" xfId="2" applyNumberFormat="1" applyFont="1" applyBorder="1"/>
    <xf numFmtId="2" fontId="0" fillId="37" borderId="16" xfId="0" applyNumberFormat="1" applyFill="1" applyBorder="1" applyAlignment="1" applyProtection="1">
      <alignment vertical="center"/>
    </xf>
    <xf numFmtId="177" fontId="0" fillId="0" borderId="0" xfId="3" applyNumberFormat="1" applyFont="1"/>
    <xf numFmtId="10" fontId="3" fillId="0" borderId="15" xfId="3" applyNumberFormat="1" applyBorder="1" applyAlignment="1" applyProtection="1">
      <alignment horizontal="right" vertical="center"/>
    </xf>
    <xf numFmtId="164" fontId="3" fillId="0" borderId="15" xfId="2" applyNumberFormat="1" applyBorder="1" applyAlignment="1" applyProtection="1">
      <alignment vertical="center"/>
    </xf>
    <xf numFmtId="164" fontId="0" fillId="33" borderId="16" xfId="2" applyNumberFormat="1" applyFont="1" applyFill="1" applyBorder="1" applyAlignment="1" applyProtection="1">
      <alignment vertical="top"/>
      <protection locked="0"/>
    </xf>
    <xf numFmtId="164" fontId="0" fillId="36" borderId="16" xfId="2" applyNumberFormat="1" applyFont="1" applyFill="1" applyBorder="1" applyAlignment="1" applyProtection="1">
      <alignment vertical="top"/>
      <protection locked="0"/>
    </xf>
    <xf numFmtId="0" fontId="0" fillId="0" borderId="32" xfId="0" applyBorder="1"/>
    <xf numFmtId="0" fontId="4" fillId="0" borderId="0" xfId="0" applyFont="1" applyBorder="1" applyAlignment="1" applyProtection="1">
      <alignment vertical="center"/>
    </xf>
    <xf numFmtId="0" fontId="0" fillId="42" borderId="26" xfId="0" applyFill="1" applyBorder="1"/>
    <xf numFmtId="0" fontId="0" fillId="42" borderId="27" xfId="0" applyFill="1" applyBorder="1"/>
    <xf numFmtId="0" fontId="4" fillId="43" borderId="31" xfId="0" applyFont="1" applyFill="1" applyBorder="1"/>
    <xf numFmtId="166" fontId="4" fillId="43" borderId="32" xfId="1" applyNumberFormat="1" applyFont="1" applyFill="1" applyBorder="1"/>
    <xf numFmtId="7" fontId="4" fillId="43" borderId="32" xfId="2" applyNumberFormat="1" applyFont="1" applyFill="1" applyBorder="1"/>
    <xf numFmtId="177" fontId="4" fillId="43" borderId="32" xfId="3" applyNumberFormat="1" applyFont="1" applyFill="1" applyBorder="1"/>
    <xf numFmtId="39" fontId="4" fillId="43" borderId="29" xfId="0" applyNumberFormat="1" applyFont="1" applyFill="1" applyBorder="1"/>
    <xf numFmtId="37" fontId="4" fillId="43" borderId="0" xfId="1" applyNumberFormat="1" applyFont="1" applyFill="1" applyBorder="1"/>
    <xf numFmtId="37" fontId="4" fillId="43" borderId="32" xfId="1" applyNumberFormat="1" applyFont="1" applyFill="1" applyBorder="1"/>
    <xf numFmtId="7" fontId="4" fillId="43" borderId="33" xfId="2" applyNumberFormat="1" applyFont="1" applyFill="1" applyBorder="1"/>
    <xf numFmtId="177" fontId="4" fillId="43" borderId="33" xfId="3" applyNumberFormat="1" applyFont="1" applyFill="1" applyBorder="1"/>
    <xf numFmtId="39" fontId="4" fillId="43" borderId="31" xfId="0" applyNumberFormat="1" applyFont="1" applyFill="1" applyBorder="1"/>
    <xf numFmtId="39" fontId="0" fillId="0" borderId="31" xfId="0" applyNumberFormat="1" applyBorder="1"/>
    <xf numFmtId="39" fontId="4" fillId="43" borderId="26" xfId="0" applyNumberFormat="1" applyFont="1" applyFill="1" applyBorder="1"/>
    <xf numFmtId="37" fontId="4" fillId="43" borderId="27" xfId="1" applyNumberFormat="1" applyFont="1" applyFill="1" applyBorder="1"/>
    <xf numFmtId="7" fontId="4" fillId="43" borderId="28" xfId="2" applyNumberFormat="1" applyFont="1" applyFill="1" applyBorder="1"/>
    <xf numFmtId="0" fontId="4" fillId="43" borderId="26" xfId="0" applyFont="1" applyFill="1" applyBorder="1"/>
    <xf numFmtId="166" fontId="4" fillId="43" borderId="27" xfId="1" applyNumberFormat="1" applyFont="1" applyFill="1" applyBorder="1"/>
    <xf numFmtId="177" fontId="4" fillId="43" borderId="28" xfId="3" applyNumberFormat="1" applyFont="1" applyFill="1" applyBorder="1"/>
    <xf numFmtId="0" fontId="30" fillId="42" borderId="34" xfId="0" applyFont="1" applyFill="1" applyBorder="1" applyAlignment="1">
      <alignment horizontal="center" vertical="center" textRotation="90" wrapText="1"/>
    </xf>
    <xf numFmtId="0" fontId="30" fillId="42" borderId="35" xfId="0" applyFont="1" applyFill="1" applyBorder="1" applyAlignment="1">
      <alignment horizontal="center" vertical="center" textRotation="90" wrapText="1"/>
    </xf>
    <xf numFmtId="0" fontId="30" fillId="42" borderId="29" xfId="0" applyFont="1" applyFill="1" applyBorder="1" applyAlignment="1">
      <alignment horizontal="center" vertical="center" textRotation="90" wrapText="1"/>
    </xf>
    <xf numFmtId="0" fontId="30" fillId="42" borderId="36" xfId="0" applyFont="1" applyFill="1" applyBorder="1" applyAlignment="1">
      <alignment horizontal="center" vertical="center" textRotation="90" wrapText="1"/>
    </xf>
    <xf numFmtId="0" fontId="30" fillId="42" borderId="30" xfId="0" applyFont="1" applyFill="1" applyBorder="1" applyAlignment="1">
      <alignment horizontal="center" vertical="center" textRotation="90" wrapText="1"/>
    </xf>
    <xf numFmtId="0" fontId="30" fillId="42" borderId="0" xfId="0" applyFont="1" applyFill="1" applyBorder="1" applyAlignment="1">
      <alignment horizontal="center" vertical="center" textRotation="90" wrapText="1"/>
    </xf>
    <xf numFmtId="0" fontId="30" fillId="42" borderId="33" xfId="0" applyFont="1" applyFill="1" applyBorder="1" applyAlignment="1">
      <alignment horizontal="center" vertical="center" textRotation="90" wrapText="1"/>
    </xf>
    <xf numFmtId="0" fontId="4" fillId="39" borderId="32" xfId="0" applyFont="1" applyFill="1" applyBorder="1" applyAlignment="1" applyProtection="1">
      <alignment horizontal="left" vertical="top" wrapText="1"/>
    </xf>
    <xf numFmtId="0" fontId="4" fillId="39" borderId="32" xfId="4" applyFont="1" applyFill="1" applyBorder="1" applyAlignment="1" applyProtection="1">
      <alignment horizontal="left" vertical="top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center" vertical="center" wrapText="1"/>
    </xf>
  </cellXfs>
  <cellStyles count="83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2" xfId="41"/>
    <cellStyle name="Comma 3" xfId="42"/>
    <cellStyle name="Comma 4" xfId="43"/>
    <cellStyle name="Comma 4 6" xfId="81"/>
    <cellStyle name="Comma0" xfId="44"/>
    <cellStyle name="Currency" xfId="2" builtinId="4"/>
    <cellStyle name="Currency 2" xfId="45"/>
    <cellStyle name="Currency0" xfId="46"/>
    <cellStyle name="Date" xfId="47"/>
    <cellStyle name="Explanatory Text 2" xfId="48"/>
    <cellStyle name="Fixed" xfId="49"/>
    <cellStyle name="Good 2" xfId="50"/>
    <cellStyle name="Grey" xfId="51"/>
    <cellStyle name="Heading 1 2" xfId="52"/>
    <cellStyle name="Heading 2 2" xfId="53"/>
    <cellStyle name="Heading 3 2" xfId="54"/>
    <cellStyle name="Heading 4 2" xfId="55"/>
    <cellStyle name="Input [yellow]" xfId="56"/>
    <cellStyle name="Input 2" xfId="57"/>
    <cellStyle name="Linked Cell 2" xfId="58"/>
    <cellStyle name="M" xfId="59"/>
    <cellStyle name="M.00" xfId="60"/>
    <cellStyle name="M_9. Rev2Cost_GDPIPI" xfId="61"/>
    <cellStyle name="M_lists" xfId="62"/>
    <cellStyle name="M_lists_4. Current Monthly Fixed Charge" xfId="63"/>
    <cellStyle name="M_Sheet4" xfId="64"/>
    <cellStyle name="Neutral 2" xfId="65"/>
    <cellStyle name="Normal" xfId="0" builtinId="0"/>
    <cellStyle name="Normal - Style1" xfId="66"/>
    <cellStyle name="Normal 13 6" xfId="80"/>
    <cellStyle name="Normal 2" xfId="4"/>
    <cellStyle name="Normal 3" xfId="67"/>
    <cellStyle name="Normal 4" xfId="68"/>
    <cellStyle name="Normal 5" xfId="69"/>
    <cellStyle name="Normal 6" xfId="70"/>
    <cellStyle name="Note 2" xfId="71"/>
    <cellStyle name="Output 2" xfId="72"/>
    <cellStyle name="Percent" xfId="3" builtinId="5"/>
    <cellStyle name="Percent [2]" xfId="73"/>
    <cellStyle name="Percent 13 6" xfId="82"/>
    <cellStyle name="Percent 2" xfId="74"/>
    <cellStyle name="Percent 3" xfId="75"/>
    <cellStyle name="Percent 4" xfId="76"/>
    <cellStyle name="Title 2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checked="Checked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checked="Checked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lockText="1" noThreeD="1"/>
</file>

<file path=xl/ctrlProps/ctrlProp131.xml><?xml version="1.0" encoding="utf-8"?>
<formControlPr xmlns="http://schemas.microsoft.com/office/spreadsheetml/2009/9/main" objectType="Radio" firstButton="1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Radio" firstButton="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checked="Checked" lockText="1" noThreeD="1"/>
</file>

<file path=xl/ctrlProps/ctrlProp171.xml><?xml version="1.0" encoding="utf-8"?>
<formControlPr xmlns="http://schemas.microsoft.com/office/spreadsheetml/2009/9/main" objectType="Radio" firstButton="1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checked="Checked" lockText="1" noThreeD="1"/>
</file>

<file path=xl/ctrlProps/ctrlProp176.xml><?xml version="1.0" encoding="utf-8"?>
<formControlPr xmlns="http://schemas.microsoft.com/office/spreadsheetml/2009/9/main" objectType="Radio" firstButton="1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firstButton="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checked="Checked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firstButton="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28575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28575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28575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28575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11</xdr:col>
          <xdr:colOff>95250</xdr:colOff>
          <xdr:row>7</xdr:row>
          <xdr:rowOff>28575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66675</xdr:colOff>
          <xdr:row>7</xdr:row>
          <xdr:rowOff>28575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66675</xdr:colOff>
          <xdr:row>7</xdr:row>
          <xdr:rowOff>28575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66675</xdr:colOff>
          <xdr:row>7</xdr:row>
          <xdr:rowOff>28575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66675</xdr:colOff>
          <xdr:row>7</xdr:row>
          <xdr:rowOff>28575</xdr:rowOff>
        </xdr:to>
        <xdr:sp macro="" textlink="">
          <xdr:nvSpPr>
            <xdr:cNvPr id="56324" name="Option Button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66675</xdr:colOff>
          <xdr:row>7</xdr:row>
          <xdr:rowOff>28575</xdr:rowOff>
        </xdr:to>
        <xdr:sp macro="" textlink="">
          <xdr:nvSpPr>
            <xdr:cNvPr id="56325" name="Option Button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7348" name="Option Button 4" hidden="1">
              <a:extLst>
                <a:ext uri="{63B3BB69-23CF-44E3-9099-C40C66FF867C}">
                  <a14:compatExt spid="_x0000_s57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9396" name="Option Button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60" name="Option Button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14361" name="Option Button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17" name="Option Butto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20" name="Option Butto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0426" name="Option Button 10" hidden="1">
              <a:extLst>
                <a:ext uri="{63B3BB69-23CF-44E3-9099-C40C66FF867C}">
                  <a14:compatExt spid="_x0000_s60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1450" name="Option Button 10" hidden="1">
              <a:extLst>
                <a:ext uri="{63B3BB69-23CF-44E3-9099-C40C66FF867C}">
                  <a14:compatExt spid="_x0000_s6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68" name="Option Button 4" hidden="1">
              <a:extLst>
                <a:ext uri="{63B3BB69-23CF-44E3-9099-C40C66FF867C}">
                  <a14:compatExt spid="_x0000_s6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2474" name="Option Button 10" hidden="1">
              <a:extLst>
                <a:ext uri="{63B3BB69-23CF-44E3-9099-C40C66FF867C}">
                  <a14:compatExt spid="_x0000_s6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2" name="Option Butto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742950</xdr:colOff>
          <xdr:row>7</xdr:row>
          <xdr:rowOff>28575</xdr:rowOff>
        </xdr:to>
        <xdr:sp macro="" textlink="">
          <xdr:nvSpPr>
            <xdr:cNvPr id="63498" name="Option Button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10593" name="Option Button 1" hidden="1">
              <a:extLst>
                <a:ext uri="{63B3BB69-23CF-44E3-9099-C40C66FF867C}">
                  <a14:compatExt spid="_x0000_s110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10594" name="Option Button 2" hidden="1">
              <a:extLst>
                <a:ext uri="{63B3BB69-23CF-44E3-9099-C40C66FF867C}">
                  <a14:compatExt spid="_x0000_s110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10595" name="Option Button 3" hidden="1">
              <a:extLst>
                <a:ext uri="{63B3BB69-23CF-44E3-9099-C40C66FF867C}">
                  <a14:compatExt spid="_x0000_s110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10596" name="Option Button 4" hidden="1">
              <a:extLst>
                <a:ext uri="{63B3BB69-23CF-44E3-9099-C40C66FF867C}">
                  <a14:compatExt spid="_x0000_s110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10597" name="Option Button 5" hidden="1">
              <a:extLst>
                <a:ext uri="{63B3BB69-23CF-44E3-9099-C40C66FF867C}">
                  <a14:compatExt spid="_x0000_s110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0177" name="Option 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0178" name="Option Butto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0179" name="Option Button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0180" name="Option Button 4" hidden="1">
              <a:extLst>
                <a:ext uri="{63B3BB69-23CF-44E3-9099-C40C66FF867C}">
                  <a14:compatExt spid="_x0000_s50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0181" name="Option Button 5" hidden="1">
              <a:extLst>
                <a:ext uri="{63B3BB69-23CF-44E3-9099-C40C66FF867C}">
                  <a14:compatExt spid="_x0000_s50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4516" name="Option Button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5537" name="Option Button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5540" name="Option Button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6564" name="Option Button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38916" name="Option 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38917" name="Option Button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7588" name="Option Button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68612" name="Option Button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9636" name="Option Button 4" hidden="1">
              <a:extLst>
                <a:ext uri="{63B3BB69-23CF-44E3-9099-C40C66FF867C}">
                  <a14:compatExt spid="_x0000_s69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69637" name="Option Button 5" hidden="1">
              <a:extLst>
                <a:ext uri="{63B3BB69-23CF-44E3-9099-C40C66FF867C}">
                  <a14:compatExt spid="_x0000_s69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78849" name="Option Button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78850" name="Option Button 2" hidden="1">
              <a:extLst>
                <a:ext uri="{63B3BB69-23CF-44E3-9099-C40C66FF867C}">
                  <a14:compatExt spid="_x0000_s78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78851" name="Option Button 3" hidden="1">
              <a:extLst>
                <a:ext uri="{63B3BB69-23CF-44E3-9099-C40C66FF867C}">
                  <a14:compatExt spid="_x0000_s78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78852" name="Option Button 4" hidden="1">
              <a:extLst>
                <a:ext uri="{63B3BB69-23CF-44E3-9099-C40C66FF867C}">
                  <a14:compatExt spid="_x0000_s78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78853" name="Option Button 5" hidden="1">
              <a:extLst>
                <a:ext uri="{63B3BB69-23CF-44E3-9099-C40C66FF867C}">
                  <a14:compatExt spid="_x0000_s78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70659" name="Option Button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70660" name="Option Button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10</xdr:col>
          <xdr:colOff>676275</xdr:colOff>
          <xdr:row>7</xdr:row>
          <xdr:rowOff>28575</xdr:rowOff>
        </xdr:to>
        <xdr:sp macro="" textlink="">
          <xdr:nvSpPr>
            <xdr:cNvPr id="70661" name="Option Button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1201" name="Option 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1202" name="Option Butto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1203" name="Option Button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1204" name="Option Button 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1205" name="Option Button 5" hidden="1">
              <a:extLst>
                <a:ext uri="{63B3BB69-23CF-44E3-9099-C40C66FF867C}">
                  <a14:compatExt spid="_x0000_s5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28575</xdr:rowOff>
        </xdr:to>
        <xdr:sp macro="" textlink="">
          <xdr:nvSpPr>
            <xdr:cNvPr id="52225" name="Option 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28575</xdr:rowOff>
        </xdr:to>
        <xdr:sp macro="" textlink="">
          <xdr:nvSpPr>
            <xdr:cNvPr id="52226" name="Option Butto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28575</xdr:rowOff>
        </xdr:to>
        <xdr:sp macro="" textlink="">
          <xdr:nvSpPr>
            <xdr:cNvPr id="52227" name="Option Button 3" hidden="1">
              <a:extLst>
                <a:ext uri="{63B3BB69-23CF-44E3-9099-C40C66FF867C}">
                  <a14:compatExt spid="_x0000_s5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28575</xdr:rowOff>
        </xdr:to>
        <xdr:sp macro="" textlink="">
          <xdr:nvSpPr>
            <xdr:cNvPr id="52228" name="Option Button 4" hidden="1">
              <a:extLst>
                <a:ext uri="{63B3BB69-23CF-44E3-9099-C40C66FF867C}">
                  <a14:compatExt spid="_x0000_s5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76200</xdr:colOff>
          <xdr:row>7</xdr:row>
          <xdr:rowOff>28575</xdr:rowOff>
        </xdr:to>
        <xdr:sp macro="" textlink="">
          <xdr:nvSpPr>
            <xdr:cNvPr id="52229" name="Option Button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3249" name="Option 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3250" name="Option Butto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3251" name="Option Button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3252" name="Option Button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3253" name="Option Button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4273" name="Option 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4274" name="Option Butto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4275" name="Option Button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4276" name="Option Button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4277" name="Option Button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5297" name="Option 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5298" name="Option Butto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200025</xdr:colOff>
          <xdr:row>7</xdr:row>
          <xdr:rowOff>28575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171450</xdr:rowOff>
        </xdr:from>
        <xdr:to>
          <xdr:col>12</xdr:col>
          <xdr:colOff>104775</xdr:colOff>
          <xdr:row>7</xdr:row>
          <xdr:rowOff>28575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Exhibit%20Review%20%20Regulatory%20Department/Exhibit%208%20-%20Rate%20Design/Supporting%20Spreadsheets%20or%20Files/Filing_Requirements_Chapter2_Appendices_for%202015%20to%202019%20-%20Horiz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8.xml"/><Relationship Id="rId5" Type="http://schemas.openxmlformats.org/officeDocument/2006/relationships/ctrlProp" Target="../ctrlProps/ctrlProp57.xml"/><Relationship Id="rId4" Type="http://schemas.openxmlformats.org/officeDocument/2006/relationships/ctrlProp" Target="../ctrlProps/ctrlProp56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ctrlProp" Target="../ctrlProps/ctrlProp77.xml"/><Relationship Id="rId10" Type="http://schemas.openxmlformats.org/officeDocument/2006/relationships/ctrlProp" Target="../ctrlProps/ctrlProp82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13" Type="http://schemas.openxmlformats.org/officeDocument/2006/relationships/ctrlProp" Target="../ctrlProps/ctrlProp95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89.xml"/><Relationship Id="rId12" Type="http://schemas.openxmlformats.org/officeDocument/2006/relationships/ctrlProp" Target="../ctrlProps/ctrlProp9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88.xml"/><Relationship Id="rId11" Type="http://schemas.openxmlformats.org/officeDocument/2006/relationships/ctrlProp" Target="../ctrlProps/ctrlProp93.xml"/><Relationship Id="rId5" Type="http://schemas.openxmlformats.org/officeDocument/2006/relationships/ctrlProp" Target="../ctrlProps/ctrlProp87.xml"/><Relationship Id="rId10" Type="http://schemas.openxmlformats.org/officeDocument/2006/relationships/ctrlProp" Target="../ctrlProps/ctrlProp92.xml"/><Relationship Id="rId4" Type="http://schemas.openxmlformats.org/officeDocument/2006/relationships/ctrlProp" Target="../ctrlProps/ctrlProp86.xml"/><Relationship Id="rId9" Type="http://schemas.openxmlformats.org/officeDocument/2006/relationships/ctrlProp" Target="../ctrlProps/ctrlProp91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13" Type="http://schemas.openxmlformats.org/officeDocument/2006/relationships/ctrlProp" Target="../ctrlProps/ctrlProp105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5" Type="http://schemas.openxmlformats.org/officeDocument/2006/relationships/ctrlProp" Target="../ctrlProps/ctrlProp97.xml"/><Relationship Id="rId10" Type="http://schemas.openxmlformats.org/officeDocument/2006/relationships/ctrlProp" Target="../ctrlProps/ctrlProp102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0" Type="http://schemas.openxmlformats.org/officeDocument/2006/relationships/ctrlProp" Target="../ctrlProps/ctrlProp112.xml"/><Relationship Id="rId4" Type="http://schemas.openxmlformats.org/officeDocument/2006/relationships/ctrlProp" Target="../ctrlProps/ctrlProp106.xml"/><Relationship Id="rId9" Type="http://schemas.openxmlformats.org/officeDocument/2006/relationships/ctrlProp" Target="../ctrlProps/ctrlProp111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18.xml"/><Relationship Id="rId5" Type="http://schemas.openxmlformats.org/officeDocument/2006/relationships/ctrlProp" Target="../ctrlProps/ctrlProp117.xml"/><Relationship Id="rId4" Type="http://schemas.openxmlformats.org/officeDocument/2006/relationships/ctrlProp" Target="../ctrlProps/ctrlProp116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23.xml"/><Relationship Id="rId5" Type="http://schemas.openxmlformats.org/officeDocument/2006/relationships/ctrlProp" Target="../ctrlProps/ctrlProp122.xml"/><Relationship Id="rId4" Type="http://schemas.openxmlformats.org/officeDocument/2006/relationships/ctrlProp" Target="../ctrlProps/ctrlProp121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28.xml"/><Relationship Id="rId5" Type="http://schemas.openxmlformats.org/officeDocument/2006/relationships/ctrlProp" Target="../ctrlProps/ctrlProp127.xml"/><Relationship Id="rId4" Type="http://schemas.openxmlformats.org/officeDocument/2006/relationships/ctrlProp" Target="../ctrlProps/ctrlProp126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22.vml"/><Relationship Id="rId7" Type="http://schemas.openxmlformats.org/officeDocument/2006/relationships/ctrlProp" Target="../ctrlProps/ctrlProp134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33.xml"/><Relationship Id="rId5" Type="http://schemas.openxmlformats.org/officeDocument/2006/relationships/ctrlProp" Target="../ctrlProps/ctrlProp132.xml"/><Relationship Id="rId4" Type="http://schemas.openxmlformats.org/officeDocument/2006/relationships/ctrlProp" Target="../ctrlProps/ctrlProp131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39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38.xml"/><Relationship Id="rId5" Type="http://schemas.openxmlformats.org/officeDocument/2006/relationships/ctrlProp" Target="../ctrlProps/ctrlProp137.xml"/><Relationship Id="rId4" Type="http://schemas.openxmlformats.org/officeDocument/2006/relationships/ctrlProp" Target="../ctrlProps/ctrlProp136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.xml"/><Relationship Id="rId3" Type="http://schemas.openxmlformats.org/officeDocument/2006/relationships/vmlDrawing" Target="../drawings/vmlDrawing25.vml"/><Relationship Id="rId7" Type="http://schemas.openxmlformats.org/officeDocument/2006/relationships/ctrlProp" Target="../ctrlProps/ctrlProp149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" Type="http://schemas.openxmlformats.org/officeDocument/2006/relationships/ctrlProp" Target="../ctrlProps/ctrlProp146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54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53.xml"/><Relationship Id="rId5" Type="http://schemas.openxmlformats.org/officeDocument/2006/relationships/ctrlProp" Target="../ctrlProps/ctrlProp152.xml"/><Relationship Id="rId4" Type="http://schemas.openxmlformats.org/officeDocument/2006/relationships/ctrlProp" Target="../ctrlProps/ctrlProp151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5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58.xml"/><Relationship Id="rId5" Type="http://schemas.openxmlformats.org/officeDocument/2006/relationships/ctrlProp" Target="../ctrlProps/ctrlProp157.xml"/><Relationship Id="rId4" Type="http://schemas.openxmlformats.org/officeDocument/2006/relationships/ctrlProp" Target="../ctrlProps/ctrlProp15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6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63.xml"/><Relationship Id="rId5" Type="http://schemas.openxmlformats.org/officeDocument/2006/relationships/ctrlProp" Target="../ctrlProps/ctrlProp162.xml"/><Relationship Id="rId4" Type="http://schemas.openxmlformats.org/officeDocument/2006/relationships/ctrlProp" Target="../ctrlProps/ctrlProp161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168.xml"/><Relationship Id="rId5" Type="http://schemas.openxmlformats.org/officeDocument/2006/relationships/ctrlProp" Target="../ctrlProps/ctrlProp167.xml"/><Relationship Id="rId4" Type="http://schemas.openxmlformats.org/officeDocument/2006/relationships/ctrlProp" Target="../ctrlProps/ctrlProp166.x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5.xml"/><Relationship Id="rId3" Type="http://schemas.openxmlformats.org/officeDocument/2006/relationships/vmlDrawing" Target="../drawings/vmlDrawing30.vml"/><Relationship Id="rId7" Type="http://schemas.openxmlformats.org/officeDocument/2006/relationships/ctrlProp" Target="../ctrlProps/ctrlProp174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173.xml"/><Relationship Id="rId5" Type="http://schemas.openxmlformats.org/officeDocument/2006/relationships/ctrlProp" Target="../ctrlProps/ctrlProp172.xml"/><Relationship Id="rId4" Type="http://schemas.openxmlformats.org/officeDocument/2006/relationships/ctrlProp" Target="../ctrlProps/ctrlProp171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3" Type="http://schemas.openxmlformats.org/officeDocument/2006/relationships/vmlDrawing" Target="../drawings/vmlDrawing31.vml"/><Relationship Id="rId7" Type="http://schemas.openxmlformats.org/officeDocument/2006/relationships/ctrlProp" Target="../ctrlProps/ctrlProp179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178.xml"/><Relationship Id="rId5" Type="http://schemas.openxmlformats.org/officeDocument/2006/relationships/ctrlProp" Target="../ctrlProps/ctrlProp177.xml"/><Relationship Id="rId4" Type="http://schemas.openxmlformats.org/officeDocument/2006/relationships/ctrlProp" Target="../ctrlProps/ctrlProp17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showGridLines="0" tabSelected="1" workbookViewId="0">
      <selection activeCell="I13" sqref="I13"/>
    </sheetView>
  </sheetViews>
  <sheetFormatPr defaultRowHeight="12.75" x14ac:dyDescent="0.2"/>
  <cols>
    <col min="3" max="3" width="19.7109375" bestFit="1" customWidth="1"/>
    <col min="4" max="4" width="5.5703125" bestFit="1" customWidth="1"/>
    <col min="5" max="5" width="12" bestFit="1" customWidth="1"/>
    <col min="6" max="6" width="12" hidden="1" customWidth="1"/>
    <col min="7" max="7" width="12.7109375" hidden="1" customWidth="1"/>
    <col min="8" max="8" width="12" hidden="1" customWidth="1"/>
  </cols>
  <sheetData>
    <row r="1" spans="2:8" ht="13.5" thickBot="1" x14ac:dyDescent="0.25"/>
    <row r="2" spans="2:8" ht="38.25" x14ac:dyDescent="0.2">
      <c r="B2" s="162"/>
      <c r="C2" s="166" t="s">
        <v>73</v>
      </c>
      <c r="D2" s="167" t="s">
        <v>74</v>
      </c>
      <c r="E2" s="169" t="s">
        <v>86</v>
      </c>
      <c r="F2" s="168" t="s">
        <v>86</v>
      </c>
      <c r="G2" s="168" t="s">
        <v>87</v>
      </c>
      <c r="H2" s="169" t="s">
        <v>88</v>
      </c>
    </row>
    <row r="3" spans="2:8" x14ac:dyDescent="0.2">
      <c r="C3" s="160" t="s">
        <v>76</v>
      </c>
      <c r="D3" s="162">
        <v>750</v>
      </c>
      <c r="E3" s="194">
        <f>+'Summary (1)'!E35</f>
        <v>-1.6502242152466397E-2</v>
      </c>
      <c r="F3" s="206" t="e">
        <f>#REF!</f>
        <v>#REF!</v>
      </c>
      <c r="G3" s="206" t="e">
        <f>#REF!</f>
        <v>#REF!</v>
      </c>
      <c r="H3" s="206" t="e">
        <f>#REF!</f>
        <v>#REF!</v>
      </c>
    </row>
    <row r="4" spans="2:8" ht="13.5" thickBot="1" x14ac:dyDescent="0.25">
      <c r="C4" s="160" t="s">
        <v>105</v>
      </c>
      <c r="D4" s="162">
        <v>2000</v>
      </c>
      <c r="E4" s="194">
        <f>+'Summary (1)'!E40</f>
        <v>6.5694600224323052E-3</v>
      </c>
      <c r="F4" s="206" t="e">
        <f>#REF!</f>
        <v>#REF!</v>
      </c>
      <c r="G4" s="206" t="e">
        <f>#REF!</f>
        <v>#REF!</v>
      </c>
      <c r="H4" s="206" t="e">
        <f>#REF!</f>
        <v>#REF!</v>
      </c>
    </row>
    <row r="5" spans="2:8" ht="38.25" x14ac:dyDescent="0.2">
      <c r="C5" s="166" t="s">
        <v>73</v>
      </c>
      <c r="D5" s="167" t="s">
        <v>74</v>
      </c>
      <c r="E5" s="169" t="s">
        <v>92</v>
      </c>
      <c r="F5" s="168" t="s">
        <v>92</v>
      </c>
      <c r="G5" s="190" t="s">
        <v>93</v>
      </c>
      <c r="H5" s="169" t="s">
        <v>94</v>
      </c>
    </row>
    <row r="6" spans="2:8" x14ac:dyDescent="0.2">
      <c r="C6" s="160" t="s">
        <v>76</v>
      </c>
      <c r="D6" s="162">
        <v>750</v>
      </c>
      <c r="E6" s="194">
        <f>+'Summary (1)'!M35</f>
        <v>-1.7497478549285638E-2</v>
      </c>
      <c r="F6" s="206" t="e">
        <f>#REF!</f>
        <v>#REF!</v>
      </c>
      <c r="G6" s="206" t="e">
        <f>#REF!</f>
        <v>#REF!</v>
      </c>
      <c r="H6" s="206" t="e">
        <f>#REF!</f>
        <v>#REF!</v>
      </c>
    </row>
    <row r="7" spans="2:8" ht="13.5" thickBot="1" x14ac:dyDescent="0.25">
      <c r="C7" s="163" t="s">
        <v>105</v>
      </c>
      <c r="D7" s="211">
        <v>2000</v>
      </c>
      <c r="E7" s="196">
        <f>+'Summary (1)'!M40</f>
        <v>-1.2187733430067415E-2</v>
      </c>
      <c r="F7" s="206" t="e">
        <f>#REF!</f>
        <v>#REF!</v>
      </c>
      <c r="G7" s="206" t="e">
        <f>#REF!</f>
        <v>#REF!</v>
      </c>
      <c r="H7" s="206" t="e">
        <f>#REF!</f>
        <v>#REF!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P79"/>
  <sheetViews>
    <sheetView showGridLines="0" topLeftCell="A37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8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9.140625" style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50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2000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18.8</v>
      </c>
      <c r="H12" s="18">
        <f t="shared" ref="H12:H27" si="0">$F12*G12</f>
        <v>18.8</v>
      </c>
      <c r="I12" s="19"/>
      <c r="J12" s="209">
        <v>21.34</v>
      </c>
      <c r="K12" s="18">
        <f t="shared" ref="K12:K27" si="1">$F12*J12</f>
        <v>21.34</v>
      </c>
      <c r="L12" s="19"/>
      <c r="M12" s="21">
        <f t="shared" ref="M12:M21" si="2">K12-H12</f>
        <v>2.5399999999999991</v>
      </c>
      <c r="N12" s="22">
        <f t="shared" ref="N12:N21" si="3">IF((H12)=0,"",(M12/H12))</f>
        <v>0.13510638297872335</v>
      </c>
      <c r="O12" s="212"/>
      <c r="P12" s="16">
        <v>21.34</v>
      </c>
      <c r="Q12" s="18">
        <f t="shared" ref="Q12:Q27" si="4">$F12*P12</f>
        <v>21.34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23.89</v>
      </c>
      <c r="W12" s="18">
        <f t="shared" ref="W12:W27" si="6">$F12*V12</f>
        <v>23.89</v>
      </c>
      <c r="X12" s="19"/>
      <c r="Y12" s="21">
        <f>W12-Q12</f>
        <v>2.5500000000000007</v>
      </c>
      <c r="Z12" s="22">
        <f t="shared" ref="Z12:Z34" si="7">IF((Q12)=0,"",(Y12/Q12))</f>
        <v>0.11949390815370201</v>
      </c>
      <c r="AA12" s="19"/>
      <c r="AB12" s="16">
        <v>27</v>
      </c>
      <c r="AC12" s="18">
        <f t="shared" ref="AC12:AC27" si="8">$F12*AB12</f>
        <v>27</v>
      </c>
      <c r="AD12" s="19"/>
      <c r="AE12" s="21">
        <f>AC12-W12</f>
        <v>3.1099999999999994</v>
      </c>
      <c r="AF12" s="22">
        <f t="shared" ref="AF12:AF34" si="9">IF((W12)=0,"",(AE12/W12))</f>
        <v>0.13017999162829633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0.79</v>
      </c>
      <c r="H13" s="18">
        <f t="shared" si="0"/>
        <v>0.79</v>
      </c>
      <c r="I13" s="19"/>
      <c r="J13" s="209">
        <v>0.79</v>
      </c>
      <c r="K13" s="18">
        <f t="shared" si="1"/>
        <v>0.79</v>
      </c>
      <c r="L13" s="19"/>
      <c r="M13" s="21">
        <f t="shared" si="2"/>
        <v>0</v>
      </c>
      <c r="N13" s="22">
        <f t="shared" si="3"/>
        <v>0</v>
      </c>
      <c r="O13" s="212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2000</v>
      </c>
      <c r="G19" s="16">
        <v>1.21E-2</v>
      </c>
      <c r="H19" s="18">
        <f t="shared" si="0"/>
        <v>24.2</v>
      </c>
      <c r="I19" s="19"/>
      <c r="J19" s="16">
        <v>8.0999999999999996E-3</v>
      </c>
      <c r="K19" s="18">
        <f t="shared" si="1"/>
        <v>16.2</v>
      </c>
      <c r="L19" s="19"/>
      <c r="M19" s="21">
        <f t="shared" si="2"/>
        <v>-8</v>
      </c>
      <c r="N19" s="22">
        <f t="shared" si="3"/>
        <v>-0.33057851239669422</v>
      </c>
      <c r="O19" s="212"/>
      <c r="P19" s="16">
        <v>8.0999999999999996E-3</v>
      </c>
      <c r="Q19" s="18">
        <f t="shared" si="4"/>
        <v>16.2</v>
      </c>
      <c r="R19" s="19"/>
      <c r="S19" s="21">
        <f t="shared" si="13"/>
        <v>0</v>
      </c>
      <c r="T19" s="22">
        <f t="shared" si="5"/>
        <v>0</v>
      </c>
      <c r="U19" s="19"/>
      <c r="V19" s="16">
        <v>4.1000000000000003E-3</v>
      </c>
      <c r="W19" s="18">
        <f t="shared" si="6"/>
        <v>8.2000000000000011</v>
      </c>
      <c r="X19" s="19"/>
      <c r="Y19" s="21">
        <f t="shared" si="14"/>
        <v>-7.9999999999999982</v>
      </c>
      <c r="Z19" s="22">
        <f t="shared" si="7"/>
        <v>-0.49382716049382708</v>
      </c>
      <c r="AA19" s="19"/>
      <c r="AB19" s="16">
        <v>0</v>
      </c>
      <c r="AC19" s="18">
        <f t="shared" si="8"/>
        <v>0</v>
      </c>
      <c r="AD19" s="19"/>
      <c r="AE19" s="21">
        <f t="shared" si="15"/>
        <v>-8.2000000000000011</v>
      </c>
      <c r="AF19" s="22">
        <f t="shared" si="9"/>
        <v>-1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2000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27" si="16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6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212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6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212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6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212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43.79</v>
      </c>
      <c r="I28" s="31"/>
      <c r="J28" s="28"/>
      <c r="K28" s="30">
        <f>SUM(K12:K27)</f>
        <v>38.33</v>
      </c>
      <c r="L28" s="31"/>
      <c r="M28" s="32">
        <f t="shared" si="17"/>
        <v>-5.4600000000000009</v>
      </c>
      <c r="N28" s="33">
        <f t="shared" si="18"/>
        <v>-0.12468600137017587</v>
      </c>
      <c r="O28" s="212"/>
      <c r="P28" s="28"/>
      <c r="Q28" s="30">
        <f>SUM(Q12:Q27)</f>
        <v>38.33</v>
      </c>
      <c r="R28" s="31"/>
      <c r="S28" s="32">
        <f t="shared" si="13"/>
        <v>0</v>
      </c>
      <c r="T28" s="33">
        <f t="shared" si="5"/>
        <v>0</v>
      </c>
      <c r="U28" s="31"/>
      <c r="V28" s="28"/>
      <c r="W28" s="30">
        <f>SUM(W12:W27)</f>
        <v>32.090000000000003</v>
      </c>
      <c r="X28" s="31"/>
      <c r="Y28" s="32">
        <f t="shared" si="14"/>
        <v>-6.2399999999999949</v>
      </c>
      <c r="Z28" s="33">
        <f t="shared" si="7"/>
        <v>-0.16279676493608128</v>
      </c>
      <c r="AA28" s="31"/>
      <c r="AB28" s="28"/>
      <c r="AC28" s="30">
        <f>SUM(AC12:AC27)</f>
        <v>27</v>
      </c>
      <c r="AD28" s="31"/>
      <c r="AE28" s="32">
        <f t="shared" si="15"/>
        <v>-5.0900000000000034</v>
      </c>
      <c r="AF28" s="33">
        <f t="shared" si="9"/>
        <v>-0.15861639139918987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2000</v>
      </c>
      <c r="G29" s="16">
        <v>3.3021965494891908E-4</v>
      </c>
      <c r="H29" s="18">
        <f t="shared" ref="H29:H35" si="19">$F29*G29</f>
        <v>0.66043930989783817</v>
      </c>
      <c r="I29" s="19"/>
      <c r="J29" s="16">
        <v>-2.5999999999999999E-3</v>
      </c>
      <c r="K29" s="18">
        <f t="shared" ref="K29:K35" si="20">$F29*J29</f>
        <v>-5.2</v>
      </c>
      <c r="L29" s="19"/>
      <c r="M29" s="21">
        <f t="shared" si="17"/>
        <v>-5.8604393098978385</v>
      </c>
      <c r="N29" s="22">
        <f t="shared" si="18"/>
        <v>-8.873547080055511</v>
      </c>
      <c r="O29" s="212"/>
      <c r="P29" s="16">
        <v>-2.5999999999999999E-3</v>
      </c>
      <c r="Q29" s="18">
        <f t="shared" ref="Q29:Q35" si="21">$F29*P29</f>
        <v>-5.2</v>
      </c>
      <c r="R29" s="19"/>
      <c r="S29" s="21">
        <f t="shared" si="13"/>
        <v>0</v>
      </c>
      <c r="T29" s="22">
        <f t="shared" si="5"/>
        <v>0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5.2</v>
      </c>
      <c r="Z29" s="22">
        <f t="shared" si="7"/>
        <v>-1</v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2000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ref="F31:F33" si="28">$G$7</f>
        <v>2000</v>
      </c>
      <c r="G31" s="16">
        <v>0</v>
      </c>
      <c r="H31" s="18">
        <f t="shared" si="19"/>
        <v>0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0</v>
      </c>
      <c r="N31" s="22" t="str">
        <f>IF((H31)=0,"",(M31/H31))</f>
        <v/>
      </c>
      <c r="O31" s="212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28"/>
        <v>2000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212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28"/>
        <v>2000</v>
      </c>
      <c r="G33" s="133">
        <v>6.0000002460806063E-5</v>
      </c>
      <c r="H33" s="18">
        <f t="shared" si="19"/>
        <v>0.12000000492161213</v>
      </c>
      <c r="I33" s="19"/>
      <c r="J33" s="133">
        <v>6.0000001057066139E-5</v>
      </c>
      <c r="K33" s="18">
        <f t="shared" si="20"/>
        <v>0.12000000211413228</v>
      </c>
      <c r="L33" s="19"/>
      <c r="M33" s="21">
        <f t="shared" si="29"/>
        <v>-2.8074798458233019E-9</v>
      </c>
      <c r="N33" s="22">
        <f>IF((H33)=0,"",(M33/H33))</f>
        <v>-2.33956644223243E-8</v>
      </c>
      <c r="O33" s="212"/>
      <c r="P33" s="133">
        <v>6.0000001057066139E-5</v>
      </c>
      <c r="Q33" s="18">
        <f t="shared" si="21"/>
        <v>0.12000000211413228</v>
      </c>
      <c r="R33" s="19"/>
      <c r="S33" s="21">
        <f t="shared" si="13"/>
        <v>0</v>
      </c>
      <c r="T33" s="22">
        <f t="shared" si="5"/>
        <v>0</v>
      </c>
      <c r="U33" s="19"/>
      <c r="V33" s="133">
        <v>6.000000141885779E-5</v>
      </c>
      <c r="W33" s="18">
        <f t="shared" si="22"/>
        <v>0.12000000283771559</v>
      </c>
      <c r="X33" s="19"/>
      <c r="Y33" s="21">
        <f t="shared" si="14"/>
        <v>7.2358330438504481E-10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0.11949615253093655</v>
      </c>
      <c r="AD33" s="19"/>
      <c r="AE33" s="21">
        <f t="shared" si="15"/>
        <v>-5.0385030677903286E-4</v>
      </c>
      <c r="AF33" s="22">
        <f t="shared" si="9"/>
        <v>-4.1987524572013966E-3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75.800000000000182</v>
      </c>
      <c r="G34" s="38">
        <f>0.64*G44+0.18*G45+0.18*G46</f>
        <v>0.11183999999999999</v>
      </c>
      <c r="H34" s="18">
        <f t="shared" si="19"/>
        <v>8.4774720000000201</v>
      </c>
      <c r="I34" s="19"/>
      <c r="J34" s="38">
        <f>0.64*J44+0.18*J45+0.18*J46</f>
        <v>0.11183999999999999</v>
      </c>
      <c r="K34" s="18">
        <f t="shared" si="20"/>
        <v>8.4774720000000201</v>
      </c>
      <c r="L34" s="19"/>
      <c r="M34" s="21">
        <f t="shared" si="29"/>
        <v>0</v>
      </c>
      <c r="N34" s="22">
        <f>IF((H34)=0,"",(M34/H34))</f>
        <v>0</v>
      </c>
      <c r="O34" s="212"/>
      <c r="P34" s="38">
        <f>0.64*P44+0.18*P45+0.18*P46</f>
        <v>0.10214000000000001</v>
      </c>
      <c r="Q34" s="18">
        <f t="shared" si="21"/>
        <v>7.742212000000019</v>
      </c>
      <c r="R34" s="19"/>
      <c r="S34" s="21">
        <f t="shared" si="13"/>
        <v>-0.73526000000000113</v>
      </c>
      <c r="T34" s="22">
        <f t="shared" si="5"/>
        <v>-8.673104434907003E-2</v>
      </c>
      <c r="U34" s="19"/>
      <c r="V34" s="38">
        <f>0.64*V44+0.18*V45+0.18*V46</f>
        <v>0.10214000000000001</v>
      </c>
      <c r="W34" s="18">
        <f t="shared" si="22"/>
        <v>7.742212000000019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7.742212000000019</v>
      </c>
      <c r="AD34" s="19"/>
      <c r="AE34" s="21">
        <f t="shared" si="15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0.79</v>
      </c>
      <c r="H35" s="18">
        <f t="shared" si="19"/>
        <v>0.79</v>
      </c>
      <c r="I35" s="19"/>
      <c r="J35" s="210">
        <v>0.79</v>
      </c>
      <c r="K35" s="18">
        <f t="shared" si="20"/>
        <v>0.79</v>
      </c>
      <c r="L35" s="19"/>
      <c r="M35" s="21">
        <f t="shared" si="29"/>
        <v>0</v>
      </c>
      <c r="N35" s="22"/>
      <c r="O35" s="212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53.837911314819465</v>
      </c>
      <c r="I36" s="31"/>
      <c r="J36" s="41"/>
      <c r="K36" s="43">
        <f>SUM(K29:K35)+K28</f>
        <v>42.517472002114147</v>
      </c>
      <c r="L36" s="31"/>
      <c r="M36" s="32">
        <f t="shared" si="29"/>
        <v>-11.320439312705318</v>
      </c>
      <c r="N36" s="33">
        <f t="shared" ref="N36:N46" si="30">IF((H36)=0,"",(M36/H36))</f>
        <v>-0.210268917129949</v>
      </c>
      <c r="O36" s="212"/>
      <c r="P36" s="41"/>
      <c r="Q36" s="43">
        <f>SUM(Q29:Q35)+Q28</f>
        <v>41.78221200211415</v>
      </c>
      <c r="R36" s="31"/>
      <c r="S36" s="32">
        <f t="shared" si="13"/>
        <v>-0.73525999999999669</v>
      </c>
      <c r="T36" s="33">
        <f t="shared" ref="T36:T46" si="31">IF((K36)=0,"",(S36/K36))</f>
        <v>-1.7293125987439623E-2</v>
      </c>
      <c r="U36" s="31"/>
      <c r="V36" s="41"/>
      <c r="W36" s="43">
        <f>SUM(W29:W35)+W28</f>
        <v>40.742212002837739</v>
      </c>
      <c r="X36" s="31"/>
      <c r="Y36" s="32">
        <f t="shared" si="14"/>
        <v>-1.0399999992764108</v>
      </c>
      <c r="Z36" s="33">
        <f t="shared" ref="Z36:Z46" si="32">IF((Q36)=0,"",(Y36/Q36))</f>
        <v>-2.4890975116965745E-2</v>
      </c>
      <c r="AA36" s="31"/>
      <c r="AB36" s="41"/>
      <c r="AC36" s="43">
        <f>SUM(AC29:AC35)+AC28</f>
        <v>34.861708152530952</v>
      </c>
      <c r="AD36" s="31"/>
      <c r="AE36" s="32">
        <f t="shared" si="15"/>
        <v>-5.8805038503067877</v>
      </c>
      <c r="AF36" s="33">
        <f t="shared" ref="AF36:AF46" si="33">IF((W36)=0,"",(AE36/W36))</f>
        <v>-0.14433442764220078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2075.8000000000002</v>
      </c>
      <c r="G37" s="20">
        <v>7.7725149591303024E-3</v>
      </c>
      <c r="H37" s="18">
        <f>$F37*G37</f>
        <v>16.134186552162681</v>
      </c>
      <c r="I37" s="19"/>
      <c r="J37" s="20">
        <v>7.4000000000000003E-3</v>
      </c>
      <c r="K37" s="18">
        <f>$F37*J37</f>
        <v>15.360920000000002</v>
      </c>
      <c r="L37" s="19"/>
      <c r="M37" s="21">
        <f t="shared" si="29"/>
        <v>-0.77326655216267959</v>
      </c>
      <c r="N37" s="22">
        <f t="shared" si="30"/>
        <v>-4.7927210315975195E-2</v>
      </c>
      <c r="O37" s="212"/>
      <c r="P37" s="20">
        <v>7.4000000000000003E-3</v>
      </c>
      <c r="Q37" s="18">
        <f>$F37*P37</f>
        <v>15.360920000000002</v>
      </c>
      <c r="R37" s="19"/>
      <c r="S37" s="21">
        <f t="shared" si="13"/>
        <v>0</v>
      </c>
      <c r="T37" s="22">
        <f t="shared" si="31"/>
        <v>0</v>
      </c>
      <c r="U37" s="19"/>
      <c r="V37" s="20">
        <v>7.4000000000000003E-3</v>
      </c>
      <c r="W37" s="18">
        <f>$F37*V37</f>
        <v>15.360920000000002</v>
      </c>
      <c r="X37" s="19"/>
      <c r="Y37" s="21">
        <f t="shared" si="14"/>
        <v>0</v>
      </c>
      <c r="Z37" s="22">
        <f t="shared" si="32"/>
        <v>0</v>
      </c>
      <c r="AA37" s="19"/>
      <c r="AB37" s="20">
        <v>7.4000000000000003E-3</v>
      </c>
      <c r="AC37" s="18">
        <f>$F37*AB37</f>
        <v>15.360920000000002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2075.8000000000002</v>
      </c>
      <c r="G38" s="20">
        <v>5.8885548323693356E-3</v>
      </c>
      <c r="H38" s="18">
        <f>$F38*G38</f>
        <v>12.223462121032268</v>
      </c>
      <c r="I38" s="19"/>
      <c r="J38" s="20">
        <v>5.8999999999999999E-3</v>
      </c>
      <c r="K38" s="18">
        <f>$F38*J38</f>
        <v>12.24722</v>
      </c>
      <c r="L38" s="19"/>
      <c r="M38" s="21">
        <f t="shared" si="29"/>
        <v>2.3757878967732182E-2</v>
      </c>
      <c r="N38" s="22">
        <f t="shared" si="30"/>
        <v>1.9436292870620713E-3</v>
      </c>
      <c r="O38" s="212"/>
      <c r="P38" s="20">
        <v>5.8999999999999999E-3</v>
      </c>
      <c r="Q38" s="18">
        <f>$F38*P38</f>
        <v>12.24722</v>
      </c>
      <c r="R38" s="19"/>
      <c r="S38" s="21">
        <f t="shared" si="13"/>
        <v>0</v>
      </c>
      <c r="T38" s="22">
        <f t="shared" si="31"/>
        <v>0</v>
      </c>
      <c r="U38" s="19"/>
      <c r="V38" s="20">
        <v>5.8999999999999999E-3</v>
      </c>
      <c r="W38" s="18">
        <f>$F38*V38</f>
        <v>12.24722</v>
      </c>
      <c r="X38" s="19"/>
      <c r="Y38" s="21">
        <f t="shared" si="14"/>
        <v>0</v>
      </c>
      <c r="Z38" s="22">
        <f t="shared" si="32"/>
        <v>0</v>
      </c>
      <c r="AA38" s="19"/>
      <c r="AB38" s="20">
        <v>5.8999999999999999E-3</v>
      </c>
      <c r="AC38" s="18">
        <f>$F38*AB38</f>
        <v>12.24722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82.195559988014423</v>
      </c>
      <c r="I39" s="48"/>
      <c r="J39" s="47"/>
      <c r="K39" s="43">
        <f>SUM(K36:K38)</f>
        <v>70.125612002114153</v>
      </c>
      <c r="L39" s="48"/>
      <c r="M39" s="32">
        <f t="shared" si="29"/>
        <v>-12.069947985900271</v>
      </c>
      <c r="N39" s="33">
        <f t="shared" si="30"/>
        <v>-0.14684428194978275</v>
      </c>
      <c r="O39" s="212"/>
      <c r="P39" s="47"/>
      <c r="Q39" s="43">
        <f>SUM(Q36:Q38)</f>
        <v>69.390352002114156</v>
      </c>
      <c r="R39" s="48"/>
      <c r="S39" s="32">
        <f t="shared" si="13"/>
        <v>-0.73525999999999669</v>
      </c>
      <c r="T39" s="33">
        <f t="shared" si="31"/>
        <v>-1.0484899582449705E-2</v>
      </c>
      <c r="U39" s="48"/>
      <c r="V39" s="47"/>
      <c r="W39" s="43">
        <f>SUM(W36:W38)</f>
        <v>68.350352002837738</v>
      </c>
      <c r="X39" s="48"/>
      <c r="Y39" s="32">
        <f t="shared" si="14"/>
        <v>-1.039999999276418</v>
      </c>
      <c r="Z39" s="33">
        <f t="shared" si="32"/>
        <v>-1.4987674356295696E-2</v>
      </c>
      <c r="AA39" s="48"/>
      <c r="AB39" s="47"/>
      <c r="AC39" s="43">
        <f>SUM(AC36:AC38)</f>
        <v>62.46984815253095</v>
      </c>
      <c r="AD39" s="48"/>
      <c r="AE39" s="32">
        <f t="shared" si="15"/>
        <v>-5.8805038503067877</v>
      </c>
      <c r="AF39" s="33">
        <f t="shared" si="33"/>
        <v>-8.6034726639924897E-2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2075.8000000000002</v>
      </c>
      <c r="G40" s="50">
        <v>4.7000000000000002E-3</v>
      </c>
      <c r="H40" s="152">
        <f t="shared" ref="H40:H48" si="34">$F40*G40</f>
        <v>9.756260000000001</v>
      </c>
      <c r="I40" s="19"/>
      <c r="J40" s="50">
        <v>4.7000000000000002E-3</v>
      </c>
      <c r="K40" s="152">
        <f t="shared" ref="K40:K48" si="35">$F40*J40</f>
        <v>9.756260000000001</v>
      </c>
      <c r="L40" s="19"/>
      <c r="M40" s="21">
        <f t="shared" si="29"/>
        <v>0</v>
      </c>
      <c r="N40" s="153">
        <f t="shared" si="30"/>
        <v>0</v>
      </c>
      <c r="O40" s="212"/>
      <c r="P40" s="50">
        <v>4.7000000000000002E-3</v>
      </c>
      <c r="Q40" s="152">
        <f t="shared" ref="Q40:Q48" si="36">$F40*P40</f>
        <v>9.756260000000001</v>
      </c>
      <c r="R40" s="19"/>
      <c r="S40" s="21">
        <f t="shared" si="13"/>
        <v>0</v>
      </c>
      <c r="T40" s="153">
        <f t="shared" si="31"/>
        <v>0</v>
      </c>
      <c r="U40" s="19"/>
      <c r="V40" s="50">
        <v>4.7000000000000002E-3</v>
      </c>
      <c r="W40" s="152">
        <f t="shared" ref="W40:W48" si="37">$F40*V40</f>
        <v>9.756260000000001</v>
      </c>
      <c r="X40" s="19"/>
      <c r="Y40" s="21">
        <f t="shared" si="14"/>
        <v>0</v>
      </c>
      <c r="Z40" s="153">
        <f t="shared" si="32"/>
        <v>0</v>
      </c>
      <c r="AA40" s="19"/>
      <c r="AB40" s="50">
        <v>4.7000000000000002E-3</v>
      </c>
      <c r="AC40" s="152">
        <f t="shared" ref="AC40:AC48" si="38">$F40*AB40</f>
        <v>9.756260000000001</v>
      </c>
      <c r="AD40" s="19"/>
      <c r="AE40" s="21">
        <f t="shared" si="15"/>
        <v>0</v>
      </c>
      <c r="AF40" s="153">
        <f t="shared" si="33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2075.8000000000002</v>
      </c>
      <c r="G41" s="50">
        <v>1.2999999999999999E-3</v>
      </c>
      <c r="H41" s="152">
        <f t="shared" si="34"/>
        <v>2.6985399999999999</v>
      </c>
      <c r="I41" s="19"/>
      <c r="J41" s="50">
        <v>2.0999999999999999E-3</v>
      </c>
      <c r="K41" s="152">
        <f t="shared" si="35"/>
        <v>4.3591800000000003</v>
      </c>
      <c r="L41" s="19"/>
      <c r="M41" s="21">
        <f t="shared" si="29"/>
        <v>1.6606400000000003</v>
      </c>
      <c r="N41" s="153">
        <f t="shared" si="30"/>
        <v>0.61538461538461553</v>
      </c>
      <c r="O41" s="212"/>
      <c r="P41" s="50">
        <v>2.0999999999999999E-3</v>
      </c>
      <c r="Q41" s="152">
        <f t="shared" si="36"/>
        <v>4.3591800000000003</v>
      </c>
      <c r="R41" s="19"/>
      <c r="S41" s="21">
        <f t="shared" si="13"/>
        <v>0</v>
      </c>
      <c r="T41" s="153">
        <f t="shared" si="31"/>
        <v>0</v>
      </c>
      <c r="U41" s="19"/>
      <c r="V41" s="50">
        <v>2.0999999999999999E-3</v>
      </c>
      <c r="W41" s="152">
        <f t="shared" si="37"/>
        <v>4.3591800000000003</v>
      </c>
      <c r="X41" s="19"/>
      <c r="Y41" s="21">
        <f t="shared" si="14"/>
        <v>0</v>
      </c>
      <c r="Z41" s="153">
        <f t="shared" si="32"/>
        <v>0</v>
      </c>
      <c r="AA41" s="19"/>
      <c r="AB41" s="50">
        <v>2.0999999999999999E-3</v>
      </c>
      <c r="AC41" s="152">
        <f t="shared" si="38"/>
        <v>4.3591800000000003</v>
      </c>
      <c r="AD41" s="19"/>
      <c r="AE41" s="21">
        <f t="shared" si="15"/>
        <v>0</v>
      </c>
      <c r="AF41" s="153">
        <f t="shared" si="33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4"/>
        <v>0.25</v>
      </c>
      <c r="I42" s="19"/>
      <c r="J42" s="50">
        <v>0.25</v>
      </c>
      <c r="K42" s="152">
        <f t="shared" si="35"/>
        <v>0.25</v>
      </c>
      <c r="L42" s="19"/>
      <c r="M42" s="21">
        <f t="shared" si="29"/>
        <v>0</v>
      </c>
      <c r="N42" s="153">
        <f t="shared" si="30"/>
        <v>0</v>
      </c>
      <c r="O42" s="212"/>
      <c r="P42" s="50">
        <v>0.25</v>
      </c>
      <c r="Q42" s="152">
        <f t="shared" si="36"/>
        <v>0.25</v>
      </c>
      <c r="R42" s="19"/>
      <c r="S42" s="21">
        <f t="shared" si="13"/>
        <v>0</v>
      </c>
      <c r="T42" s="153">
        <f t="shared" si="31"/>
        <v>0</v>
      </c>
      <c r="U42" s="19"/>
      <c r="V42" s="50">
        <v>0.25</v>
      </c>
      <c r="W42" s="152">
        <f t="shared" si="37"/>
        <v>0.25</v>
      </c>
      <c r="X42" s="19"/>
      <c r="Y42" s="21">
        <f t="shared" si="14"/>
        <v>0</v>
      </c>
      <c r="Z42" s="153">
        <f t="shared" si="32"/>
        <v>0</v>
      </c>
      <c r="AA42" s="19"/>
      <c r="AB42" s="50">
        <v>0.25</v>
      </c>
      <c r="AC42" s="152">
        <f t="shared" si="38"/>
        <v>0.25</v>
      </c>
      <c r="AD42" s="19"/>
      <c r="AE42" s="21">
        <f t="shared" si="15"/>
        <v>0</v>
      </c>
      <c r="AF42" s="153">
        <f t="shared" si="33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2000</v>
      </c>
      <c r="G43" s="50">
        <v>0</v>
      </c>
      <c r="H43" s="152">
        <f t="shared" si="34"/>
        <v>0</v>
      </c>
      <c r="I43" s="19"/>
      <c r="J43" s="50">
        <v>0</v>
      </c>
      <c r="K43" s="152">
        <f t="shared" si="35"/>
        <v>0</v>
      </c>
      <c r="L43" s="19"/>
      <c r="M43" s="21">
        <f t="shared" si="29"/>
        <v>0</v>
      </c>
      <c r="N43" s="153" t="str">
        <f t="shared" si="30"/>
        <v/>
      </c>
      <c r="O43" s="212"/>
      <c r="P43" s="50"/>
      <c r="Q43" s="152">
        <f t="shared" si="36"/>
        <v>0</v>
      </c>
      <c r="R43" s="19"/>
      <c r="S43" s="21">
        <f t="shared" si="13"/>
        <v>0</v>
      </c>
      <c r="T43" s="153" t="str">
        <f t="shared" si="31"/>
        <v/>
      </c>
      <c r="U43" s="19"/>
      <c r="V43" s="50"/>
      <c r="W43" s="152">
        <f t="shared" si="37"/>
        <v>0</v>
      </c>
      <c r="X43" s="19"/>
      <c r="Y43" s="21">
        <f t="shared" si="14"/>
        <v>0</v>
      </c>
      <c r="Z43" s="153" t="str">
        <f t="shared" si="32"/>
        <v/>
      </c>
      <c r="AA43" s="19"/>
      <c r="AB43" s="50"/>
      <c r="AC43" s="152">
        <f t="shared" si="38"/>
        <v>0</v>
      </c>
      <c r="AD43" s="19"/>
      <c r="AE43" s="21">
        <f t="shared" si="15"/>
        <v>0</v>
      </c>
      <c r="AF43" s="153" t="str">
        <f t="shared" si="33"/>
        <v/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1280</v>
      </c>
      <c r="G44" s="54">
        <v>8.6999999999999994E-2</v>
      </c>
      <c r="H44" s="152">
        <f t="shared" si="34"/>
        <v>111.35999999999999</v>
      </c>
      <c r="I44" s="19"/>
      <c r="J44" s="54">
        <f>+G44</f>
        <v>8.6999999999999994E-2</v>
      </c>
      <c r="K44" s="152">
        <f t="shared" si="35"/>
        <v>111.35999999999999</v>
      </c>
      <c r="L44" s="19"/>
      <c r="M44" s="21">
        <f t="shared" si="29"/>
        <v>0</v>
      </c>
      <c r="N44" s="153">
        <f t="shared" si="30"/>
        <v>0</v>
      </c>
      <c r="O44" s="212"/>
      <c r="P44" s="54">
        <v>0.08</v>
      </c>
      <c r="Q44" s="152">
        <f t="shared" si="36"/>
        <v>102.4</v>
      </c>
      <c r="R44" s="19"/>
      <c r="S44" s="21">
        <f t="shared" si="13"/>
        <v>-8.9599999999999795</v>
      </c>
      <c r="T44" s="153">
        <f t="shared" si="31"/>
        <v>-8.0459770114942361E-2</v>
      </c>
      <c r="U44" s="19"/>
      <c r="V44" s="54">
        <v>0.08</v>
      </c>
      <c r="W44" s="152">
        <f t="shared" si="37"/>
        <v>102.4</v>
      </c>
      <c r="X44" s="19"/>
      <c r="Y44" s="21">
        <f t="shared" si="14"/>
        <v>0</v>
      </c>
      <c r="Z44" s="153">
        <f t="shared" si="32"/>
        <v>0</v>
      </c>
      <c r="AA44" s="19"/>
      <c r="AB44" s="54">
        <v>0.08</v>
      </c>
      <c r="AC44" s="152">
        <f t="shared" si="38"/>
        <v>102.4</v>
      </c>
      <c r="AD44" s="19"/>
      <c r="AE44" s="21">
        <f t="shared" si="15"/>
        <v>0</v>
      </c>
      <c r="AF44" s="153">
        <f t="shared" si="33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360</v>
      </c>
      <c r="G45" s="54">
        <v>0.13200000000000001</v>
      </c>
      <c r="H45" s="152">
        <f t="shared" si="34"/>
        <v>47.52</v>
      </c>
      <c r="I45" s="19"/>
      <c r="J45" s="54">
        <f>+G45</f>
        <v>0.13200000000000001</v>
      </c>
      <c r="K45" s="152">
        <f t="shared" si="35"/>
        <v>47.52</v>
      </c>
      <c r="L45" s="19"/>
      <c r="M45" s="21">
        <f t="shared" si="29"/>
        <v>0</v>
      </c>
      <c r="N45" s="153">
        <f t="shared" si="30"/>
        <v>0</v>
      </c>
      <c r="O45" s="212"/>
      <c r="P45" s="54">
        <v>0.122</v>
      </c>
      <c r="Q45" s="152">
        <f t="shared" si="36"/>
        <v>43.92</v>
      </c>
      <c r="R45" s="19"/>
      <c r="S45" s="21">
        <f t="shared" si="13"/>
        <v>-3.6000000000000014</v>
      </c>
      <c r="T45" s="153">
        <f t="shared" si="31"/>
        <v>-7.5757575757575787E-2</v>
      </c>
      <c r="U45" s="19"/>
      <c r="V45" s="54">
        <v>0.122</v>
      </c>
      <c r="W45" s="152">
        <f t="shared" si="37"/>
        <v>43.92</v>
      </c>
      <c r="X45" s="19"/>
      <c r="Y45" s="21">
        <f t="shared" si="14"/>
        <v>0</v>
      </c>
      <c r="Z45" s="153">
        <f t="shared" si="32"/>
        <v>0</v>
      </c>
      <c r="AA45" s="19"/>
      <c r="AB45" s="54">
        <v>0.122</v>
      </c>
      <c r="AC45" s="152">
        <f t="shared" si="38"/>
        <v>43.92</v>
      </c>
      <c r="AD45" s="19"/>
      <c r="AE45" s="21">
        <f t="shared" si="15"/>
        <v>0</v>
      </c>
      <c r="AF45" s="153">
        <f t="shared" si="33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360</v>
      </c>
      <c r="G46" s="54">
        <v>0.18</v>
      </c>
      <c r="H46" s="152">
        <f t="shared" si="34"/>
        <v>64.8</v>
      </c>
      <c r="I46" s="19"/>
      <c r="J46" s="54">
        <f>+G46</f>
        <v>0.18</v>
      </c>
      <c r="K46" s="152">
        <f t="shared" si="35"/>
        <v>64.8</v>
      </c>
      <c r="L46" s="19"/>
      <c r="M46" s="21">
        <f t="shared" si="29"/>
        <v>0</v>
      </c>
      <c r="N46" s="153">
        <f t="shared" si="30"/>
        <v>0</v>
      </c>
      <c r="O46" s="212"/>
      <c r="P46" s="54">
        <v>0.161</v>
      </c>
      <c r="Q46" s="152">
        <f t="shared" si="36"/>
        <v>57.96</v>
      </c>
      <c r="R46" s="19"/>
      <c r="S46" s="21">
        <f t="shared" si="13"/>
        <v>-6.8399999999999963</v>
      </c>
      <c r="T46" s="153">
        <f t="shared" si="31"/>
        <v>-0.1055555555555555</v>
      </c>
      <c r="U46" s="19"/>
      <c r="V46" s="54">
        <v>0.161</v>
      </c>
      <c r="W46" s="152">
        <f t="shared" si="37"/>
        <v>57.96</v>
      </c>
      <c r="X46" s="19"/>
      <c r="Y46" s="21">
        <f t="shared" si="14"/>
        <v>0</v>
      </c>
      <c r="Z46" s="153">
        <f t="shared" si="32"/>
        <v>0</v>
      </c>
      <c r="AA46" s="19"/>
      <c r="AB46" s="54">
        <v>0.161</v>
      </c>
      <c r="AC46" s="152">
        <f t="shared" si="38"/>
        <v>57.96</v>
      </c>
      <c r="AD46" s="19"/>
      <c r="AE46" s="21">
        <f t="shared" si="15"/>
        <v>0</v>
      </c>
      <c r="AF46" s="153">
        <f t="shared" si="33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0.10299999999999999</v>
      </c>
      <c r="H47" s="152">
        <f t="shared" si="34"/>
        <v>61.8</v>
      </c>
      <c r="I47" s="59"/>
      <c r="J47" s="54">
        <f>+G47</f>
        <v>0.10299999999999999</v>
      </c>
      <c r="K47" s="152">
        <f t="shared" si="35"/>
        <v>61.8</v>
      </c>
      <c r="L47" s="59"/>
      <c r="M47" s="60">
        <f t="shared" si="29"/>
        <v>0</v>
      </c>
      <c r="N47" s="153">
        <f>IF((H47)=FALSE,"",(M47/H47))</f>
        <v>0</v>
      </c>
      <c r="O47" s="212"/>
      <c r="P47" s="54">
        <v>9.4E-2</v>
      </c>
      <c r="Q47" s="152">
        <f t="shared" si="36"/>
        <v>56.4</v>
      </c>
      <c r="R47" s="59"/>
      <c r="S47" s="60">
        <f t="shared" si="13"/>
        <v>-5.3999999999999986</v>
      </c>
      <c r="T47" s="153">
        <f>IF((K47)=FALSE,"",(S47/K47))</f>
        <v>-8.7378640776699004E-2</v>
      </c>
      <c r="U47" s="59"/>
      <c r="V47" s="54">
        <v>9.4E-2</v>
      </c>
      <c r="W47" s="152">
        <f t="shared" si="37"/>
        <v>56.4</v>
      </c>
      <c r="X47" s="59"/>
      <c r="Y47" s="60">
        <f t="shared" si="14"/>
        <v>0</v>
      </c>
      <c r="Z47" s="153">
        <f>IF((Q47)=FALSE,"",(Y47/Q47))</f>
        <v>0</v>
      </c>
      <c r="AA47" s="59"/>
      <c r="AB47" s="54">
        <v>9.4E-2</v>
      </c>
      <c r="AC47" s="152">
        <f t="shared" si="38"/>
        <v>56.4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1400</v>
      </c>
      <c r="G48" s="54">
        <v>0.121</v>
      </c>
      <c r="H48" s="152">
        <f t="shared" si="34"/>
        <v>169.4</v>
      </c>
      <c r="I48" s="59"/>
      <c r="J48" s="54">
        <f>+G48</f>
        <v>0.121</v>
      </c>
      <c r="K48" s="152">
        <f t="shared" si="35"/>
        <v>169.4</v>
      </c>
      <c r="L48" s="59"/>
      <c r="M48" s="60">
        <f t="shared" si="29"/>
        <v>0</v>
      </c>
      <c r="N48" s="207">
        <f>IFERROR(IF((H48)=FALSE,"",(M48/H48)),"n/a")</f>
        <v>0</v>
      </c>
      <c r="O48" s="212"/>
      <c r="P48" s="54">
        <v>0.11</v>
      </c>
      <c r="Q48" s="152">
        <f t="shared" si="36"/>
        <v>154</v>
      </c>
      <c r="R48" s="59"/>
      <c r="S48" s="60">
        <f t="shared" si="13"/>
        <v>-15.400000000000006</v>
      </c>
      <c r="T48" s="153">
        <f>IF((K48)=FALSE,"",(S48/K48))</f>
        <v>-9.0909090909090939E-2</v>
      </c>
      <c r="U48" s="59"/>
      <c r="V48" s="54">
        <v>0.11</v>
      </c>
      <c r="W48" s="152">
        <f t="shared" si="37"/>
        <v>154</v>
      </c>
      <c r="X48" s="59"/>
      <c r="Y48" s="60">
        <f t="shared" si="14"/>
        <v>0</v>
      </c>
      <c r="Z48" s="153">
        <f>IF((Q48)=FALSE,"",(Y48/Q48))</f>
        <v>0</v>
      </c>
      <c r="AA48" s="59"/>
      <c r="AB48" s="54">
        <v>0.11</v>
      </c>
      <c r="AC48" s="152">
        <f t="shared" si="38"/>
        <v>154</v>
      </c>
      <c r="AD48" s="59"/>
      <c r="AE48" s="60">
        <f t="shared" si="15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212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318.58035998801438</v>
      </c>
      <c r="I50" s="75"/>
      <c r="J50" s="72"/>
      <c r="K50" s="74">
        <f>SUM(K40:K46,K39)</f>
        <v>308.17105200211415</v>
      </c>
      <c r="L50" s="75"/>
      <c r="M50" s="76">
        <f t="shared" si="29"/>
        <v>-10.409307985900227</v>
      </c>
      <c r="N50" s="77">
        <f>IF((H50)=0,"",(M50/H50))</f>
        <v>-3.2674041759171366E-2</v>
      </c>
      <c r="O50" s="212"/>
      <c r="P50" s="72"/>
      <c r="Q50" s="74">
        <f>SUM(Q40:Q46,Q39)</f>
        <v>288.03579200211419</v>
      </c>
      <c r="R50" s="75"/>
      <c r="S50" s="76">
        <f t="shared" si="13"/>
        <v>-20.13525999999996</v>
      </c>
      <c r="T50" s="77">
        <f>IF((K50)=0,"",(S50/K50))</f>
        <v>-6.5337934465894698E-2</v>
      </c>
      <c r="U50" s="75"/>
      <c r="V50" s="72"/>
      <c r="W50" s="74">
        <f>SUM(W40:W46,W39)</f>
        <v>286.99579200283779</v>
      </c>
      <c r="X50" s="75"/>
      <c r="Y50" s="76">
        <f t="shared" si="14"/>
        <v>-1.0399999992764037</v>
      </c>
      <c r="Z50" s="77">
        <f>IF((Q50)=0,"",(Y50/Q50))</f>
        <v>-3.6106623834747942E-3</v>
      </c>
      <c r="AA50" s="75"/>
      <c r="AB50" s="72"/>
      <c r="AC50" s="74">
        <f>SUM(AC40:AC46,AC39)</f>
        <v>281.11528815253098</v>
      </c>
      <c r="AD50" s="75"/>
      <c r="AE50" s="76">
        <f t="shared" si="15"/>
        <v>-5.880503850306809</v>
      </c>
      <c r="AF50" s="77">
        <f>IF((W50)=0,"",(AE50/W50))</f>
        <v>-2.0489860876596627E-2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41.41544679844187</v>
      </c>
      <c r="I51" s="81"/>
      <c r="J51" s="79">
        <v>0.13</v>
      </c>
      <c r="K51" s="82">
        <f>K50*J51</f>
        <v>40.062236760274843</v>
      </c>
      <c r="L51" s="81"/>
      <c r="M51" s="83">
        <f t="shared" si="29"/>
        <v>-1.3532100381670276</v>
      </c>
      <c r="N51" s="84">
        <f>IF((H51)=0,"",(M51/H51))</f>
        <v>-3.2674041759171317E-2</v>
      </c>
      <c r="O51" s="212"/>
      <c r="P51" s="79">
        <v>0.13</v>
      </c>
      <c r="Q51" s="82">
        <f>Q50*P51</f>
        <v>37.444652960274844</v>
      </c>
      <c r="R51" s="81"/>
      <c r="S51" s="83">
        <f t="shared" si="13"/>
        <v>-2.6175837999999985</v>
      </c>
      <c r="T51" s="84">
        <f>IF((K51)=0,"",(S51/K51))</f>
        <v>-6.5337934465894781E-2</v>
      </c>
      <c r="U51" s="81"/>
      <c r="V51" s="79">
        <v>0.13</v>
      </c>
      <c r="W51" s="82">
        <f>W50*V51</f>
        <v>37.309452960368915</v>
      </c>
      <c r="X51" s="81"/>
      <c r="Y51" s="83">
        <f t="shared" si="14"/>
        <v>-0.13519999990592879</v>
      </c>
      <c r="Z51" s="84">
        <f>IF((Q51)=0,"",(Y51/Q51))</f>
        <v>-3.6106623834746957E-3</v>
      </c>
      <c r="AA51" s="81"/>
      <c r="AB51" s="79">
        <v>0.13</v>
      </c>
      <c r="AC51" s="82">
        <f>AC50*AB51</f>
        <v>36.544987459829031</v>
      </c>
      <c r="AD51" s="81"/>
      <c r="AE51" s="83">
        <f t="shared" si="15"/>
        <v>-0.7644655005398846</v>
      </c>
      <c r="AF51" s="84">
        <f>IF((W51)=0,"",(AE51/W51))</f>
        <v>-2.048986087659661E-2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359.99580678645623</v>
      </c>
      <c r="I52" s="81"/>
      <c r="J52" s="86"/>
      <c r="K52" s="82">
        <f>K50+K51</f>
        <v>348.23328876238901</v>
      </c>
      <c r="L52" s="81"/>
      <c r="M52" s="83">
        <f t="shared" si="29"/>
        <v>-11.762518024067219</v>
      </c>
      <c r="N52" s="84">
        <f>IF((H52)=0,"",(M52/H52))</f>
        <v>-3.2674041759171261E-2</v>
      </c>
      <c r="O52" s="212"/>
      <c r="P52" s="86"/>
      <c r="Q52" s="82">
        <f>Q50+Q51</f>
        <v>325.48044496238902</v>
      </c>
      <c r="R52" s="81"/>
      <c r="S52" s="83">
        <f t="shared" si="13"/>
        <v>-22.752843799999994</v>
      </c>
      <c r="T52" s="84">
        <f>IF((K52)=0,"",(S52/K52))</f>
        <v>-6.5337934465894795E-2</v>
      </c>
      <c r="U52" s="81"/>
      <c r="V52" s="86"/>
      <c r="W52" s="82">
        <f>W50+W51</f>
        <v>324.30524496320669</v>
      </c>
      <c r="X52" s="81"/>
      <c r="Y52" s="83">
        <f t="shared" si="14"/>
        <v>-1.1751999991823254</v>
      </c>
      <c r="Z52" s="84">
        <f>IF((Q52)=0,"",(Y52/Q52))</f>
        <v>-3.6106623834747612E-3</v>
      </c>
      <c r="AA52" s="81"/>
      <c r="AB52" s="86"/>
      <c r="AC52" s="82">
        <f>AC50+AC51</f>
        <v>317.66027561236001</v>
      </c>
      <c r="AD52" s="81"/>
      <c r="AE52" s="83">
        <f t="shared" si="15"/>
        <v>-6.6449693508466794</v>
      </c>
      <c r="AF52" s="84">
        <f>IF((W52)=0,"",(AE52/W52))</f>
        <v>-2.0489860876596582E-2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-24.653684160169131</v>
      </c>
      <c r="L53" s="81"/>
      <c r="M53" s="88">
        <f t="shared" si="29"/>
        <v>-24.653684160169131</v>
      </c>
      <c r="N53" s="89" t="str">
        <f>IF((H53)=0,"",(M53/H53))</f>
        <v/>
      </c>
      <c r="O53" s="212"/>
      <c r="P53" s="86"/>
      <c r="Q53" s="87">
        <f>ROUND(-Q52*10%,2)</f>
        <v>-32.549999999999997</v>
      </c>
      <c r="R53" s="81"/>
      <c r="S53" s="88">
        <f t="shared" si="13"/>
        <v>-7.8963158398308657</v>
      </c>
      <c r="T53" s="89">
        <f>IF((K53)=0,"",(S53/K53))</f>
        <v>0.32028948649339289</v>
      </c>
      <c r="U53" s="81"/>
      <c r="V53" s="86"/>
      <c r="W53" s="87">
        <f>ROUND(-W52*10%,2)</f>
        <v>-32.43</v>
      </c>
      <c r="X53" s="81"/>
      <c r="Y53" s="88">
        <f t="shared" si="14"/>
        <v>0.11999999999999744</v>
      </c>
      <c r="Z53" s="89">
        <f>IF((Q53)=0,"",(Y53/Q53))</f>
        <v>-3.6866359447003828E-3</v>
      </c>
      <c r="AA53" s="81"/>
      <c r="AB53" s="86"/>
      <c r="AC53" s="87">
        <f>ROUND(-AC52*10%,2)</f>
        <v>-31.77</v>
      </c>
      <c r="AD53" s="81"/>
      <c r="AE53" s="88">
        <f t="shared" si="15"/>
        <v>0.66000000000000014</v>
      </c>
      <c r="AF53" s="89">
        <f>IF((W53)=0,"",(AE53/W53))</f>
        <v>-2.0351526364477339E-2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359.99580678645623</v>
      </c>
      <c r="I54" s="92"/>
      <c r="J54" s="90"/>
      <c r="K54" s="93">
        <f>K52+K53</f>
        <v>323.57960460221989</v>
      </c>
      <c r="L54" s="92"/>
      <c r="M54" s="94">
        <f t="shared" si="29"/>
        <v>-36.41620218423634</v>
      </c>
      <c r="N54" s="95">
        <f>IF((H54)=0,"",(M54/H54))</f>
        <v>-0.10115729543993786</v>
      </c>
      <c r="O54" s="212"/>
      <c r="P54" s="90"/>
      <c r="Q54" s="93">
        <f>Q52+Q53</f>
        <v>292.930444962389</v>
      </c>
      <c r="R54" s="92"/>
      <c r="S54" s="94">
        <f t="shared" si="13"/>
        <v>-30.649159639830884</v>
      </c>
      <c r="T54" s="95">
        <f>IF((K54)=0,"",(S54/K54))</f>
        <v>-9.4719071300888219E-2</v>
      </c>
      <c r="U54" s="92"/>
      <c r="V54" s="90"/>
      <c r="W54" s="93">
        <f>W52+W53</f>
        <v>291.87524496320668</v>
      </c>
      <c r="X54" s="92"/>
      <c r="Y54" s="94">
        <f t="shared" si="14"/>
        <v>-1.0551999991823209</v>
      </c>
      <c r="Z54" s="95">
        <f>IF((Q54)=0,"",(Y54/Q54))</f>
        <v>-3.6022203131456819E-3</v>
      </c>
      <c r="AA54" s="92"/>
      <c r="AB54" s="90"/>
      <c r="AC54" s="93">
        <f>AC52+AC53</f>
        <v>285.89027561236003</v>
      </c>
      <c r="AD54" s="92"/>
      <c r="AE54" s="94">
        <f t="shared" si="15"/>
        <v>-5.9849693508466544</v>
      </c>
      <c r="AF54" s="95">
        <f>IF((W54)=0,"",(AE54/W54))</f>
        <v>-2.050523110173701E-2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212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326.10035998801436</v>
      </c>
      <c r="I56" s="106"/>
      <c r="J56" s="103"/>
      <c r="K56" s="105">
        <f>SUM(K47:K48,K39,K40:K43)</f>
        <v>315.69105200211413</v>
      </c>
      <c r="L56" s="106"/>
      <c r="M56" s="107">
        <f t="shared" si="29"/>
        <v>-10.409307985900227</v>
      </c>
      <c r="N56" s="77">
        <f>IF((H56)=0,"",(M56/H56))</f>
        <v>-3.1920565761665569E-2</v>
      </c>
      <c r="O56" s="212"/>
      <c r="P56" s="103"/>
      <c r="Q56" s="105">
        <f>SUM(Q47:Q48,Q39,Q40:Q43)</f>
        <v>294.15579200211414</v>
      </c>
      <c r="R56" s="106"/>
      <c r="S56" s="107">
        <f t="shared" si="13"/>
        <v>-21.535259999999994</v>
      </c>
      <c r="T56" s="77">
        <f>IF((K56)=0,"",(S56/K56))</f>
        <v>-6.8216250867496164E-2</v>
      </c>
      <c r="U56" s="106"/>
      <c r="V56" s="103"/>
      <c r="W56" s="105">
        <f>SUM(W47:W48,W39,W40:W43)</f>
        <v>293.11579200283774</v>
      </c>
      <c r="X56" s="106"/>
      <c r="Y56" s="107">
        <f t="shared" si="14"/>
        <v>-1.0399999992764037</v>
      </c>
      <c r="Z56" s="77">
        <f>IF((Q56)=0,"",(Y56/Q56))</f>
        <v>-3.5355414632424749E-3</v>
      </c>
      <c r="AA56" s="106"/>
      <c r="AB56" s="103"/>
      <c r="AC56" s="105">
        <f>SUM(AC47:AC48,AC39,AC40:AC43)</f>
        <v>287.23528815253093</v>
      </c>
      <c r="AD56" s="106"/>
      <c r="AE56" s="107">
        <f t="shared" si="15"/>
        <v>-5.880503850306809</v>
      </c>
      <c r="AF56" s="77">
        <f>IF((W56)=0,"",(AE56/W56))</f>
        <v>-2.0062050598249167E-2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42.393046798441866</v>
      </c>
      <c r="I57" s="110"/>
      <c r="J57" s="109">
        <v>0.13</v>
      </c>
      <c r="K57" s="111">
        <f>K56*J57</f>
        <v>41.039836760274838</v>
      </c>
      <c r="L57" s="110"/>
      <c r="M57" s="112">
        <f t="shared" si="29"/>
        <v>-1.3532100381670276</v>
      </c>
      <c r="N57" s="84">
        <f>IF((H57)=0,"",(M57/H57))</f>
        <v>-3.192056576166552E-2</v>
      </c>
      <c r="O57" s="212"/>
      <c r="P57" s="109">
        <v>0.13</v>
      </c>
      <c r="Q57" s="111">
        <f>Q56*P57</f>
        <v>38.240252960274837</v>
      </c>
      <c r="R57" s="110"/>
      <c r="S57" s="112">
        <f t="shared" si="13"/>
        <v>-2.7995838000000006</v>
      </c>
      <c r="T57" s="84">
        <f>IF((K57)=0,"",(S57/K57))</f>
        <v>-6.8216250867496192E-2</v>
      </c>
      <c r="U57" s="110"/>
      <c r="V57" s="109">
        <v>0.13</v>
      </c>
      <c r="W57" s="111">
        <f>W56*V57</f>
        <v>38.105052960368909</v>
      </c>
      <c r="X57" s="110"/>
      <c r="Y57" s="112">
        <f t="shared" si="14"/>
        <v>-0.13519999990592879</v>
      </c>
      <c r="Z57" s="84">
        <f>IF((Q57)=0,"",(Y57/Q57))</f>
        <v>-3.5355414632423786E-3</v>
      </c>
      <c r="AA57" s="110"/>
      <c r="AB57" s="109">
        <v>0.13</v>
      </c>
      <c r="AC57" s="111">
        <f>AC56*AB57</f>
        <v>37.340587459829024</v>
      </c>
      <c r="AD57" s="110"/>
      <c r="AE57" s="112">
        <f t="shared" si="15"/>
        <v>-0.7644655005398846</v>
      </c>
      <c r="AF57" s="84">
        <f>IF((W57)=0,"",(AE57/W57))</f>
        <v>-2.006205059824915E-2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368.49340678645621</v>
      </c>
      <c r="I58" s="110"/>
      <c r="J58" s="114"/>
      <c r="K58" s="111">
        <f>K56+K57</f>
        <v>356.73088876238899</v>
      </c>
      <c r="L58" s="110"/>
      <c r="M58" s="112">
        <f t="shared" si="29"/>
        <v>-11.762518024067219</v>
      </c>
      <c r="N58" s="84">
        <f>IF((H58)=0,"",(M58/H58))</f>
        <v>-3.1920565761665465E-2</v>
      </c>
      <c r="O58" s="212"/>
      <c r="P58" s="114"/>
      <c r="Q58" s="111">
        <f>Q56+Q57</f>
        <v>332.396044962389</v>
      </c>
      <c r="R58" s="110"/>
      <c r="S58" s="112">
        <f t="shared" si="13"/>
        <v>-24.334843799999987</v>
      </c>
      <c r="T58" s="84">
        <f>IF((K58)=0,"",(S58/K58))</f>
        <v>-6.8216250867496137E-2</v>
      </c>
      <c r="U58" s="110"/>
      <c r="V58" s="114"/>
      <c r="W58" s="111">
        <f>W56+W57</f>
        <v>331.22084496320667</v>
      </c>
      <c r="X58" s="110"/>
      <c r="Y58" s="112">
        <f t="shared" si="14"/>
        <v>-1.1751999991823254</v>
      </c>
      <c r="Z58" s="84">
        <f>IF((Q58)=0,"",(Y58/Q58))</f>
        <v>-3.5355414632424424E-3</v>
      </c>
      <c r="AA58" s="110"/>
      <c r="AB58" s="114"/>
      <c r="AC58" s="111">
        <f>AC56+AC57</f>
        <v>324.57587561235994</v>
      </c>
      <c r="AD58" s="110"/>
      <c r="AE58" s="112">
        <f t="shared" si="15"/>
        <v>-6.6449693508467362</v>
      </c>
      <c r="AF58" s="84">
        <f>IF((W58)=0,"",(AE58/W58))</f>
        <v>-2.0062050598249292E-2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-25.255284160169133</v>
      </c>
      <c r="L59" s="110"/>
      <c r="M59" s="117">
        <f t="shared" si="29"/>
        <v>-25.255284160169133</v>
      </c>
      <c r="N59" s="89" t="str">
        <f>IF((H59)=0,"",(M59/H59))</f>
        <v/>
      </c>
      <c r="O59" s="212"/>
      <c r="P59" s="114"/>
      <c r="Q59" s="116">
        <f>ROUND(-Q58*10%,2)</f>
        <v>-33.24</v>
      </c>
      <c r="R59" s="110"/>
      <c r="S59" s="117">
        <f t="shared" si="13"/>
        <v>-7.9847158398308693</v>
      </c>
      <c r="T59" s="89">
        <f>IF((K59)=0,"",(S59/K59))</f>
        <v>0.31616020588767735</v>
      </c>
      <c r="U59" s="110"/>
      <c r="V59" s="114"/>
      <c r="W59" s="116">
        <f>ROUND(-W58*10%,2)</f>
        <v>-33.119999999999997</v>
      </c>
      <c r="X59" s="110"/>
      <c r="Y59" s="117">
        <f t="shared" si="14"/>
        <v>0.12000000000000455</v>
      </c>
      <c r="Z59" s="89">
        <f>IF((Q59)=0,"",(Y59/Q59))</f>
        <v>-3.6101083032492342E-3</v>
      </c>
      <c r="AA59" s="110"/>
      <c r="AB59" s="114"/>
      <c r="AC59" s="116">
        <f>ROUND(-AC58*10%,2)</f>
        <v>-32.46</v>
      </c>
      <c r="AD59" s="110"/>
      <c r="AE59" s="117">
        <f t="shared" si="15"/>
        <v>0.65999999999999659</v>
      </c>
      <c r="AF59" s="89">
        <f>IF((W59)=0,"",(AE59/W59))</f>
        <v>-1.9927536231883956E-2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368.49340678645621</v>
      </c>
      <c r="I60" s="120"/>
      <c r="J60" s="118"/>
      <c r="K60" s="121">
        <f>SUM(K58:K59)</f>
        <v>331.47560460221985</v>
      </c>
      <c r="L60" s="120"/>
      <c r="M60" s="122">
        <f t="shared" si="29"/>
        <v>-37.017802184236359</v>
      </c>
      <c r="N60" s="123">
        <f>IF((H60)=0,"",(M60/H60))</f>
        <v>-0.10045716287588387</v>
      </c>
      <c r="O60" s="212"/>
      <c r="P60" s="118"/>
      <c r="Q60" s="121">
        <f>SUM(Q58:Q59)</f>
        <v>299.15604496238899</v>
      </c>
      <c r="R60" s="120"/>
      <c r="S60" s="122">
        <f t="shared" si="13"/>
        <v>-32.319559639830857</v>
      </c>
      <c r="T60" s="123">
        <f>IF((K60)=0,"",(S60/K60))</f>
        <v>-9.7502076144080796E-2</v>
      </c>
      <c r="U60" s="120"/>
      <c r="V60" s="118"/>
      <c r="W60" s="121">
        <f>SUM(W58:W59)</f>
        <v>298.10084496320667</v>
      </c>
      <c r="X60" s="120"/>
      <c r="Y60" s="122">
        <f t="shared" si="14"/>
        <v>-1.0551999991823209</v>
      </c>
      <c r="Z60" s="123">
        <f>IF((Q60)=0,"",(Y60/Q60))</f>
        <v>-3.5272561492614481E-3</v>
      </c>
      <c r="AA60" s="120"/>
      <c r="AB60" s="118"/>
      <c r="AC60" s="121">
        <f>SUM(AC58:AC59)</f>
        <v>292.11587561235996</v>
      </c>
      <c r="AD60" s="120"/>
      <c r="AE60" s="122">
        <f t="shared" si="15"/>
        <v>-5.9849693508467112</v>
      </c>
      <c r="AF60" s="123">
        <f>IF((W60)=0,"",(AE60/W60))</f>
        <v>-2.0076995593841442E-2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3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  <pageSetUpPr fitToPage="1"/>
  </sheetPr>
  <dimension ref="A1:AP79"/>
  <sheetViews>
    <sheetView showGridLines="0" topLeftCell="A3" zoomScale="75" zoomScaleNormal="75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10.28515625" style="142" bestFit="1" customWidth="1"/>
    <col min="9" max="9" width="1.7109375" style="1" customWidth="1"/>
    <col min="10" max="10" width="9.85546875" style="1" bestFit="1" customWidth="1"/>
    <col min="11" max="11" width="10.2851562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10.28515625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10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10.28515625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10.28515625" style="1" bestFit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63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1000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41.21</v>
      </c>
      <c r="H12" s="18">
        <f t="shared" ref="H12:H27" si="0">$F12*G12</f>
        <v>41.21</v>
      </c>
      <c r="I12" s="19"/>
      <c r="J12" s="209">
        <v>41.42</v>
      </c>
      <c r="K12" s="18">
        <f t="shared" ref="K12:K27" si="1">$F12*J12</f>
        <v>41.42</v>
      </c>
      <c r="L12" s="19"/>
      <c r="M12" s="21">
        <f t="shared" ref="M12:M21" si="2">K12-H12</f>
        <v>0.21000000000000085</v>
      </c>
      <c r="N12" s="22">
        <f t="shared" ref="N12:N21" si="3">IF((H12)=0,"",(M12/H12))</f>
        <v>5.0958505217180506E-3</v>
      </c>
      <c r="O12" s="212"/>
      <c r="P12" s="16">
        <v>41.42</v>
      </c>
      <c r="Q12" s="18">
        <f t="shared" ref="Q12:Q27" si="4">$F12*P12</f>
        <v>41.42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41.58</v>
      </c>
      <c r="W12" s="18">
        <f t="shared" ref="W12:W27" si="6">$F12*V12</f>
        <v>41.58</v>
      </c>
      <c r="X12" s="19"/>
      <c r="Y12" s="21">
        <f>W12-Q12</f>
        <v>0.15999999999999659</v>
      </c>
      <c r="Z12" s="22">
        <f t="shared" ref="Z12:Z34" si="7">IF((Q12)=0,"",(Y12/Q12))</f>
        <v>3.8628681796232878E-3</v>
      </c>
      <c r="AA12" s="19"/>
      <c r="AB12" s="16">
        <v>42.57</v>
      </c>
      <c r="AC12" s="18">
        <f t="shared" ref="AC12:AC27" si="8">$F12*AB12</f>
        <v>42.57</v>
      </c>
      <c r="AD12" s="19"/>
      <c r="AE12" s="21">
        <f>AC12-W12</f>
        <v>0.99000000000000199</v>
      </c>
      <c r="AF12" s="22">
        <f t="shared" ref="AF12:AF34" si="9">IF((W12)=0,"",(AE12/W12))</f>
        <v>2.3809523809523857E-2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2.42</v>
      </c>
      <c r="H13" s="18">
        <f t="shared" si="0"/>
        <v>2.42</v>
      </c>
      <c r="I13" s="19"/>
      <c r="J13" s="209">
        <v>2.41</v>
      </c>
      <c r="K13" s="18">
        <f t="shared" si="1"/>
        <v>2.41</v>
      </c>
      <c r="L13" s="19"/>
      <c r="M13" s="21">
        <f t="shared" si="2"/>
        <v>-9.9999999999997868E-3</v>
      </c>
      <c r="N13" s="22">
        <f t="shared" si="3"/>
        <v>-4.1322314049585893E-3</v>
      </c>
      <c r="O13" s="212"/>
      <c r="P13" s="16">
        <v>2.41</v>
      </c>
      <c r="Q13" s="18">
        <f t="shared" si="4"/>
        <v>2.41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-2.41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ref="H14" si="13">$F14*G14</f>
        <v>0</v>
      </c>
      <c r="I14" s="19"/>
      <c r="J14" s="16">
        <v>0</v>
      </c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>
        <v>0</v>
      </c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>
        <v>0</v>
      </c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1000</v>
      </c>
      <c r="G19" s="16">
        <v>1.06E-2</v>
      </c>
      <c r="H19" s="18">
        <f t="shared" si="0"/>
        <v>10.6</v>
      </c>
      <c r="I19" s="19"/>
      <c r="J19" s="16">
        <v>1.0699999999999999E-2</v>
      </c>
      <c r="K19" s="18">
        <f t="shared" si="1"/>
        <v>10.7</v>
      </c>
      <c r="L19" s="19"/>
      <c r="M19" s="21">
        <f t="shared" si="2"/>
        <v>9.9999999999999645E-2</v>
      </c>
      <c r="N19" s="22">
        <f t="shared" si="3"/>
        <v>9.4339622641509101E-3</v>
      </c>
      <c r="O19" s="212"/>
      <c r="P19" s="16">
        <v>1.0699999999999999E-2</v>
      </c>
      <c r="Q19" s="18">
        <f t="shared" si="4"/>
        <v>10.7</v>
      </c>
      <c r="R19" s="19"/>
      <c r="S19" s="21">
        <f t="shared" si="10"/>
        <v>0</v>
      </c>
      <c r="T19" s="22">
        <f t="shared" si="5"/>
        <v>0</v>
      </c>
      <c r="U19" s="19"/>
      <c r="V19" s="16">
        <v>1.0699999999999999E-2</v>
      </c>
      <c r="W19" s="18">
        <f t="shared" si="6"/>
        <v>10.7</v>
      </c>
      <c r="X19" s="19"/>
      <c r="Y19" s="21">
        <f t="shared" si="11"/>
        <v>0</v>
      </c>
      <c r="Z19" s="22">
        <f t="shared" si="7"/>
        <v>0</v>
      </c>
      <c r="AA19" s="19"/>
      <c r="AB19" s="16">
        <v>1.0999999999999999E-2</v>
      </c>
      <c r="AC19" s="18">
        <f t="shared" si="8"/>
        <v>11</v>
      </c>
      <c r="AD19" s="19"/>
      <c r="AE19" s="21">
        <f t="shared" si="12"/>
        <v>0.30000000000000071</v>
      </c>
      <c r="AF19" s="22">
        <f t="shared" si="9"/>
        <v>2.8037383177570162E-2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1000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31" si="23">$G$7</f>
        <v>1000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24">K24-H24</f>
        <v>0</v>
      </c>
      <c r="N24" s="22" t="str">
        <f t="shared" ref="N24:N29" si="25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23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4"/>
        <v>0</v>
      </c>
      <c r="N25" s="22" t="str">
        <f t="shared" si="25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23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4"/>
        <v>0</v>
      </c>
      <c r="N26" s="22" t="str">
        <f t="shared" si="25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23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4"/>
        <v>0</v>
      </c>
      <c r="N27" s="22" t="str">
        <f t="shared" si="25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54.230000000000004</v>
      </c>
      <c r="I28" s="31"/>
      <c r="J28" s="28"/>
      <c r="K28" s="30">
        <f>SUM(K12:K27)</f>
        <v>54.53</v>
      </c>
      <c r="L28" s="31"/>
      <c r="M28" s="32">
        <f t="shared" si="24"/>
        <v>0.29999999999999716</v>
      </c>
      <c r="N28" s="33">
        <f t="shared" si="25"/>
        <v>5.5319933616079136E-3</v>
      </c>
      <c r="O28" s="212"/>
      <c r="P28" s="28"/>
      <c r="Q28" s="30">
        <f>SUM(Q12:Q27)</f>
        <v>54.53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52.28</v>
      </c>
      <c r="X28" s="31"/>
      <c r="Y28" s="32">
        <f t="shared" si="11"/>
        <v>-2.25</v>
      </c>
      <c r="Z28" s="33">
        <f t="shared" si="7"/>
        <v>-4.1261690812396848E-2</v>
      </c>
      <c r="AA28" s="31"/>
      <c r="AB28" s="28"/>
      <c r="AC28" s="30">
        <f>SUM(AC12:AC27)</f>
        <v>53.57</v>
      </c>
      <c r="AD28" s="31"/>
      <c r="AE28" s="32">
        <f t="shared" si="12"/>
        <v>1.2899999999999991</v>
      </c>
      <c r="AF28" s="33">
        <f t="shared" si="9"/>
        <v>2.4674827850038238E-2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1000</v>
      </c>
      <c r="G29" s="16">
        <v>3.3021965494891919E-4</v>
      </c>
      <c r="H29" s="18">
        <f t="shared" ref="H29:H35" si="26">$F29*G29</f>
        <v>0.33021965494891919</v>
      </c>
      <c r="I29" s="19"/>
      <c r="J29" s="16">
        <v>-2.5000000000000001E-3</v>
      </c>
      <c r="K29" s="18">
        <f t="shared" ref="K29:K35" si="27">$F29*J29</f>
        <v>-2.5</v>
      </c>
      <c r="L29" s="19"/>
      <c r="M29" s="21">
        <f t="shared" si="24"/>
        <v>-2.8302196549489191</v>
      </c>
      <c r="N29" s="22">
        <f t="shared" si="25"/>
        <v>-8.5707183462072187</v>
      </c>
      <c r="O29" s="212"/>
      <c r="P29" s="16">
        <v>-2.5000000000000001E-3</v>
      </c>
      <c r="Q29" s="18">
        <f t="shared" ref="Q29:Q35" si="28">$F29*P29</f>
        <v>-2.5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9">$F29*V29</f>
        <v>0</v>
      </c>
      <c r="X29" s="19"/>
      <c r="Y29" s="21">
        <f t="shared" si="11"/>
        <v>2.5</v>
      </c>
      <c r="Z29" s="22">
        <f t="shared" si="7"/>
        <v>-1</v>
      </c>
      <c r="AA29" s="19"/>
      <c r="AB29" s="16">
        <v>0</v>
      </c>
      <c r="AC29" s="18">
        <f t="shared" ref="AC29:AC35" si="3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1000</v>
      </c>
      <c r="G30" s="16"/>
      <c r="H30" s="18">
        <f t="shared" ref="H30" si="31">$F30*G30</f>
        <v>0</v>
      </c>
      <c r="I30" s="19"/>
      <c r="J30" s="16"/>
      <c r="K30" s="18">
        <f t="shared" ref="K30" si="32">$F30*J30</f>
        <v>0</v>
      </c>
      <c r="L30" s="19"/>
      <c r="M30" s="21">
        <f t="shared" ref="M30" si="33">K30-H30</f>
        <v>0</v>
      </c>
      <c r="N30" s="22" t="str">
        <f t="shared" ref="N30" si="34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si="23"/>
        <v>1000</v>
      </c>
      <c r="G31" s="16">
        <v>0</v>
      </c>
      <c r="H31" s="18">
        <f>$F31*G31</f>
        <v>0</v>
      </c>
      <c r="I31" s="19"/>
      <c r="J31" s="16">
        <v>0</v>
      </c>
      <c r="K31" s="18">
        <f>$F31*J31</f>
        <v>0</v>
      </c>
      <c r="L31" s="19"/>
      <c r="M31" s="21">
        <f t="shared" ref="M31:M60" si="35">K31-H31</f>
        <v>0</v>
      </c>
      <c r="N31" s="22" t="str">
        <f>IF((H31)=0,"",(M31/H31))</f>
        <v/>
      </c>
      <c r="O31" s="212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12.6" hidden="1" customHeight="1" x14ac:dyDescent="0.2">
      <c r="B32" s="35"/>
      <c r="C32" s="14"/>
      <c r="D32" s="15"/>
      <c r="E32" s="15"/>
      <c r="F32" s="17">
        <f t="shared" ref="F32:F33" si="36">$G$7</f>
        <v>1000</v>
      </c>
      <c r="G32" s="16"/>
      <c r="H32" s="18">
        <f t="shared" si="26"/>
        <v>0</v>
      </c>
      <c r="I32" s="36"/>
      <c r="J32" s="16"/>
      <c r="K32" s="18">
        <f t="shared" si="27"/>
        <v>0</v>
      </c>
      <c r="L32" s="36"/>
      <c r="M32" s="21">
        <f t="shared" si="35"/>
        <v>0</v>
      </c>
      <c r="N32" s="22" t="str">
        <f>IF((H32)=0,"",(M32/H32))</f>
        <v/>
      </c>
      <c r="O32" s="212"/>
      <c r="P32" s="16"/>
      <c r="Q32" s="18">
        <f t="shared" si="2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0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36"/>
        <v>1000</v>
      </c>
      <c r="G33" s="133">
        <v>6.0000000000000002E-5</v>
      </c>
      <c r="H33" s="18">
        <f t="shared" si="26"/>
        <v>6.0000000000000005E-2</v>
      </c>
      <c r="I33" s="19"/>
      <c r="J33" s="133">
        <v>6.0000000000000002E-5</v>
      </c>
      <c r="K33" s="18">
        <f t="shared" si="27"/>
        <v>6.0000000000000005E-2</v>
      </c>
      <c r="L33" s="19"/>
      <c r="M33" s="21">
        <f t="shared" si="35"/>
        <v>0</v>
      </c>
      <c r="N33" s="22">
        <f>IF((H33)=0,"",(M33/H33))</f>
        <v>0</v>
      </c>
      <c r="O33" s="212"/>
      <c r="P33" s="133">
        <v>6.0000000000000002E-5</v>
      </c>
      <c r="Q33" s="18">
        <f t="shared" si="28"/>
        <v>6.0000000000000005E-2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9"/>
        <v>6.0000000000000005E-2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30"/>
        <v>6.0000000000000005E-2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37.900000000000091</v>
      </c>
      <c r="G34" s="38">
        <f>IF(ISBLANK($D$5)=TRUE, 0, IF($D$5="TOU", 0.64*G44+0.18*G45+0.18*G46, IF(AND($D$5="non-TOU", $F$48&gt;0), G48,G47)))</f>
        <v>0.11183999999999999</v>
      </c>
      <c r="H34" s="18">
        <f t="shared" si="26"/>
        <v>4.2387360000000101</v>
      </c>
      <c r="I34" s="19"/>
      <c r="J34" s="38">
        <f>IF(ISBLANK($D$5)=TRUE, 0, IF($D$5="TOU", 0.64*J44+0.18*J45+0.18*J46, IF(AND($D$5="non-TOU", $F$48&gt;0), J48,J47)))</f>
        <v>0.11183999999999999</v>
      </c>
      <c r="K34" s="18">
        <f t="shared" si="27"/>
        <v>4.2387360000000101</v>
      </c>
      <c r="L34" s="19"/>
      <c r="M34" s="21">
        <f t="shared" si="35"/>
        <v>0</v>
      </c>
      <c r="N34" s="22">
        <f>IF((H34)=0,"",(M34/H34))</f>
        <v>0</v>
      </c>
      <c r="O34" s="212"/>
      <c r="P34" s="38">
        <f>IF(ISBLANK($D$5)=TRUE, 0, IF($D$5="TOU", 0.64*P44+0.18*P45+0.18*P46, IF(AND($D$5="non-TOU", $F$48&gt;0), P48,P47)))</f>
        <v>0.10214000000000001</v>
      </c>
      <c r="Q34" s="18">
        <f t="shared" si="28"/>
        <v>3.8711060000000095</v>
      </c>
      <c r="R34" s="19"/>
      <c r="S34" s="21">
        <f t="shared" si="10"/>
        <v>-0.36763000000000057</v>
      </c>
      <c r="T34" s="22">
        <f t="shared" si="5"/>
        <v>-8.673104434907003E-2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9"/>
        <v>3.8711060000000095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30"/>
        <v>3.8711060000000095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0.78800000000000003</v>
      </c>
      <c r="H35" s="18">
        <f t="shared" si="26"/>
        <v>0.78800000000000003</v>
      </c>
      <c r="I35" s="19"/>
      <c r="J35" s="210">
        <v>0.78800000000000003</v>
      </c>
      <c r="K35" s="18">
        <f t="shared" si="27"/>
        <v>0.78800000000000003</v>
      </c>
      <c r="L35" s="19"/>
      <c r="M35" s="21">
        <f t="shared" si="35"/>
        <v>0</v>
      </c>
      <c r="N35" s="22"/>
      <c r="O35" s="212"/>
      <c r="P35" s="38">
        <v>0.78800000000000003</v>
      </c>
      <c r="Q35" s="18">
        <f t="shared" si="28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9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30"/>
        <v>0</v>
      </c>
      <c r="AD35" s="19"/>
      <c r="AE35" s="21">
        <f t="shared" si="12"/>
        <v>-0.78800000000000003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59.646955654948933</v>
      </c>
      <c r="I36" s="31"/>
      <c r="J36" s="41"/>
      <c r="K36" s="43">
        <f>SUM(K29:K35)+K28</f>
        <v>57.11673600000001</v>
      </c>
      <c r="L36" s="31"/>
      <c r="M36" s="32">
        <f t="shared" si="35"/>
        <v>-2.5302196549489224</v>
      </c>
      <c r="N36" s="33">
        <f t="shared" ref="N36:N46" si="37">IF((H36)=0,"",(M36/H36))</f>
        <v>-4.2419929519722087E-2</v>
      </c>
      <c r="O36" s="212"/>
      <c r="P36" s="41"/>
      <c r="Q36" s="43">
        <f>SUM(Q29:Q35)+Q28</f>
        <v>56.749106000000012</v>
      </c>
      <c r="R36" s="31"/>
      <c r="S36" s="32">
        <f t="shared" si="10"/>
        <v>-0.36762999999999835</v>
      </c>
      <c r="T36" s="33">
        <f t="shared" ref="T36:T46" si="38">IF((K36)=0,"",(S36/K36))</f>
        <v>-6.4364672379037605E-3</v>
      </c>
      <c r="U36" s="31"/>
      <c r="V36" s="41"/>
      <c r="W36" s="43">
        <f>SUM(W29:W35)+W28</f>
        <v>56.999106000000012</v>
      </c>
      <c r="X36" s="31"/>
      <c r="Y36" s="32">
        <f t="shared" si="11"/>
        <v>0.25</v>
      </c>
      <c r="Z36" s="33">
        <f t="shared" ref="Z36:Z46" si="39">IF((Q36)=0,"",(Y36/Q36))</f>
        <v>4.405355742520419E-3</v>
      </c>
      <c r="AA36" s="31"/>
      <c r="AB36" s="41"/>
      <c r="AC36" s="43">
        <f>SUM(AC29:AC35)+AC28</f>
        <v>57.501106000000007</v>
      </c>
      <c r="AD36" s="31"/>
      <c r="AE36" s="32">
        <f t="shared" si="12"/>
        <v>0.50199999999999534</v>
      </c>
      <c r="AF36" s="33">
        <f t="shared" ref="AF36:AF46" si="40">IF((W36)=0,"",(AE36/W36))</f>
        <v>8.8071556771433437E-3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1037.9000000000001</v>
      </c>
      <c r="G37" s="20">
        <v>6.8009505892390144E-3</v>
      </c>
      <c r="H37" s="18">
        <f>$F37*G37</f>
        <v>7.0587066165711736</v>
      </c>
      <c r="I37" s="19"/>
      <c r="J37" s="20">
        <v>6.4999999999999997E-3</v>
      </c>
      <c r="K37" s="18">
        <f>$F37*J37</f>
        <v>6.7463500000000005</v>
      </c>
      <c r="L37" s="19"/>
      <c r="M37" s="21">
        <f t="shared" si="35"/>
        <v>-0.31235661657117308</v>
      </c>
      <c r="N37" s="22">
        <f t="shared" si="37"/>
        <v>-4.4251253599048565E-2</v>
      </c>
      <c r="O37" s="212"/>
      <c r="P37" s="20">
        <v>6.4999999999999997E-3</v>
      </c>
      <c r="Q37" s="18">
        <f>$F37*P37</f>
        <v>6.7463500000000005</v>
      </c>
      <c r="R37" s="19"/>
      <c r="S37" s="21">
        <f t="shared" si="10"/>
        <v>0</v>
      </c>
      <c r="T37" s="22">
        <f t="shared" si="38"/>
        <v>0</v>
      </c>
      <c r="U37" s="19"/>
      <c r="V37" s="20">
        <v>6.4999999999999997E-3</v>
      </c>
      <c r="W37" s="18">
        <f>$F37*V37</f>
        <v>6.7463500000000005</v>
      </c>
      <c r="X37" s="19"/>
      <c r="Y37" s="21">
        <f t="shared" si="11"/>
        <v>0</v>
      </c>
      <c r="Z37" s="22">
        <f t="shared" si="39"/>
        <v>0</v>
      </c>
      <c r="AA37" s="19"/>
      <c r="AB37" s="20">
        <v>6.4999999999999997E-3</v>
      </c>
      <c r="AC37" s="18">
        <f>$F37*AB37</f>
        <v>6.7463500000000005</v>
      </c>
      <c r="AD37" s="19"/>
      <c r="AE37" s="21">
        <f t="shared" si="12"/>
        <v>0</v>
      </c>
      <c r="AF37" s="22">
        <f t="shared" si="40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1037.9000000000001</v>
      </c>
      <c r="G38" s="20">
        <v>5.3223476369492068E-3</v>
      </c>
      <c r="H38" s="18">
        <f>$F38*G38</f>
        <v>5.5240646123895818</v>
      </c>
      <c r="I38" s="19"/>
      <c r="J38" s="20">
        <v>5.3E-3</v>
      </c>
      <c r="K38" s="18">
        <f>$F38*J38</f>
        <v>5.5008700000000008</v>
      </c>
      <c r="L38" s="19"/>
      <c r="M38" s="21">
        <f t="shared" si="35"/>
        <v>-2.3194612389580982E-2</v>
      </c>
      <c r="N38" s="22">
        <f t="shared" si="37"/>
        <v>-4.1988307554475784E-3</v>
      </c>
      <c r="O38" s="212"/>
      <c r="P38" s="20">
        <v>5.3E-3</v>
      </c>
      <c r="Q38" s="18">
        <f>$F38*P38</f>
        <v>5.5008700000000008</v>
      </c>
      <c r="R38" s="19"/>
      <c r="S38" s="21">
        <f t="shared" si="10"/>
        <v>0</v>
      </c>
      <c r="T38" s="22">
        <f t="shared" si="38"/>
        <v>0</v>
      </c>
      <c r="U38" s="19"/>
      <c r="V38" s="20">
        <v>5.3E-3</v>
      </c>
      <c r="W38" s="18">
        <f>$F38*V38</f>
        <v>5.5008700000000008</v>
      </c>
      <c r="X38" s="19"/>
      <c r="Y38" s="21">
        <f t="shared" si="11"/>
        <v>0</v>
      </c>
      <c r="Z38" s="22">
        <f t="shared" si="39"/>
        <v>0</v>
      </c>
      <c r="AA38" s="19"/>
      <c r="AB38" s="20">
        <v>5.3E-3</v>
      </c>
      <c r="AC38" s="18">
        <f>$F38*AB38</f>
        <v>5.5008700000000008</v>
      </c>
      <c r="AD38" s="19"/>
      <c r="AE38" s="21">
        <f t="shared" si="12"/>
        <v>0</v>
      </c>
      <c r="AF38" s="22">
        <f t="shared" si="4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72.229726883909692</v>
      </c>
      <c r="I39" s="48"/>
      <c r="J39" s="47"/>
      <c r="K39" s="43">
        <f>SUM(K36:K38)</f>
        <v>69.363956000000016</v>
      </c>
      <c r="L39" s="48"/>
      <c r="M39" s="32">
        <f t="shared" si="35"/>
        <v>-2.8657708839096756</v>
      </c>
      <c r="N39" s="33">
        <f t="shared" si="37"/>
        <v>-3.9675781808169497E-2</v>
      </c>
      <c r="O39" s="212"/>
      <c r="P39" s="47"/>
      <c r="Q39" s="43">
        <f>SUM(Q36:Q38)</f>
        <v>68.99632600000001</v>
      </c>
      <c r="R39" s="48"/>
      <c r="S39" s="32">
        <f t="shared" si="10"/>
        <v>-0.36763000000000545</v>
      </c>
      <c r="T39" s="33">
        <f t="shared" si="38"/>
        <v>-5.3000148953442818E-3</v>
      </c>
      <c r="U39" s="48"/>
      <c r="V39" s="47"/>
      <c r="W39" s="43">
        <f>SUM(W36:W38)</f>
        <v>69.24632600000001</v>
      </c>
      <c r="X39" s="48"/>
      <c r="Y39" s="32">
        <f t="shared" si="11"/>
        <v>0.25</v>
      </c>
      <c r="Z39" s="33">
        <f t="shared" si="39"/>
        <v>3.6233813377251414E-3</v>
      </c>
      <c r="AA39" s="48"/>
      <c r="AB39" s="47"/>
      <c r="AC39" s="43">
        <f>SUM(AC36:AC38)</f>
        <v>69.74832600000002</v>
      </c>
      <c r="AD39" s="48"/>
      <c r="AE39" s="32">
        <f t="shared" si="12"/>
        <v>0.50200000000000955</v>
      </c>
      <c r="AF39" s="33">
        <f t="shared" si="40"/>
        <v>7.2494820880462229E-3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1037.9000000000001</v>
      </c>
      <c r="G40" s="50">
        <v>4.7000000000000002E-3</v>
      </c>
      <c r="H40" s="152">
        <f t="shared" ref="H40:H48" si="41">$F40*G40</f>
        <v>4.8781300000000005</v>
      </c>
      <c r="I40" s="19"/>
      <c r="J40" s="50">
        <v>4.7000000000000002E-3</v>
      </c>
      <c r="K40" s="152">
        <f t="shared" ref="K40:K48" si="42">$F40*J40</f>
        <v>4.8781300000000005</v>
      </c>
      <c r="L40" s="19"/>
      <c r="M40" s="21">
        <f t="shared" si="35"/>
        <v>0</v>
      </c>
      <c r="N40" s="153">
        <f t="shared" si="37"/>
        <v>0</v>
      </c>
      <c r="O40" s="212"/>
      <c r="P40" s="50">
        <v>4.7000000000000002E-3</v>
      </c>
      <c r="Q40" s="152">
        <f t="shared" ref="Q40:Q48" si="43">$F40*P40</f>
        <v>4.8781300000000005</v>
      </c>
      <c r="R40" s="19"/>
      <c r="S40" s="21">
        <f t="shared" si="10"/>
        <v>0</v>
      </c>
      <c r="T40" s="153">
        <f t="shared" si="38"/>
        <v>0</v>
      </c>
      <c r="U40" s="19"/>
      <c r="V40" s="50">
        <v>4.7000000000000002E-3</v>
      </c>
      <c r="W40" s="152">
        <f t="shared" ref="W40:W48" si="44">$F40*V40</f>
        <v>4.8781300000000005</v>
      </c>
      <c r="X40" s="19"/>
      <c r="Y40" s="21">
        <f t="shared" si="11"/>
        <v>0</v>
      </c>
      <c r="Z40" s="153">
        <f t="shared" si="39"/>
        <v>0</v>
      </c>
      <c r="AA40" s="19"/>
      <c r="AB40" s="50">
        <v>4.7000000000000002E-3</v>
      </c>
      <c r="AC40" s="152">
        <f t="shared" ref="AC40:AC48" si="45">$F40*AB40</f>
        <v>4.8781300000000005</v>
      </c>
      <c r="AD40" s="19"/>
      <c r="AE40" s="21">
        <f t="shared" si="12"/>
        <v>0</v>
      </c>
      <c r="AF40" s="153">
        <f t="shared" si="4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1037.9000000000001</v>
      </c>
      <c r="G41" s="50">
        <v>1.2999999999999999E-3</v>
      </c>
      <c r="H41" s="152">
        <f t="shared" si="41"/>
        <v>1.34927</v>
      </c>
      <c r="I41" s="19"/>
      <c r="J41" s="50">
        <v>2.0999999999999999E-3</v>
      </c>
      <c r="K41" s="152">
        <f t="shared" si="42"/>
        <v>2.1795900000000001</v>
      </c>
      <c r="L41" s="19"/>
      <c r="M41" s="21">
        <f t="shared" si="35"/>
        <v>0.83032000000000017</v>
      </c>
      <c r="N41" s="153">
        <f t="shared" si="37"/>
        <v>0.61538461538461553</v>
      </c>
      <c r="O41" s="212"/>
      <c r="P41" s="50">
        <v>2.0999999999999999E-3</v>
      </c>
      <c r="Q41" s="152">
        <f t="shared" si="43"/>
        <v>2.1795900000000001</v>
      </c>
      <c r="R41" s="19"/>
      <c r="S41" s="21">
        <f t="shared" si="10"/>
        <v>0</v>
      </c>
      <c r="T41" s="153">
        <f t="shared" si="38"/>
        <v>0</v>
      </c>
      <c r="U41" s="19"/>
      <c r="V41" s="50">
        <v>2.0999999999999999E-3</v>
      </c>
      <c r="W41" s="152">
        <f t="shared" si="44"/>
        <v>2.1795900000000001</v>
      </c>
      <c r="X41" s="19"/>
      <c r="Y41" s="21">
        <f t="shared" si="11"/>
        <v>0</v>
      </c>
      <c r="Z41" s="153">
        <f t="shared" si="39"/>
        <v>0</v>
      </c>
      <c r="AA41" s="19"/>
      <c r="AB41" s="50">
        <v>2.0999999999999999E-3</v>
      </c>
      <c r="AC41" s="152">
        <f t="shared" si="45"/>
        <v>2.1795900000000001</v>
      </c>
      <c r="AD41" s="19"/>
      <c r="AE41" s="21">
        <f t="shared" si="12"/>
        <v>0</v>
      </c>
      <c r="AF41" s="153">
        <f t="shared" si="4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41"/>
        <v>0.25</v>
      </c>
      <c r="I42" s="19"/>
      <c r="J42" s="50">
        <v>0.25</v>
      </c>
      <c r="K42" s="152">
        <f t="shared" si="42"/>
        <v>0.25</v>
      </c>
      <c r="L42" s="19"/>
      <c r="M42" s="21">
        <f t="shared" si="35"/>
        <v>0</v>
      </c>
      <c r="N42" s="153">
        <f t="shared" si="37"/>
        <v>0</v>
      </c>
      <c r="O42" s="212"/>
      <c r="P42" s="50">
        <v>0.25</v>
      </c>
      <c r="Q42" s="152">
        <f t="shared" si="43"/>
        <v>0.25</v>
      </c>
      <c r="R42" s="19"/>
      <c r="S42" s="21">
        <f t="shared" si="10"/>
        <v>0</v>
      </c>
      <c r="T42" s="153">
        <f t="shared" si="38"/>
        <v>0</v>
      </c>
      <c r="U42" s="19"/>
      <c r="V42" s="50">
        <v>0.25</v>
      </c>
      <c r="W42" s="152">
        <f t="shared" si="44"/>
        <v>0.25</v>
      </c>
      <c r="X42" s="19"/>
      <c r="Y42" s="21">
        <f t="shared" si="11"/>
        <v>0</v>
      </c>
      <c r="Z42" s="153">
        <f t="shared" si="39"/>
        <v>0</v>
      </c>
      <c r="AA42" s="19"/>
      <c r="AB42" s="50">
        <v>0.25</v>
      </c>
      <c r="AC42" s="152">
        <f t="shared" si="45"/>
        <v>0.25</v>
      </c>
      <c r="AD42" s="19"/>
      <c r="AE42" s="21">
        <f t="shared" si="12"/>
        <v>0</v>
      </c>
      <c r="AF42" s="153">
        <f t="shared" si="4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1000</v>
      </c>
      <c r="G43" s="50">
        <v>7.0000000000000001E-3</v>
      </c>
      <c r="H43" s="152">
        <f t="shared" si="41"/>
        <v>7</v>
      </c>
      <c r="I43" s="19"/>
      <c r="J43" s="50">
        <v>7.0000000000000001E-3</v>
      </c>
      <c r="K43" s="152">
        <f t="shared" si="42"/>
        <v>7</v>
      </c>
      <c r="L43" s="19"/>
      <c r="M43" s="21">
        <f t="shared" si="35"/>
        <v>0</v>
      </c>
      <c r="N43" s="153">
        <f t="shared" si="37"/>
        <v>0</v>
      </c>
      <c r="O43" s="212"/>
      <c r="P43" s="50">
        <v>7.0000000000000001E-3</v>
      </c>
      <c r="Q43" s="152">
        <f t="shared" si="43"/>
        <v>7</v>
      </c>
      <c r="R43" s="19"/>
      <c r="S43" s="21">
        <f t="shared" si="10"/>
        <v>0</v>
      </c>
      <c r="T43" s="153">
        <f t="shared" si="38"/>
        <v>0</v>
      </c>
      <c r="U43" s="19"/>
      <c r="V43" s="50">
        <v>7.0000000000000001E-3</v>
      </c>
      <c r="W43" s="152">
        <f t="shared" si="44"/>
        <v>7</v>
      </c>
      <c r="X43" s="19"/>
      <c r="Y43" s="21">
        <f t="shared" si="11"/>
        <v>0</v>
      </c>
      <c r="Z43" s="153">
        <f t="shared" si="39"/>
        <v>0</v>
      </c>
      <c r="AA43" s="19"/>
      <c r="AB43" s="50">
        <v>7.0000000000000001E-3</v>
      </c>
      <c r="AC43" s="152">
        <f t="shared" si="45"/>
        <v>7</v>
      </c>
      <c r="AD43" s="19"/>
      <c r="AE43" s="21">
        <f t="shared" si="12"/>
        <v>0</v>
      </c>
      <c r="AF43" s="153">
        <f t="shared" si="4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640</v>
      </c>
      <c r="G44" s="54">
        <v>8.6999999999999994E-2</v>
      </c>
      <c r="H44" s="152">
        <f t="shared" si="41"/>
        <v>55.679999999999993</v>
      </c>
      <c r="I44" s="19"/>
      <c r="J44" s="54">
        <f>+G44</f>
        <v>8.6999999999999994E-2</v>
      </c>
      <c r="K44" s="152">
        <f t="shared" si="42"/>
        <v>55.679999999999993</v>
      </c>
      <c r="L44" s="19"/>
      <c r="M44" s="21">
        <f t="shared" si="35"/>
        <v>0</v>
      </c>
      <c r="N44" s="153">
        <f t="shared" si="37"/>
        <v>0</v>
      </c>
      <c r="O44" s="212"/>
      <c r="P44" s="54">
        <v>0.08</v>
      </c>
      <c r="Q44" s="152">
        <f t="shared" si="43"/>
        <v>51.2</v>
      </c>
      <c r="R44" s="19"/>
      <c r="S44" s="21">
        <f t="shared" si="10"/>
        <v>-4.4799999999999898</v>
      </c>
      <c r="T44" s="153">
        <f t="shared" si="38"/>
        <v>-8.0459770114942361E-2</v>
      </c>
      <c r="U44" s="19"/>
      <c r="V44" s="54">
        <v>0.08</v>
      </c>
      <c r="W44" s="152">
        <f t="shared" si="44"/>
        <v>51.2</v>
      </c>
      <c r="X44" s="19"/>
      <c r="Y44" s="21">
        <f t="shared" si="11"/>
        <v>0</v>
      </c>
      <c r="Z44" s="153">
        <f t="shared" si="39"/>
        <v>0</v>
      </c>
      <c r="AA44" s="19"/>
      <c r="AB44" s="54">
        <v>0.08</v>
      </c>
      <c r="AC44" s="152">
        <f t="shared" si="45"/>
        <v>51.2</v>
      </c>
      <c r="AD44" s="19"/>
      <c r="AE44" s="21">
        <f t="shared" si="12"/>
        <v>0</v>
      </c>
      <c r="AF44" s="153">
        <f t="shared" si="4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180</v>
      </c>
      <c r="G45" s="54">
        <v>0.13200000000000001</v>
      </c>
      <c r="H45" s="152">
        <f t="shared" si="41"/>
        <v>23.76</v>
      </c>
      <c r="I45" s="19"/>
      <c r="J45" s="54">
        <f>+G45</f>
        <v>0.13200000000000001</v>
      </c>
      <c r="K45" s="152">
        <f t="shared" si="42"/>
        <v>23.76</v>
      </c>
      <c r="L45" s="19"/>
      <c r="M45" s="21">
        <f t="shared" si="35"/>
        <v>0</v>
      </c>
      <c r="N45" s="153">
        <f t="shared" si="37"/>
        <v>0</v>
      </c>
      <c r="O45" s="212"/>
      <c r="P45" s="54">
        <v>0.122</v>
      </c>
      <c r="Q45" s="152">
        <f t="shared" si="43"/>
        <v>21.96</v>
      </c>
      <c r="R45" s="19"/>
      <c r="S45" s="21">
        <f t="shared" si="10"/>
        <v>-1.8000000000000007</v>
      </c>
      <c r="T45" s="153">
        <f t="shared" si="38"/>
        <v>-7.5757575757575787E-2</v>
      </c>
      <c r="U45" s="19"/>
      <c r="V45" s="54">
        <v>0.122</v>
      </c>
      <c r="W45" s="152">
        <f t="shared" si="44"/>
        <v>21.96</v>
      </c>
      <c r="X45" s="19"/>
      <c r="Y45" s="21">
        <f t="shared" si="11"/>
        <v>0</v>
      </c>
      <c r="Z45" s="153">
        <f t="shared" si="39"/>
        <v>0</v>
      </c>
      <c r="AA45" s="19"/>
      <c r="AB45" s="54">
        <v>0.122</v>
      </c>
      <c r="AC45" s="152">
        <f t="shared" si="45"/>
        <v>21.96</v>
      </c>
      <c r="AD45" s="19"/>
      <c r="AE45" s="21">
        <f t="shared" si="12"/>
        <v>0</v>
      </c>
      <c r="AF45" s="153">
        <f t="shared" si="40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180</v>
      </c>
      <c r="G46" s="54">
        <v>0.18</v>
      </c>
      <c r="H46" s="152">
        <f t="shared" si="41"/>
        <v>32.4</v>
      </c>
      <c r="I46" s="19"/>
      <c r="J46" s="54">
        <f>+G46</f>
        <v>0.18</v>
      </c>
      <c r="K46" s="152">
        <f t="shared" si="42"/>
        <v>32.4</v>
      </c>
      <c r="L46" s="19"/>
      <c r="M46" s="21">
        <f t="shared" si="35"/>
        <v>0</v>
      </c>
      <c r="N46" s="153">
        <f t="shared" si="37"/>
        <v>0</v>
      </c>
      <c r="O46" s="212"/>
      <c r="P46" s="54">
        <v>0.161</v>
      </c>
      <c r="Q46" s="152">
        <f t="shared" si="43"/>
        <v>28.98</v>
      </c>
      <c r="R46" s="19"/>
      <c r="S46" s="21">
        <f t="shared" si="10"/>
        <v>-3.4199999999999982</v>
      </c>
      <c r="T46" s="153">
        <f t="shared" si="38"/>
        <v>-0.1055555555555555</v>
      </c>
      <c r="U46" s="19"/>
      <c r="V46" s="54">
        <v>0.161</v>
      </c>
      <c r="W46" s="152">
        <f t="shared" si="44"/>
        <v>28.98</v>
      </c>
      <c r="X46" s="19"/>
      <c r="Y46" s="21">
        <f t="shared" si="11"/>
        <v>0</v>
      </c>
      <c r="Z46" s="153">
        <f t="shared" si="39"/>
        <v>0</v>
      </c>
      <c r="AA46" s="19"/>
      <c r="AB46" s="54">
        <v>0.161</v>
      </c>
      <c r="AC46" s="152">
        <f t="shared" si="45"/>
        <v>28.98</v>
      </c>
      <c r="AD46" s="19"/>
      <c r="AE46" s="21">
        <f t="shared" si="12"/>
        <v>0</v>
      </c>
      <c r="AF46" s="153">
        <f t="shared" si="4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0.10299999999999999</v>
      </c>
      <c r="H47" s="152">
        <f t="shared" si="41"/>
        <v>77.25</v>
      </c>
      <c r="I47" s="59"/>
      <c r="J47" s="54">
        <f>+G47</f>
        <v>0.10299999999999999</v>
      </c>
      <c r="K47" s="152">
        <f t="shared" si="42"/>
        <v>77.25</v>
      </c>
      <c r="L47" s="59"/>
      <c r="M47" s="60">
        <f t="shared" si="35"/>
        <v>0</v>
      </c>
      <c r="N47" s="153">
        <f>IF((H47)=FALSE,"",(M47/H47))</f>
        <v>0</v>
      </c>
      <c r="O47" s="212"/>
      <c r="P47" s="54">
        <v>9.4E-2</v>
      </c>
      <c r="Q47" s="152">
        <f t="shared" si="43"/>
        <v>70.5</v>
      </c>
      <c r="R47" s="59"/>
      <c r="S47" s="60">
        <f t="shared" si="10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4"/>
        <v>70.5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4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G7&gt;=750), G7-750, IF(AND(N3=1, AND(G7&lt;750, G7&gt;=0)), 0, IF(AND(N3=2, G7&gt;=750), G7-750, IF(AND(N3=2, AND(G7&lt;750, G7&gt;=0)), 0))))</f>
        <v>250</v>
      </c>
      <c r="G48" s="54">
        <v>0.121</v>
      </c>
      <c r="H48" s="152">
        <f t="shared" si="41"/>
        <v>30.25</v>
      </c>
      <c r="I48" s="59"/>
      <c r="J48" s="54">
        <f>+G48</f>
        <v>0.121</v>
      </c>
      <c r="K48" s="152">
        <f t="shared" si="42"/>
        <v>30.25</v>
      </c>
      <c r="L48" s="59"/>
      <c r="M48" s="60">
        <f t="shared" si="35"/>
        <v>0</v>
      </c>
      <c r="N48" s="153">
        <f>IF((H48)=FALSE,"",(M48/H48))</f>
        <v>0</v>
      </c>
      <c r="O48" s="212"/>
      <c r="P48" s="54">
        <v>0.11</v>
      </c>
      <c r="Q48" s="152">
        <f t="shared" si="43"/>
        <v>27.5</v>
      </c>
      <c r="R48" s="59"/>
      <c r="S48" s="60">
        <f t="shared" si="10"/>
        <v>-2.75</v>
      </c>
      <c r="T48" s="153">
        <f>IF((K48)=FALSE,"",(S48/K48))</f>
        <v>-9.0909090909090912E-2</v>
      </c>
      <c r="U48" s="59"/>
      <c r="V48" s="54">
        <v>0.11</v>
      </c>
      <c r="W48" s="152">
        <f t="shared" si="44"/>
        <v>27.5</v>
      </c>
      <c r="X48" s="59"/>
      <c r="Y48" s="60">
        <f t="shared" si="11"/>
        <v>0</v>
      </c>
      <c r="Z48" s="153">
        <f>IF((Q48)=FALSE,"",(Y48/Q48))</f>
        <v>0</v>
      </c>
      <c r="AA48" s="59"/>
      <c r="AB48" s="54">
        <v>0.11</v>
      </c>
      <c r="AC48" s="152">
        <f t="shared" si="45"/>
        <v>27.5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5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197.5471268839097</v>
      </c>
      <c r="I50" s="75"/>
      <c r="J50" s="72"/>
      <c r="K50" s="74">
        <f>SUM(K40:K46,K39)</f>
        <v>195.51167600000002</v>
      </c>
      <c r="L50" s="75"/>
      <c r="M50" s="76">
        <f t="shared" si="35"/>
        <v>-2.0354508839096752</v>
      </c>
      <c r="N50" s="77">
        <f>IF((H50)=0,"",(M50/H50))</f>
        <v>-1.0303621804157273E-2</v>
      </c>
      <c r="O50" s="212"/>
      <c r="P50" s="72"/>
      <c r="Q50" s="74">
        <f>SUM(Q40:Q46,Q39)</f>
        <v>185.44404600000001</v>
      </c>
      <c r="R50" s="75"/>
      <c r="S50" s="76">
        <f t="shared" si="10"/>
        <v>-10.067630000000008</v>
      </c>
      <c r="T50" s="77">
        <f>IF((K50)=0,"",(S50/K50))</f>
        <v>-5.1493753242645247E-2</v>
      </c>
      <c r="U50" s="75"/>
      <c r="V50" s="72"/>
      <c r="W50" s="74">
        <f>SUM(W40:W46,W39)</f>
        <v>185.69404600000001</v>
      </c>
      <c r="X50" s="75"/>
      <c r="Y50" s="76">
        <f t="shared" si="11"/>
        <v>0.25</v>
      </c>
      <c r="Z50" s="77">
        <f>IF((Q50)=0,"",(Y50/Q50))</f>
        <v>1.3481155388510018E-3</v>
      </c>
      <c r="AA50" s="75"/>
      <c r="AB50" s="72"/>
      <c r="AC50" s="74">
        <f>SUM(AC40:AC46,AC39)</f>
        <v>186.19604600000002</v>
      </c>
      <c r="AD50" s="75"/>
      <c r="AE50" s="76">
        <f t="shared" si="12"/>
        <v>0.50200000000000955</v>
      </c>
      <c r="AF50" s="77">
        <f>IF((W50)=0,"",(AE50/W50))</f>
        <v>2.7033715448259955E-3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25.681126494908263</v>
      </c>
      <c r="I51" s="81"/>
      <c r="J51" s="79">
        <v>0.13</v>
      </c>
      <c r="K51" s="82">
        <f>K50*J51</f>
        <v>25.416517880000004</v>
      </c>
      <c r="L51" s="81"/>
      <c r="M51" s="83">
        <f t="shared" si="35"/>
        <v>-0.26460861490825849</v>
      </c>
      <c r="N51" s="84">
        <f>IF((H51)=0,"",(M51/H51))</f>
        <v>-1.0303621804157299E-2</v>
      </c>
      <c r="O51" s="212"/>
      <c r="P51" s="79">
        <v>0.13</v>
      </c>
      <c r="Q51" s="82">
        <f>Q50*P51</f>
        <v>24.107725980000001</v>
      </c>
      <c r="R51" s="81"/>
      <c r="S51" s="83">
        <f t="shared" si="10"/>
        <v>-1.3087919000000028</v>
      </c>
      <c r="T51" s="84">
        <f>IF((K51)=0,"",(S51/K51))</f>
        <v>-5.149375324264531E-2</v>
      </c>
      <c r="U51" s="81"/>
      <c r="V51" s="79">
        <v>0.13</v>
      </c>
      <c r="W51" s="82">
        <f>W50*V51</f>
        <v>24.140225980000004</v>
      </c>
      <c r="X51" s="81"/>
      <c r="Y51" s="83">
        <f t="shared" si="11"/>
        <v>3.2500000000002416E-2</v>
      </c>
      <c r="Z51" s="84">
        <f>IF((Q51)=0,"",(Y51/Q51))</f>
        <v>1.3481155388511022E-3</v>
      </c>
      <c r="AA51" s="81"/>
      <c r="AB51" s="79">
        <v>0.13</v>
      </c>
      <c r="AC51" s="82">
        <f>AC50*AB51</f>
        <v>24.205485980000002</v>
      </c>
      <c r="AD51" s="81"/>
      <c r="AE51" s="83">
        <f t="shared" si="12"/>
        <v>6.5259999999998541E-2</v>
      </c>
      <c r="AF51" s="84">
        <f>IF((W51)=0,"",(AE51/W51))</f>
        <v>2.7033715448258836E-3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223.22825337881795</v>
      </c>
      <c r="I52" s="81"/>
      <c r="J52" s="86"/>
      <c r="K52" s="82">
        <f>K50+K51</f>
        <v>220.92819388000004</v>
      </c>
      <c r="L52" s="81"/>
      <c r="M52" s="83">
        <f t="shared" si="35"/>
        <v>-2.3000594988179159</v>
      </c>
      <c r="N52" s="84">
        <f>IF((H52)=0,"",(M52/H52))</f>
        <v>-1.0303621804157196E-2</v>
      </c>
      <c r="O52" s="212"/>
      <c r="P52" s="86"/>
      <c r="Q52" s="82">
        <f>Q50+Q51</f>
        <v>209.55177198000001</v>
      </c>
      <c r="R52" s="81"/>
      <c r="S52" s="83">
        <f t="shared" si="10"/>
        <v>-11.376421900000025</v>
      </c>
      <c r="T52" s="84">
        <f>IF((K52)=0,"",(S52/K52))</f>
        <v>-5.1493753242645317E-2</v>
      </c>
      <c r="U52" s="81"/>
      <c r="V52" s="86"/>
      <c r="W52" s="82">
        <f>W50+W51</f>
        <v>209.83427198000001</v>
      </c>
      <c r="X52" s="81"/>
      <c r="Y52" s="83">
        <f t="shared" si="11"/>
        <v>0.28249999999999886</v>
      </c>
      <c r="Z52" s="84">
        <f>IF((Q52)=0,"",(Y52/Q52))</f>
        <v>1.3481155388509966E-3</v>
      </c>
      <c r="AA52" s="81"/>
      <c r="AB52" s="86"/>
      <c r="AC52" s="82">
        <f>AC50+AC51</f>
        <v>210.40153198000002</v>
      </c>
      <c r="AD52" s="81"/>
      <c r="AE52" s="83">
        <f t="shared" si="12"/>
        <v>0.56726000000000454</v>
      </c>
      <c r="AF52" s="84">
        <f>IF((W52)=0,"",(AE52/W52))</f>
        <v>2.703371544825966E-3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-15.640934080000003</v>
      </c>
      <c r="L53" s="81"/>
      <c r="M53" s="88">
        <f t="shared" si="35"/>
        <v>-15.640934080000003</v>
      </c>
      <c r="N53" s="89" t="str">
        <f>IF((H53)=0,"",(M53/H53))</f>
        <v/>
      </c>
      <c r="O53" s="212"/>
      <c r="P53" s="86"/>
      <c r="Q53" s="87">
        <f>ROUND(-Q52*10%,2)</f>
        <v>-20.96</v>
      </c>
      <c r="R53" s="81"/>
      <c r="S53" s="88">
        <f t="shared" si="10"/>
        <v>-5.3190659199999981</v>
      </c>
      <c r="T53" s="89">
        <f>IF((K53)=0,"",(S53/K53))</f>
        <v>0.34007341842847261</v>
      </c>
      <c r="U53" s="81"/>
      <c r="V53" s="86"/>
      <c r="W53" s="87">
        <f>ROUND(-W52*10%,2)</f>
        <v>-20.98</v>
      </c>
      <c r="X53" s="81"/>
      <c r="Y53" s="88">
        <f t="shared" si="11"/>
        <v>-1.9999999999999574E-2</v>
      </c>
      <c r="Z53" s="89">
        <f>IF((Q53)=0,"",(Y53/Q53))</f>
        <v>9.5419847328242233E-4</v>
      </c>
      <c r="AA53" s="81"/>
      <c r="AB53" s="86"/>
      <c r="AC53" s="87">
        <f>ROUND(-AC52*10%,2)</f>
        <v>-21.04</v>
      </c>
      <c r="AD53" s="81"/>
      <c r="AE53" s="88">
        <f t="shared" si="12"/>
        <v>-5.9999999999998721E-2</v>
      </c>
      <c r="AF53" s="89">
        <f>IF((W53)=0,"",(AE53/W53))</f>
        <v>2.8598665395614263E-3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223.22825337881795</v>
      </c>
      <c r="I54" s="92"/>
      <c r="J54" s="90"/>
      <c r="K54" s="93">
        <f>K52+K53</f>
        <v>205.28725980000004</v>
      </c>
      <c r="L54" s="92"/>
      <c r="M54" s="94">
        <f t="shared" si="35"/>
        <v>-17.94099357881791</v>
      </c>
      <c r="N54" s="95">
        <f>IF((H54)=0,"",(M54/H54))</f>
        <v>-8.0370622030411509E-2</v>
      </c>
      <c r="O54" s="212"/>
      <c r="P54" s="90"/>
      <c r="Q54" s="93">
        <f>Q52+Q53</f>
        <v>188.59177198</v>
      </c>
      <c r="R54" s="92"/>
      <c r="S54" s="94">
        <f t="shared" si="10"/>
        <v>-16.695487820000039</v>
      </c>
      <c r="T54" s="95">
        <f>IF((K54)=0,"",(S54/K54))</f>
        <v>-8.1327442512825809E-2</v>
      </c>
      <c r="U54" s="92"/>
      <c r="V54" s="90"/>
      <c r="W54" s="93">
        <f>W52+W53</f>
        <v>188.85427198000002</v>
      </c>
      <c r="X54" s="92"/>
      <c r="Y54" s="94">
        <f t="shared" si="11"/>
        <v>0.26250000000001705</v>
      </c>
      <c r="Z54" s="95">
        <f>IF((Q54)=0,"",(Y54/Q54))</f>
        <v>1.3918952944980811E-3</v>
      </c>
      <c r="AA54" s="92"/>
      <c r="AB54" s="90"/>
      <c r="AC54" s="93">
        <f>AC52+AC53</f>
        <v>189.36153198000002</v>
      </c>
      <c r="AD54" s="92"/>
      <c r="AE54" s="94">
        <f t="shared" si="12"/>
        <v>0.50726000000000226</v>
      </c>
      <c r="AF54" s="95">
        <f>IF((W54)=0,"",(AE54/W54))</f>
        <v>2.6859863675931139E-3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5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193.20712688390967</v>
      </c>
      <c r="I56" s="106"/>
      <c r="J56" s="103"/>
      <c r="K56" s="105">
        <f>SUM(K47:K48,K39,K40:K43)</f>
        <v>191.17167600000002</v>
      </c>
      <c r="L56" s="106"/>
      <c r="M56" s="107">
        <f t="shared" si="35"/>
        <v>-2.0354508839096468</v>
      </c>
      <c r="N56" s="77">
        <f>IF((H56)=0,"",(M56/H56))</f>
        <v>-1.0535071437259489E-2</v>
      </c>
      <c r="O56" s="212"/>
      <c r="P56" s="103"/>
      <c r="Q56" s="105">
        <f>SUM(Q47:Q48,Q39,Q40:Q43)</f>
        <v>181.304046</v>
      </c>
      <c r="R56" s="106"/>
      <c r="S56" s="107">
        <f t="shared" si="10"/>
        <v>-9.8676300000000197</v>
      </c>
      <c r="T56" s="77">
        <f>IF((K56)=0,"",(S56/K56))</f>
        <v>-5.1616589896926045E-2</v>
      </c>
      <c r="U56" s="106"/>
      <c r="V56" s="103"/>
      <c r="W56" s="105">
        <f>SUM(W47:W48,W39,W40:W43)</f>
        <v>181.554046</v>
      </c>
      <c r="X56" s="106"/>
      <c r="Y56" s="107">
        <f t="shared" si="11"/>
        <v>0.25</v>
      </c>
      <c r="Z56" s="77">
        <f>IF((Q56)=0,"",(Y56/Q56))</f>
        <v>1.3788991780139313E-3</v>
      </c>
      <c r="AA56" s="106"/>
      <c r="AB56" s="103"/>
      <c r="AC56" s="105">
        <f>SUM(AC47:AC48,AC39,AC40:AC43)</f>
        <v>182.05604600000001</v>
      </c>
      <c r="AD56" s="106"/>
      <c r="AE56" s="107">
        <f t="shared" si="12"/>
        <v>0.50200000000000955</v>
      </c>
      <c r="AF56" s="77">
        <f>IF((W56)=0,"",(AE56/W56))</f>
        <v>2.7650168699628404E-3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25.116926494908256</v>
      </c>
      <c r="I57" s="110"/>
      <c r="J57" s="109">
        <v>0.13</v>
      </c>
      <c r="K57" s="111">
        <f>K56*J57</f>
        <v>24.852317880000005</v>
      </c>
      <c r="L57" s="110"/>
      <c r="M57" s="112">
        <f t="shared" si="35"/>
        <v>-0.26460861490825138</v>
      </c>
      <c r="N57" s="84">
        <f>IF((H57)=0,"",(M57/H57))</f>
        <v>-1.0535071437259383E-2</v>
      </c>
      <c r="O57" s="212"/>
      <c r="P57" s="109">
        <v>0.13</v>
      </c>
      <c r="Q57" s="111">
        <f>Q56*P57</f>
        <v>23.569525980000002</v>
      </c>
      <c r="R57" s="110"/>
      <c r="S57" s="112">
        <f t="shared" si="10"/>
        <v>-1.282791900000003</v>
      </c>
      <c r="T57" s="84">
        <f>IF((K57)=0,"",(S57/K57))</f>
        <v>-5.1616589896926052E-2</v>
      </c>
      <c r="U57" s="110"/>
      <c r="V57" s="109">
        <v>0.13</v>
      </c>
      <c r="W57" s="111">
        <f>W56*V57</f>
        <v>23.602025980000001</v>
      </c>
      <c r="X57" s="110"/>
      <c r="Y57" s="112">
        <f t="shared" si="11"/>
        <v>3.2499999999998863E-2</v>
      </c>
      <c r="Z57" s="84">
        <f>IF((Q57)=0,"",(Y57/Q57))</f>
        <v>1.378899178013883E-3</v>
      </c>
      <c r="AA57" s="110"/>
      <c r="AB57" s="109">
        <v>0.13</v>
      </c>
      <c r="AC57" s="111">
        <f>AC56*AB57</f>
        <v>23.667285980000003</v>
      </c>
      <c r="AD57" s="110"/>
      <c r="AE57" s="112">
        <f t="shared" si="12"/>
        <v>6.5260000000002094E-2</v>
      </c>
      <c r="AF57" s="84">
        <f>IF((W57)=0,"",(AE57/W57))</f>
        <v>2.7650168699628764E-3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218.32405337881792</v>
      </c>
      <c r="I58" s="110"/>
      <c r="J58" s="114"/>
      <c r="K58" s="111">
        <f>K56+K57</f>
        <v>216.02399388000003</v>
      </c>
      <c r="L58" s="110"/>
      <c r="M58" s="112">
        <f t="shared" si="35"/>
        <v>-2.3000594988178875</v>
      </c>
      <c r="N58" s="84">
        <f>IF((H58)=0,"",(M58/H58))</f>
        <v>-1.0535071437259428E-2</v>
      </c>
      <c r="O58" s="212"/>
      <c r="P58" s="114"/>
      <c r="Q58" s="111">
        <f>Q56+Q57</f>
        <v>204.87357198000001</v>
      </c>
      <c r="R58" s="110"/>
      <c r="S58" s="112">
        <f t="shared" si="10"/>
        <v>-11.150421900000026</v>
      </c>
      <c r="T58" s="84">
        <f>IF((K58)=0,"",(S58/K58))</f>
        <v>-5.1616589896926059E-2</v>
      </c>
      <c r="U58" s="110"/>
      <c r="V58" s="114"/>
      <c r="W58" s="111">
        <f>W56+W57</f>
        <v>205.15607198000001</v>
      </c>
      <c r="X58" s="110"/>
      <c r="Y58" s="112">
        <f t="shared" si="11"/>
        <v>0.28249999999999886</v>
      </c>
      <c r="Z58" s="84">
        <f>IF((Q58)=0,"",(Y58/Q58))</f>
        <v>1.3788991780139257E-3</v>
      </c>
      <c r="AA58" s="110"/>
      <c r="AB58" s="114"/>
      <c r="AC58" s="111">
        <f>AC56+AC57</f>
        <v>205.72333198000001</v>
      </c>
      <c r="AD58" s="110"/>
      <c r="AE58" s="112">
        <f t="shared" si="12"/>
        <v>0.56726000000000454</v>
      </c>
      <c r="AF58" s="84">
        <f>IF((W58)=0,"",(AE58/W58))</f>
        <v>2.76501686996281E-3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-15.293734080000002</v>
      </c>
      <c r="L59" s="110"/>
      <c r="M59" s="117">
        <f t="shared" si="35"/>
        <v>-15.293734080000002</v>
      </c>
      <c r="N59" s="89" t="str">
        <f>IF((H59)=0,"",(M59/H59))</f>
        <v/>
      </c>
      <c r="O59" s="212"/>
      <c r="P59" s="114"/>
      <c r="Q59" s="116">
        <f>ROUND(-Q58*10%,2)</f>
        <v>-20.49</v>
      </c>
      <c r="R59" s="110"/>
      <c r="S59" s="117">
        <f t="shared" si="10"/>
        <v>-5.1962659199999965</v>
      </c>
      <c r="T59" s="89">
        <f>IF((K59)=0,"",(S59/K59))</f>
        <v>0.33976436969669055</v>
      </c>
      <c r="U59" s="110"/>
      <c r="V59" s="114"/>
      <c r="W59" s="116">
        <f>ROUND(-W58*10%,2)</f>
        <v>-20.52</v>
      </c>
      <c r="X59" s="110"/>
      <c r="Y59" s="117">
        <f t="shared" si="11"/>
        <v>-3.0000000000001137E-2</v>
      </c>
      <c r="Z59" s="89">
        <f>IF((Q59)=0,"",(Y59/Q59))</f>
        <v>1.4641288433382693E-3</v>
      </c>
      <c r="AA59" s="110"/>
      <c r="AB59" s="114"/>
      <c r="AC59" s="116">
        <f>ROUND(-AC58*10%,2)</f>
        <v>-20.57</v>
      </c>
      <c r="AD59" s="110"/>
      <c r="AE59" s="117">
        <f t="shared" si="12"/>
        <v>-5.0000000000000711E-2</v>
      </c>
      <c r="AF59" s="89">
        <f>IF((W59)=0,"",(AE59/W59))</f>
        <v>2.4366471734893133E-3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218.32405337881792</v>
      </c>
      <c r="I60" s="120"/>
      <c r="J60" s="118"/>
      <c r="K60" s="121">
        <f>SUM(K58:K59)</f>
        <v>200.73025980000003</v>
      </c>
      <c r="L60" s="120"/>
      <c r="M60" s="122">
        <f t="shared" si="35"/>
        <v>-17.593793578817895</v>
      </c>
      <c r="N60" s="123">
        <f>IF((H60)=0,"",(M60/H60))</f>
        <v>-8.0585685848780911E-2</v>
      </c>
      <c r="O60" s="212"/>
      <c r="P60" s="118"/>
      <c r="Q60" s="121">
        <f>SUM(Q58:Q59)</f>
        <v>184.38357198</v>
      </c>
      <c r="R60" s="120"/>
      <c r="S60" s="122">
        <f t="shared" si="10"/>
        <v>-16.346687820000028</v>
      </c>
      <c r="T60" s="123">
        <f>IF((K60)=0,"",(S60/K60))</f>
        <v>-8.1436091580249254E-2</v>
      </c>
      <c r="U60" s="120"/>
      <c r="V60" s="118"/>
      <c r="W60" s="121">
        <f>SUM(W58:W59)</f>
        <v>184.63607198</v>
      </c>
      <c r="X60" s="120"/>
      <c r="Y60" s="122">
        <f t="shared" si="11"/>
        <v>0.25249999999999773</v>
      </c>
      <c r="Z60" s="123">
        <f>IF((Q60)=0,"",(Y60/Q60))</f>
        <v>1.3694278578537695E-3</v>
      </c>
      <c r="AA60" s="120"/>
      <c r="AB60" s="118"/>
      <c r="AC60" s="121">
        <f>SUM(AC58:AC59)</f>
        <v>185.15333198000002</v>
      </c>
      <c r="AD60" s="120"/>
      <c r="AE60" s="122">
        <f t="shared" si="12"/>
        <v>0.51726000000002159</v>
      </c>
      <c r="AF60" s="123">
        <f>IF((W60)=0,"",(AE60/W60))</f>
        <v>2.8015110723112213E-3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scale="52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F0"/>
    <pageSetUpPr fitToPage="1"/>
  </sheetPr>
  <dimension ref="A1:AP79"/>
  <sheetViews>
    <sheetView showGridLines="0" topLeftCell="A43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10.28515625" style="142" bestFit="1" customWidth="1"/>
    <col min="9" max="9" width="1.7109375" style="1" customWidth="1"/>
    <col min="10" max="10" width="9.85546875" style="1" bestFit="1" customWidth="1"/>
    <col min="11" max="11" width="10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10.28515625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10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10.28515625" style="1" hidden="1" customWidth="1"/>
    <col min="30" max="30" width="1.7109375" style="1" hidden="1" customWidth="1"/>
    <col min="31" max="32" width="0" style="1" hidden="1" customWidth="1"/>
    <col min="33" max="33" width="1.7109375" style="1" hidden="1" customWidth="1"/>
    <col min="34" max="34" width="9.85546875" style="1" bestFit="1" customWidth="1"/>
    <col min="35" max="35" width="10.28515625" style="1" bestFit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63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2000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41.21</v>
      </c>
      <c r="H12" s="18">
        <f t="shared" ref="H12:H27" si="0">$F12*G12</f>
        <v>41.21</v>
      </c>
      <c r="I12" s="19"/>
      <c r="J12" s="209">
        <v>41.42</v>
      </c>
      <c r="K12" s="18">
        <f t="shared" ref="K12:K27" si="1">$F12*J12</f>
        <v>41.42</v>
      </c>
      <c r="L12" s="19"/>
      <c r="M12" s="21">
        <f t="shared" ref="M12:M21" si="2">K12-H12</f>
        <v>0.21000000000000085</v>
      </c>
      <c r="N12" s="22">
        <f t="shared" ref="N12:N21" si="3">IF((H12)=0,"",(M12/H12))</f>
        <v>5.0958505217180506E-3</v>
      </c>
      <c r="O12" s="212"/>
      <c r="P12" s="16">
        <v>41.42</v>
      </c>
      <c r="Q12" s="18">
        <f t="shared" ref="Q12:Q27" si="4">$F12*P12</f>
        <v>41.42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41.58</v>
      </c>
      <c r="W12" s="18">
        <f t="shared" ref="W12:W27" si="6">$F12*V12</f>
        <v>41.58</v>
      </c>
      <c r="X12" s="19"/>
      <c r="Y12" s="21">
        <f>W12-Q12</f>
        <v>0.15999999999999659</v>
      </c>
      <c r="Z12" s="22">
        <f t="shared" ref="Z12:Z34" si="7">IF((Q12)=0,"",(Y12/Q12))</f>
        <v>3.8628681796232878E-3</v>
      </c>
      <c r="AA12" s="19"/>
      <c r="AB12" s="16">
        <v>42.57</v>
      </c>
      <c r="AC12" s="18">
        <f t="shared" ref="AC12:AC27" si="8">$F12*AB12</f>
        <v>42.57</v>
      </c>
      <c r="AD12" s="19"/>
      <c r="AE12" s="21">
        <f>AC12-W12</f>
        <v>0.99000000000000199</v>
      </c>
      <c r="AF12" s="22">
        <f t="shared" ref="AF12:AF34" si="9">IF((W12)=0,"",(AE12/W12))</f>
        <v>2.3809523809523857E-2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2.42</v>
      </c>
      <c r="H13" s="18">
        <f t="shared" si="0"/>
        <v>2.42</v>
      </c>
      <c r="I13" s="19"/>
      <c r="J13" s="209">
        <v>2.41</v>
      </c>
      <c r="K13" s="18">
        <f t="shared" si="1"/>
        <v>2.41</v>
      </c>
      <c r="L13" s="19"/>
      <c r="M13" s="21">
        <f t="shared" si="2"/>
        <v>-9.9999999999997868E-3</v>
      </c>
      <c r="N13" s="22">
        <f t="shared" si="3"/>
        <v>-4.1322314049585893E-3</v>
      </c>
      <c r="O13" s="212"/>
      <c r="P13" s="16">
        <v>2.41</v>
      </c>
      <c r="Q13" s="18">
        <f t="shared" si="4"/>
        <v>2.41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-2.41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2000</v>
      </c>
      <c r="G19" s="16">
        <v>1.06E-2</v>
      </c>
      <c r="H19" s="18">
        <f t="shared" si="0"/>
        <v>21.2</v>
      </c>
      <c r="I19" s="19"/>
      <c r="J19" s="16">
        <v>1.0699999999999999E-2</v>
      </c>
      <c r="K19" s="18">
        <f t="shared" si="1"/>
        <v>21.4</v>
      </c>
      <c r="L19" s="19"/>
      <c r="M19" s="21">
        <f t="shared" si="2"/>
        <v>0.19999999999999929</v>
      </c>
      <c r="N19" s="22">
        <f t="shared" si="3"/>
        <v>9.4339622641509101E-3</v>
      </c>
      <c r="O19" s="212"/>
      <c r="P19" s="16">
        <v>1.0699999999999999E-2</v>
      </c>
      <c r="Q19" s="18">
        <f t="shared" si="4"/>
        <v>21.4</v>
      </c>
      <c r="R19" s="19"/>
      <c r="S19" s="21">
        <f t="shared" si="10"/>
        <v>0</v>
      </c>
      <c r="T19" s="22">
        <f t="shared" si="5"/>
        <v>0</v>
      </c>
      <c r="U19" s="19"/>
      <c r="V19" s="16">
        <v>1.0699999999999999E-2</v>
      </c>
      <c r="W19" s="18">
        <f t="shared" si="6"/>
        <v>21.4</v>
      </c>
      <c r="X19" s="19"/>
      <c r="Y19" s="21">
        <f t="shared" si="11"/>
        <v>0</v>
      </c>
      <c r="Z19" s="22">
        <f t="shared" si="7"/>
        <v>0</v>
      </c>
      <c r="AA19" s="19"/>
      <c r="AB19" s="16">
        <v>1.0999999999999999E-2</v>
      </c>
      <c r="AC19" s="18">
        <f t="shared" si="8"/>
        <v>22</v>
      </c>
      <c r="AD19" s="19"/>
      <c r="AE19" s="21">
        <f t="shared" si="13"/>
        <v>0.60000000000000142</v>
      </c>
      <c r="AF19" s="22">
        <f t="shared" si="9"/>
        <v>2.8037383177570162E-2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2000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33" si="14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64.83</v>
      </c>
      <c r="I28" s="31"/>
      <c r="J28" s="28"/>
      <c r="K28" s="30">
        <f>SUM(K12:K27)</f>
        <v>65.22999999999999</v>
      </c>
      <c r="L28" s="31"/>
      <c r="M28" s="32">
        <f t="shared" si="15"/>
        <v>0.39999999999999147</v>
      </c>
      <c r="N28" s="33">
        <f t="shared" si="16"/>
        <v>6.1699830325465293E-3</v>
      </c>
      <c r="O28" s="212"/>
      <c r="P28" s="28"/>
      <c r="Q28" s="30">
        <f>SUM(Q12:Q27)</f>
        <v>65.22999999999999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62.98</v>
      </c>
      <c r="X28" s="31"/>
      <c r="Y28" s="32">
        <f t="shared" si="11"/>
        <v>-2.2499999999999929</v>
      </c>
      <c r="Z28" s="33">
        <f t="shared" si="7"/>
        <v>-3.4493331289283967E-2</v>
      </c>
      <c r="AA28" s="31"/>
      <c r="AB28" s="28"/>
      <c r="AC28" s="30">
        <f>SUM(AC12:AC27)</f>
        <v>64.569999999999993</v>
      </c>
      <c r="AD28" s="31"/>
      <c r="AE28" s="32">
        <f t="shared" si="13"/>
        <v>1.5899999999999963</v>
      </c>
      <c r="AF28" s="33">
        <f t="shared" si="9"/>
        <v>2.5246109876151102E-2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2000</v>
      </c>
      <c r="G29" s="16">
        <v>3.3021965494891919E-4</v>
      </c>
      <c r="H29" s="18">
        <f t="shared" ref="H29:H35" si="17">$F29*G29</f>
        <v>0.66043930989783839</v>
      </c>
      <c r="I29" s="19"/>
      <c r="J29" s="16">
        <v>-2.5000000000000001E-3</v>
      </c>
      <c r="K29" s="18">
        <f t="shared" ref="K29:K35" si="18">$F29*J29</f>
        <v>-5</v>
      </c>
      <c r="L29" s="19"/>
      <c r="M29" s="21">
        <f t="shared" si="15"/>
        <v>-5.6604393098978383</v>
      </c>
      <c r="N29" s="22">
        <f t="shared" si="16"/>
        <v>-8.5707183462072187</v>
      </c>
      <c r="O29" s="212"/>
      <c r="P29" s="16">
        <v>-2.5000000000000001E-3</v>
      </c>
      <c r="Q29" s="18">
        <f t="shared" ref="Q29:Q35" si="19">$F29*P29</f>
        <v>-5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5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2000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si="14"/>
        <v>2000</v>
      </c>
      <c r="G31" s="16">
        <v>0</v>
      </c>
      <c r="H31" s="18">
        <f>$F31*G31</f>
        <v>0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0</v>
      </c>
      <c r="N31" s="22" t="str">
        <f>IF((H31)=0,"",(M31/H31))</f>
        <v/>
      </c>
      <c r="O31" s="212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14"/>
        <v>2000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212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14"/>
        <v>2000</v>
      </c>
      <c r="G33" s="133">
        <v>6.0000000000000002E-5</v>
      </c>
      <c r="H33" s="18">
        <f t="shared" si="17"/>
        <v>0.12000000000000001</v>
      </c>
      <c r="I33" s="19"/>
      <c r="J33" s="133">
        <v>6.0000000000000002E-5</v>
      </c>
      <c r="K33" s="18">
        <f t="shared" si="18"/>
        <v>0.12000000000000001</v>
      </c>
      <c r="L33" s="19"/>
      <c r="M33" s="21">
        <f t="shared" si="26"/>
        <v>0</v>
      </c>
      <c r="N33" s="22">
        <f>IF((H33)=0,"",(M33/H33))</f>
        <v>0</v>
      </c>
      <c r="O33" s="212"/>
      <c r="P33" s="133">
        <v>6.0000000000000002E-5</v>
      </c>
      <c r="Q33" s="18">
        <f t="shared" si="19"/>
        <v>0.12000000000000001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0.12000000000000001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0.12000000000000001</v>
      </c>
      <c r="AD33" s="19"/>
      <c r="AE33" s="21">
        <f t="shared" si="13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75.800000000000182</v>
      </c>
      <c r="G34" s="38">
        <f>IF(ISBLANK($D$5)=TRUE, 0, IF($D$5="TOU", 0.64*G44+0.18*G45+0.18*G46, IF(AND($D$5="non-TOU", $F$48&gt;0), G48,G47)))</f>
        <v>0.11183999999999999</v>
      </c>
      <c r="H34" s="18">
        <f t="shared" si="17"/>
        <v>8.4774720000000201</v>
      </c>
      <c r="I34" s="19"/>
      <c r="J34" s="38">
        <f>IF(ISBLANK($D$5)=TRUE, 0, IF($D$5="TOU", 0.64*J44+0.18*J45+0.18*J46, IF(AND($D$5="non-TOU", $F$48&gt;0), J48,J47)))</f>
        <v>0.11183999999999999</v>
      </c>
      <c r="K34" s="18">
        <f t="shared" si="18"/>
        <v>8.4774720000000201</v>
      </c>
      <c r="L34" s="19"/>
      <c r="M34" s="21">
        <f t="shared" si="26"/>
        <v>0</v>
      </c>
      <c r="N34" s="22">
        <f>IF((H34)=0,"",(M34/H34))</f>
        <v>0</v>
      </c>
      <c r="O34" s="212"/>
      <c r="P34" s="38">
        <f>IF(ISBLANK($D$5)=TRUE, 0, IF($D$5="TOU", 0.64*P44+0.18*P45+0.18*P46, IF(AND($D$5="non-TOU", $F$48&gt;0), P48,P47)))</f>
        <v>0.10214000000000001</v>
      </c>
      <c r="Q34" s="18">
        <f t="shared" si="19"/>
        <v>7.742212000000019</v>
      </c>
      <c r="R34" s="19"/>
      <c r="S34" s="21">
        <f t="shared" si="10"/>
        <v>-0.73526000000000113</v>
      </c>
      <c r="T34" s="22">
        <f t="shared" si="5"/>
        <v>-8.673104434907003E-2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7.742212000000019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7.742212000000019</v>
      </c>
      <c r="AD34" s="19"/>
      <c r="AE34" s="21">
        <f t="shared" si="13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0.78800000000000003</v>
      </c>
      <c r="H35" s="18">
        <f t="shared" si="17"/>
        <v>0.78800000000000003</v>
      </c>
      <c r="I35" s="19"/>
      <c r="J35" s="210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212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74.875911309897859</v>
      </c>
      <c r="I36" s="31"/>
      <c r="J36" s="41"/>
      <c r="K36" s="43">
        <f>SUM(K29:K35)+K28</f>
        <v>69.615472000000011</v>
      </c>
      <c r="L36" s="31"/>
      <c r="M36" s="32">
        <f t="shared" si="26"/>
        <v>-5.2604393098978477</v>
      </c>
      <c r="N36" s="33">
        <f t="shared" ref="N36:N42" si="27">IF((H36)=0,"",(M36/H36))</f>
        <v>-7.0255429521596607E-2</v>
      </c>
      <c r="O36" s="212"/>
      <c r="P36" s="41"/>
      <c r="Q36" s="43">
        <f>SUM(Q29:Q35)+Q28</f>
        <v>68.880212000000014</v>
      </c>
      <c r="R36" s="31"/>
      <c r="S36" s="32">
        <f t="shared" si="10"/>
        <v>-0.73525999999999669</v>
      </c>
      <c r="T36" s="33">
        <f t="shared" ref="T36:T42" si="28">IF((K36)=0,"",(S36/K36))</f>
        <v>-1.0561732598753286E-2</v>
      </c>
      <c r="U36" s="31"/>
      <c r="V36" s="41"/>
      <c r="W36" s="43">
        <f>SUM(W29:W35)+W28</f>
        <v>71.630212000000014</v>
      </c>
      <c r="X36" s="31"/>
      <c r="Y36" s="32">
        <f t="shared" si="11"/>
        <v>2.75</v>
      </c>
      <c r="Z36" s="33">
        <f t="shared" ref="Z36:Z42" si="29">IF((Q36)=0,"",(Y36/Q36))</f>
        <v>3.9924383507995001E-2</v>
      </c>
      <c r="AA36" s="31"/>
      <c r="AB36" s="41"/>
      <c r="AC36" s="43">
        <f>SUM(AC29:AC35)+AC28</f>
        <v>72.432212000000007</v>
      </c>
      <c r="AD36" s="31"/>
      <c r="AE36" s="32">
        <f t="shared" si="13"/>
        <v>0.8019999999999925</v>
      </c>
      <c r="AF36" s="33">
        <f t="shared" ref="AF36:AF46" si="30">IF((W36)=0,"",(AE36/W36))</f>
        <v>1.119639294101199E-2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2075.8000000000002</v>
      </c>
      <c r="G37" s="20">
        <v>6.8009505892390144E-3</v>
      </c>
      <c r="H37" s="18">
        <f>$F37*G37</f>
        <v>14.117413233142347</v>
      </c>
      <c r="I37" s="19"/>
      <c r="J37" s="20">
        <v>6.4999999999999997E-3</v>
      </c>
      <c r="K37" s="18">
        <f>$F37*J37</f>
        <v>13.492700000000001</v>
      </c>
      <c r="L37" s="19"/>
      <c r="M37" s="21">
        <f t="shared" si="26"/>
        <v>-0.62471323314234617</v>
      </c>
      <c r="N37" s="22">
        <f t="shared" si="27"/>
        <v>-4.4251253599048565E-2</v>
      </c>
      <c r="O37" s="212"/>
      <c r="P37" s="20">
        <v>6.4999999999999997E-3</v>
      </c>
      <c r="Q37" s="18">
        <f>$F37*P37</f>
        <v>13.492700000000001</v>
      </c>
      <c r="R37" s="19"/>
      <c r="S37" s="21">
        <f t="shared" si="10"/>
        <v>0</v>
      </c>
      <c r="T37" s="22">
        <f t="shared" si="28"/>
        <v>0</v>
      </c>
      <c r="U37" s="19"/>
      <c r="V37" s="20">
        <v>6.4999999999999997E-3</v>
      </c>
      <c r="W37" s="18">
        <f>$F37*V37</f>
        <v>13.492700000000001</v>
      </c>
      <c r="X37" s="19"/>
      <c r="Y37" s="21">
        <f t="shared" si="11"/>
        <v>0</v>
      </c>
      <c r="Z37" s="22">
        <f t="shared" si="29"/>
        <v>0</v>
      </c>
      <c r="AA37" s="19"/>
      <c r="AB37" s="20">
        <v>6.4999999999999997E-3</v>
      </c>
      <c r="AC37" s="18">
        <f>$F37*AB37</f>
        <v>13.492700000000001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2075.8000000000002</v>
      </c>
      <c r="G38" s="20">
        <v>5.3223476369492068E-3</v>
      </c>
      <c r="H38" s="18">
        <f>$F38*G38</f>
        <v>11.048129224779164</v>
      </c>
      <c r="I38" s="19"/>
      <c r="J38" s="20">
        <v>5.3E-3</v>
      </c>
      <c r="K38" s="18">
        <f>$F38*J38</f>
        <v>11.001740000000002</v>
      </c>
      <c r="L38" s="19"/>
      <c r="M38" s="21">
        <f t="shared" si="26"/>
        <v>-4.6389224779161964E-2</v>
      </c>
      <c r="N38" s="22">
        <f t="shared" si="27"/>
        <v>-4.1988307554475784E-3</v>
      </c>
      <c r="O38" s="212"/>
      <c r="P38" s="20">
        <v>5.3E-3</v>
      </c>
      <c r="Q38" s="18">
        <f>$F38*P38</f>
        <v>11.001740000000002</v>
      </c>
      <c r="R38" s="19"/>
      <c r="S38" s="21">
        <f t="shared" si="10"/>
        <v>0</v>
      </c>
      <c r="T38" s="22">
        <f t="shared" si="28"/>
        <v>0</v>
      </c>
      <c r="U38" s="19"/>
      <c r="V38" s="20">
        <v>5.3E-3</v>
      </c>
      <c r="W38" s="18">
        <f>$F38*V38</f>
        <v>11.001740000000002</v>
      </c>
      <c r="X38" s="19"/>
      <c r="Y38" s="21">
        <f t="shared" si="11"/>
        <v>0</v>
      </c>
      <c r="Z38" s="22">
        <f t="shared" si="29"/>
        <v>0</v>
      </c>
      <c r="AA38" s="19"/>
      <c r="AB38" s="20">
        <v>5.3E-3</v>
      </c>
      <c r="AC38" s="18">
        <f>$F38*AB38</f>
        <v>11.001740000000002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100.04145376781936</v>
      </c>
      <c r="I39" s="48"/>
      <c r="J39" s="47"/>
      <c r="K39" s="43">
        <f>SUM(K36:K38)</f>
        <v>94.109912000000008</v>
      </c>
      <c r="L39" s="48"/>
      <c r="M39" s="32">
        <f t="shared" si="26"/>
        <v>-5.931541767819354</v>
      </c>
      <c r="N39" s="33">
        <f t="shared" si="27"/>
        <v>-5.929083939129412E-2</v>
      </c>
      <c r="O39" s="212"/>
      <c r="P39" s="47"/>
      <c r="Q39" s="43">
        <f>SUM(Q36:Q38)</f>
        <v>93.374652000000012</v>
      </c>
      <c r="R39" s="48"/>
      <c r="S39" s="32">
        <f t="shared" si="10"/>
        <v>-0.73525999999999669</v>
      </c>
      <c r="T39" s="33">
        <f t="shared" si="28"/>
        <v>-7.8127795932908389E-3</v>
      </c>
      <c r="U39" s="48"/>
      <c r="V39" s="47"/>
      <c r="W39" s="43">
        <f>SUM(W36:W38)</f>
        <v>96.124652000000012</v>
      </c>
      <c r="X39" s="48"/>
      <c r="Y39" s="32">
        <f t="shared" si="11"/>
        <v>2.75</v>
      </c>
      <c r="Z39" s="33">
        <f t="shared" si="29"/>
        <v>2.9451247646952405E-2</v>
      </c>
      <c r="AA39" s="48"/>
      <c r="AB39" s="47"/>
      <c r="AC39" s="43">
        <f>SUM(AC36:AC38)</f>
        <v>96.926652000000004</v>
      </c>
      <c r="AD39" s="48"/>
      <c r="AE39" s="32">
        <f t="shared" si="13"/>
        <v>0.8019999999999925</v>
      </c>
      <c r="AF39" s="33">
        <f t="shared" si="30"/>
        <v>8.3433331961502693E-3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2075.8000000000002</v>
      </c>
      <c r="G40" s="50">
        <v>4.7000000000000002E-3</v>
      </c>
      <c r="H40" s="152">
        <f t="shared" ref="H40:H42" si="31">$F40*G40</f>
        <v>9.756260000000001</v>
      </c>
      <c r="I40" s="19"/>
      <c r="J40" s="50">
        <v>4.7000000000000002E-3</v>
      </c>
      <c r="K40" s="152">
        <f t="shared" ref="K40:K42" si="32">$F40*J40</f>
        <v>9.756260000000001</v>
      </c>
      <c r="L40" s="19"/>
      <c r="M40" s="21">
        <f t="shared" si="26"/>
        <v>0</v>
      </c>
      <c r="N40" s="153">
        <f t="shared" si="27"/>
        <v>0</v>
      </c>
      <c r="O40" s="212"/>
      <c r="P40" s="50">
        <v>4.7000000000000002E-3</v>
      </c>
      <c r="Q40" s="152">
        <f t="shared" ref="Q40:Q42" si="33">$F40*P40</f>
        <v>9.756260000000001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2" si="34">$F40*V40</f>
        <v>9.756260000000001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9.756260000000001</v>
      </c>
      <c r="AD40" s="19"/>
      <c r="AE40" s="21">
        <f t="shared" si="13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2075.8000000000002</v>
      </c>
      <c r="G41" s="50">
        <v>1.2999999999999999E-3</v>
      </c>
      <c r="H41" s="152">
        <f t="shared" si="31"/>
        <v>2.6985399999999999</v>
      </c>
      <c r="I41" s="19"/>
      <c r="J41" s="50">
        <v>2.0999999999999999E-3</v>
      </c>
      <c r="K41" s="152">
        <f t="shared" si="32"/>
        <v>4.3591800000000003</v>
      </c>
      <c r="L41" s="19"/>
      <c r="M41" s="21">
        <f t="shared" si="26"/>
        <v>1.6606400000000003</v>
      </c>
      <c r="N41" s="153">
        <f t="shared" si="27"/>
        <v>0.61538461538461553</v>
      </c>
      <c r="O41" s="212"/>
      <c r="P41" s="50">
        <v>2.0999999999999999E-3</v>
      </c>
      <c r="Q41" s="152">
        <f t="shared" si="33"/>
        <v>4.3591800000000003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4.3591800000000003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4.3591800000000003</v>
      </c>
      <c r="AD41" s="19"/>
      <c r="AE41" s="21">
        <f t="shared" si="13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26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3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2000</v>
      </c>
      <c r="G43" s="50">
        <v>7.0000000000000001E-3</v>
      </c>
      <c r="H43" s="152">
        <f t="shared" ref="H43:H48" si="36">$F43*G43</f>
        <v>14</v>
      </c>
      <c r="I43" s="19"/>
      <c r="J43" s="50">
        <v>7.0000000000000001E-3</v>
      </c>
      <c r="K43" s="152">
        <f t="shared" ref="K43:K48" si="37">$F43*J43</f>
        <v>14</v>
      </c>
      <c r="L43" s="19"/>
      <c r="M43" s="21">
        <f t="shared" ref="M43:M60" si="38">K43-H43</f>
        <v>0</v>
      </c>
      <c r="N43" s="153">
        <f t="shared" ref="N43:N46" si="39">IF((H43)=0,"",(M43/H43))</f>
        <v>0</v>
      </c>
      <c r="O43" s="212"/>
      <c r="P43" s="50">
        <v>7.0000000000000001E-3</v>
      </c>
      <c r="Q43" s="152">
        <f t="shared" ref="Q43:Q48" si="40">$F43*P43</f>
        <v>14</v>
      </c>
      <c r="R43" s="19"/>
      <c r="S43" s="21">
        <f t="shared" ref="S43:S60" si="41">Q43-K43</f>
        <v>0</v>
      </c>
      <c r="T43" s="153">
        <f t="shared" ref="T43:T46" si="42">IF((K43)=0,"",(S43/K43))</f>
        <v>0</v>
      </c>
      <c r="U43" s="19"/>
      <c r="V43" s="50">
        <v>7.0000000000000001E-3</v>
      </c>
      <c r="W43" s="152">
        <f t="shared" ref="W43:W48" si="43">$F43*V43</f>
        <v>14</v>
      </c>
      <c r="X43" s="19"/>
      <c r="Y43" s="21">
        <f t="shared" ref="Y43:Y60" si="44">W43-Q43</f>
        <v>0</v>
      </c>
      <c r="Z43" s="153">
        <f t="shared" ref="Z43:Z46" si="45">IF((Q43)=0,"",(Y43/Q43))</f>
        <v>0</v>
      </c>
      <c r="AA43" s="19"/>
      <c r="AB43" s="50">
        <v>7.0000000000000001E-3</v>
      </c>
      <c r="AC43" s="152">
        <f t="shared" si="35"/>
        <v>14</v>
      </c>
      <c r="AD43" s="19"/>
      <c r="AE43" s="21">
        <f t="shared" si="13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1280</v>
      </c>
      <c r="G44" s="54">
        <v>8.6999999999999994E-2</v>
      </c>
      <c r="H44" s="152">
        <f t="shared" si="36"/>
        <v>111.35999999999999</v>
      </c>
      <c r="I44" s="19"/>
      <c r="J44" s="54">
        <f>+G44</f>
        <v>8.6999999999999994E-2</v>
      </c>
      <c r="K44" s="152">
        <f t="shared" si="37"/>
        <v>111.35999999999999</v>
      </c>
      <c r="L44" s="19"/>
      <c r="M44" s="21">
        <f t="shared" si="38"/>
        <v>0</v>
      </c>
      <c r="N44" s="153">
        <f t="shared" si="39"/>
        <v>0</v>
      </c>
      <c r="O44" s="212"/>
      <c r="P44" s="54">
        <v>0.08</v>
      </c>
      <c r="Q44" s="152">
        <f t="shared" si="40"/>
        <v>102.4</v>
      </c>
      <c r="R44" s="19"/>
      <c r="S44" s="21">
        <f t="shared" si="41"/>
        <v>-8.9599999999999795</v>
      </c>
      <c r="T44" s="153">
        <f t="shared" si="42"/>
        <v>-8.0459770114942361E-2</v>
      </c>
      <c r="U44" s="19"/>
      <c r="V44" s="54">
        <v>0.08</v>
      </c>
      <c r="W44" s="152">
        <f t="shared" si="43"/>
        <v>102.4</v>
      </c>
      <c r="X44" s="19"/>
      <c r="Y44" s="21">
        <f t="shared" si="44"/>
        <v>0</v>
      </c>
      <c r="Z44" s="153">
        <f t="shared" si="45"/>
        <v>0</v>
      </c>
      <c r="AA44" s="19"/>
      <c r="AB44" s="54">
        <v>0.08</v>
      </c>
      <c r="AC44" s="152">
        <f t="shared" si="35"/>
        <v>102.4</v>
      </c>
      <c r="AD44" s="19"/>
      <c r="AE44" s="21">
        <f t="shared" si="13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360</v>
      </c>
      <c r="G45" s="54">
        <v>0.13200000000000001</v>
      </c>
      <c r="H45" s="152">
        <f t="shared" si="36"/>
        <v>47.52</v>
      </c>
      <c r="I45" s="19"/>
      <c r="J45" s="54">
        <f>+G45</f>
        <v>0.13200000000000001</v>
      </c>
      <c r="K45" s="152">
        <f t="shared" si="37"/>
        <v>47.52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43.92</v>
      </c>
      <c r="R45" s="19"/>
      <c r="S45" s="21">
        <f t="shared" si="41"/>
        <v>-3.6000000000000014</v>
      </c>
      <c r="T45" s="153">
        <f t="shared" si="42"/>
        <v>-7.5757575757575787E-2</v>
      </c>
      <c r="U45" s="19"/>
      <c r="V45" s="54">
        <v>0.122</v>
      </c>
      <c r="W45" s="152">
        <f t="shared" si="43"/>
        <v>43.92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43.92</v>
      </c>
      <c r="AD45" s="19"/>
      <c r="AE45" s="21">
        <f t="shared" si="13"/>
        <v>0</v>
      </c>
      <c r="AF45" s="153">
        <f t="shared" si="30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360</v>
      </c>
      <c r="G46" s="54">
        <v>0.18</v>
      </c>
      <c r="H46" s="152">
        <f t="shared" si="36"/>
        <v>64.8</v>
      </c>
      <c r="I46" s="19"/>
      <c r="J46" s="54">
        <f>+G46</f>
        <v>0.18</v>
      </c>
      <c r="K46" s="152">
        <f t="shared" si="37"/>
        <v>64.8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57.96</v>
      </c>
      <c r="R46" s="19"/>
      <c r="S46" s="21">
        <f t="shared" si="41"/>
        <v>-6.8399999999999963</v>
      </c>
      <c r="T46" s="153">
        <f t="shared" si="42"/>
        <v>-0.1055555555555555</v>
      </c>
      <c r="U46" s="19"/>
      <c r="V46" s="54">
        <v>0.161</v>
      </c>
      <c r="W46" s="152">
        <f t="shared" si="43"/>
        <v>57.96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57.96</v>
      </c>
      <c r="AD46" s="19"/>
      <c r="AE46" s="21">
        <f t="shared" si="13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0.10299999999999999</v>
      </c>
      <c r="H47" s="208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G7&gt;=750), G7-750, IF(AND(N3=1, AND(G7&lt;750, G7&gt;=0)), 0, IF(AND(N3=2, G7&gt;=750), G7-750, IF(AND(N3=2, AND(G7&lt;750, G7&gt;=0)), 0))))</f>
        <v>1250</v>
      </c>
      <c r="G48" s="54">
        <v>0.121</v>
      </c>
      <c r="H48" s="208">
        <f t="shared" si="36"/>
        <v>151.25</v>
      </c>
      <c r="I48" s="59"/>
      <c r="J48" s="54">
        <f>+G48</f>
        <v>0.121</v>
      </c>
      <c r="K48" s="152">
        <f t="shared" si="37"/>
        <v>151.25</v>
      </c>
      <c r="L48" s="59"/>
      <c r="M48" s="60">
        <f t="shared" si="38"/>
        <v>0</v>
      </c>
      <c r="N48" s="153">
        <f>IF((H48)=FALSE,"",(M48/H48))</f>
        <v>0</v>
      </c>
      <c r="O48" s="212"/>
      <c r="P48" s="54">
        <v>0.11</v>
      </c>
      <c r="Q48" s="152">
        <f t="shared" si="40"/>
        <v>137.5</v>
      </c>
      <c r="R48" s="59"/>
      <c r="S48" s="60">
        <f t="shared" si="41"/>
        <v>-13.75</v>
      </c>
      <c r="T48" s="153">
        <f>IF((K48)=FALSE,"",(S48/K48))</f>
        <v>-9.0909090909090912E-2</v>
      </c>
      <c r="U48" s="59"/>
      <c r="V48" s="54">
        <v>0.11</v>
      </c>
      <c r="W48" s="152">
        <f t="shared" si="43"/>
        <v>137.5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137.5</v>
      </c>
      <c r="AD48" s="59"/>
      <c r="AE48" s="60">
        <f t="shared" si="13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350.42625376781933</v>
      </c>
      <c r="I50" s="75"/>
      <c r="J50" s="72"/>
      <c r="K50" s="74">
        <f>SUM(K40:K46,K39)</f>
        <v>346.15535199999999</v>
      </c>
      <c r="L50" s="75"/>
      <c r="M50" s="76">
        <f t="shared" si="38"/>
        <v>-4.2709017678193391</v>
      </c>
      <c r="N50" s="77">
        <f>IF((H50)=0,"",(M50/H50))</f>
        <v>-1.2187733430067415E-2</v>
      </c>
      <c r="O50" s="212"/>
      <c r="P50" s="72"/>
      <c r="Q50" s="74">
        <f>SUM(Q40:Q46,Q39)</f>
        <v>326.02009200000003</v>
      </c>
      <c r="R50" s="75"/>
      <c r="S50" s="76">
        <f t="shared" si="41"/>
        <v>-20.13525999999996</v>
      </c>
      <c r="T50" s="77">
        <f>IF((K50)=0,"",(S50/K50))</f>
        <v>-5.8168275843962572E-2</v>
      </c>
      <c r="U50" s="75"/>
      <c r="V50" s="72"/>
      <c r="W50" s="74">
        <f>SUM(W40:W46,W39)</f>
        <v>328.77009200000003</v>
      </c>
      <c r="X50" s="75"/>
      <c r="Y50" s="76">
        <f t="shared" si="44"/>
        <v>2.75</v>
      </c>
      <c r="Z50" s="77">
        <f>IF((Q50)=0,"",(Y50/Q50))</f>
        <v>8.4350629531139438E-3</v>
      </c>
      <c r="AA50" s="75"/>
      <c r="AB50" s="72"/>
      <c r="AC50" s="74">
        <f>SUM(AC40:AC46,AC39)</f>
        <v>329.57209200000005</v>
      </c>
      <c r="AD50" s="75"/>
      <c r="AE50" s="76">
        <f t="shared" si="13"/>
        <v>0.80200000000002092</v>
      </c>
      <c r="AF50" s="77">
        <f>IF((W50)=0,"",(AE50/W50))</f>
        <v>2.4393946393397024E-3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45.555412989816517</v>
      </c>
      <c r="I51" s="81"/>
      <c r="J51" s="79">
        <v>0.13</v>
      </c>
      <c r="K51" s="82">
        <f>K50*J51</f>
        <v>45.000195760000004</v>
      </c>
      <c r="L51" s="81"/>
      <c r="M51" s="83">
        <f t="shared" si="38"/>
        <v>-0.55521722981651322</v>
      </c>
      <c r="N51" s="84">
        <f>IF((H51)=0,"",(M51/H51))</f>
        <v>-1.2187733430067396E-2</v>
      </c>
      <c r="O51" s="212"/>
      <c r="P51" s="79">
        <v>0.13</v>
      </c>
      <c r="Q51" s="82">
        <f>Q50*P51</f>
        <v>42.382611960000006</v>
      </c>
      <c r="R51" s="81"/>
      <c r="S51" s="83">
        <f t="shared" si="41"/>
        <v>-2.6175837999999985</v>
      </c>
      <c r="T51" s="84">
        <f>IF((K51)=0,"",(S51/K51))</f>
        <v>-5.8168275843962648E-2</v>
      </c>
      <c r="U51" s="81"/>
      <c r="V51" s="79">
        <v>0.13</v>
      </c>
      <c r="W51" s="82">
        <f>W50*V51</f>
        <v>42.740111960000007</v>
      </c>
      <c r="X51" s="81"/>
      <c r="Y51" s="83">
        <f t="shared" si="44"/>
        <v>0.35750000000000171</v>
      </c>
      <c r="Z51" s="84">
        <f>IF((Q51)=0,"",(Y51/Q51))</f>
        <v>8.4350629531139837E-3</v>
      </c>
      <c r="AA51" s="81"/>
      <c r="AB51" s="79">
        <v>0.13</v>
      </c>
      <c r="AC51" s="82">
        <f>AC50*AB51</f>
        <v>42.844371960000011</v>
      </c>
      <c r="AD51" s="81"/>
      <c r="AE51" s="83">
        <f t="shared" si="13"/>
        <v>0.10426000000000357</v>
      </c>
      <c r="AF51" s="84">
        <f>IF((W51)=0,"",(AE51/W51))</f>
        <v>2.4393946393397223E-3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395.98166675763582</v>
      </c>
      <c r="I52" s="81"/>
      <c r="J52" s="86"/>
      <c r="K52" s="82">
        <f>K50+K51</f>
        <v>391.15554775999999</v>
      </c>
      <c r="L52" s="81"/>
      <c r="M52" s="83">
        <f t="shared" si="38"/>
        <v>-4.826118997635831</v>
      </c>
      <c r="N52" s="84">
        <f>IF((H52)=0,"",(M52/H52))</f>
        <v>-1.2187733430067359E-2</v>
      </c>
      <c r="O52" s="212"/>
      <c r="P52" s="86"/>
      <c r="Q52" s="82">
        <f>Q50+Q51</f>
        <v>368.40270396000005</v>
      </c>
      <c r="R52" s="81"/>
      <c r="S52" s="83">
        <f t="shared" si="41"/>
        <v>-22.752843799999937</v>
      </c>
      <c r="T52" s="84">
        <f>IF((K52)=0,"",(S52/K52))</f>
        <v>-5.8168275843962523E-2</v>
      </c>
      <c r="U52" s="81"/>
      <c r="V52" s="86"/>
      <c r="W52" s="82">
        <f>W50+W51</f>
        <v>371.51020396000001</v>
      </c>
      <c r="X52" s="81"/>
      <c r="Y52" s="83">
        <f t="shared" si="44"/>
        <v>3.1074999999999591</v>
      </c>
      <c r="Z52" s="84">
        <f>IF((Q52)=0,"",(Y52/Q52))</f>
        <v>8.4350629531138328E-3</v>
      </c>
      <c r="AA52" s="81"/>
      <c r="AB52" s="86"/>
      <c r="AC52" s="82">
        <f>AC50+AC51</f>
        <v>372.41646396000004</v>
      </c>
      <c r="AD52" s="81"/>
      <c r="AE52" s="83">
        <f t="shared" si="13"/>
        <v>0.9062600000000316</v>
      </c>
      <c r="AF52" s="84">
        <f>IF((W52)=0,"",(AE52/W52))</f>
        <v>2.4393946393397241E-3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-27.692428159999999</v>
      </c>
      <c r="L53" s="81"/>
      <c r="M53" s="88">
        <f t="shared" si="38"/>
        <v>-27.692428159999999</v>
      </c>
      <c r="N53" s="89" t="str">
        <f>IF((H53)=0,"",(M53/H53))</f>
        <v/>
      </c>
      <c r="O53" s="212"/>
      <c r="P53" s="86"/>
      <c r="Q53" s="87">
        <f>ROUND(-Q52*10%,2)</f>
        <v>-36.840000000000003</v>
      </c>
      <c r="R53" s="81"/>
      <c r="S53" s="88">
        <f t="shared" si="41"/>
        <v>-9.1475718400000048</v>
      </c>
      <c r="T53" s="89">
        <f>IF((K53)=0,"",(S53/K53))</f>
        <v>0.33032754611287957</v>
      </c>
      <c r="U53" s="81"/>
      <c r="V53" s="86"/>
      <c r="W53" s="87">
        <f>ROUND(-W52*10%,2)</f>
        <v>-37.15</v>
      </c>
      <c r="X53" s="81"/>
      <c r="Y53" s="88">
        <f t="shared" si="44"/>
        <v>-0.30999999999999517</v>
      </c>
      <c r="Z53" s="89">
        <f>IF((Q53)=0,"",(Y53/Q53))</f>
        <v>8.4147665580889021E-3</v>
      </c>
      <c r="AA53" s="81"/>
      <c r="AB53" s="86"/>
      <c r="AC53" s="87">
        <f>ROUND(-AC52*10%,2)</f>
        <v>-37.24</v>
      </c>
      <c r="AD53" s="81"/>
      <c r="AE53" s="88">
        <f t="shared" si="13"/>
        <v>-9.0000000000003411E-2</v>
      </c>
      <c r="AF53" s="89">
        <f>IF((W53)=0,"",(AE53/W53))</f>
        <v>2.4226110363392574E-3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395.98166675763582</v>
      </c>
      <c r="I54" s="92"/>
      <c r="J54" s="90"/>
      <c r="K54" s="93">
        <f>K52+K53</f>
        <v>363.46311959999997</v>
      </c>
      <c r="L54" s="92"/>
      <c r="M54" s="94">
        <f t="shared" si="38"/>
        <v>-32.518547157635851</v>
      </c>
      <c r="N54" s="95">
        <f>IF((H54)=0,"",(M54/H54))</f>
        <v>-8.2121345222629011E-2</v>
      </c>
      <c r="O54" s="212"/>
      <c r="P54" s="90"/>
      <c r="Q54" s="93">
        <f>Q52+Q53</f>
        <v>331.56270396000002</v>
      </c>
      <c r="R54" s="92"/>
      <c r="S54" s="94">
        <f t="shared" si="41"/>
        <v>-31.900415639999949</v>
      </c>
      <c r="T54" s="95">
        <f>IF((K54)=0,"",(S54/K54))</f>
        <v>-8.7767957516864809E-2</v>
      </c>
      <c r="U54" s="92"/>
      <c r="V54" s="90"/>
      <c r="W54" s="93">
        <f>W52+W53</f>
        <v>334.36020396000004</v>
      </c>
      <c r="X54" s="92"/>
      <c r="Y54" s="94">
        <f t="shared" si="44"/>
        <v>2.7975000000000136</v>
      </c>
      <c r="Z54" s="95">
        <f>IF((Q54)=0,"",(Y54/Q54))</f>
        <v>8.4373180897255144E-3</v>
      </c>
      <c r="AA54" s="92"/>
      <c r="AB54" s="90"/>
      <c r="AC54" s="93">
        <f>AC52+AC53</f>
        <v>335.17646396000004</v>
      </c>
      <c r="AD54" s="92"/>
      <c r="AE54" s="94">
        <f t="shared" si="13"/>
        <v>0.81625999999999976</v>
      </c>
      <c r="AF54" s="95">
        <f>IF((W54)=0,"",(AE54/W54))</f>
        <v>2.4412594272063852E-3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355.24625376781933</v>
      </c>
      <c r="I56" s="106"/>
      <c r="J56" s="103"/>
      <c r="K56" s="105">
        <f>SUM(K47:K48,K39,K40:K43)</f>
        <v>350.97535199999999</v>
      </c>
      <c r="L56" s="106"/>
      <c r="M56" s="107">
        <f t="shared" si="38"/>
        <v>-4.2709017678193391</v>
      </c>
      <c r="N56" s="77">
        <f>IF((H56)=0,"",(M56/H56))</f>
        <v>-1.2022369616910023E-2</v>
      </c>
      <c r="O56" s="212"/>
      <c r="P56" s="103"/>
      <c r="Q56" s="105">
        <f>SUM(Q47:Q48,Q39,Q40:Q43)</f>
        <v>329.740092</v>
      </c>
      <c r="R56" s="106"/>
      <c r="S56" s="107">
        <f t="shared" si="41"/>
        <v>-21.235259999999982</v>
      </c>
      <c r="T56" s="77">
        <f>IF((K56)=0,"",(S56/K56))</f>
        <v>-6.0503564934098232E-2</v>
      </c>
      <c r="U56" s="106"/>
      <c r="V56" s="103"/>
      <c r="W56" s="105">
        <f>SUM(W47:W48,W39,W40:W43)</f>
        <v>332.490092</v>
      </c>
      <c r="X56" s="106"/>
      <c r="Y56" s="107">
        <f t="shared" si="44"/>
        <v>2.75</v>
      </c>
      <c r="Z56" s="77">
        <f>IF((Q56)=0,"",(Y56/Q56))</f>
        <v>8.3399018400225344E-3</v>
      </c>
      <c r="AA56" s="106"/>
      <c r="AB56" s="103"/>
      <c r="AC56" s="105">
        <f>SUM(AC47:AC48,AC39,AC40:AC43)</f>
        <v>333.29209199999997</v>
      </c>
      <c r="AD56" s="106"/>
      <c r="AE56" s="107">
        <f t="shared" si="13"/>
        <v>0.80199999999996407</v>
      </c>
      <c r="AF56" s="77">
        <f>IF((W56)=0,"",(AE56/W56))</f>
        <v>2.4121019521988166E-3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46.182012989816513</v>
      </c>
      <c r="I57" s="110"/>
      <c r="J57" s="109">
        <v>0.13</v>
      </c>
      <c r="K57" s="111">
        <f>K56*J57</f>
        <v>45.62679576</v>
      </c>
      <c r="L57" s="110"/>
      <c r="M57" s="112">
        <f t="shared" si="38"/>
        <v>-0.55521722981651322</v>
      </c>
      <c r="N57" s="84">
        <f>IF((H57)=0,"",(M57/H57))</f>
        <v>-1.2022369616910005E-2</v>
      </c>
      <c r="O57" s="212"/>
      <c r="P57" s="109">
        <v>0.13</v>
      </c>
      <c r="Q57" s="111">
        <f>Q56*P57</f>
        <v>42.866211960000001</v>
      </c>
      <c r="R57" s="110"/>
      <c r="S57" s="112">
        <f t="shared" si="41"/>
        <v>-2.7605837999999991</v>
      </c>
      <c r="T57" s="84">
        <f>IF((K57)=0,"",(S57/K57))</f>
        <v>-6.050356493409826E-2</v>
      </c>
      <c r="U57" s="110"/>
      <c r="V57" s="109">
        <v>0.13</v>
      </c>
      <c r="W57" s="111">
        <f>W56*V57</f>
        <v>43.223711960000003</v>
      </c>
      <c r="X57" s="110"/>
      <c r="Y57" s="112">
        <f t="shared" si="44"/>
        <v>0.35750000000000171</v>
      </c>
      <c r="Z57" s="84">
        <f>IF((Q57)=0,"",(Y57/Q57))</f>
        <v>8.3399018400225743E-3</v>
      </c>
      <c r="AA57" s="110"/>
      <c r="AB57" s="109">
        <v>0.13</v>
      </c>
      <c r="AC57" s="111">
        <f>AC56*AB57</f>
        <v>43.327971959999999</v>
      </c>
      <c r="AD57" s="110"/>
      <c r="AE57" s="112">
        <f t="shared" si="13"/>
        <v>0.10425999999999647</v>
      </c>
      <c r="AF57" s="84">
        <f>IF((W57)=0,"",(AE57/W57))</f>
        <v>2.4121019521988426E-3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401.42826675763581</v>
      </c>
      <c r="I58" s="110"/>
      <c r="J58" s="114"/>
      <c r="K58" s="111">
        <f>K56+K57</f>
        <v>396.60214775999998</v>
      </c>
      <c r="L58" s="110"/>
      <c r="M58" s="112">
        <f t="shared" si="38"/>
        <v>-4.826118997635831</v>
      </c>
      <c r="N58" s="84">
        <f>IF((H58)=0,"",(M58/H58))</f>
        <v>-1.2022369616909969E-2</v>
      </c>
      <c r="O58" s="212"/>
      <c r="P58" s="114"/>
      <c r="Q58" s="111">
        <f>Q56+Q57</f>
        <v>372.60630395999999</v>
      </c>
      <c r="R58" s="110"/>
      <c r="S58" s="112">
        <f t="shared" si="41"/>
        <v>-23.995843799999989</v>
      </c>
      <c r="T58" s="84">
        <f>IF((K58)=0,"",(S58/K58))</f>
        <v>-6.0503564934098253E-2</v>
      </c>
      <c r="U58" s="110"/>
      <c r="V58" s="114"/>
      <c r="W58" s="111">
        <f>W56+W57</f>
        <v>375.71380396000001</v>
      </c>
      <c r="X58" s="110"/>
      <c r="Y58" s="112">
        <f t="shared" si="44"/>
        <v>3.1075000000000159</v>
      </c>
      <c r="Z58" s="84">
        <f>IF((Q58)=0,"",(Y58/Q58))</f>
        <v>8.3399018400225778E-3</v>
      </c>
      <c r="AA58" s="110"/>
      <c r="AB58" s="114"/>
      <c r="AC58" s="111">
        <f>AC56+AC57</f>
        <v>376.62006395999998</v>
      </c>
      <c r="AD58" s="110"/>
      <c r="AE58" s="112">
        <f t="shared" si="13"/>
        <v>0.90625999999997475</v>
      </c>
      <c r="AF58" s="84">
        <f>IF((W58)=0,"",(AE58/W58))</f>
        <v>2.4121019521988574E-3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-28.078028159999999</v>
      </c>
      <c r="L59" s="110"/>
      <c r="M59" s="117">
        <f t="shared" si="38"/>
        <v>-28.078028159999999</v>
      </c>
      <c r="N59" s="89" t="str">
        <f>IF((H59)=0,"",(M59/H59))</f>
        <v/>
      </c>
      <c r="O59" s="212"/>
      <c r="P59" s="114"/>
      <c r="Q59" s="116">
        <f>ROUND(-Q58*10%,2)</f>
        <v>-37.26</v>
      </c>
      <c r="R59" s="110"/>
      <c r="S59" s="117">
        <f t="shared" si="41"/>
        <v>-9.1819718399999992</v>
      </c>
      <c r="T59" s="89">
        <f>IF((K59)=0,"",(S59/K59))</f>
        <v>0.32701626295398656</v>
      </c>
      <c r="U59" s="110"/>
      <c r="V59" s="114"/>
      <c r="W59" s="116">
        <f>ROUND(-W58*10%,2)</f>
        <v>-37.57</v>
      </c>
      <c r="X59" s="110"/>
      <c r="Y59" s="117">
        <f t="shared" si="44"/>
        <v>-0.31000000000000227</v>
      </c>
      <c r="Z59" s="89">
        <f>IF((Q59)=0,"",(Y59/Q59))</f>
        <v>8.3199141170156275E-3</v>
      </c>
      <c r="AA59" s="110"/>
      <c r="AB59" s="114"/>
      <c r="AC59" s="116">
        <f>ROUND(-AC58*10%,2)</f>
        <v>-37.659999999999997</v>
      </c>
      <c r="AD59" s="110"/>
      <c r="AE59" s="117">
        <f t="shared" si="13"/>
        <v>-8.9999999999996305E-2</v>
      </c>
      <c r="AF59" s="89">
        <f>IF((W59)=0,"",(AE59/W59))</f>
        <v>2.3955283470853423E-3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401.42826675763581</v>
      </c>
      <c r="I60" s="120"/>
      <c r="J60" s="118"/>
      <c r="K60" s="121">
        <f>SUM(K58:K59)</f>
        <v>368.52411960000001</v>
      </c>
      <c r="L60" s="120"/>
      <c r="M60" s="122">
        <f t="shared" si="38"/>
        <v>-32.904147157635805</v>
      </c>
      <c r="N60" s="123">
        <f>IF((H60)=0,"",(M60/H60))</f>
        <v>-8.1967688582084419E-2</v>
      </c>
      <c r="O60" s="212"/>
      <c r="P60" s="118"/>
      <c r="Q60" s="121">
        <f>SUM(Q58:Q59)</f>
        <v>335.34630396</v>
      </c>
      <c r="R60" s="120"/>
      <c r="S60" s="122">
        <f t="shared" si="41"/>
        <v>-33.177815640000006</v>
      </c>
      <c r="T60" s="123">
        <f>IF((K60)=0,"",(S60/K60))</f>
        <v>-9.0028885154142854E-2</v>
      </c>
      <c r="U60" s="120"/>
      <c r="V60" s="118"/>
      <c r="W60" s="121">
        <f>SUM(W58:W59)</f>
        <v>338.14380396000001</v>
      </c>
      <c r="X60" s="120"/>
      <c r="Y60" s="122">
        <f t="shared" si="44"/>
        <v>2.7975000000000136</v>
      </c>
      <c r="Z60" s="123">
        <f>IF((Q60)=0,"",(Y60/Q60))</f>
        <v>8.3421226563859738E-3</v>
      </c>
      <c r="AA60" s="120"/>
      <c r="AB60" s="118"/>
      <c r="AC60" s="121">
        <f>SUM(AC58:AC59)</f>
        <v>338.96006395999996</v>
      </c>
      <c r="AD60" s="120"/>
      <c r="AE60" s="122">
        <f t="shared" si="13"/>
        <v>0.81625999999994292</v>
      </c>
      <c r="AF60" s="123">
        <f>IF((W60)=0,"",(AE60/W60))</f>
        <v>2.4139433887024604E-3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2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AP79"/>
  <sheetViews>
    <sheetView showGridLines="0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85546875" style="1" bestFit="1" customWidth="1"/>
    <col min="7" max="7" width="12.28515625" style="1" customWidth="1"/>
    <col min="8" max="8" width="10.28515625" style="142" bestFit="1" customWidth="1"/>
    <col min="9" max="9" width="1.7109375" style="1" customWidth="1"/>
    <col min="10" max="10" width="9.85546875" style="1" bestFit="1" customWidth="1"/>
    <col min="11" max="11" width="10.2851562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10.28515625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10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10.28515625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10.28515625" style="1" bestFit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63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5000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41.21</v>
      </c>
      <c r="H12" s="18">
        <f t="shared" ref="H12:H27" si="0">$F12*G12</f>
        <v>41.21</v>
      </c>
      <c r="I12" s="19"/>
      <c r="J12" s="209">
        <v>41.42</v>
      </c>
      <c r="K12" s="18">
        <f t="shared" ref="K12:K27" si="1">$F12*J12</f>
        <v>41.42</v>
      </c>
      <c r="L12" s="19"/>
      <c r="M12" s="21">
        <f t="shared" ref="M12:M21" si="2">K12-H12</f>
        <v>0.21000000000000085</v>
      </c>
      <c r="N12" s="22">
        <f t="shared" ref="N12:N21" si="3">IF((H12)=0,"",(M12/H12))</f>
        <v>5.0958505217180506E-3</v>
      </c>
      <c r="O12" s="212"/>
      <c r="P12" s="16">
        <v>41.42</v>
      </c>
      <c r="Q12" s="18">
        <f t="shared" ref="Q12:Q27" si="4">$F12*P12</f>
        <v>41.42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41.58</v>
      </c>
      <c r="W12" s="18">
        <f t="shared" ref="W12:W27" si="6">$F12*V12</f>
        <v>41.58</v>
      </c>
      <c r="X12" s="19"/>
      <c r="Y12" s="21">
        <f>W12-Q12</f>
        <v>0.15999999999999659</v>
      </c>
      <c r="Z12" s="22">
        <f t="shared" ref="Z12:Z34" si="7">IF((Q12)=0,"",(Y12/Q12))</f>
        <v>3.8628681796232878E-3</v>
      </c>
      <c r="AA12" s="19"/>
      <c r="AB12" s="16">
        <v>42.57</v>
      </c>
      <c r="AC12" s="18">
        <f t="shared" ref="AC12:AC27" si="8">$F12*AB12</f>
        <v>42.57</v>
      </c>
      <c r="AD12" s="19"/>
      <c r="AE12" s="21">
        <f>AC12-W12</f>
        <v>0.99000000000000199</v>
      </c>
      <c r="AF12" s="22">
        <f t="shared" ref="AF12:AF34" si="9">IF((W12)=0,"",(AE12/W12))</f>
        <v>2.3809523809523857E-2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2.42</v>
      </c>
      <c r="H13" s="18">
        <f t="shared" si="0"/>
        <v>2.42</v>
      </c>
      <c r="I13" s="19"/>
      <c r="J13" s="209">
        <v>2.41</v>
      </c>
      <c r="K13" s="18">
        <f t="shared" si="1"/>
        <v>2.41</v>
      </c>
      <c r="L13" s="19"/>
      <c r="M13" s="21">
        <f t="shared" si="2"/>
        <v>-9.9999999999997868E-3</v>
      </c>
      <c r="N13" s="22">
        <f t="shared" si="3"/>
        <v>-4.1322314049585893E-3</v>
      </c>
      <c r="O13" s="212"/>
      <c r="P13" s="16">
        <v>2.41</v>
      </c>
      <c r="Q13" s="18">
        <f t="shared" si="4"/>
        <v>2.41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-2.41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5000</v>
      </c>
      <c r="G19" s="16">
        <v>1.06E-2</v>
      </c>
      <c r="H19" s="18">
        <f t="shared" si="0"/>
        <v>53</v>
      </c>
      <c r="I19" s="19"/>
      <c r="J19" s="16">
        <v>1.0699999999999999E-2</v>
      </c>
      <c r="K19" s="18">
        <f t="shared" si="1"/>
        <v>53.5</v>
      </c>
      <c r="L19" s="19"/>
      <c r="M19" s="21">
        <f t="shared" si="2"/>
        <v>0.5</v>
      </c>
      <c r="N19" s="22">
        <f t="shared" si="3"/>
        <v>9.433962264150943E-3</v>
      </c>
      <c r="O19" s="212"/>
      <c r="P19" s="16">
        <v>1.0699999999999999E-2</v>
      </c>
      <c r="Q19" s="18">
        <f t="shared" si="4"/>
        <v>53.5</v>
      </c>
      <c r="R19" s="19"/>
      <c r="S19" s="21">
        <f t="shared" si="10"/>
        <v>0</v>
      </c>
      <c r="T19" s="22">
        <f t="shared" si="5"/>
        <v>0</v>
      </c>
      <c r="U19" s="19"/>
      <c r="V19" s="16">
        <v>1.0699999999999999E-2</v>
      </c>
      <c r="W19" s="18">
        <f t="shared" si="6"/>
        <v>53.5</v>
      </c>
      <c r="X19" s="19"/>
      <c r="Y19" s="21">
        <f t="shared" si="11"/>
        <v>0</v>
      </c>
      <c r="Z19" s="22">
        <f t="shared" si="7"/>
        <v>0</v>
      </c>
      <c r="AA19" s="19"/>
      <c r="AB19" s="16">
        <v>1.0999999999999999E-2</v>
      </c>
      <c r="AC19" s="18">
        <f t="shared" si="8"/>
        <v>55</v>
      </c>
      <c r="AD19" s="19"/>
      <c r="AE19" s="21">
        <f t="shared" si="13"/>
        <v>1.5</v>
      </c>
      <c r="AF19" s="22">
        <f t="shared" si="9"/>
        <v>2.8037383177570093E-2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5000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33" si="14">$G$7</f>
        <v>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96.63</v>
      </c>
      <c r="I28" s="31"/>
      <c r="J28" s="28"/>
      <c r="K28" s="30">
        <f>SUM(K12:K27)</f>
        <v>97.33</v>
      </c>
      <c r="L28" s="31"/>
      <c r="M28" s="32">
        <f t="shared" si="15"/>
        <v>0.70000000000000284</v>
      </c>
      <c r="N28" s="33">
        <f t="shared" si="16"/>
        <v>7.2441270826865663E-3</v>
      </c>
      <c r="O28" s="212"/>
      <c r="P28" s="28"/>
      <c r="Q28" s="30">
        <f>SUM(Q12:Q27)</f>
        <v>97.33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95.08</v>
      </c>
      <c r="X28" s="31"/>
      <c r="Y28" s="32">
        <f t="shared" si="11"/>
        <v>-2.25</v>
      </c>
      <c r="Z28" s="33">
        <f t="shared" si="7"/>
        <v>-2.311723004212473E-2</v>
      </c>
      <c r="AA28" s="31"/>
      <c r="AB28" s="28"/>
      <c r="AC28" s="30">
        <f>SUM(AC12:AC27)</f>
        <v>97.57</v>
      </c>
      <c r="AD28" s="31"/>
      <c r="AE28" s="32">
        <f t="shared" si="13"/>
        <v>2.4899999999999949</v>
      </c>
      <c r="AF28" s="33">
        <f t="shared" si="9"/>
        <v>2.6188472864955775E-2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5000</v>
      </c>
      <c r="G29" s="16">
        <v>3.3021965494891919E-4</v>
      </c>
      <c r="H29" s="18">
        <f t="shared" ref="H29:H35" si="17">$F29*G29</f>
        <v>1.6510982747445959</v>
      </c>
      <c r="I29" s="19"/>
      <c r="J29" s="16">
        <v>-2.5000000000000001E-3</v>
      </c>
      <c r="K29" s="18">
        <f t="shared" ref="K29:K35" si="18">$F29*J29</f>
        <v>-12.5</v>
      </c>
      <c r="L29" s="19"/>
      <c r="M29" s="21">
        <f t="shared" si="15"/>
        <v>-14.151098274744596</v>
      </c>
      <c r="N29" s="22">
        <f t="shared" si="16"/>
        <v>-8.5707183462072187</v>
      </c>
      <c r="O29" s="212"/>
      <c r="P29" s="16">
        <v>-2.5000000000000001E-3</v>
      </c>
      <c r="Q29" s="18">
        <f t="shared" ref="Q29:Q35" si="19">$F29*P29</f>
        <v>-12.5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12.5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5000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si="14"/>
        <v>5000</v>
      </c>
      <c r="G31" s="16">
        <v>0</v>
      </c>
      <c r="H31" s="18">
        <f>$F31*G31</f>
        <v>0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0</v>
      </c>
      <c r="N31" s="22" t="str">
        <f>IF((H31)=0,"",(M31/H31))</f>
        <v/>
      </c>
      <c r="O31" s="212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14"/>
        <v>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212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14"/>
        <v>5000</v>
      </c>
      <c r="G33" s="133">
        <v>6.0000000000000002E-5</v>
      </c>
      <c r="H33" s="18">
        <f t="shared" si="17"/>
        <v>0.3</v>
      </c>
      <c r="I33" s="19"/>
      <c r="J33" s="133">
        <v>6.0000000000000002E-5</v>
      </c>
      <c r="K33" s="18">
        <f t="shared" si="18"/>
        <v>0.3</v>
      </c>
      <c r="L33" s="19"/>
      <c r="M33" s="21">
        <f t="shared" si="26"/>
        <v>0</v>
      </c>
      <c r="N33" s="22">
        <f>IF((H33)=0,"",(M33/H33))</f>
        <v>0</v>
      </c>
      <c r="O33" s="212"/>
      <c r="P33" s="133">
        <v>6.0000000000000002E-5</v>
      </c>
      <c r="Q33" s="18">
        <f t="shared" si="19"/>
        <v>0.3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0.3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0.3</v>
      </c>
      <c r="AD33" s="19"/>
      <c r="AE33" s="21">
        <f t="shared" si="13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189.5</v>
      </c>
      <c r="G34" s="38">
        <f>IF(ISBLANK($D$5)=TRUE, 0, IF($D$5="TOU", 0.64*G44+0.18*G45+0.18*G46, IF(AND($D$5="non-TOU", $F$48&gt;0), G48,G47)))</f>
        <v>0.11183999999999999</v>
      </c>
      <c r="H34" s="18">
        <f t="shared" si="17"/>
        <v>21.193680000000001</v>
      </c>
      <c r="I34" s="19"/>
      <c r="J34" s="38">
        <f>IF(ISBLANK($D$5)=TRUE, 0, IF($D$5="TOU", 0.64*J44+0.18*J45+0.18*J46, IF(AND($D$5="non-TOU", $F$48&gt;0), J48,J47)))</f>
        <v>0.11183999999999999</v>
      </c>
      <c r="K34" s="18">
        <f t="shared" si="18"/>
        <v>21.193680000000001</v>
      </c>
      <c r="L34" s="19"/>
      <c r="M34" s="21">
        <f t="shared" si="26"/>
        <v>0</v>
      </c>
      <c r="N34" s="22">
        <f>IF((H34)=0,"",(M34/H34))</f>
        <v>0</v>
      </c>
      <c r="O34" s="212"/>
      <c r="P34" s="38">
        <f>IF(ISBLANK($D$5)=TRUE, 0, IF($D$5="TOU", 0.64*P44+0.18*P45+0.18*P46, IF(AND($D$5="non-TOU", $F$48&gt;0), P48,P47)))</f>
        <v>0.10214000000000001</v>
      </c>
      <c r="Q34" s="18">
        <f t="shared" si="19"/>
        <v>19.355530000000002</v>
      </c>
      <c r="R34" s="19"/>
      <c r="S34" s="21">
        <f t="shared" si="10"/>
        <v>-1.8381499999999988</v>
      </c>
      <c r="T34" s="22">
        <f t="shared" si="5"/>
        <v>-8.6731044349070044E-2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19.355530000000002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19.355530000000002</v>
      </c>
      <c r="AD34" s="19"/>
      <c r="AE34" s="21">
        <f t="shared" si="13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0.78800000000000003</v>
      </c>
      <c r="H35" s="18">
        <f t="shared" si="17"/>
        <v>0.78800000000000003</v>
      </c>
      <c r="I35" s="19"/>
      <c r="J35" s="210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212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120.56277827474459</v>
      </c>
      <c r="I36" s="31"/>
      <c r="J36" s="41"/>
      <c r="K36" s="43">
        <f>SUM(K29:K35)+K28</f>
        <v>107.11168000000001</v>
      </c>
      <c r="L36" s="31"/>
      <c r="M36" s="32">
        <f t="shared" si="26"/>
        <v>-13.451098274744581</v>
      </c>
      <c r="N36" s="33">
        <f t="shared" ref="N36:N42" si="27">IF((H36)=0,"",(M36/H36))</f>
        <v>-0.11156924605778024</v>
      </c>
      <c r="O36" s="212"/>
      <c r="P36" s="41"/>
      <c r="Q36" s="43">
        <f>SUM(Q29:Q35)+Q28</f>
        <v>105.27352999999999</v>
      </c>
      <c r="R36" s="31"/>
      <c r="S36" s="32">
        <f t="shared" si="10"/>
        <v>-1.8381500000000131</v>
      </c>
      <c r="T36" s="33">
        <f t="shared" ref="T36:T42" si="28">IF((K36)=0,"",(S36/K36))</f>
        <v>-1.7161060306401812E-2</v>
      </c>
      <c r="U36" s="31"/>
      <c r="V36" s="41"/>
      <c r="W36" s="43">
        <f>SUM(W29:W35)+W28</f>
        <v>115.52352999999999</v>
      </c>
      <c r="X36" s="31"/>
      <c r="Y36" s="32">
        <f t="shared" si="11"/>
        <v>10.25</v>
      </c>
      <c r="Z36" s="33">
        <f t="shared" ref="Z36:Z42" si="29">IF((Q36)=0,"",(Y36/Q36))</f>
        <v>9.7365406099709964E-2</v>
      </c>
      <c r="AA36" s="31"/>
      <c r="AB36" s="41"/>
      <c r="AC36" s="43">
        <f>SUM(AC29:AC35)+AC28</f>
        <v>117.22552999999999</v>
      </c>
      <c r="AD36" s="31"/>
      <c r="AE36" s="32">
        <f t="shared" si="13"/>
        <v>1.7019999999999982</v>
      </c>
      <c r="AF36" s="33">
        <f t="shared" ref="AF36:AF46" si="30">IF((W36)=0,"",(AE36/W36))</f>
        <v>1.4732929300204022E-2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5189.5</v>
      </c>
      <c r="G37" s="20">
        <v>6.8009505892390144E-3</v>
      </c>
      <c r="H37" s="18">
        <f>$F37*G37</f>
        <v>35.293533082855866</v>
      </c>
      <c r="I37" s="19"/>
      <c r="J37" s="20">
        <v>6.4999999999999997E-3</v>
      </c>
      <c r="K37" s="18">
        <f>$F37*J37</f>
        <v>33.731749999999998</v>
      </c>
      <c r="L37" s="19"/>
      <c r="M37" s="21">
        <f t="shared" si="26"/>
        <v>-1.5617830828558681</v>
      </c>
      <c r="N37" s="22">
        <f t="shared" si="27"/>
        <v>-4.4251253599048648E-2</v>
      </c>
      <c r="O37" s="212"/>
      <c r="P37" s="20">
        <v>6.4999999999999997E-3</v>
      </c>
      <c r="Q37" s="18">
        <f>$F37*P37</f>
        <v>33.731749999999998</v>
      </c>
      <c r="R37" s="19"/>
      <c r="S37" s="21">
        <f t="shared" si="10"/>
        <v>0</v>
      </c>
      <c r="T37" s="22">
        <f t="shared" si="28"/>
        <v>0</v>
      </c>
      <c r="U37" s="19"/>
      <c r="V37" s="20">
        <v>6.4999999999999997E-3</v>
      </c>
      <c r="W37" s="18">
        <f>$F37*V37</f>
        <v>33.731749999999998</v>
      </c>
      <c r="X37" s="19"/>
      <c r="Y37" s="21">
        <f t="shared" si="11"/>
        <v>0</v>
      </c>
      <c r="Z37" s="22">
        <f t="shared" si="29"/>
        <v>0</v>
      </c>
      <c r="AA37" s="19"/>
      <c r="AB37" s="20">
        <v>6.4999999999999997E-3</v>
      </c>
      <c r="AC37" s="18">
        <f>$F37*AB37</f>
        <v>33.731749999999998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5189.5</v>
      </c>
      <c r="G38" s="20">
        <v>5.3223476369492068E-3</v>
      </c>
      <c r="H38" s="18">
        <f>$F38*G38</f>
        <v>27.620323061947907</v>
      </c>
      <c r="I38" s="19"/>
      <c r="J38" s="20">
        <v>5.3E-3</v>
      </c>
      <c r="K38" s="18">
        <f>$F38*J38</f>
        <v>27.504349999999999</v>
      </c>
      <c r="L38" s="19"/>
      <c r="M38" s="21">
        <f t="shared" si="26"/>
        <v>-0.11597306194790846</v>
      </c>
      <c r="N38" s="22">
        <f t="shared" si="27"/>
        <v>-4.1988307554477076E-3</v>
      </c>
      <c r="O38" s="212"/>
      <c r="P38" s="20">
        <v>5.3E-3</v>
      </c>
      <c r="Q38" s="18">
        <f>$F38*P38</f>
        <v>27.504349999999999</v>
      </c>
      <c r="R38" s="19"/>
      <c r="S38" s="21">
        <f t="shared" si="10"/>
        <v>0</v>
      </c>
      <c r="T38" s="22">
        <f t="shared" si="28"/>
        <v>0</v>
      </c>
      <c r="U38" s="19"/>
      <c r="V38" s="20">
        <v>5.3E-3</v>
      </c>
      <c r="W38" s="18">
        <f>$F38*V38</f>
        <v>27.504349999999999</v>
      </c>
      <c r="X38" s="19"/>
      <c r="Y38" s="21">
        <f t="shared" si="11"/>
        <v>0</v>
      </c>
      <c r="Z38" s="22">
        <f t="shared" si="29"/>
        <v>0</v>
      </c>
      <c r="AA38" s="19"/>
      <c r="AB38" s="20">
        <v>5.3E-3</v>
      </c>
      <c r="AC38" s="18">
        <f>$F38*AB38</f>
        <v>27.504349999999999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183.47663441954836</v>
      </c>
      <c r="I39" s="48"/>
      <c r="J39" s="47"/>
      <c r="K39" s="43">
        <f>SUM(K36:K38)</f>
        <v>168.34778</v>
      </c>
      <c r="L39" s="48"/>
      <c r="M39" s="32">
        <f t="shared" si="26"/>
        <v>-15.128854419548361</v>
      </c>
      <c r="N39" s="33">
        <f t="shared" si="27"/>
        <v>-8.2456572562552247E-2</v>
      </c>
      <c r="O39" s="212"/>
      <c r="P39" s="47"/>
      <c r="Q39" s="43">
        <f>SUM(Q36:Q38)</f>
        <v>166.50962999999999</v>
      </c>
      <c r="R39" s="48"/>
      <c r="S39" s="32">
        <f t="shared" si="10"/>
        <v>-1.8381500000000131</v>
      </c>
      <c r="T39" s="33">
        <f t="shared" si="28"/>
        <v>-1.0918765902348181E-2</v>
      </c>
      <c r="U39" s="48"/>
      <c r="V39" s="47"/>
      <c r="W39" s="43">
        <f>SUM(W36:W38)</f>
        <v>176.75962999999999</v>
      </c>
      <c r="X39" s="48"/>
      <c r="Y39" s="32">
        <f t="shared" si="11"/>
        <v>10.25</v>
      </c>
      <c r="Z39" s="33">
        <f t="shared" si="29"/>
        <v>6.1558001179871702E-2</v>
      </c>
      <c r="AA39" s="48"/>
      <c r="AB39" s="47"/>
      <c r="AC39" s="43">
        <f>SUM(AC36:AC38)</f>
        <v>178.46162999999999</v>
      </c>
      <c r="AD39" s="48"/>
      <c r="AE39" s="32">
        <f t="shared" si="13"/>
        <v>1.7019999999999982</v>
      </c>
      <c r="AF39" s="33">
        <f t="shared" si="30"/>
        <v>9.6288954666854543E-3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5189.5</v>
      </c>
      <c r="G40" s="50">
        <v>4.7000000000000002E-3</v>
      </c>
      <c r="H40" s="152">
        <f t="shared" ref="H40:H42" si="31">$F40*G40</f>
        <v>24.390650000000001</v>
      </c>
      <c r="I40" s="19"/>
      <c r="J40" s="50">
        <v>4.7000000000000002E-3</v>
      </c>
      <c r="K40" s="152">
        <f t="shared" ref="K40:K42" si="32">$F40*J40</f>
        <v>24.390650000000001</v>
      </c>
      <c r="L40" s="19"/>
      <c r="M40" s="21">
        <f t="shared" si="26"/>
        <v>0</v>
      </c>
      <c r="N40" s="153">
        <f t="shared" si="27"/>
        <v>0</v>
      </c>
      <c r="O40" s="212"/>
      <c r="P40" s="50">
        <v>4.7000000000000002E-3</v>
      </c>
      <c r="Q40" s="152">
        <f t="shared" ref="Q40:Q42" si="33">$F40*P40</f>
        <v>24.390650000000001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2" si="34">$F40*V40</f>
        <v>24.390650000000001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24.390650000000001</v>
      </c>
      <c r="AD40" s="19"/>
      <c r="AE40" s="21">
        <f t="shared" si="13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5189.5</v>
      </c>
      <c r="G41" s="50">
        <v>1.2999999999999999E-3</v>
      </c>
      <c r="H41" s="152">
        <f t="shared" si="31"/>
        <v>6.7463499999999996</v>
      </c>
      <c r="I41" s="19"/>
      <c r="J41" s="50">
        <v>2.0999999999999999E-3</v>
      </c>
      <c r="K41" s="152">
        <f t="shared" si="32"/>
        <v>10.89795</v>
      </c>
      <c r="L41" s="19"/>
      <c r="M41" s="21">
        <f t="shared" si="26"/>
        <v>4.1516000000000002</v>
      </c>
      <c r="N41" s="153">
        <f t="shared" si="27"/>
        <v>0.61538461538461542</v>
      </c>
      <c r="O41" s="212"/>
      <c r="P41" s="50">
        <v>2.0999999999999999E-3</v>
      </c>
      <c r="Q41" s="152">
        <f t="shared" si="33"/>
        <v>10.89795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10.89795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10.89795</v>
      </c>
      <c r="AD41" s="19"/>
      <c r="AE41" s="21">
        <f t="shared" si="13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26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3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5000</v>
      </c>
      <c r="G43" s="50">
        <v>7.0000000000000001E-3</v>
      </c>
      <c r="H43" s="152">
        <f t="shared" ref="H43:H48" si="36">$F43*G43</f>
        <v>35</v>
      </c>
      <c r="I43" s="19"/>
      <c r="J43" s="50">
        <v>7.0000000000000001E-3</v>
      </c>
      <c r="K43" s="152">
        <f t="shared" ref="K43:K48" si="37">$F43*J43</f>
        <v>35</v>
      </c>
      <c r="L43" s="19"/>
      <c r="M43" s="21">
        <f t="shared" ref="M43:M60" si="38">K43-H43</f>
        <v>0</v>
      </c>
      <c r="N43" s="153">
        <f t="shared" ref="N43:N46" si="39">IF((H43)=0,"",(M43/H43))</f>
        <v>0</v>
      </c>
      <c r="O43" s="212"/>
      <c r="P43" s="50">
        <v>7.0000000000000001E-3</v>
      </c>
      <c r="Q43" s="152">
        <f t="shared" ref="Q43:Q48" si="40">$F43*P43</f>
        <v>35</v>
      </c>
      <c r="R43" s="19"/>
      <c r="S43" s="21">
        <f t="shared" ref="S43:S60" si="41">Q43-K43</f>
        <v>0</v>
      </c>
      <c r="T43" s="153">
        <f t="shared" ref="T43:T46" si="42">IF((K43)=0,"",(S43/K43))</f>
        <v>0</v>
      </c>
      <c r="U43" s="19"/>
      <c r="V43" s="50">
        <v>7.0000000000000001E-3</v>
      </c>
      <c r="W43" s="152">
        <f t="shared" ref="W43:W48" si="43">$F43*V43</f>
        <v>35</v>
      </c>
      <c r="X43" s="19"/>
      <c r="Y43" s="21">
        <f t="shared" ref="Y43:Y60" si="44">W43-Q43</f>
        <v>0</v>
      </c>
      <c r="Z43" s="153">
        <f t="shared" ref="Z43:Z46" si="45">IF((Q43)=0,"",(Y43/Q43))</f>
        <v>0</v>
      </c>
      <c r="AA43" s="19"/>
      <c r="AB43" s="50">
        <v>7.0000000000000001E-3</v>
      </c>
      <c r="AC43" s="152">
        <f t="shared" si="35"/>
        <v>35</v>
      </c>
      <c r="AD43" s="19"/>
      <c r="AE43" s="21">
        <f t="shared" si="13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3200</v>
      </c>
      <c r="G44" s="54">
        <v>8.6999999999999994E-2</v>
      </c>
      <c r="H44" s="152">
        <f t="shared" si="36"/>
        <v>278.39999999999998</v>
      </c>
      <c r="I44" s="19"/>
      <c r="J44" s="54">
        <f>+G44</f>
        <v>8.6999999999999994E-2</v>
      </c>
      <c r="K44" s="152">
        <f t="shared" si="37"/>
        <v>278.39999999999998</v>
      </c>
      <c r="L44" s="19"/>
      <c r="M44" s="21">
        <f t="shared" si="38"/>
        <v>0</v>
      </c>
      <c r="N44" s="153">
        <f t="shared" si="39"/>
        <v>0</v>
      </c>
      <c r="O44" s="212"/>
      <c r="P44" s="54">
        <v>0.08</v>
      </c>
      <c r="Q44" s="152">
        <f t="shared" si="40"/>
        <v>256</v>
      </c>
      <c r="R44" s="19"/>
      <c r="S44" s="21">
        <f t="shared" si="41"/>
        <v>-22.399999999999977</v>
      </c>
      <c r="T44" s="153">
        <f t="shared" si="42"/>
        <v>-8.0459770114942458E-2</v>
      </c>
      <c r="U44" s="19"/>
      <c r="V44" s="54">
        <v>0.08</v>
      </c>
      <c r="W44" s="152">
        <f t="shared" si="43"/>
        <v>256</v>
      </c>
      <c r="X44" s="19"/>
      <c r="Y44" s="21">
        <f t="shared" si="44"/>
        <v>0</v>
      </c>
      <c r="Z44" s="153">
        <f t="shared" si="45"/>
        <v>0</v>
      </c>
      <c r="AA44" s="19"/>
      <c r="AB44" s="54">
        <v>0.08</v>
      </c>
      <c r="AC44" s="152">
        <f t="shared" si="35"/>
        <v>256</v>
      </c>
      <c r="AD44" s="19"/>
      <c r="AE44" s="21">
        <f t="shared" si="13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900</v>
      </c>
      <c r="G45" s="54">
        <v>0.13200000000000001</v>
      </c>
      <c r="H45" s="152">
        <f t="shared" si="36"/>
        <v>118.80000000000001</v>
      </c>
      <c r="I45" s="19"/>
      <c r="J45" s="54">
        <f>+G45</f>
        <v>0.13200000000000001</v>
      </c>
      <c r="K45" s="152">
        <f t="shared" si="37"/>
        <v>118.80000000000001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109.8</v>
      </c>
      <c r="R45" s="19"/>
      <c r="S45" s="21">
        <f t="shared" si="41"/>
        <v>-9.0000000000000142</v>
      </c>
      <c r="T45" s="153">
        <f t="shared" si="42"/>
        <v>-7.5757575757575871E-2</v>
      </c>
      <c r="U45" s="19"/>
      <c r="V45" s="54">
        <v>0.122</v>
      </c>
      <c r="W45" s="152">
        <f t="shared" si="43"/>
        <v>109.8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109.8</v>
      </c>
      <c r="AD45" s="19"/>
      <c r="AE45" s="21">
        <f t="shared" si="13"/>
        <v>0</v>
      </c>
      <c r="AF45" s="153">
        <f t="shared" si="30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900</v>
      </c>
      <c r="G46" s="54">
        <v>0.18</v>
      </c>
      <c r="H46" s="152">
        <f t="shared" si="36"/>
        <v>162</v>
      </c>
      <c r="I46" s="19"/>
      <c r="J46" s="54">
        <f>+G46</f>
        <v>0.18</v>
      </c>
      <c r="K46" s="152">
        <f t="shared" si="37"/>
        <v>162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144.9</v>
      </c>
      <c r="R46" s="19"/>
      <c r="S46" s="21">
        <f t="shared" si="41"/>
        <v>-17.099999999999994</v>
      </c>
      <c r="T46" s="153">
        <f t="shared" si="42"/>
        <v>-0.10555555555555551</v>
      </c>
      <c r="U46" s="19"/>
      <c r="V46" s="54">
        <v>0.161</v>
      </c>
      <c r="W46" s="152">
        <f t="shared" si="43"/>
        <v>144.9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144.9</v>
      </c>
      <c r="AD46" s="19"/>
      <c r="AE46" s="21">
        <f t="shared" si="13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0.10299999999999999</v>
      </c>
      <c r="H47" s="152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G7&gt;=750), G7-750, IF(AND(N3=1, AND(G7&lt;750, G7&gt;=0)), 0, IF(AND(N3=2, G7&gt;=750), G7-750, IF(AND(N3=2, AND(G7&lt;750, G7&gt;=0)), 0))))</f>
        <v>4250</v>
      </c>
      <c r="G48" s="54">
        <v>0.121</v>
      </c>
      <c r="H48" s="152">
        <f t="shared" si="36"/>
        <v>514.25</v>
      </c>
      <c r="I48" s="59"/>
      <c r="J48" s="54">
        <f>+G48</f>
        <v>0.121</v>
      </c>
      <c r="K48" s="152">
        <f t="shared" si="37"/>
        <v>514.25</v>
      </c>
      <c r="L48" s="59"/>
      <c r="M48" s="60">
        <f t="shared" si="38"/>
        <v>0</v>
      </c>
      <c r="N48" s="153">
        <f>IF((H48)=FALSE,"",(M48/H48))</f>
        <v>0</v>
      </c>
      <c r="O48" s="212"/>
      <c r="P48" s="54">
        <v>0.11</v>
      </c>
      <c r="Q48" s="152">
        <f t="shared" si="40"/>
        <v>467.5</v>
      </c>
      <c r="R48" s="59"/>
      <c r="S48" s="60">
        <f t="shared" si="41"/>
        <v>-46.75</v>
      </c>
      <c r="T48" s="153">
        <f>IF((K48)=FALSE,"",(S48/K48))</f>
        <v>-9.0909090909090912E-2</v>
      </c>
      <c r="U48" s="59"/>
      <c r="V48" s="54">
        <v>0.11</v>
      </c>
      <c r="W48" s="152">
        <f t="shared" si="43"/>
        <v>467.5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467.5</v>
      </c>
      <c r="AD48" s="59"/>
      <c r="AE48" s="60">
        <f t="shared" si="13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809.06363441954841</v>
      </c>
      <c r="I50" s="75"/>
      <c r="J50" s="72"/>
      <c r="K50" s="74">
        <f>SUM(K40:K46,K39)</f>
        <v>798.08637999999996</v>
      </c>
      <c r="L50" s="75"/>
      <c r="M50" s="76">
        <f t="shared" si="38"/>
        <v>-10.977254419548444</v>
      </c>
      <c r="N50" s="77">
        <f>IF((H50)=0,"",(M50/H50))</f>
        <v>-1.3567850478688149E-2</v>
      </c>
      <c r="O50" s="212"/>
      <c r="P50" s="72"/>
      <c r="Q50" s="74">
        <f>SUM(Q40:Q46,Q39)</f>
        <v>747.74823000000004</v>
      </c>
      <c r="R50" s="75"/>
      <c r="S50" s="76">
        <f t="shared" si="41"/>
        <v>-50.338149999999928</v>
      </c>
      <c r="T50" s="77">
        <f>IF((K50)=0,"",(S50/K50))</f>
        <v>-6.3073561034834261E-2</v>
      </c>
      <c r="U50" s="75"/>
      <c r="V50" s="72"/>
      <c r="W50" s="74">
        <f>SUM(W40:W46,W39)</f>
        <v>757.99823000000004</v>
      </c>
      <c r="X50" s="75"/>
      <c r="Y50" s="76">
        <f t="shared" si="44"/>
        <v>10.25</v>
      </c>
      <c r="Z50" s="77">
        <f>IF((Q50)=0,"",(Y50/Q50))</f>
        <v>1.3707822484581474E-2</v>
      </c>
      <c r="AA50" s="75"/>
      <c r="AB50" s="72"/>
      <c r="AC50" s="74">
        <f>SUM(AC40:AC46,AC39)</f>
        <v>759.70023000000003</v>
      </c>
      <c r="AD50" s="75"/>
      <c r="AE50" s="76">
        <f t="shared" si="13"/>
        <v>1.7019999999999982</v>
      </c>
      <c r="AF50" s="77">
        <f>IF((W50)=0,"",(AE50/W50))</f>
        <v>2.2453878289399147E-3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105.1782724745413</v>
      </c>
      <c r="I51" s="81"/>
      <c r="J51" s="79">
        <v>0.13</v>
      </c>
      <c r="K51" s="82">
        <f>K50*J51</f>
        <v>103.7512294</v>
      </c>
      <c r="L51" s="81"/>
      <c r="M51" s="83">
        <f t="shared" si="38"/>
        <v>-1.4270430745413023</v>
      </c>
      <c r="N51" s="84">
        <f>IF((H51)=0,"",(M51/H51))</f>
        <v>-1.3567850478688193E-2</v>
      </c>
      <c r="O51" s="212"/>
      <c r="P51" s="79">
        <v>0.13</v>
      </c>
      <c r="Q51" s="82">
        <f>Q50*P51</f>
        <v>97.207269900000014</v>
      </c>
      <c r="R51" s="81"/>
      <c r="S51" s="83">
        <f t="shared" si="41"/>
        <v>-6.5439594999999855</v>
      </c>
      <c r="T51" s="84">
        <f>IF((K51)=0,"",(S51/K51))</f>
        <v>-6.3073561034834205E-2</v>
      </c>
      <c r="U51" s="81"/>
      <c r="V51" s="79">
        <v>0.13</v>
      </c>
      <c r="W51" s="82">
        <f>W50*V51</f>
        <v>98.53976990000001</v>
      </c>
      <c r="X51" s="81"/>
      <c r="Y51" s="83">
        <f t="shared" si="44"/>
        <v>1.332499999999996</v>
      </c>
      <c r="Z51" s="84">
        <f>IF((Q51)=0,"",(Y51/Q51))</f>
        <v>1.3707822484581432E-2</v>
      </c>
      <c r="AA51" s="81"/>
      <c r="AB51" s="79">
        <v>0.13</v>
      </c>
      <c r="AC51" s="82">
        <f>AC50*AB51</f>
        <v>98.761029900000011</v>
      </c>
      <c r="AD51" s="81"/>
      <c r="AE51" s="83">
        <f t="shared" si="13"/>
        <v>0.2212600000000009</v>
      </c>
      <c r="AF51" s="84">
        <f>IF((W51)=0,"",(AE51/W51))</f>
        <v>2.245387828939926E-3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914.24190689408965</v>
      </c>
      <c r="I52" s="81"/>
      <c r="J52" s="86"/>
      <c r="K52" s="82">
        <f>K50+K51</f>
        <v>901.83760940000002</v>
      </c>
      <c r="L52" s="81"/>
      <c r="M52" s="83">
        <f t="shared" si="38"/>
        <v>-12.404297494089633</v>
      </c>
      <c r="N52" s="84">
        <f>IF((H52)=0,"",(M52/H52))</f>
        <v>-1.3567850478688031E-2</v>
      </c>
      <c r="O52" s="212"/>
      <c r="P52" s="86"/>
      <c r="Q52" s="82">
        <f>Q50+Q51</f>
        <v>844.95549990000006</v>
      </c>
      <c r="R52" s="81"/>
      <c r="S52" s="83">
        <f t="shared" si="41"/>
        <v>-56.882109499999956</v>
      </c>
      <c r="T52" s="84">
        <f>IF((K52)=0,"",(S52/K52))</f>
        <v>-6.3073561034834302E-2</v>
      </c>
      <c r="U52" s="81"/>
      <c r="V52" s="86"/>
      <c r="W52" s="82">
        <f>W50+W51</f>
        <v>856.53799990000005</v>
      </c>
      <c r="X52" s="81"/>
      <c r="Y52" s="83">
        <f t="shared" si="44"/>
        <v>11.582499999999982</v>
      </c>
      <c r="Z52" s="84">
        <f>IF((Q52)=0,"",(Y52/Q52))</f>
        <v>1.3707822484581453E-2</v>
      </c>
      <c r="AA52" s="81"/>
      <c r="AB52" s="86"/>
      <c r="AC52" s="82">
        <f>AC50+AC51</f>
        <v>858.46125990000007</v>
      </c>
      <c r="AD52" s="81"/>
      <c r="AE52" s="83">
        <f t="shared" si="13"/>
        <v>1.9232600000000275</v>
      </c>
      <c r="AF52" s="84">
        <f>IF((W52)=0,"",(AE52/W52))</f>
        <v>2.245387828939949E-3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-63.846910399999999</v>
      </c>
      <c r="L53" s="81"/>
      <c r="M53" s="88">
        <f t="shared" si="38"/>
        <v>-63.846910399999999</v>
      </c>
      <c r="N53" s="89" t="str">
        <f>IF((H53)=0,"",(M53/H53))</f>
        <v/>
      </c>
      <c r="O53" s="212"/>
      <c r="P53" s="86"/>
      <c r="Q53" s="87">
        <f>ROUND(-Q52*10%,2)</f>
        <v>-84.5</v>
      </c>
      <c r="R53" s="81"/>
      <c r="S53" s="88">
        <f t="shared" si="41"/>
        <v>-20.653089600000001</v>
      </c>
      <c r="T53" s="89">
        <f>IF((K53)=0,"",(S53/K53))</f>
        <v>0.32347829316420612</v>
      </c>
      <c r="U53" s="81"/>
      <c r="V53" s="86"/>
      <c r="W53" s="87">
        <f>ROUND(-W52*10%,2)</f>
        <v>-85.65</v>
      </c>
      <c r="X53" s="81"/>
      <c r="Y53" s="88">
        <f t="shared" si="44"/>
        <v>-1.1500000000000057</v>
      </c>
      <c r="Z53" s="89">
        <f>IF((Q53)=0,"",(Y53/Q53))</f>
        <v>1.3609467455621369E-2</v>
      </c>
      <c r="AA53" s="81"/>
      <c r="AB53" s="86"/>
      <c r="AC53" s="87">
        <f>ROUND(-AC52*10%,2)</f>
        <v>-85.85</v>
      </c>
      <c r="AD53" s="81"/>
      <c r="AE53" s="88">
        <f t="shared" si="13"/>
        <v>-0.19999999999998863</v>
      </c>
      <c r="AF53" s="89">
        <f>IF((W53)=0,"",(AE53/W53))</f>
        <v>2.3350846468183145E-3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914.24190689408965</v>
      </c>
      <c r="I54" s="92"/>
      <c r="J54" s="90"/>
      <c r="K54" s="93">
        <f>K52+K53</f>
        <v>837.99069900000006</v>
      </c>
      <c r="L54" s="92"/>
      <c r="M54" s="94">
        <f t="shared" si="38"/>
        <v>-76.251207894089589</v>
      </c>
      <c r="N54" s="95">
        <f>IF((H54)=0,"",(M54/H54))</f>
        <v>-8.3403754869577323E-2</v>
      </c>
      <c r="O54" s="212"/>
      <c r="P54" s="90"/>
      <c r="Q54" s="93">
        <f>Q52+Q53</f>
        <v>760.45549990000006</v>
      </c>
      <c r="R54" s="92"/>
      <c r="S54" s="94">
        <f t="shared" si="41"/>
        <v>-77.5351991</v>
      </c>
      <c r="T54" s="95">
        <f>IF((K54)=0,"",(S54/K54))</f>
        <v>-9.2525130878570755E-2</v>
      </c>
      <c r="U54" s="92"/>
      <c r="V54" s="90"/>
      <c r="W54" s="93">
        <f>W52+W53</f>
        <v>770.88799990000007</v>
      </c>
      <c r="X54" s="92"/>
      <c r="Y54" s="94">
        <f t="shared" si="44"/>
        <v>10.432500000000005</v>
      </c>
      <c r="Z54" s="95">
        <f>IF((Q54)=0,"",(Y54/Q54))</f>
        <v>1.3718751460633631E-2</v>
      </c>
      <c r="AA54" s="92"/>
      <c r="AB54" s="90"/>
      <c r="AC54" s="93">
        <f>AC52+AC53</f>
        <v>772.61125990000005</v>
      </c>
      <c r="AD54" s="92"/>
      <c r="AE54" s="94">
        <f t="shared" si="13"/>
        <v>1.723259999999982</v>
      </c>
      <c r="AF54" s="95">
        <f>IF((W54)=0,"",(AE54/W54))</f>
        <v>2.2354220071184455E-3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841.36363441954848</v>
      </c>
      <c r="I56" s="106"/>
      <c r="J56" s="103"/>
      <c r="K56" s="105">
        <f>SUM(K47:K48,K39,K40:K43)</f>
        <v>830.38638000000014</v>
      </c>
      <c r="L56" s="106"/>
      <c r="M56" s="107">
        <f t="shared" si="38"/>
        <v>-10.977254419548331</v>
      </c>
      <c r="N56" s="77">
        <f>IF((H56)=0,"",(M56/H56))</f>
        <v>-1.3046979891306414E-2</v>
      </c>
      <c r="O56" s="212"/>
      <c r="P56" s="103"/>
      <c r="Q56" s="105">
        <f>SUM(Q47:Q48,Q39,Q40:Q43)</f>
        <v>775.0482300000001</v>
      </c>
      <c r="R56" s="106"/>
      <c r="S56" s="107">
        <f t="shared" si="41"/>
        <v>-55.338150000000041</v>
      </c>
      <c r="T56" s="77">
        <f>IF((K56)=0,"",(S56/K56))</f>
        <v>-6.6641447081538158E-2</v>
      </c>
      <c r="U56" s="106"/>
      <c r="V56" s="103"/>
      <c r="W56" s="105">
        <f>SUM(W47:W48,W39,W40:W43)</f>
        <v>785.2982300000001</v>
      </c>
      <c r="X56" s="106"/>
      <c r="Y56" s="107">
        <f t="shared" si="44"/>
        <v>10.25</v>
      </c>
      <c r="Z56" s="77">
        <f>IF((Q56)=0,"",(Y56/Q56))</f>
        <v>1.3224983431031123E-2</v>
      </c>
      <c r="AA56" s="106"/>
      <c r="AB56" s="103"/>
      <c r="AC56" s="105">
        <f>SUM(AC47:AC48,AC39,AC40:AC43)</f>
        <v>787.0002300000001</v>
      </c>
      <c r="AD56" s="106"/>
      <c r="AE56" s="107">
        <f t="shared" si="13"/>
        <v>1.7019999999999982</v>
      </c>
      <c r="AF56" s="77">
        <f>IF((W56)=0,"",(AE56/W56))</f>
        <v>2.1673294743068477E-3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109.3772724745413</v>
      </c>
      <c r="I57" s="110"/>
      <c r="J57" s="109">
        <v>0.13</v>
      </c>
      <c r="K57" s="111">
        <f>K56*J57</f>
        <v>107.95022940000003</v>
      </c>
      <c r="L57" s="110"/>
      <c r="M57" s="112">
        <f t="shared" si="38"/>
        <v>-1.4270430745412739</v>
      </c>
      <c r="N57" s="84">
        <f>IF((H57)=0,"",(M57/H57))</f>
        <v>-1.3046979891306331E-2</v>
      </c>
      <c r="O57" s="212"/>
      <c r="P57" s="109">
        <v>0.13</v>
      </c>
      <c r="Q57" s="111">
        <f>Q56*P57</f>
        <v>100.75626990000002</v>
      </c>
      <c r="R57" s="110"/>
      <c r="S57" s="112">
        <f t="shared" si="41"/>
        <v>-7.1939595000000054</v>
      </c>
      <c r="T57" s="84">
        <f>IF((K57)=0,"",(S57/K57))</f>
        <v>-6.6641447081538144E-2</v>
      </c>
      <c r="U57" s="110"/>
      <c r="V57" s="109">
        <v>0.13</v>
      </c>
      <c r="W57" s="111">
        <f>W56*V57</f>
        <v>102.08876990000002</v>
      </c>
      <c r="X57" s="110"/>
      <c r="Y57" s="112">
        <f t="shared" si="44"/>
        <v>1.332499999999996</v>
      </c>
      <c r="Z57" s="84">
        <f>IF((Q57)=0,"",(Y57/Q57))</f>
        <v>1.3224983431031082E-2</v>
      </c>
      <c r="AA57" s="110"/>
      <c r="AB57" s="109">
        <v>0.13</v>
      </c>
      <c r="AC57" s="111">
        <f>AC56*AB57</f>
        <v>102.31002990000002</v>
      </c>
      <c r="AD57" s="110"/>
      <c r="AE57" s="112">
        <f t="shared" si="13"/>
        <v>0.2212600000000009</v>
      </c>
      <c r="AF57" s="84">
        <f>IF((W57)=0,"",(AE57/W57))</f>
        <v>2.1673294743068589E-3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950.74090689408979</v>
      </c>
      <c r="I58" s="110"/>
      <c r="J58" s="114"/>
      <c r="K58" s="111">
        <f>K56+K57</f>
        <v>938.33660940000016</v>
      </c>
      <c r="L58" s="110"/>
      <c r="M58" s="112">
        <f t="shared" si="38"/>
        <v>-12.404297494089633</v>
      </c>
      <c r="N58" s="84">
        <f>IF((H58)=0,"",(M58/H58))</f>
        <v>-1.3046979891306435E-2</v>
      </c>
      <c r="O58" s="212"/>
      <c r="P58" s="114"/>
      <c r="Q58" s="111">
        <f>Q56+Q57</f>
        <v>875.80449990000011</v>
      </c>
      <c r="R58" s="110"/>
      <c r="S58" s="112">
        <f t="shared" si="41"/>
        <v>-62.532109500000047</v>
      </c>
      <c r="T58" s="84">
        <f>IF((K58)=0,"",(S58/K58))</f>
        <v>-6.6641447081538158E-2</v>
      </c>
      <c r="U58" s="110"/>
      <c r="V58" s="114"/>
      <c r="W58" s="111">
        <f>W56+W57</f>
        <v>887.38699990000009</v>
      </c>
      <c r="X58" s="110"/>
      <c r="Y58" s="112">
        <f t="shared" si="44"/>
        <v>11.582499999999982</v>
      </c>
      <c r="Z58" s="84">
        <f>IF((Q58)=0,"",(Y58/Q58))</f>
        <v>1.3224983431031102E-2</v>
      </c>
      <c r="AA58" s="110"/>
      <c r="AB58" s="114"/>
      <c r="AC58" s="111">
        <f>AC56+AC57</f>
        <v>889.31025990000012</v>
      </c>
      <c r="AD58" s="110"/>
      <c r="AE58" s="112">
        <f t="shared" si="13"/>
        <v>1.9232600000000275</v>
      </c>
      <c r="AF58" s="84">
        <f>IF((W58)=0,"",(AE58/W58))</f>
        <v>2.1673294743068811E-3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-66.430910400000016</v>
      </c>
      <c r="L59" s="110"/>
      <c r="M59" s="117">
        <f t="shared" si="38"/>
        <v>-66.430910400000016</v>
      </c>
      <c r="N59" s="89" t="str">
        <f>IF((H59)=0,"",(M59/H59))</f>
        <v/>
      </c>
      <c r="O59" s="212"/>
      <c r="P59" s="114"/>
      <c r="Q59" s="116">
        <f>ROUND(-Q58*10%,2)</f>
        <v>-87.58</v>
      </c>
      <c r="R59" s="110"/>
      <c r="S59" s="117">
        <f t="shared" si="41"/>
        <v>-21.149089599999982</v>
      </c>
      <c r="T59" s="89">
        <f>IF((K59)=0,"",(S59/K59))</f>
        <v>0.31836218219282414</v>
      </c>
      <c r="U59" s="110"/>
      <c r="V59" s="114"/>
      <c r="W59" s="116">
        <f>ROUND(-W58*10%,2)</f>
        <v>-88.74</v>
      </c>
      <c r="X59" s="110"/>
      <c r="Y59" s="117">
        <f t="shared" si="44"/>
        <v>-1.1599999999999966</v>
      </c>
      <c r="Z59" s="89">
        <f>IF((Q59)=0,"",(Y59/Q59))</f>
        <v>1.3245033112582743E-2</v>
      </c>
      <c r="AA59" s="110"/>
      <c r="AB59" s="114"/>
      <c r="AC59" s="116">
        <f>ROUND(-AC58*10%,2)</f>
        <v>-88.93</v>
      </c>
      <c r="AD59" s="110"/>
      <c r="AE59" s="117">
        <f t="shared" si="13"/>
        <v>-0.19000000000001194</v>
      </c>
      <c r="AF59" s="89">
        <f>IF((W59)=0,"",(AE59/W59))</f>
        <v>2.1410863195854401E-3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950.74090689408979</v>
      </c>
      <c r="I60" s="120"/>
      <c r="J60" s="118"/>
      <c r="K60" s="121">
        <f>SUM(K58:K59)</f>
        <v>871.90569900000014</v>
      </c>
      <c r="L60" s="120"/>
      <c r="M60" s="122">
        <f t="shared" si="38"/>
        <v>-78.835207894089649</v>
      </c>
      <c r="N60" s="123">
        <f>IF((H60)=0,"",(M60/H60))</f>
        <v>-8.2919760075992707E-2</v>
      </c>
      <c r="O60" s="212"/>
      <c r="P60" s="118"/>
      <c r="Q60" s="121">
        <f>SUM(Q58:Q59)</f>
        <v>788.22449990000007</v>
      </c>
      <c r="R60" s="120"/>
      <c r="S60" s="122">
        <f t="shared" si="41"/>
        <v>-83.681199100000072</v>
      </c>
      <c r="T60" s="123">
        <f>IF((K60)=0,"",(S60/K60))</f>
        <v>-9.5975056931013422E-2</v>
      </c>
      <c r="U60" s="120"/>
      <c r="V60" s="118"/>
      <c r="W60" s="121">
        <f>SUM(W58:W59)</f>
        <v>798.64699990000008</v>
      </c>
      <c r="X60" s="120"/>
      <c r="Y60" s="122">
        <f t="shared" si="44"/>
        <v>10.422500000000014</v>
      </c>
      <c r="Z60" s="123">
        <f>IF((Q60)=0,"",(Y60/Q60))</f>
        <v>1.3222755701354486E-2</v>
      </c>
      <c r="AA60" s="120"/>
      <c r="AB60" s="118"/>
      <c r="AC60" s="121">
        <f>SUM(AC58:AC59)</f>
        <v>800.38025990000006</v>
      </c>
      <c r="AD60" s="120"/>
      <c r="AE60" s="122">
        <f t="shared" si="13"/>
        <v>1.7332599999999729</v>
      </c>
      <c r="AF60" s="123">
        <f>IF((W60)=0,"",(AE60/W60))</f>
        <v>2.1702454278510999E-3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2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F0"/>
    <pageSetUpPr fitToPage="1"/>
  </sheetPr>
  <dimension ref="A1:AP79"/>
  <sheetViews>
    <sheetView showGridLines="0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85546875" style="1" bestFit="1" customWidth="1"/>
    <col min="7" max="7" width="12.28515625" style="1" customWidth="1"/>
    <col min="8" max="8" width="10.28515625" style="142" bestFit="1" customWidth="1"/>
    <col min="9" max="9" width="1.7109375" style="1" customWidth="1"/>
    <col min="10" max="10" width="9.85546875" style="1" bestFit="1" customWidth="1"/>
    <col min="11" max="11" width="10.2851562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10.28515625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10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10.28515625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10.28515625" style="1" bestFit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63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10000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41.21</v>
      </c>
      <c r="H12" s="18">
        <f t="shared" ref="H12:H27" si="0">$F12*G12</f>
        <v>41.21</v>
      </c>
      <c r="I12" s="19"/>
      <c r="J12" s="209">
        <v>41.42</v>
      </c>
      <c r="K12" s="18">
        <f t="shared" ref="K12:K27" si="1">$F12*J12</f>
        <v>41.42</v>
      </c>
      <c r="L12" s="19"/>
      <c r="M12" s="21">
        <f t="shared" ref="M12:M21" si="2">K12-H12</f>
        <v>0.21000000000000085</v>
      </c>
      <c r="N12" s="22">
        <f t="shared" ref="N12:N21" si="3">IF((H12)=0,"",(M12/H12))</f>
        <v>5.0958505217180506E-3</v>
      </c>
      <c r="O12" s="212"/>
      <c r="P12" s="16">
        <v>41.42</v>
      </c>
      <c r="Q12" s="18">
        <f t="shared" ref="Q12:Q27" si="4">$F12*P12</f>
        <v>41.42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41.58</v>
      </c>
      <c r="W12" s="18">
        <f t="shared" ref="W12:W27" si="6">$F12*V12</f>
        <v>41.58</v>
      </c>
      <c r="X12" s="19"/>
      <c r="Y12" s="21">
        <f>W12-Q12</f>
        <v>0.15999999999999659</v>
      </c>
      <c r="Z12" s="22">
        <f t="shared" ref="Z12:Z34" si="7">IF((Q12)=0,"",(Y12/Q12))</f>
        <v>3.8628681796232878E-3</v>
      </c>
      <c r="AA12" s="19"/>
      <c r="AB12" s="16">
        <v>42.57</v>
      </c>
      <c r="AC12" s="18">
        <f t="shared" ref="AC12:AC27" si="8">$F12*AB12</f>
        <v>42.57</v>
      </c>
      <c r="AD12" s="19"/>
      <c r="AE12" s="21">
        <f>AC12-W12</f>
        <v>0.99000000000000199</v>
      </c>
      <c r="AF12" s="22">
        <f t="shared" ref="AF12:AF34" si="9">IF((W12)=0,"",(AE12/W12))</f>
        <v>2.3809523809523857E-2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2.42</v>
      </c>
      <c r="H13" s="18">
        <f t="shared" si="0"/>
        <v>2.42</v>
      </c>
      <c r="I13" s="19"/>
      <c r="J13" s="209">
        <v>2.41</v>
      </c>
      <c r="K13" s="18">
        <f t="shared" si="1"/>
        <v>2.41</v>
      </c>
      <c r="L13" s="19"/>
      <c r="M13" s="21">
        <f t="shared" si="2"/>
        <v>-9.9999999999997868E-3</v>
      </c>
      <c r="N13" s="22">
        <f t="shared" si="3"/>
        <v>-4.1322314049585893E-3</v>
      </c>
      <c r="O13" s="212"/>
      <c r="P13" s="16">
        <v>2.41</v>
      </c>
      <c r="Q13" s="18">
        <f t="shared" si="4"/>
        <v>2.41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-2.41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10000</v>
      </c>
      <c r="G19" s="16">
        <v>1.06E-2</v>
      </c>
      <c r="H19" s="18">
        <f t="shared" si="0"/>
        <v>106</v>
      </c>
      <c r="I19" s="19"/>
      <c r="J19" s="16">
        <v>1.0699999999999999E-2</v>
      </c>
      <c r="K19" s="18">
        <f t="shared" si="1"/>
        <v>107</v>
      </c>
      <c r="L19" s="19"/>
      <c r="M19" s="21">
        <f t="shared" si="2"/>
        <v>1</v>
      </c>
      <c r="N19" s="22">
        <f t="shared" si="3"/>
        <v>9.433962264150943E-3</v>
      </c>
      <c r="O19" s="212"/>
      <c r="P19" s="16">
        <v>1.0699999999999999E-2</v>
      </c>
      <c r="Q19" s="18">
        <f t="shared" si="4"/>
        <v>107</v>
      </c>
      <c r="R19" s="19"/>
      <c r="S19" s="21">
        <f t="shared" si="10"/>
        <v>0</v>
      </c>
      <c r="T19" s="22">
        <f t="shared" si="5"/>
        <v>0</v>
      </c>
      <c r="U19" s="19"/>
      <c r="V19" s="16">
        <v>1.0699999999999999E-2</v>
      </c>
      <c r="W19" s="18">
        <f t="shared" si="6"/>
        <v>107</v>
      </c>
      <c r="X19" s="19"/>
      <c r="Y19" s="21">
        <f t="shared" si="11"/>
        <v>0</v>
      </c>
      <c r="Z19" s="22">
        <f t="shared" si="7"/>
        <v>0</v>
      </c>
      <c r="AA19" s="19"/>
      <c r="AB19" s="16">
        <v>1.0999999999999999E-2</v>
      </c>
      <c r="AC19" s="18">
        <f t="shared" si="8"/>
        <v>110</v>
      </c>
      <c r="AD19" s="19"/>
      <c r="AE19" s="21">
        <f t="shared" si="13"/>
        <v>3</v>
      </c>
      <c r="AF19" s="22">
        <f t="shared" si="9"/>
        <v>2.8037383177570093E-2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10000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33" si="14">$G$7</f>
        <v>10000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149.63</v>
      </c>
      <c r="I28" s="31"/>
      <c r="J28" s="28"/>
      <c r="K28" s="30">
        <f>SUM(K12:K27)</f>
        <v>150.82999999999998</v>
      </c>
      <c r="L28" s="31"/>
      <c r="M28" s="32">
        <f t="shared" si="15"/>
        <v>1.1999999999999886</v>
      </c>
      <c r="N28" s="33">
        <f t="shared" si="16"/>
        <v>8.0197821292520791E-3</v>
      </c>
      <c r="O28" s="212"/>
      <c r="P28" s="28"/>
      <c r="Q28" s="30">
        <f>SUM(Q12:Q27)</f>
        <v>150.82999999999998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148.57999999999998</v>
      </c>
      <c r="X28" s="31"/>
      <c r="Y28" s="32">
        <f t="shared" si="11"/>
        <v>-2.25</v>
      </c>
      <c r="Z28" s="33">
        <f t="shared" si="7"/>
        <v>-1.4917456739375458E-2</v>
      </c>
      <c r="AA28" s="31"/>
      <c r="AB28" s="28"/>
      <c r="AC28" s="30">
        <f>SUM(AC12:AC27)</f>
        <v>152.57</v>
      </c>
      <c r="AD28" s="31"/>
      <c r="AE28" s="32">
        <f t="shared" si="13"/>
        <v>3.9900000000000091</v>
      </c>
      <c r="AF28" s="33">
        <f t="shared" si="9"/>
        <v>2.6854219948849168E-2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10000</v>
      </c>
      <c r="G29" s="16">
        <v>3.3021965494891919E-4</v>
      </c>
      <c r="H29" s="18">
        <f t="shared" ref="H29:H35" si="17">$F29*G29</f>
        <v>3.3021965494891918</v>
      </c>
      <c r="I29" s="19"/>
      <c r="J29" s="16">
        <v>-2.5000000000000001E-3</v>
      </c>
      <c r="K29" s="18">
        <f t="shared" ref="K29:K35" si="18">$F29*J29</f>
        <v>-25</v>
      </c>
      <c r="L29" s="19"/>
      <c r="M29" s="21">
        <f t="shared" si="15"/>
        <v>-28.302196549489192</v>
      </c>
      <c r="N29" s="22">
        <f t="shared" si="16"/>
        <v>-8.5707183462072187</v>
      </c>
      <c r="O29" s="212"/>
      <c r="P29" s="16">
        <v>-2.5000000000000001E-3</v>
      </c>
      <c r="Q29" s="18">
        <f t="shared" ref="Q29:Q35" si="19">$F29*P29</f>
        <v>-25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25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10000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si="14"/>
        <v>10000</v>
      </c>
      <c r="G31" s="16">
        <v>0</v>
      </c>
      <c r="H31" s="18">
        <f>$F31*G31</f>
        <v>0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0</v>
      </c>
      <c r="N31" s="22" t="str">
        <f>IF((H31)=0,"",(M31/H31))</f>
        <v/>
      </c>
      <c r="O31" s="212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14"/>
        <v>10000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212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14"/>
        <v>10000</v>
      </c>
      <c r="G33" s="133">
        <v>6.0000000000000002E-5</v>
      </c>
      <c r="H33" s="18">
        <f t="shared" si="17"/>
        <v>0.6</v>
      </c>
      <c r="I33" s="19"/>
      <c r="J33" s="133">
        <v>6.0000000000000002E-5</v>
      </c>
      <c r="K33" s="18">
        <f t="shared" si="18"/>
        <v>0.6</v>
      </c>
      <c r="L33" s="19"/>
      <c r="M33" s="21">
        <f t="shared" si="26"/>
        <v>0</v>
      </c>
      <c r="N33" s="22">
        <f>IF((H33)=0,"",(M33/H33))</f>
        <v>0</v>
      </c>
      <c r="O33" s="212"/>
      <c r="P33" s="133">
        <v>6.0000000000000002E-5</v>
      </c>
      <c r="Q33" s="18">
        <f t="shared" si="19"/>
        <v>0.6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0.6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0.6</v>
      </c>
      <c r="AD33" s="19"/>
      <c r="AE33" s="21">
        <f t="shared" si="13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379</v>
      </c>
      <c r="G34" s="38">
        <f>IF(ISBLANK($D$5)=TRUE, 0, IF($D$5="TOU", 0.64*G44+0.18*G45+0.18*G46, IF(AND($D$5="non-TOU", $F$48&gt;0), G48,G47)))</f>
        <v>0.11183999999999999</v>
      </c>
      <c r="H34" s="18">
        <f t="shared" si="17"/>
        <v>42.387360000000001</v>
      </c>
      <c r="I34" s="19"/>
      <c r="J34" s="38">
        <f>IF(ISBLANK($D$5)=TRUE, 0, IF($D$5="TOU", 0.64*J44+0.18*J45+0.18*J46, IF(AND($D$5="non-TOU", $F$48&gt;0), J48,J47)))</f>
        <v>0.11183999999999999</v>
      </c>
      <c r="K34" s="18">
        <f t="shared" si="18"/>
        <v>42.387360000000001</v>
      </c>
      <c r="L34" s="19"/>
      <c r="M34" s="21">
        <f t="shared" si="26"/>
        <v>0</v>
      </c>
      <c r="N34" s="22">
        <f>IF((H34)=0,"",(M34/H34))</f>
        <v>0</v>
      </c>
      <c r="O34" s="212"/>
      <c r="P34" s="38">
        <f>IF(ISBLANK($D$5)=TRUE, 0, IF($D$5="TOU", 0.64*P44+0.18*P45+0.18*P46, IF(AND($D$5="non-TOU", $F$48&gt;0), P48,P47)))</f>
        <v>0.10214000000000001</v>
      </c>
      <c r="Q34" s="18">
        <f t="shared" si="19"/>
        <v>38.711060000000003</v>
      </c>
      <c r="R34" s="19"/>
      <c r="S34" s="21">
        <f t="shared" si="10"/>
        <v>-3.6762999999999977</v>
      </c>
      <c r="T34" s="22">
        <f t="shared" si="5"/>
        <v>-8.6731044349070044E-2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38.711060000000003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38.711060000000003</v>
      </c>
      <c r="AD34" s="19"/>
      <c r="AE34" s="21">
        <f t="shared" si="13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0.78800000000000003</v>
      </c>
      <c r="H35" s="18">
        <f t="shared" si="17"/>
        <v>0.78800000000000003</v>
      </c>
      <c r="I35" s="19"/>
      <c r="J35" s="210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212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196.7075565494892</v>
      </c>
      <c r="I36" s="31"/>
      <c r="J36" s="41"/>
      <c r="K36" s="43">
        <f>SUM(K29:K35)+K28</f>
        <v>169.60535999999999</v>
      </c>
      <c r="L36" s="31"/>
      <c r="M36" s="32">
        <f t="shared" si="26"/>
        <v>-27.102196549489207</v>
      </c>
      <c r="N36" s="33">
        <f t="shared" ref="N36:N42" si="27">IF((H36)=0,"",(M36/H36))</f>
        <v>-0.13777913276387341</v>
      </c>
      <c r="O36" s="212"/>
      <c r="P36" s="41"/>
      <c r="Q36" s="43">
        <f>SUM(Q29:Q35)+Q28</f>
        <v>165.92905999999999</v>
      </c>
      <c r="R36" s="31"/>
      <c r="S36" s="32">
        <f t="shared" si="10"/>
        <v>-3.6762999999999977</v>
      </c>
      <c r="T36" s="33">
        <f t="shared" ref="T36:T42" si="28">IF((K36)=0,"",(S36/K36))</f>
        <v>-2.1675612138672962E-2</v>
      </c>
      <c r="U36" s="31"/>
      <c r="V36" s="41"/>
      <c r="W36" s="43">
        <f>SUM(W29:W35)+W28</f>
        <v>188.67905999999999</v>
      </c>
      <c r="X36" s="31"/>
      <c r="Y36" s="32">
        <f t="shared" si="11"/>
        <v>22.75</v>
      </c>
      <c r="Z36" s="33">
        <f t="shared" ref="Z36:Z42" si="29">IF((Q36)=0,"",(Y36/Q36))</f>
        <v>0.13710678527317638</v>
      </c>
      <c r="AA36" s="31"/>
      <c r="AB36" s="41"/>
      <c r="AC36" s="43">
        <f>SUM(AC29:AC35)+AC28</f>
        <v>191.88105999999999</v>
      </c>
      <c r="AD36" s="31"/>
      <c r="AE36" s="32">
        <f t="shared" si="13"/>
        <v>3.2019999999999982</v>
      </c>
      <c r="AF36" s="33">
        <f t="shared" ref="AF36:AF46" si="30">IF((W36)=0,"",(AE36/W36))</f>
        <v>1.6970616665145558E-2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10379</v>
      </c>
      <c r="G37" s="20">
        <v>6.8009505892390144E-3</v>
      </c>
      <c r="H37" s="18">
        <f>$F37*G37</f>
        <v>70.587066165711732</v>
      </c>
      <c r="I37" s="19"/>
      <c r="J37" s="20">
        <v>6.4999999999999997E-3</v>
      </c>
      <c r="K37" s="18">
        <f>$F37*J37</f>
        <v>67.463499999999996</v>
      </c>
      <c r="L37" s="19"/>
      <c r="M37" s="21">
        <f t="shared" si="26"/>
        <v>-3.1235661657117362</v>
      </c>
      <c r="N37" s="22">
        <f t="shared" si="27"/>
        <v>-4.4251253599048648E-2</v>
      </c>
      <c r="O37" s="212"/>
      <c r="P37" s="20">
        <v>6.4999999999999997E-3</v>
      </c>
      <c r="Q37" s="18">
        <f>$F37*P37</f>
        <v>67.463499999999996</v>
      </c>
      <c r="R37" s="19"/>
      <c r="S37" s="21">
        <f t="shared" si="10"/>
        <v>0</v>
      </c>
      <c r="T37" s="22">
        <f t="shared" si="28"/>
        <v>0</v>
      </c>
      <c r="U37" s="19"/>
      <c r="V37" s="20">
        <v>6.4999999999999997E-3</v>
      </c>
      <c r="W37" s="18">
        <f>$F37*V37</f>
        <v>67.463499999999996</v>
      </c>
      <c r="X37" s="19"/>
      <c r="Y37" s="21">
        <f t="shared" si="11"/>
        <v>0</v>
      </c>
      <c r="Z37" s="22">
        <f t="shared" si="29"/>
        <v>0</v>
      </c>
      <c r="AA37" s="19"/>
      <c r="AB37" s="20">
        <v>6.4999999999999997E-3</v>
      </c>
      <c r="AC37" s="18">
        <f>$F37*AB37</f>
        <v>67.463499999999996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10379</v>
      </c>
      <c r="G38" s="20">
        <v>5.3223476369492068E-3</v>
      </c>
      <c r="H38" s="18">
        <f>$F38*G38</f>
        <v>55.240646123895814</v>
      </c>
      <c r="I38" s="19"/>
      <c r="J38" s="20">
        <v>5.3E-3</v>
      </c>
      <c r="K38" s="18">
        <f>$F38*J38</f>
        <v>55.008699999999997</v>
      </c>
      <c r="L38" s="19"/>
      <c r="M38" s="21">
        <f t="shared" si="26"/>
        <v>-0.23194612389581692</v>
      </c>
      <c r="N38" s="22">
        <f t="shared" si="27"/>
        <v>-4.1988307554477076E-3</v>
      </c>
      <c r="O38" s="212"/>
      <c r="P38" s="20">
        <v>5.3E-3</v>
      </c>
      <c r="Q38" s="18">
        <f>$F38*P38</f>
        <v>55.008699999999997</v>
      </c>
      <c r="R38" s="19"/>
      <c r="S38" s="21">
        <f t="shared" si="10"/>
        <v>0</v>
      </c>
      <c r="T38" s="22">
        <f t="shared" si="28"/>
        <v>0</v>
      </c>
      <c r="U38" s="19"/>
      <c r="V38" s="20">
        <v>5.3E-3</v>
      </c>
      <c r="W38" s="18">
        <f>$F38*V38</f>
        <v>55.008699999999997</v>
      </c>
      <c r="X38" s="19"/>
      <c r="Y38" s="21">
        <f t="shared" si="11"/>
        <v>0</v>
      </c>
      <c r="Z38" s="22">
        <f t="shared" si="29"/>
        <v>0</v>
      </c>
      <c r="AA38" s="19"/>
      <c r="AB38" s="20">
        <v>5.3E-3</v>
      </c>
      <c r="AC38" s="18">
        <f>$F38*AB38</f>
        <v>55.008699999999997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322.53526883909677</v>
      </c>
      <c r="I39" s="48"/>
      <c r="J39" s="47"/>
      <c r="K39" s="43">
        <f>SUM(K36:K38)</f>
        <v>292.07755999999995</v>
      </c>
      <c r="L39" s="48"/>
      <c r="M39" s="32">
        <f t="shared" si="26"/>
        <v>-30.457708839096824</v>
      </c>
      <c r="N39" s="33">
        <f t="shared" si="27"/>
        <v>-9.4432180854898282E-2</v>
      </c>
      <c r="O39" s="212"/>
      <c r="P39" s="47"/>
      <c r="Q39" s="43">
        <f>SUM(Q36:Q38)</f>
        <v>288.40125999999998</v>
      </c>
      <c r="R39" s="48"/>
      <c r="S39" s="32">
        <f t="shared" si="10"/>
        <v>-3.6762999999999693</v>
      </c>
      <c r="T39" s="33">
        <f t="shared" si="28"/>
        <v>-1.2586725252018573E-2</v>
      </c>
      <c r="U39" s="48"/>
      <c r="V39" s="47"/>
      <c r="W39" s="43">
        <f>SUM(W36:W38)</f>
        <v>311.15125999999998</v>
      </c>
      <c r="X39" s="48"/>
      <c r="Y39" s="32">
        <f t="shared" si="11"/>
        <v>22.75</v>
      </c>
      <c r="Z39" s="33">
        <f t="shared" si="29"/>
        <v>7.8883150510507483E-2</v>
      </c>
      <c r="AA39" s="48"/>
      <c r="AB39" s="47"/>
      <c r="AC39" s="43">
        <f>SUM(AC36:AC38)</f>
        <v>314.35325999999998</v>
      </c>
      <c r="AD39" s="48"/>
      <c r="AE39" s="32">
        <f t="shared" si="13"/>
        <v>3.2019999999999982</v>
      </c>
      <c r="AF39" s="33">
        <f t="shared" si="30"/>
        <v>1.0290814827489364E-2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10379</v>
      </c>
      <c r="G40" s="50">
        <v>4.7000000000000002E-3</v>
      </c>
      <c r="H40" s="152">
        <f t="shared" ref="H40:H42" si="31">$F40*G40</f>
        <v>48.781300000000002</v>
      </c>
      <c r="I40" s="19"/>
      <c r="J40" s="50">
        <v>4.7000000000000002E-3</v>
      </c>
      <c r="K40" s="152">
        <f t="shared" ref="K40:K42" si="32">$F40*J40</f>
        <v>48.781300000000002</v>
      </c>
      <c r="L40" s="19"/>
      <c r="M40" s="21">
        <f t="shared" si="26"/>
        <v>0</v>
      </c>
      <c r="N40" s="153">
        <f t="shared" si="27"/>
        <v>0</v>
      </c>
      <c r="O40" s="212"/>
      <c r="P40" s="50">
        <v>4.7000000000000002E-3</v>
      </c>
      <c r="Q40" s="152">
        <f t="shared" ref="Q40:Q42" si="33">$F40*P40</f>
        <v>48.781300000000002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2" si="34">$F40*V40</f>
        <v>48.781300000000002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48.781300000000002</v>
      </c>
      <c r="AD40" s="19"/>
      <c r="AE40" s="21">
        <f t="shared" si="13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10379</v>
      </c>
      <c r="G41" s="50">
        <v>1.2999999999999999E-3</v>
      </c>
      <c r="H41" s="152">
        <f t="shared" si="31"/>
        <v>13.492699999999999</v>
      </c>
      <c r="I41" s="19"/>
      <c r="J41" s="50">
        <v>2.0999999999999999E-3</v>
      </c>
      <c r="K41" s="152">
        <f t="shared" si="32"/>
        <v>21.7959</v>
      </c>
      <c r="L41" s="19"/>
      <c r="M41" s="21">
        <f t="shared" si="26"/>
        <v>8.3032000000000004</v>
      </c>
      <c r="N41" s="153">
        <f t="shared" si="27"/>
        <v>0.61538461538461542</v>
      </c>
      <c r="O41" s="212"/>
      <c r="P41" s="50">
        <v>2.0999999999999999E-3</v>
      </c>
      <c r="Q41" s="152">
        <f t="shared" si="33"/>
        <v>21.7959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21.7959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21.7959</v>
      </c>
      <c r="AD41" s="19"/>
      <c r="AE41" s="21">
        <f t="shared" si="13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26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3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10000</v>
      </c>
      <c r="G43" s="50">
        <v>7.0000000000000001E-3</v>
      </c>
      <c r="H43" s="152">
        <f t="shared" ref="H43:H48" si="36">$F43*G43</f>
        <v>70</v>
      </c>
      <c r="I43" s="19"/>
      <c r="J43" s="50">
        <v>7.0000000000000001E-3</v>
      </c>
      <c r="K43" s="152">
        <f t="shared" ref="K43:K48" si="37">$F43*J43</f>
        <v>70</v>
      </c>
      <c r="L43" s="19"/>
      <c r="M43" s="21">
        <f t="shared" ref="M43:M60" si="38">K43-H43</f>
        <v>0</v>
      </c>
      <c r="N43" s="153">
        <f t="shared" ref="N43:N46" si="39">IF((H43)=0,"",(M43/H43))</f>
        <v>0</v>
      </c>
      <c r="O43" s="212"/>
      <c r="P43" s="50">
        <v>7.0000000000000001E-3</v>
      </c>
      <c r="Q43" s="152">
        <f t="shared" ref="Q43:Q48" si="40">$F43*P43</f>
        <v>70</v>
      </c>
      <c r="R43" s="19"/>
      <c r="S43" s="21">
        <f t="shared" ref="S43:S60" si="41">Q43-K43</f>
        <v>0</v>
      </c>
      <c r="T43" s="153">
        <f t="shared" ref="T43:T46" si="42">IF((K43)=0,"",(S43/K43))</f>
        <v>0</v>
      </c>
      <c r="U43" s="19"/>
      <c r="V43" s="50">
        <v>7.0000000000000001E-3</v>
      </c>
      <c r="W43" s="152">
        <f t="shared" ref="W43:W48" si="43">$F43*V43</f>
        <v>70</v>
      </c>
      <c r="X43" s="19"/>
      <c r="Y43" s="21">
        <f t="shared" ref="Y43:Y60" si="44">W43-Q43</f>
        <v>0</v>
      </c>
      <c r="Z43" s="153">
        <f t="shared" ref="Z43:Z46" si="45">IF((Q43)=0,"",(Y43/Q43))</f>
        <v>0</v>
      </c>
      <c r="AA43" s="19"/>
      <c r="AB43" s="50">
        <v>7.0000000000000001E-3</v>
      </c>
      <c r="AC43" s="152">
        <f t="shared" si="35"/>
        <v>70</v>
      </c>
      <c r="AD43" s="19"/>
      <c r="AE43" s="21">
        <f t="shared" si="13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6400</v>
      </c>
      <c r="G44" s="54">
        <v>8.6999999999999994E-2</v>
      </c>
      <c r="H44" s="152">
        <f t="shared" si="36"/>
        <v>556.79999999999995</v>
      </c>
      <c r="I44" s="19"/>
      <c r="J44" s="54">
        <f>+G44</f>
        <v>8.6999999999999994E-2</v>
      </c>
      <c r="K44" s="152">
        <f t="shared" si="37"/>
        <v>556.79999999999995</v>
      </c>
      <c r="L44" s="19"/>
      <c r="M44" s="21">
        <f t="shared" si="38"/>
        <v>0</v>
      </c>
      <c r="N44" s="153">
        <f t="shared" si="39"/>
        <v>0</v>
      </c>
      <c r="O44" s="212"/>
      <c r="P44" s="54">
        <v>0.08</v>
      </c>
      <c r="Q44" s="152">
        <f t="shared" si="40"/>
        <v>512</v>
      </c>
      <c r="R44" s="19"/>
      <c r="S44" s="21">
        <f t="shared" si="41"/>
        <v>-44.799999999999955</v>
      </c>
      <c r="T44" s="153">
        <f t="shared" si="42"/>
        <v>-8.0459770114942458E-2</v>
      </c>
      <c r="U44" s="19"/>
      <c r="V44" s="54">
        <v>0.08</v>
      </c>
      <c r="W44" s="152">
        <f t="shared" si="43"/>
        <v>512</v>
      </c>
      <c r="X44" s="19"/>
      <c r="Y44" s="21">
        <f t="shared" si="44"/>
        <v>0</v>
      </c>
      <c r="Z44" s="153">
        <f t="shared" si="45"/>
        <v>0</v>
      </c>
      <c r="AA44" s="19"/>
      <c r="AB44" s="54">
        <v>0.08</v>
      </c>
      <c r="AC44" s="152">
        <f t="shared" si="35"/>
        <v>512</v>
      </c>
      <c r="AD44" s="19"/>
      <c r="AE44" s="21">
        <f t="shared" si="13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1800</v>
      </c>
      <c r="G45" s="54">
        <v>0.13200000000000001</v>
      </c>
      <c r="H45" s="152">
        <f t="shared" si="36"/>
        <v>237.60000000000002</v>
      </c>
      <c r="I45" s="19"/>
      <c r="J45" s="54">
        <f>+G45</f>
        <v>0.13200000000000001</v>
      </c>
      <c r="K45" s="152">
        <f t="shared" si="37"/>
        <v>237.60000000000002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219.6</v>
      </c>
      <c r="R45" s="19"/>
      <c r="S45" s="21">
        <f t="shared" si="41"/>
        <v>-18.000000000000028</v>
      </c>
      <c r="T45" s="153">
        <f t="shared" si="42"/>
        <v>-7.5757575757575871E-2</v>
      </c>
      <c r="U45" s="19"/>
      <c r="V45" s="54">
        <v>0.122</v>
      </c>
      <c r="W45" s="152">
        <f t="shared" si="43"/>
        <v>219.6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219.6</v>
      </c>
      <c r="AD45" s="19"/>
      <c r="AE45" s="21">
        <f t="shared" si="13"/>
        <v>0</v>
      </c>
      <c r="AF45" s="153">
        <f t="shared" si="30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1800</v>
      </c>
      <c r="G46" s="54">
        <v>0.18</v>
      </c>
      <c r="H46" s="152">
        <f t="shared" si="36"/>
        <v>324</v>
      </c>
      <c r="I46" s="19"/>
      <c r="J46" s="54">
        <f>+G46</f>
        <v>0.18</v>
      </c>
      <c r="K46" s="152">
        <f t="shared" si="37"/>
        <v>324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289.8</v>
      </c>
      <c r="R46" s="19"/>
      <c r="S46" s="21">
        <f t="shared" si="41"/>
        <v>-34.199999999999989</v>
      </c>
      <c r="T46" s="153">
        <f t="shared" si="42"/>
        <v>-0.10555555555555551</v>
      </c>
      <c r="U46" s="19"/>
      <c r="V46" s="54">
        <v>0.161</v>
      </c>
      <c r="W46" s="152">
        <f t="shared" si="43"/>
        <v>289.8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289.8</v>
      </c>
      <c r="AD46" s="19"/>
      <c r="AE46" s="21">
        <f t="shared" si="13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0.10299999999999999</v>
      </c>
      <c r="H47" s="152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G7&gt;=750), G7-750, IF(AND(N3=1, AND(G7&lt;750, G7&gt;=0)), 0, IF(AND(N3=2, G7&gt;=750), G7-750, IF(AND(N3=2, AND(G7&lt;750, G7&gt;=0)), 0))))</f>
        <v>9250</v>
      </c>
      <c r="G48" s="54">
        <v>0.121</v>
      </c>
      <c r="H48" s="152">
        <f t="shared" si="36"/>
        <v>1119.25</v>
      </c>
      <c r="I48" s="59"/>
      <c r="J48" s="54">
        <f>+G48</f>
        <v>0.121</v>
      </c>
      <c r="K48" s="152">
        <f t="shared" si="37"/>
        <v>1119.25</v>
      </c>
      <c r="L48" s="59"/>
      <c r="M48" s="60">
        <f t="shared" si="38"/>
        <v>0</v>
      </c>
      <c r="N48" s="153">
        <f>IF((H48)=FALSE,"",(M48/H48))</f>
        <v>0</v>
      </c>
      <c r="O48" s="212"/>
      <c r="P48" s="54">
        <v>0.11</v>
      </c>
      <c r="Q48" s="152">
        <f t="shared" si="40"/>
        <v>1017.5</v>
      </c>
      <c r="R48" s="59"/>
      <c r="S48" s="60">
        <f t="shared" si="41"/>
        <v>-101.75</v>
      </c>
      <c r="T48" s="153">
        <f>IF((K48)=FALSE,"",(S48/K48))</f>
        <v>-9.0909090909090912E-2</v>
      </c>
      <c r="U48" s="59"/>
      <c r="V48" s="54">
        <v>0.11</v>
      </c>
      <c r="W48" s="152">
        <f t="shared" si="43"/>
        <v>1017.5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1017.5</v>
      </c>
      <c r="AD48" s="59"/>
      <c r="AE48" s="60">
        <f t="shared" si="13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1573.4592688390967</v>
      </c>
      <c r="I50" s="75"/>
      <c r="J50" s="72"/>
      <c r="K50" s="74">
        <f>SUM(K40:K46,K39)</f>
        <v>1551.3047599999998</v>
      </c>
      <c r="L50" s="75"/>
      <c r="M50" s="76">
        <f t="shared" si="38"/>
        <v>-22.154508839096934</v>
      </c>
      <c r="N50" s="77">
        <f>IF((H50)=0,"",(M50/H50))</f>
        <v>-1.4080128591725544E-2</v>
      </c>
      <c r="O50" s="212"/>
      <c r="P50" s="72"/>
      <c r="Q50" s="74">
        <f>SUM(Q40:Q46,Q39)</f>
        <v>1450.6284599999999</v>
      </c>
      <c r="R50" s="75"/>
      <c r="S50" s="76">
        <f t="shared" si="41"/>
        <v>-100.67629999999986</v>
      </c>
      <c r="T50" s="77">
        <f>IF((K50)=0,"",(S50/K50))</f>
        <v>-6.4897821882529308E-2</v>
      </c>
      <c r="U50" s="75"/>
      <c r="V50" s="72"/>
      <c r="W50" s="74">
        <f>SUM(W40:W46,W39)</f>
        <v>1473.3784599999999</v>
      </c>
      <c r="X50" s="75"/>
      <c r="Y50" s="76">
        <f t="shared" si="44"/>
        <v>22.75</v>
      </c>
      <c r="Z50" s="77">
        <f>IF((Q50)=0,"",(Y50/Q50))</f>
        <v>1.5682857897328172E-2</v>
      </c>
      <c r="AA50" s="75"/>
      <c r="AB50" s="72"/>
      <c r="AC50" s="74">
        <f>SUM(AC40:AC46,AC39)</f>
        <v>1476.5804600000001</v>
      </c>
      <c r="AD50" s="75"/>
      <c r="AE50" s="76">
        <f t="shared" si="13"/>
        <v>3.2020000000002256</v>
      </c>
      <c r="AF50" s="77">
        <f>IF((W50)=0,"",(AE50/W50))</f>
        <v>2.1732366034455438E-3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204.54970494908258</v>
      </c>
      <c r="I51" s="81"/>
      <c r="J51" s="79">
        <v>0.13</v>
      </c>
      <c r="K51" s="82">
        <f>K50*J51</f>
        <v>201.66961879999997</v>
      </c>
      <c r="L51" s="81"/>
      <c r="M51" s="83">
        <f t="shared" si="38"/>
        <v>-2.8800861490826151</v>
      </c>
      <c r="N51" s="84">
        <f>IF((H51)=0,"",(M51/H51))</f>
        <v>-1.408012859172561E-2</v>
      </c>
      <c r="O51" s="212"/>
      <c r="P51" s="79">
        <v>0.13</v>
      </c>
      <c r="Q51" s="82">
        <f>Q50*P51</f>
        <v>188.5816998</v>
      </c>
      <c r="R51" s="81"/>
      <c r="S51" s="83">
        <f t="shared" si="41"/>
        <v>-13.087918999999971</v>
      </c>
      <c r="T51" s="84">
        <f>IF((K51)=0,"",(S51/K51))</f>
        <v>-6.4897821882529252E-2</v>
      </c>
      <c r="U51" s="81"/>
      <c r="V51" s="79">
        <v>0.13</v>
      </c>
      <c r="W51" s="82">
        <f>W50*V51</f>
        <v>191.53919980000001</v>
      </c>
      <c r="X51" s="81"/>
      <c r="Y51" s="83">
        <f t="shared" si="44"/>
        <v>2.9575000000000102</v>
      </c>
      <c r="Z51" s="84">
        <f>IF((Q51)=0,"",(Y51/Q51))</f>
        <v>1.5682857897328224E-2</v>
      </c>
      <c r="AA51" s="81"/>
      <c r="AB51" s="79">
        <v>0.13</v>
      </c>
      <c r="AC51" s="82">
        <f>AC50*AB51</f>
        <v>191.95545980000003</v>
      </c>
      <c r="AD51" s="81"/>
      <c r="AE51" s="83">
        <f t="shared" si="13"/>
        <v>0.4162600000000225</v>
      </c>
      <c r="AF51" s="84">
        <f>IF((W51)=0,"",(AE51/W51))</f>
        <v>2.1732366034455078E-3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1778.0089737881792</v>
      </c>
      <c r="I52" s="81"/>
      <c r="J52" s="86"/>
      <c r="K52" s="82">
        <f>K50+K51</f>
        <v>1752.9743787999996</v>
      </c>
      <c r="L52" s="81"/>
      <c r="M52" s="83">
        <f t="shared" si="38"/>
        <v>-25.034594988179606</v>
      </c>
      <c r="N52" s="84">
        <f>IF((H52)=0,"",(M52/H52))</f>
        <v>-1.4080128591725584E-2</v>
      </c>
      <c r="O52" s="212"/>
      <c r="P52" s="86"/>
      <c r="Q52" s="82">
        <f>Q50+Q51</f>
        <v>1639.2101597999999</v>
      </c>
      <c r="R52" s="81"/>
      <c r="S52" s="83">
        <f t="shared" si="41"/>
        <v>-113.76421899999968</v>
      </c>
      <c r="T52" s="84">
        <f>IF((K52)=0,"",(S52/K52))</f>
        <v>-6.4897821882529225E-2</v>
      </c>
      <c r="U52" s="81"/>
      <c r="V52" s="86"/>
      <c r="W52" s="82">
        <f>W50+W51</f>
        <v>1664.9176597999999</v>
      </c>
      <c r="X52" s="81"/>
      <c r="Y52" s="83">
        <f t="shared" si="44"/>
        <v>25.707499999999982</v>
      </c>
      <c r="Z52" s="84">
        <f>IF((Q52)=0,"",(Y52/Q52))</f>
        <v>1.5682857897328158E-2</v>
      </c>
      <c r="AA52" s="81"/>
      <c r="AB52" s="86"/>
      <c r="AC52" s="82">
        <f>AC50+AC51</f>
        <v>1668.5359198000001</v>
      </c>
      <c r="AD52" s="81"/>
      <c r="AE52" s="83">
        <f t="shared" si="13"/>
        <v>3.6182600000001912</v>
      </c>
      <c r="AF52" s="84">
        <f>IF((W52)=0,"",(AE52/W52))</f>
        <v>2.1732366034455052E-3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-124.10438079999999</v>
      </c>
      <c r="L53" s="81"/>
      <c r="M53" s="88">
        <f t="shared" si="38"/>
        <v>-124.10438079999999</v>
      </c>
      <c r="N53" s="89" t="str">
        <f>IF((H53)=0,"",(M53/H53))</f>
        <v/>
      </c>
      <c r="O53" s="212"/>
      <c r="P53" s="86"/>
      <c r="Q53" s="87">
        <f>ROUND(-Q52*10%,2)</f>
        <v>-163.92</v>
      </c>
      <c r="R53" s="81"/>
      <c r="S53" s="88">
        <f t="shared" si="41"/>
        <v>-39.8156192</v>
      </c>
      <c r="T53" s="89">
        <f>IF((K53)=0,"",(S53/K53))</f>
        <v>0.32082364009506426</v>
      </c>
      <c r="U53" s="81"/>
      <c r="V53" s="86"/>
      <c r="W53" s="87">
        <f>ROUND(-W52*10%,2)</f>
        <v>-166.49</v>
      </c>
      <c r="X53" s="81"/>
      <c r="Y53" s="88">
        <f t="shared" si="44"/>
        <v>-2.5700000000000216</v>
      </c>
      <c r="Z53" s="89">
        <f>IF((Q53)=0,"",(Y53/Q53))</f>
        <v>1.5678379697413505E-2</v>
      </c>
      <c r="AA53" s="81"/>
      <c r="AB53" s="86"/>
      <c r="AC53" s="87">
        <f>ROUND(-AC52*10%,2)</f>
        <v>-166.85</v>
      </c>
      <c r="AD53" s="81"/>
      <c r="AE53" s="88">
        <f t="shared" si="13"/>
        <v>-0.35999999999998522</v>
      </c>
      <c r="AF53" s="89">
        <f>IF((W53)=0,"",(AE53/W53))</f>
        <v>2.1622920295512357E-3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1778.0089737881792</v>
      </c>
      <c r="I54" s="92"/>
      <c r="J54" s="90"/>
      <c r="K54" s="93">
        <f>K52+K53</f>
        <v>1628.8699979999997</v>
      </c>
      <c r="L54" s="92"/>
      <c r="M54" s="94">
        <f t="shared" si="38"/>
        <v>-149.13897578817955</v>
      </c>
      <c r="N54" s="95">
        <f>IF((H54)=0,"",(M54/H54))</f>
        <v>-8.3879765505585707E-2</v>
      </c>
      <c r="O54" s="212"/>
      <c r="P54" s="90"/>
      <c r="Q54" s="93">
        <f>Q52+Q53</f>
        <v>1475.2901597999999</v>
      </c>
      <c r="R54" s="92"/>
      <c r="S54" s="94">
        <f t="shared" si="41"/>
        <v>-153.57983819999981</v>
      </c>
      <c r="T54" s="95">
        <f>IF((K54)=0,"",(S54/K54))</f>
        <v>-9.4286123747488806E-2</v>
      </c>
      <c r="U54" s="92"/>
      <c r="V54" s="90"/>
      <c r="W54" s="93">
        <f>W52+W53</f>
        <v>1498.4276597999999</v>
      </c>
      <c r="X54" s="92"/>
      <c r="Y54" s="94">
        <f t="shared" si="44"/>
        <v>23.137500000000045</v>
      </c>
      <c r="Z54" s="95">
        <f>IF((Q54)=0,"",(Y54/Q54))</f>
        <v>1.5683355471669869E-2</v>
      </c>
      <c r="AA54" s="92"/>
      <c r="AB54" s="90"/>
      <c r="AC54" s="93">
        <f>AC52+AC53</f>
        <v>1501.6859198000002</v>
      </c>
      <c r="AD54" s="92"/>
      <c r="AE54" s="94">
        <f t="shared" si="13"/>
        <v>3.2582600000002913</v>
      </c>
      <c r="AF54" s="95">
        <f>IF((W54)=0,"",(AE54/W54))</f>
        <v>2.174452652879607E-3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1651.5592688390968</v>
      </c>
      <c r="I56" s="106"/>
      <c r="J56" s="103"/>
      <c r="K56" s="105">
        <f>SUM(K47:K48,K39,K40:K43)</f>
        <v>1629.4047600000001</v>
      </c>
      <c r="L56" s="106"/>
      <c r="M56" s="107">
        <f t="shared" si="38"/>
        <v>-22.154508839096707</v>
      </c>
      <c r="N56" s="77">
        <f>IF((H56)=0,"",(M56/H56))</f>
        <v>-1.3414298388860975E-2</v>
      </c>
      <c r="O56" s="212"/>
      <c r="P56" s="103"/>
      <c r="Q56" s="105">
        <f>SUM(Q47:Q48,Q39,Q40:Q43)</f>
        <v>1517.2284600000003</v>
      </c>
      <c r="R56" s="106"/>
      <c r="S56" s="107">
        <f t="shared" si="41"/>
        <v>-112.17629999999986</v>
      </c>
      <c r="T56" s="77">
        <f>IF((K56)=0,"",(S56/K56))</f>
        <v>-6.8844956608571498E-2</v>
      </c>
      <c r="U56" s="106"/>
      <c r="V56" s="103"/>
      <c r="W56" s="105">
        <f>SUM(W47:W48,W39,W40:W43)</f>
        <v>1539.9784600000003</v>
      </c>
      <c r="X56" s="106"/>
      <c r="Y56" s="107">
        <f t="shared" si="44"/>
        <v>22.75</v>
      </c>
      <c r="Z56" s="77">
        <f>IF((Q56)=0,"",(Y56/Q56))</f>
        <v>1.4994445859524672E-2</v>
      </c>
      <c r="AA56" s="106"/>
      <c r="AB56" s="103"/>
      <c r="AC56" s="105">
        <f>SUM(AC47:AC48,AC39,AC40:AC43)</f>
        <v>1543.18046</v>
      </c>
      <c r="AD56" s="106"/>
      <c r="AE56" s="107">
        <f t="shared" si="13"/>
        <v>3.2019999999997708</v>
      </c>
      <c r="AF56" s="77">
        <f>IF((W56)=0,"",(AE56/W56))</f>
        <v>2.079249861715449E-3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214.7027049490826</v>
      </c>
      <c r="I57" s="110"/>
      <c r="J57" s="109">
        <v>0.13</v>
      </c>
      <c r="K57" s="111">
        <f>K56*J57</f>
        <v>211.82261880000001</v>
      </c>
      <c r="L57" s="110"/>
      <c r="M57" s="112">
        <f t="shared" si="38"/>
        <v>-2.8800861490825866</v>
      </c>
      <c r="N57" s="84">
        <f>IF((H57)=0,"",(M57/H57))</f>
        <v>-1.3414298388861044E-2</v>
      </c>
      <c r="O57" s="212"/>
      <c r="P57" s="109">
        <v>0.13</v>
      </c>
      <c r="Q57" s="111">
        <f>Q56*P57</f>
        <v>197.23969980000004</v>
      </c>
      <c r="R57" s="110"/>
      <c r="S57" s="112">
        <f t="shared" si="41"/>
        <v>-14.582918999999976</v>
      </c>
      <c r="T57" s="84">
        <f>IF((K57)=0,"",(S57/K57))</f>
        <v>-6.884495660857147E-2</v>
      </c>
      <c r="U57" s="110"/>
      <c r="V57" s="109">
        <v>0.13</v>
      </c>
      <c r="W57" s="111">
        <f>W56*V57</f>
        <v>200.19719980000005</v>
      </c>
      <c r="X57" s="110"/>
      <c r="Y57" s="112">
        <f t="shared" si="44"/>
        <v>2.9575000000000102</v>
      </c>
      <c r="Z57" s="84">
        <f>IF((Q57)=0,"",(Y57/Q57))</f>
        <v>1.4994445859524724E-2</v>
      </c>
      <c r="AA57" s="110"/>
      <c r="AB57" s="109">
        <v>0.13</v>
      </c>
      <c r="AC57" s="111">
        <f>AC56*AB57</f>
        <v>200.61345980000002</v>
      </c>
      <c r="AD57" s="110"/>
      <c r="AE57" s="112">
        <f t="shared" si="13"/>
        <v>0.41625999999996566</v>
      </c>
      <c r="AF57" s="84">
        <f>IF((W57)=0,"",(AE57/W57))</f>
        <v>2.079249861715426E-3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1866.2619737881794</v>
      </c>
      <c r="I58" s="110"/>
      <c r="J58" s="114"/>
      <c r="K58" s="111">
        <f>K56+K57</f>
        <v>1841.2273788000002</v>
      </c>
      <c r="L58" s="110"/>
      <c r="M58" s="112">
        <f t="shared" si="38"/>
        <v>-25.034594988179151</v>
      </c>
      <c r="N58" s="84">
        <f>IF((H58)=0,"",(M58/H58))</f>
        <v>-1.3414298388860907E-2</v>
      </c>
      <c r="O58" s="212"/>
      <c r="P58" s="114"/>
      <c r="Q58" s="111">
        <f>Q56+Q57</f>
        <v>1714.4681598000002</v>
      </c>
      <c r="R58" s="110"/>
      <c r="S58" s="112">
        <f t="shared" si="41"/>
        <v>-126.75921900000003</v>
      </c>
      <c r="T58" s="84">
        <f>IF((K58)=0,"",(S58/K58))</f>
        <v>-6.8844956608571595E-2</v>
      </c>
      <c r="U58" s="110"/>
      <c r="V58" s="114"/>
      <c r="W58" s="111">
        <f>W56+W57</f>
        <v>1740.1756598000004</v>
      </c>
      <c r="X58" s="110"/>
      <c r="Y58" s="112">
        <f t="shared" si="44"/>
        <v>25.707500000000209</v>
      </c>
      <c r="Z58" s="84">
        <f>IF((Q58)=0,"",(Y58/Q58))</f>
        <v>1.4994445859524795E-2</v>
      </c>
      <c r="AA58" s="110"/>
      <c r="AB58" s="114"/>
      <c r="AC58" s="111">
        <f>AC56+AC57</f>
        <v>1743.7939198000001</v>
      </c>
      <c r="AD58" s="110"/>
      <c r="AE58" s="112">
        <f t="shared" si="13"/>
        <v>3.6182599999997365</v>
      </c>
      <c r="AF58" s="84">
        <f>IF((W58)=0,"",(AE58/W58))</f>
        <v>2.0792498617154464E-3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-130.35238080000002</v>
      </c>
      <c r="L59" s="110"/>
      <c r="M59" s="117">
        <f t="shared" si="38"/>
        <v>-130.35238080000002</v>
      </c>
      <c r="N59" s="89" t="str">
        <f>IF((H59)=0,"",(M59/H59))</f>
        <v/>
      </c>
      <c r="O59" s="212"/>
      <c r="P59" s="114"/>
      <c r="Q59" s="116">
        <f>ROUND(-Q58*10%,2)</f>
        <v>-171.45</v>
      </c>
      <c r="R59" s="110"/>
      <c r="S59" s="117">
        <f t="shared" si="41"/>
        <v>-41.097619199999968</v>
      </c>
      <c r="T59" s="89">
        <f>IF((K59)=0,"",(S59/K59))</f>
        <v>0.31528092504160815</v>
      </c>
      <c r="U59" s="110"/>
      <c r="V59" s="114"/>
      <c r="W59" s="116">
        <f>ROUND(-W58*10%,2)</f>
        <v>-174.02</v>
      </c>
      <c r="X59" s="110"/>
      <c r="Y59" s="117">
        <f t="shared" si="44"/>
        <v>-2.5700000000000216</v>
      </c>
      <c r="Z59" s="89">
        <f>IF((Q59)=0,"",(Y59/Q59))</f>
        <v>1.4989792942548975E-2</v>
      </c>
      <c r="AA59" s="110"/>
      <c r="AB59" s="114"/>
      <c r="AC59" s="116">
        <f>ROUND(-AC58*10%,2)</f>
        <v>-174.38</v>
      </c>
      <c r="AD59" s="110"/>
      <c r="AE59" s="117">
        <f t="shared" si="13"/>
        <v>-0.35999999999998522</v>
      </c>
      <c r="AF59" s="89">
        <f>IF((W59)=0,"",(AE59/W59))</f>
        <v>2.0687277324444617E-3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1866.2619737881794</v>
      </c>
      <c r="I60" s="120"/>
      <c r="J60" s="118"/>
      <c r="K60" s="121">
        <f>SUM(K58:K59)</f>
        <v>1710.8749980000002</v>
      </c>
      <c r="L60" s="120"/>
      <c r="M60" s="122">
        <f t="shared" si="38"/>
        <v>-155.38697578817914</v>
      </c>
      <c r="N60" s="123">
        <f>IF((H60)=0,"",(M60/H60))</f>
        <v>-8.3261073724162776E-2</v>
      </c>
      <c r="O60" s="212"/>
      <c r="P60" s="118"/>
      <c r="Q60" s="121">
        <f>SUM(Q58:Q59)</f>
        <v>1543.0181598000001</v>
      </c>
      <c r="R60" s="120"/>
      <c r="S60" s="122">
        <f t="shared" si="41"/>
        <v>-167.85683820000008</v>
      </c>
      <c r="T60" s="123">
        <f>IF((K60)=0,"",(S60/K60))</f>
        <v>-9.8111690448585337E-2</v>
      </c>
      <c r="U60" s="120"/>
      <c r="V60" s="118"/>
      <c r="W60" s="121">
        <f>SUM(W58:W59)</f>
        <v>1566.1556598000004</v>
      </c>
      <c r="X60" s="120"/>
      <c r="Y60" s="122">
        <f t="shared" si="44"/>
        <v>23.137500000000273</v>
      </c>
      <c r="Z60" s="123">
        <f>IF((Q60)=0,"",(Y60/Q60))</f>
        <v>1.4994962860968054E-2</v>
      </c>
      <c r="AA60" s="120"/>
      <c r="AB60" s="118"/>
      <c r="AC60" s="121">
        <f>SUM(AC58:AC59)</f>
        <v>1569.4139198000003</v>
      </c>
      <c r="AD60" s="120"/>
      <c r="AE60" s="122">
        <f t="shared" si="13"/>
        <v>3.2582599999998365</v>
      </c>
      <c r="AF60" s="123">
        <f>IF((W60)=0,"",(AE60/W60))</f>
        <v>2.0804190053598627E-3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</dataValidations>
  <pageMargins left="0.75" right="0.75" top="1" bottom="1" header="0.5" footer="0.5"/>
  <pageSetup scale="52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F0"/>
    <pageSetUpPr fitToPage="1"/>
  </sheetPr>
  <dimension ref="A1:AP79"/>
  <sheetViews>
    <sheetView showGridLines="0" topLeftCell="A34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85546875" style="1" bestFit="1" customWidth="1"/>
    <col min="7" max="7" width="12.28515625" style="1" customWidth="1"/>
    <col min="8" max="8" width="10.28515625" style="142" bestFit="1" customWidth="1"/>
    <col min="9" max="9" width="1.7109375" style="1" customWidth="1"/>
    <col min="10" max="10" width="9.85546875" style="1" bestFit="1" customWidth="1"/>
    <col min="11" max="11" width="10.2851562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10.28515625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10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10.28515625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10.28515625" style="1" bestFit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63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15000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41.21</v>
      </c>
      <c r="H12" s="18">
        <f t="shared" ref="H12:H27" si="0">$F12*G12</f>
        <v>41.21</v>
      </c>
      <c r="I12" s="19"/>
      <c r="J12" s="209">
        <v>41.42</v>
      </c>
      <c r="K12" s="18">
        <f t="shared" ref="K12:K27" si="1">$F12*J12</f>
        <v>41.42</v>
      </c>
      <c r="L12" s="19"/>
      <c r="M12" s="21">
        <f t="shared" ref="M12:M21" si="2">K12-H12</f>
        <v>0.21000000000000085</v>
      </c>
      <c r="N12" s="22">
        <f t="shared" ref="N12:N21" si="3">IF((H12)=0,"",(M12/H12))</f>
        <v>5.0958505217180506E-3</v>
      </c>
      <c r="O12" s="212"/>
      <c r="P12" s="16">
        <v>41.42</v>
      </c>
      <c r="Q12" s="18">
        <f t="shared" ref="Q12:Q27" si="4">$F12*P12</f>
        <v>41.42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41.58</v>
      </c>
      <c r="W12" s="18">
        <f t="shared" ref="W12:W27" si="6">$F12*V12</f>
        <v>41.58</v>
      </c>
      <c r="X12" s="19"/>
      <c r="Y12" s="21">
        <f>W12-Q12</f>
        <v>0.15999999999999659</v>
      </c>
      <c r="Z12" s="22">
        <f t="shared" ref="Z12:Z34" si="7">IF((Q12)=0,"",(Y12/Q12))</f>
        <v>3.8628681796232878E-3</v>
      </c>
      <c r="AA12" s="19"/>
      <c r="AB12" s="16">
        <v>42.57</v>
      </c>
      <c r="AC12" s="18">
        <f t="shared" ref="AC12:AC27" si="8">$F12*AB12</f>
        <v>42.57</v>
      </c>
      <c r="AD12" s="19"/>
      <c r="AE12" s="21">
        <f>AC12-W12</f>
        <v>0.99000000000000199</v>
      </c>
      <c r="AF12" s="22">
        <f t="shared" ref="AF12:AF34" si="9">IF((W12)=0,"",(AE12/W12))</f>
        <v>2.3809523809523857E-2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2.42</v>
      </c>
      <c r="H13" s="18">
        <f t="shared" si="0"/>
        <v>2.42</v>
      </c>
      <c r="I13" s="19"/>
      <c r="J13" s="209">
        <v>2.41</v>
      </c>
      <c r="K13" s="18">
        <f t="shared" si="1"/>
        <v>2.41</v>
      </c>
      <c r="L13" s="19"/>
      <c r="M13" s="21">
        <f t="shared" si="2"/>
        <v>-9.9999999999997868E-3</v>
      </c>
      <c r="N13" s="22">
        <f t="shared" si="3"/>
        <v>-4.1322314049585893E-3</v>
      </c>
      <c r="O13" s="212"/>
      <c r="P13" s="16">
        <v>2.41</v>
      </c>
      <c r="Q13" s="18">
        <f t="shared" si="4"/>
        <v>2.41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-2.41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15000</v>
      </c>
      <c r="G19" s="16">
        <v>1.06E-2</v>
      </c>
      <c r="H19" s="18">
        <f t="shared" si="0"/>
        <v>159</v>
      </c>
      <c r="I19" s="19"/>
      <c r="J19" s="16">
        <v>1.0699999999999999E-2</v>
      </c>
      <c r="K19" s="18">
        <f t="shared" si="1"/>
        <v>160.5</v>
      </c>
      <c r="L19" s="19"/>
      <c r="M19" s="21">
        <f t="shared" si="2"/>
        <v>1.5</v>
      </c>
      <c r="N19" s="22">
        <f t="shared" si="3"/>
        <v>9.433962264150943E-3</v>
      </c>
      <c r="O19" s="212"/>
      <c r="P19" s="16">
        <v>1.0699999999999999E-2</v>
      </c>
      <c r="Q19" s="18">
        <f t="shared" si="4"/>
        <v>160.5</v>
      </c>
      <c r="R19" s="19"/>
      <c r="S19" s="21">
        <f t="shared" si="10"/>
        <v>0</v>
      </c>
      <c r="T19" s="22">
        <f t="shared" si="5"/>
        <v>0</v>
      </c>
      <c r="U19" s="19"/>
      <c r="V19" s="16">
        <v>1.0699999999999999E-2</v>
      </c>
      <c r="W19" s="18">
        <f t="shared" si="6"/>
        <v>160.5</v>
      </c>
      <c r="X19" s="19"/>
      <c r="Y19" s="21">
        <f t="shared" si="11"/>
        <v>0</v>
      </c>
      <c r="Z19" s="22">
        <f t="shared" si="7"/>
        <v>0</v>
      </c>
      <c r="AA19" s="19"/>
      <c r="AB19" s="16">
        <v>1.0999999999999999E-2</v>
      </c>
      <c r="AC19" s="18">
        <f t="shared" si="8"/>
        <v>165</v>
      </c>
      <c r="AD19" s="19"/>
      <c r="AE19" s="21">
        <f t="shared" si="13"/>
        <v>4.5</v>
      </c>
      <c r="AF19" s="22">
        <f t="shared" si="9"/>
        <v>2.8037383177570093E-2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15000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33" si="14">$G$7</f>
        <v>15000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5">K24-H24</f>
        <v>0</v>
      </c>
      <c r="N24" s="22" t="str">
        <f t="shared" ref="N24:N29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202.63</v>
      </c>
      <c r="I28" s="31"/>
      <c r="J28" s="28"/>
      <c r="K28" s="30">
        <f>SUM(K12:K27)</f>
        <v>204.32999999999998</v>
      </c>
      <c r="L28" s="31"/>
      <c r="M28" s="32">
        <f t="shared" si="15"/>
        <v>1.6999999999999886</v>
      </c>
      <c r="N28" s="33">
        <f t="shared" si="16"/>
        <v>8.3896757637071939E-3</v>
      </c>
      <c r="O28" s="212"/>
      <c r="P28" s="28"/>
      <c r="Q28" s="30">
        <f>SUM(Q12:Q27)</f>
        <v>204.32999999999998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202.07999999999998</v>
      </c>
      <c r="X28" s="31"/>
      <c r="Y28" s="32">
        <f t="shared" si="11"/>
        <v>-2.25</v>
      </c>
      <c r="Z28" s="33">
        <f t="shared" si="7"/>
        <v>-1.101159888415798E-2</v>
      </c>
      <c r="AA28" s="31"/>
      <c r="AB28" s="28"/>
      <c r="AC28" s="30">
        <f>SUM(AC12:AC27)</f>
        <v>207.57</v>
      </c>
      <c r="AD28" s="31"/>
      <c r="AE28" s="32">
        <f t="shared" si="13"/>
        <v>5.4900000000000091</v>
      </c>
      <c r="AF28" s="33">
        <f t="shared" si="9"/>
        <v>2.7167458432304087E-2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15000</v>
      </c>
      <c r="G29" s="16">
        <v>3.3021965494891919E-4</v>
      </c>
      <c r="H29" s="18">
        <f t="shared" ref="H29:H35" si="17">$F29*G29</f>
        <v>4.9532948242337875</v>
      </c>
      <c r="I29" s="19"/>
      <c r="J29" s="16">
        <v>-2.5000000000000001E-3</v>
      </c>
      <c r="K29" s="18">
        <f t="shared" ref="K29:K35" si="18">$F29*J29</f>
        <v>-37.5</v>
      </c>
      <c r="L29" s="19"/>
      <c r="M29" s="21">
        <f t="shared" si="15"/>
        <v>-42.453294824233787</v>
      </c>
      <c r="N29" s="22">
        <f t="shared" si="16"/>
        <v>-8.5707183462072187</v>
      </c>
      <c r="O29" s="212"/>
      <c r="P29" s="16">
        <v>-2.5000000000000001E-3</v>
      </c>
      <c r="Q29" s="18">
        <f t="shared" ref="Q29:Q35" si="19">$F29*P29</f>
        <v>-37.5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37.5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15000</v>
      </c>
      <c r="G30" s="16"/>
      <c r="H30" s="18">
        <f t="shared" ref="H30" si="22">$F30*G30</f>
        <v>0</v>
      </c>
      <c r="I30" s="19"/>
      <c r="J30" s="16"/>
      <c r="K30" s="18">
        <f t="shared" ref="K30" si="23">$F30*J30</f>
        <v>0</v>
      </c>
      <c r="L30" s="19"/>
      <c r="M30" s="21">
        <f t="shared" ref="M30" si="24">K30-H30</f>
        <v>0</v>
      </c>
      <c r="N30" s="22" t="str">
        <f t="shared" ref="N30" si="25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si="14"/>
        <v>15000</v>
      </c>
      <c r="G31" s="16">
        <v>0</v>
      </c>
      <c r="H31" s="18">
        <f>$F31*G31</f>
        <v>0</v>
      </c>
      <c r="I31" s="19"/>
      <c r="J31" s="16">
        <v>0</v>
      </c>
      <c r="K31" s="18">
        <f>$F31*J31</f>
        <v>0</v>
      </c>
      <c r="L31" s="19"/>
      <c r="M31" s="21">
        <f t="shared" ref="M31:M42" si="26">K31-H31</f>
        <v>0</v>
      </c>
      <c r="N31" s="22" t="str">
        <f>IF((H31)=0,"",(M31/H31))</f>
        <v/>
      </c>
      <c r="O31" s="212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14"/>
        <v>15000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26"/>
        <v>0</v>
      </c>
      <c r="N32" s="22" t="str">
        <f>IF((H32)=0,"",(M32/H32))</f>
        <v/>
      </c>
      <c r="O32" s="212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3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14"/>
        <v>15000</v>
      </c>
      <c r="G33" s="133">
        <v>6.0000000000000002E-5</v>
      </c>
      <c r="H33" s="18">
        <f t="shared" si="17"/>
        <v>0.9</v>
      </c>
      <c r="I33" s="19"/>
      <c r="J33" s="133">
        <v>6.0000000000000002E-5</v>
      </c>
      <c r="K33" s="18">
        <f t="shared" si="18"/>
        <v>0.9</v>
      </c>
      <c r="L33" s="19"/>
      <c r="M33" s="21">
        <f t="shared" si="26"/>
        <v>0</v>
      </c>
      <c r="N33" s="22">
        <f>IF((H33)=0,"",(M33/H33))</f>
        <v>0</v>
      </c>
      <c r="O33" s="212"/>
      <c r="P33" s="133">
        <v>6.0000000000000002E-5</v>
      </c>
      <c r="Q33" s="18">
        <f t="shared" si="19"/>
        <v>0.9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0.9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0.9</v>
      </c>
      <c r="AD33" s="19"/>
      <c r="AE33" s="21">
        <f t="shared" si="13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568.5</v>
      </c>
      <c r="G34" s="38">
        <f>IF(ISBLANK($D$5)=TRUE, 0, IF($D$5="TOU", 0.64*G44+0.18*G45+0.18*G46, IF(AND($D$5="non-TOU", $F$48&gt;0), G48,G47)))</f>
        <v>0.11183999999999999</v>
      </c>
      <c r="H34" s="18">
        <f t="shared" si="17"/>
        <v>63.581039999999994</v>
      </c>
      <c r="I34" s="19"/>
      <c r="J34" s="38">
        <f>IF(ISBLANK($D$5)=TRUE, 0, IF($D$5="TOU", 0.64*J44+0.18*J45+0.18*J46, IF(AND($D$5="non-TOU", $F$48&gt;0), J48,J47)))</f>
        <v>0.11183999999999999</v>
      </c>
      <c r="K34" s="18">
        <f t="shared" si="18"/>
        <v>63.581039999999994</v>
      </c>
      <c r="L34" s="19"/>
      <c r="M34" s="21">
        <f t="shared" si="26"/>
        <v>0</v>
      </c>
      <c r="N34" s="22">
        <f>IF((H34)=0,"",(M34/H34))</f>
        <v>0</v>
      </c>
      <c r="O34" s="212"/>
      <c r="P34" s="38">
        <f>IF(ISBLANK($D$5)=TRUE, 0, IF($D$5="TOU", 0.64*P44+0.18*P45+0.18*P46, IF(AND($D$5="non-TOU", $F$48&gt;0), P48,P47)))</f>
        <v>0.10214000000000001</v>
      </c>
      <c r="Q34" s="18">
        <f t="shared" si="19"/>
        <v>58.066590000000005</v>
      </c>
      <c r="R34" s="19"/>
      <c r="S34" s="21">
        <f t="shared" si="10"/>
        <v>-5.5144499999999894</v>
      </c>
      <c r="T34" s="22">
        <f t="shared" si="5"/>
        <v>-8.6731044349069947E-2</v>
      </c>
      <c r="U34" s="19"/>
      <c r="V34" s="38">
        <f>IF(ISBLANK($D$5)=TRUE, 0, IF($D$5="TOU", 0.64*V44+0.18*V45+0.18*V46, IF(AND($D$5="non-TOU", $F$48&gt;0), V48,V47)))</f>
        <v>0.10214000000000001</v>
      </c>
      <c r="W34" s="18">
        <f t="shared" si="20"/>
        <v>58.066590000000005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0.10214000000000001</v>
      </c>
      <c r="AC34" s="18">
        <f t="shared" si="21"/>
        <v>58.066590000000005</v>
      </c>
      <c r="AD34" s="19"/>
      <c r="AE34" s="21">
        <f t="shared" si="13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0.78800000000000003</v>
      </c>
      <c r="H35" s="18">
        <f t="shared" si="17"/>
        <v>0.78800000000000003</v>
      </c>
      <c r="I35" s="19"/>
      <c r="J35" s="210">
        <v>0.78800000000000003</v>
      </c>
      <c r="K35" s="18">
        <f t="shared" si="18"/>
        <v>0.78800000000000003</v>
      </c>
      <c r="L35" s="19"/>
      <c r="M35" s="21">
        <f t="shared" si="26"/>
        <v>0</v>
      </c>
      <c r="N35" s="22"/>
      <c r="O35" s="212"/>
      <c r="P35" s="38">
        <v>0.78800000000000003</v>
      </c>
      <c r="Q35" s="18">
        <f t="shared" si="19"/>
        <v>0.78800000000000003</v>
      </c>
      <c r="R35" s="19"/>
      <c r="S35" s="21">
        <f t="shared" si="10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1"/>
        <v>0</v>
      </c>
      <c r="AD35" s="19"/>
      <c r="AE35" s="21">
        <f t="shared" si="13"/>
        <v>-0.78800000000000003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272.85233482423376</v>
      </c>
      <c r="I36" s="31"/>
      <c r="J36" s="41"/>
      <c r="K36" s="43">
        <f>SUM(K29:K35)+K28</f>
        <v>232.09903999999997</v>
      </c>
      <c r="L36" s="31"/>
      <c r="M36" s="32">
        <f t="shared" si="26"/>
        <v>-40.753294824233791</v>
      </c>
      <c r="N36" s="33">
        <f t="shared" ref="N36:N42" si="27">IF((H36)=0,"",(M36/H36))</f>
        <v>-0.14936025689678001</v>
      </c>
      <c r="O36" s="212"/>
      <c r="P36" s="41"/>
      <c r="Q36" s="43">
        <f>SUM(Q29:Q35)+Q28</f>
        <v>226.58458999999999</v>
      </c>
      <c r="R36" s="31"/>
      <c r="S36" s="32">
        <f t="shared" si="10"/>
        <v>-5.5144499999999823</v>
      </c>
      <c r="T36" s="33">
        <f t="shared" ref="T36:T42" si="28">IF((K36)=0,"",(S36/K36))</f>
        <v>-2.3759038382924733E-2</v>
      </c>
      <c r="U36" s="31"/>
      <c r="V36" s="41"/>
      <c r="W36" s="43">
        <f>SUM(W29:W35)+W28</f>
        <v>261.83458999999999</v>
      </c>
      <c r="X36" s="31"/>
      <c r="Y36" s="32">
        <f t="shared" si="11"/>
        <v>35.25</v>
      </c>
      <c r="Z36" s="33">
        <f t="shared" ref="Z36:Z42" si="29">IF((Q36)=0,"",(Y36/Q36))</f>
        <v>0.15557103861299659</v>
      </c>
      <c r="AA36" s="31"/>
      <c r="AB36" s="41"/>
      <c r="AC36" s="43">
        <f>SUM(AC29:AC35)+AC28</f>
        <v>266.53658999999999</v>
      </c>
      <c r="AD36" s="31"/>
      <c r="AE36" s="32">
        <f t="shared" si="13"/>
        <v>4.7019999999999982</v>
      </c>
      <c r="AF36" s="33">
        <f t="shared" ref="AF36:AF46" si="30">IF((W36)=0,"",(AE36/W36))</f>
        <v>1.7957902353543123E-2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15568.5</v>
      </c>
      <c r="G37" s="20">
        <v>6.8009505892390144E-3</v>
      </c>
      <c r="H37" s="18">
        <f>$F37*G37</f>
        <v>105.88059924856759</v>
      </c>
      <c r="I37" s="19"/>
      <c r="J37" s="20">
        <v>6.4999999999999997E-3</v>
      </c>
      <c r="K37" s="18">
        <f>$F37*J37</f>
        <v>101.19525</v>
      </c>
      <c r="L37" s="19"/>
      <c r="M37" s="21">
        <f t="shared" si="26"/>
        <v>-4.6853492485675901</v>
      </c>
      <c r="N37" s="22">
        <f t="shared" si="27"/>
        <v>-4.4251253599048516E-2</v>
      </c>
      <c r="O37" s="212"/>
      <c r="P37" s="20">
        <v>6.4999999999999997E-3</v>
      </c>
      <c r="Q37" s="18">
        <f>$F37*P37</f>
        <v>101.19525</v>
      </c>
      <c r="R37" s="19"/>
      <c r="S37" s="21">
        <f t="shared" si="10"/>
        <v>0</v>
      </c>
      <c r="T37" s="22">
        <f t="shared" si="28"/>
        <v>0</v>
      </c>
      <c r="U37" s="19"/>
      <c r="V37" s="20">
        <v>6.4999999999999997E-3</v>
      </c>
      <c r="W37" s="18">
        <f>$F37*V37</f>
        <v>101.19525</v>
      </c>
      <c r="X37" s="19"/>
      <c r="Y37" s="21">
        <f t="shared" si="11"/>
        <v>0</v>
      </c>
      <c r="Z37" s="22">
        <f t="shared" si="29"/>
        <v>0</v>
      </c>
      <c r="AA37" s="19"/>
      <c r="AB37" s="20">
        <v>6.4999999999999997E-3</v>
      </c>
      <c r="AC37" s="18">
        <f>$F37*AB37</f>
        <v>101.19525</v>
      </c>
      <c r="AD37" s="19"/>
      <c r="AE37" s="21">
        <f t="shared" si="13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15568.5</v>
      </c>
      <c r="G38" s="20">
        <v>5.3223476369492068E-3</v>
      </c>
      <c r="H38" s="18">
        <f>$F38*G38</f>
        <v>82.860969185843729</v>
      </c>
      <c r="I38" s="19"/>
      <c r="J38" s="20">
        <v>5.3E-3</v>
      </c>
      <c r="K38" s="18">
        <f>$F38*J38</f>
        <v>82.513050000000007</v>
      </c>
      <c r="L38" s="19"/>
      <c r="M38" s="21">
        <f t="shared" si="26"/>
        <v>-0.34791918584372183</v>
      </c>
      <c r="N38" s="22">
        <f t="shared" si="27"/>
        <v>-4.1988307554476642E-3</v>
      </c>
      <c r="O38" s="212"/>
      <c r="P38" s="20">
        <v>5.3E-3</v>
      </c>
      <c r="Q38" s="18">
        <f>$F38*P38</f>
        <v>82.513050000000007</v>
      </c>
      <c r="R38" s="19"/>
      <c r="S38" s="21">
        <f t="shared" si="10"/>
        <v>0</v>
      </c>
      <c r="T38" s="22">
        <f t="shared" si="28"/>
        <v>0</v>
      </c>
      <c r="U38" s="19"/>
      <c r="V38" s="20">
        <v>5.3E-3</v>
      </c>
      <c r="W38" s="18">
        <f>$F38*V38</f>
        <v>82.513050000000007</v>
      </c>
      <c r="X38" s="19"/>
      <c r="Y38" s="21">
        <f t="shared" si="11"/>
        <v>0</v>
      </c>
      <c r="Z38" s="22">
        <f t="shared" si="29"/>
        <v>0</v>
      </c>
      <c r="AA38" s="19"/>
      <c r="AB38" s="20">
        <v>5.3E-3</v>
      </c>
      <c r="AC38" s="18">
        <f>$F38*AB38</f>
        <v>82.513050000000007</v>
      </c>
      <c r="AD38" s="19"/>
      <c r="AE38" s="21">
        <f t="shared" si="13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461.59390325864507</v>
      </c>
      <c r="I39" s="48"/>
      <c r="J39" s="47"/>
      <c r="K39" s="43">
        <f>SUM(K36:K38)</f>
        <v>415.80734000000001</v>
      </c>
      <c r="L39" s="48"/>
      <c r="M39" s="32">
        <f t="shared" si="26"/>
        <v>-45.78656325864506</v>
      </c>
      <c r="N39" s="33">
        <f t="shared" si="27"/>
        <v>-9.9192305044352932E-2</v>
      </c>
      <c r="O39" s="212"/>
      <c r="P39" s="47"/>
      <c r="Q39" s="43">
        <f>SUM(Q36:Q38)</f>
        <v>410.29289</v>
      </c>
      <c r="R39" s="48"/>
      <c r="S39" s="32">
        <f t="shared" si="10"/>
        <v>-5.5144500000000107</v>
      </c>
      <c r="T39" s="33">
        <f t="shared" si="28"/>
        <v>-1.3262031401369707E-2</v>
      </c>
      <c r="U39" s="48"/>
      <c r="V39" s="47"/>
      <c r="W39" s="43">
        <f>SUM(W36:W38)</f>
        <v>445.54289</v>
      </c>
      <c r="X39" s="48"/>
      <c r="Y39" s="32">
        <f t="shared" si="11"/>
        <v>35.25</v>
      </c>
      <c r="Z39" s="33">
        <f t="shared" si="29"/>
        <v>8.5914235559870419E-2</v>
      </c>
      <c r="AA39" s="48"/>
      <c r="AB39" s="47"/>
      <c r="AC39" s="43">
        <f>SUM(AC36:AC38)</f>
        <v>450.24489</v>
      </c>
      <c r="AD39" s="48"/>
      <c r="AE39" s="32">
        <f t="shared" si="13"/>
        <v>4.7019999999999982</v>
      </c>
      <c r="AF39" s="33">
        <f t="shared" si="30"/>
        <v>1.055341720299924E-2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15568.5</v>
      </c>
      <c r="G40" s="50">
        <v>4.7000000000000002E-3</v>
      </c>
      <c r="H40" s="152">
        <f t="shared" ref="H40:H42" si="31">$F40*G40</f>
        <v>73.17195000000001</v>
      </c>
      <c r="I40" s="19"/>
      <c r="J40" s="50">
        <v>4.7000000000000002E-3</v>
      </c>
      <c r="K40" s="152">
        <f t="shared" ref="K40:K42" si="32">$F40*J40</f>
        <v>73.17195000000001</v>
      </c>
      <c r="L40" s="19"/>
      <c r="M40" s="21">
        <f t="shared" si="26"/>
        <v>0</v>
      </c>
      <c r="N40" s="153">
        <f t="shared" si="27"/>
        <v>0</v>
      </c>
      <c r="O40" s="212"/>
      <c r="P40" s="50">
        <v>4.7000000000000002E-3</v>
      </c>
      <c r="Q40" s="152">
        <f t="shared" ref="Q40:Q42" si="33">$F40*P40</f>
        <v>73.17195000000001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2" si="34">$F40*V40</f>
        <v>73.17195000000001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73.17195000000001</v>
      </c>
      <c r="AD40" s="19"/>
      <c r="AE40" s="21">
        <f t="shared" si="13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15568.5</v>
      </c>
      <c r="G41" s="50">
        <v>1.2999999999999999E-3</v>
      </c>
      <c r="H41" s="152">
        <f t="shared" si="31"/>
        <v>20.239049999999999</v>
      </c>
      <c r="I41" s="19"/>
      <c r="J41" s="50">
        <v>2.0999999999999999E-3</v>
      </c>
      <c r="K41" s="152">
        <f t="shared" si="32"/>
        <v>32.693849999999998</v>
      </c>
      <c r="L41" s="19"/>
      <c r="M41" s="21">
        <f t="shared" si="26"/>
        <v>12.454799999999999</v>
      </c>
      <c r="N41" s="153">
        <f t="shared" si="27"/>
        <v>0.61538461538461531</v>
      </c>
      <c r="O41" s="212"/>
      <c r="P41" s="50">
        <v>2.0999999999999999E-3</v>
      </c>
      <c r="Q41" s="152">
        <f t="shared" si="33"/>
        <v>32.693849999999998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32.693849999999998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32.693849999999998</v>
      </c>
      <c r="AD41" s="19"/>
      <c r="AE41" s="21">
        <f t="shared" si="13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26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3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15000</v>
      </c>
      <c r="G43" s="50">
        <v>7.0000000000000001E-3</v>
      </c>
      <c r="H43" s="152">
        <f t="shared" ref="H43:H48" si="36">$F43*G43</f>
        <v>105</v>
      </c>
      <c r="I43" s="19"/>
      <c r="J43" s="50">
        <v>7.0000000000000001E-3</v>
      </c>
      <c r="K43" s="152">
        <f t="shared" ref="K43:K48" si="37">$F43*J43</f>
        <v>105</v>
      </c>
      <c r="L43" s="19"/>
      <c r="M43" s="21">
        <f t="shared" ref="M43:M60" si="38">K43-H43</f>
        <v>0</v>
      </c>
      <c r="N43" s="153">
        <f t="shared" ref="N43:N46" si="39">IF((H43)=0,"",(M43/H43))</f>
        <v>0</v>
      </c>
      <c r="O43" s="212"/>
      <c r="P43" s="50">
        <v>7.0000000000000001E-3</v>
      </c>
      <c r="Q43" s="152">
        <f t="shared" ref="Q43:Q48" si="40">$F43*P43</f>
        <v>105</v>
      </c>
      <c r="R43" s="19"/>
      <c r="S43" s="21">
        <f t="shared" ref="S43:S60" si="41">Q43-K43</f>
        <v>0</v>
      </c>
      <c r="T43" s="153">
        <f t="shared" ref="T43:T46" si="42">IF((K43)=0,"",(S43/K43))</f>
        <v>0</v>
      </c>
      <c r="U43" s="19"/>
      <c r="V43" s="50">
        <v>7.0000000000000001E-3</v>
      </c>
      <c r="W43" s="152">
        <f t="shared" ref="W43:W48" si="43">$F43*V43</f>
        <v>105</v>
      </c>
      <c r="X43" s="19"/>
      <c r="Y43" s="21">
        <f t="shared" ref="Y43:Y60" si="44">W43-Q43</f>
        <v>0</v>
      </c>
      <c r="Z43" s="153">
        <f t="shared" ref="Z43:Z46" si="45">IF((Q43)=0,"",(Y43/Q43))</f>
        <v>0</v>
      </c>
      <c r="AA43" s="19"/>
      <c r="AB43" s="50">
        <v>7.0000000000000001E-3</v>
      </c>
      <c r="AC43" s="152">
        <f t="shared" si="35"/>
        <v>105</v>
      </c>
      <c r="AD43" s="19"/>
      <c r="AE43" s="21">
        <f t="shared" si="13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9600</v>
      </c>
      <c r="G44" s="54">
        <v>8.6999999999999994E-2</v>
      </c>
      <c r="H44" s="152">
        <f t="shared" si="36"/>
        <v>835.19999999999993</v>
      </c>
      <c r="I44" s="19"/>
      <c r="J44" s="54">
        <f>+G44</f>
        <v>8.6999999999999994E-2</v>
      </c>
      <c r="K44" s="152">
        <f t="shared" si="37"/>
        <v>835.19999999999993</v>
      </c>
      <c r="L44" s="19"/>
      <c r="M44" s="21">
        <f t="shared" si="38"/>
        <v>0</v>
      </c>
      <c r="N44" s="153">
        <f t="shared" si="39"/>
        <v>0</v>
      </c>
      <c r="O44" s="212"/>
      <c r="P44" s="54">
        <v>0.08</v>
      </c>
      <c r="Q44" s="152">
        <f t="shared" si="40"/>
        <v>768</v>
      </c>
      <c r="R44" s="19"/>
      <c r="S44" s="21">
        <f t="shared" si="41"/>
        <v>-67.199999999999932</v>
      </c>
      <c r="T44" s="153">
        <f t="shared" si="42"/>
        <v>-8.0459770114942458E-2</v>
      </c>
      <c r="U44" s="19"/>
      <c r="V44" s="54">
        <v>0.08</v>
      </c>
      <c r="W44" s="152">
        <f t="shared" si="43"/>
        <v>768</v>
      </c>
      <c r="X44" s="19"/>
      <c r="Y44" s="21">
        <f t="shared" si="44"/>
        <v>0</v>
      </c>
      <c r="Z44" s="153">
        <f t="shared" si="45"/>
        <v>0</v>
      </c>
      <c r="AA44" s="19"/>
      <c r="AB44" s="54">
        <v>0.08</v>
      </c>
      <c r="AC44" s="152">
        <f t="shared" si="35"/>
        <v>768</v>
      </c>
      <c r="AD44" s="19"/>
      <c r="AE44" s="21">
        <f t="shared" si="13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2700</v>
      </c>
      <c r="G45" s="54">
        <v>0.13200000000000001</v>
      </c>
      <c r="H45" s="152">
        <f t="shared" si="36"/>
        <v>356.40000000000003</v>
      </c>
      <c r="I45" s="19"/>
      <c r="J45" s="54">
        <f>+G45</f>
        <v>0.13200000000000001</v>
      </c>
      <c r="K45" s="152">
        <f t="shared" si="37"/>
        <v>356.40000000000003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329.4</v>
      </c>
      <c r="R45" s="19"/>
      <c r="S45" s="21">
        <f t="shared" si="41"/>
        <v>-27.000000000000057</v>
      </c>
      <c r="T45" s="153">
        <f t="shared" si="42"/>
        <v>-7.5757575757575912E-2</v>
      </c>
      <c r="U45" s="19"/>
      <c r="V45" s="54">
        <v>0.122</v>
      </c>
      <c r="W45" s="152">
        <f t="shared" si="43"/>
        <v>329.4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329.4</v>
      </c>
      <c r="AD45" s="19"/>
      <c r="AE45" s="21">
        <f t="shared" si="13"/>
        <v>0</v>
      </c>
      <c r="AF45" s="153">
        <f t="shared" si="30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2700</v>
      </c>
      <c r="G46" s="54">
        <v>0.18</v>
      </c>
      <c r="H46" s="152">
        <f t="shared" si="36"/>
        <v>486</v>
      </c>
      <c r="I46" s="19"/>
      <c r="J46" s="54">
        <f>+G46</f>
        <v>0.18</v>
      </c>
      <c r="K46" s="152">
        <f t="shared" si="37"/>
        <v>486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434.7</v>
      </c>
      <c r="R46" s="19"/>
      <c r="S46" s="21">
        <f t="shared" si="41"/>
        <v>-51.300000000000011</v>
      </c>
      <c r="T46" s="153">
        <f t="shared" si="42"/>
        <v>-0.10555555555555558</v>
      </c>
      <c r="U46" s="19"/>
      <c r="V46" s="54">
        <v>0.161</v>
      </c>
      <c r="W46" s="152">
        <f t="shared" si="43"/>
        <v>434.7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434.7</v>
      </c>
      <c r="AD46" s="19"/>
      <c r="AE46" s="21">
        <f t="shared" si="13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G7&gt;=750), 750, IF(AND(N3=1, AND(G7&lt;750, G7&gt;=0)), G7, IF(AND(N3=2, G7&gt;=750), 750, IF(AND(N3=2, AND(G7&lt;750, G7&gt;=0)), G7))))</f>
        <v>750</v>
      </c>
      <c r="G47" s="54">
        <v>0.10299999999999999</v>
      </c>
      <c r="H47" s="152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G7&gt;=750), G7-750, IF(AND(N3=1, AND(G7&lt;750, G7&gt;=0)), 0, IF(AND(N3=2, G7&gt;=750), G7-750, IF(AND(N3=2, AND(G7&lt;750, G7&gt;=0)), 0))))</f>
        <v>14250</v>
      </c>
      <c r="G48" s="54">
        <v>0.121</v>
      </c>
      <c r="H48" s="152">
        <f t="shared" si="36"/>
        <v>1724.25</v>
      </c>
      <c r="I48" s="59"/>
      <c r="J48" s="54">
        <f>+G48</f>
        <v>0.121</v>
      </c>
      <c r="K48" s="152">
        <f t="shared" si="37"/>
        <v>1724.25</v>
      </c>
      <c r="L48" s="59"/>
      <c r="M48" s="60">
        <f t="shared" si="38"/>
        <v>0</v>
      </c>
      <c r="N48" s="153">
        <f>IF((H48)=FALSE,"",(M48/H48))</f>
        <v>0</v>
      </c>
      <c r="O48" s="212"/>
      <c r="P48" s="54">
        <v>0.11</v>
      </c>
      <c r="Q48" s="152">
        <f t="shared" si="40"/>
        <v>1567.5</v>
      </c>
      <c r="R48" s="59"/>
      <c r="S48" s="60">
        <f t="shared" si="41"/>
        <v>-156.75</v>
      </c>
      <c r="T48" s="153">
        <f>IF((K48)=FALSE,"",(S48/K48))</f>
        <v>-9.0909090909090912E-2</v>
      </c>
      <c r="U48" s="59"/>
      <c r="V48" s="54">
        <v>0.11</v>
      </c>
      <c r="W48" s="152">
        <f t="shared" si="43"/>
        <v>1567.5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1567.5</v>
      </c>
      <c r="AD48" s="59"/>
      <c r="AE48" s="60">
        <f t="shared" si="13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2337.8549032586452</v>
      </c>
      <c r="I50" s="75"/>
      <c r="J50" s="72"/>
      <c r="K50" s="74">
        <f>SUM(K40:K46,K39)</f>
        <v>2304.5231399999998</v>
      </c>
      <c r="L50" s="75"/>
      <c r="M50" s="76">
        <f t="shared" si="38"/>
        <v>-33.331763258645424</v>
      </c>
      <c r="N50" s="77">
        <f>IF((H50)=0,"",(M50/H50))</f>
        <v>-1.4257413157756528E-2</v>
      </c>
      <c r="O50" s="212"/>
      <c r="P50" s="72"/>
      <c r="Q50" s="74">
        <f>SUM(Q40:Q46,Q39)</f>
        <v>2153.5086900000001</v>
      </c>
      <c r="R50" s="75"/>
      <c r="S50" s="76">
        <f t="shared" si="41"/>
        <v>-151.01444999999967</v>
      </c>
      <c r="T50" s="77">
        <f>IF((K50)=0,"",(S50/K50))</f>
        <v>-6.5529587175245152E-2</v>
      </c>
      <c r="U50" s="75"/>
      <c r="V50" s="72"/>
      <c r="W50" s="74">
        <f>SUM(W40:W46,W39)</f>
        <v>2188.7586900000001</v>
      </c>
      <c r="X50" s="75"/>
      <c r="Y50" s="76">
        <f t="shared" si="44"/>
        <v>35.25</v>
      </c>
      <c r="Z50" s="77">
        <f>IF((Q50)=0,"",(Y50/Q50))</f>
        <v>1.6368636060623463E-2</v>
      </c>
      <c r="AA50" s="75"/>
      <c r="AB50" s="72"/>
      <c r="AC50" s="74">
        <f>SUM(AC40:AC46,AC39)</f>
        <v>2193.4606900000003</v>
      </c>
      <c r="AD50" s="75"/>
      <c r="AE50" s="76">
        <f t="shared" si="13"/>
        <v>4.7020000000002256</v>
      </c>
      <c r="AF50" s="77">
        <f>IF((W50)=0,"",(AE50/W50))</f>
        <v>2.1482496090056528E-3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303.92113742362386</v>
      </c>
      <c r="I51" s="81"/>
      <c r="J51" s="79">
        <v>0.13</v>
      </c>
      <c r="K51" s="82">
        <f>K50*J51</f>
        <v>299.58800819999999</v>
      </c>
      <c r="L51" s="81"/>
      <c r="M51" s="83">
        <f t="shared" si="38"/>
        <v>-4.333129223623871</v>
      </c>
      <c r="N51" s="84">
        <f>IF((H51)=0,"",(M51/H51))</f>
        <v>-1.4257413157756417E-2</v>
      </c>
      <c r="O51" s="212"/>
      <c r="P51" s="79">
        <v>0.13</v>
      </c>
      <c r="Q51" s="82">
        <f>Q50*P51</f>
        <v>279.95612970000002</v>
      </c>
      <c r="R51" s="81"/>
      <c r="S51" s="83">
        <f t="shared" si="41"/>
        <v>-19.631878499999971</v>
      </c>
      <c r="T51" s="84">
        <f>IF((K51)=0,"",(S51/K51))</f>
        <v>-6.5529587175245194E-2</v>
      </c>
      <c r="U51" s="81"/>
      <c r="V51" s="79">
        <v>0.13</v>
      </c>
      <c r="W51" s="82">
        <f>W50*V51</f>
        <v>284.5386297</v>
      </c>
      <c r="X51" s="81"/>
      <c r="Y51" s="83">
        <f t="shared" si="44"/>
        <v>4.5824999999999818</v>
      </c>
      <c r="Z51" s="84">
        <f>IF((Q51)=0,"",(Y51/Q51))</f>
        <v>1.6368636060623401E-2</v>
      </c>
      <c r="AA51" s="81"/>
      <c r="AB51" s="79">
        <v>0.13</v>
      </c>
      <c r="AC51" s="82">
        <f>AC50*AB51</f>
        <v>285.14988970000007</v>
      </c>
      <c r="AD51" s="81"/>
      <c r="AE51" s="83">
        <f t="shared" si="13"/>
        <v>0.61126000000007252</v>
      </c>
      <c r="AF51" s="84">
        <f>IF((W51)=0,"",(AE51/W51))</f>
        <v>2.1482496090058051E-3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2641.776040682269</v>
      </c>
      <c r="I52" s="81"/>
      <c r="J52" s="86"/>
      <c r="K52" s="82">
        <f>K50+K51</f>
        <v>2604.1111481999997</v>
      </c>
      <c r="L52" s="81"/>
      <c r="M52" s="83">
        <f t="shared" si="38"/>
        <v>-37.664892482269352</v>
      </c>
      <c r="N52" s="84">
        <f>IF((H52)=0,"",(M52/H52))</f>
        <v>-1.4257413157756537E-2</v>
      </c>
      <c r="O52" s="212"/>
      <c r="P52" s="86"/>
      <c r="Q52" s="82">
        <f>Q50+Q51</f>
        <v>2433.4648197000001</v>
      </c>
      <c r="R52" s="81"/>
      <c r="S52" s="83">
        <f t="shared" si="41"/>
        <v>-170.64632849999953</v>
      </c>
      <c r="T52" s="84">
        <f>IF((K52)=0,"",(S52/K52))</f>
        <v>-6.552958717524511E-2</v>
      </c>
      <c r="U52" s="81"/>
      <c r="V52" s="86"/>
      <c r="W52" s="82">
        <f>W50+W51</f>
        <v>2473.2973197000001</v>
      </c>
      <c r="X52" s="81"/>
      <c r="Y52" s="83">
        <f t="shared" si="44"/>
        <v>39.832499999999982</v>
      </c>
      <c r="Z52" s="84">
        <f>IF((Q52)=0,"",(Y52/Q52))</f>
        <v>1.6368636060623457E-2</v>
      </c>
      <c r="AA52" s="81"/>
      <c r="AB52" s="86"/>
      <c r="AC52" s="82">
        <f>AC50+AC51</f>
        <v>2478.6105797000005</v>
      </c>
      <c r="AD52" s="81"/>
      <c r="AE52" s="83">
        <f t="shared" si="13"/>
        <v>5.3132600000003549</v>
      </c>
      <c r="AF52" s="84">
        <f>IF((W52)=0,"",(AE52/W52))</f>
        <v>2.1482496090056936E-3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-184.36185119999999</v>
      </c>
      <c r="L53" s="81"/>
      <c r="M53" s="88">
        <f t="shared" si="38"/>
        <v>-184.36185119999999</v>
      </c>
      <c r="N53" s="89" t="str">
        <f>IF((H53)=0,"",(M53/H53))</f>
        <v/>
      </c>
      <c r="O53" s="212"/>
      <c r="P53" s="86"/>
      <c r="Q53" s="87">
        <f>ROUND(-Q52*10%,2)</f>
        <v>-243.35</v>
      </c>
      <c r="R53" s="81"/>
      <c r="S53" s="88">
        <f t="shared" si="41"/>
        <v>-58.988148800000005</v>
      </c>
      <c r="T53" s="89">
        <f>IF((K53)=0,"",(S53/K53))</f>
        <v>0.31995854031650128</v>
      </c>
      <c r="U53" s="81"/>
      <c r="V53" s="86"/>
      <c r="W53" s="87">
        <f>ROUND(-W52*10%,2)</f>
        <v>-247.33</v>
      </c>
      <c r="X53" s="81"/>
      <c r="Y53" s="88">
        <f t="shared" si="44"/>
        <v>-3.9800000000000182</v>
      </c>
      <c r="Z53" s="89">
        <f>IF((Q53)=0,"",(Y53/Q53))</f>
        <v>1.6355044175056579E-2</v>
      </c>
      <c r="AA53" s="81"/>
      <c r="AB53" s="86"/>
      <c r="AC53" s="87">
        <f>ROUND(-AC52*10%,2)</f>
        <v>-247.86</v>
      </c>
      <c r="AD53" s="81"/>
      <c r="AE53" s="88">
        <f t="shared" si="13"/>
        <v>-0.53000000000000114</v>
      </c>
      <c r="AF53" s="89">
        <f>IF((W53)=0,"",(AE53/W53))</f>
        <v>2.1428860227226828E-3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2641.776040682269</v>
      </c>
      <c r="I54" s="92"/>
      <c r="J54" s="90"/>
      <c r="K54" s="93">
        <f>K52+K53</f>
        <v>2419.7492969999998</v>
      </c>
      <c r="L54" s="92"/>
      <c r="M54" s="94">
        <f t="shared" si="38"/>
        <v>-222.02674368226917</v>
      </c>
      <c r="N54" s="95">
        <f>IF((H54)=0,"",(M54/H54))</f>
        <v>-8.4044498951897612E-2</v>
      </c>
      <c r="O54" s="212"/>
      <c r="P54" s="90"/>
      <c r="Q54" s="93">
        <f>Q52+Q53</f>
        <v>2190.1148197000002</v>
      </c>
      <c r="R54" s="92"/>
      <c r="S54" s="94">
        <f t="shared" si="41"/>
        <v>-229.63447729999962</v>
      </c>
      <c r="T54" s="95">
        <f>IF((K54)=0,"",(S54/K54))</f>
        <v>-9.4900111174616303E-2</v>
      </c>
      <c r="U54" s="92"/>
      <c r="V54" s="90"/>
      <c r="W54" s="93">
        <f>W52+W53</f>
        <v>2225.9673197000002</v>
      </c>
      <c r="X54" s="92"/>
      <c r="Y54" s="94">
        <f t="shared" si="44"/>
        <v>35.852499999999964</v>
      </c>
      <c r="Z54" s="95">
        <f>IF((Q54)=0,"",(Y54/Q54))</f>
        <v>1.6370146294389716E-2</v>
      </c>
      <c r="AA54" s="92"/>
      <c r="AB54" s="90"/>
      <c r="AC54" s="93">
        <f>AC52+AC53</f>
        <v>2230.7505797000003</v>
      </c>
      <c r="AD54" s="92"/>
      <c r="AE54" s="94">
        <f t="shared" si="13"/>
        <v>4.7832600000001548</v>
      </c>
      <c r="AF54" s="95">
        <f>IF((W54)=0,"",(AE54/W54))</f>
        <v>2.1488455637546414E-3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2461.7549032586453</v>
      </c>
      <c r="I56" s="106"/>
      <c r="J56" s="103"/>
      <c r="K56" s="105">
        <f>SUM(K47:K48,K39,K40:K43)</f>
        <v>2428.4231399999999</v>
      </c>
      <c r="L56" s="106"/>
      <c r="M56" s="107">
        <f t="shared" si="38"/>
        <v>-33.331763258645424</v>
      </c>
      <c r="N56" s="77">
        <f>IF((H56)=0,"",(M56/H56))</f>
        <v>-1.3539838273308156E-2</v>
      </c>
      <c r="O56" s="212"/>
      <c r="P56" s="103"/>
      <c r="Q56" s="105">
        <f>SUM(Q47:Q48,Q39,Q40:Q43)</f>
        <v>2259.4086900000002</v>
      </c>
      <c r="R56" s="106"/>
      <c r="S56" s="107">
        <f t="shared" si="41"/>
        <v>-169.01444999999967</v>
      </c>
      <c r="T56" s="77">
        <f>IF((K56)=0,"",(S56/K56))</f>
        <v>-6.9598434974557061E-2</v>
      </c>
      <c r="U56" s="106"/>
      <c r="V56" s="103"/>
      <c r="W56" s="105">
        <f>SUM(W47:W48,W39,W40:W43)</f>
        <v>2294.6586900000002</v>
      </c>
      <c r="X56" s="106"/>
      <c r="Y56" s="107">
        <f t="shared" si="44"/>
        <v>35.25</v>
      </c>
      <c r="Z56" s="77">
        <f>IF((Q56)=0,"",(Y56/Q56))</f>
        <v>1.5601427114985557E-2</v>
      </c>
      <c r="AA56" s="106"/>
      <c r="AB56" s="103"/>
      <c r="AC56" s="105">
        <f>SUM(AC47:AC48,AC39,AC40:AC43)</f>
        <v>2299.36069</v>
      </c>
      <c r="AD56" s="106"/>
      <c r="AE56" s="107">
        <f t="shared" si="13"/>
        <v>4.7019999999997708</v>
      </c>
      <c r="AF56" s="77">
        <f>IF((W56)=0,"",(AE56/W56))</f>
        <v>2.0491064838927182E-3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320.02813742362389</v>
      </c>
      <c r="I57" s="110"/>
      <c r="J57" s="109">
        <v>0.13</v>
      </c>
      <c r="K57" s="111">
        <f>K56*J57</f>
        <v>315.69500820000002</v>
      </c>
      <c r="L57" s="110"/>
      <c r="M57" s="112">
        <f t="shared" si="38"/>
        <v>-4.333129223623871</v>
      </c>
      <c r="N57" s="84">
        <f>IF((H57)=0,"",(M57/H57))</f>
        <v>-1.353983827330805E-2</v>
      </c>
      <c r="O57" s="212"/>
      <c r="P57" s="109">
        <v>0.13</v>
      </c>
      <c r="Q57" s="111">
        <f>Q56*P57</f>
        <v>293.72312970000002</v>
      </c>
      <c r="R57" s="110"/>
      <c r="S57" s="112">
        <f t="shared" si="41"/>
        <v>-21.971878500000003</v>
      </c>
      <c r="T57" s="84">
        <f>IF((K57)=0,"",(S57/K57))</f>
        <v>-6.95984349745572E-2</v>
      </c>
      <c r="U57" s="110"/>
      <c r="V57" s="109">
        <v>0.13</v>
      </c>
      <c r="W57" s="111">
        <f>W56*V57</f>
        <v>298.30562970000005</v>
      </c>
      <c r="X57" s="110"/>
      <c r="Y57" s="112">
        <f t="shared" si="44"/>
        <v>4.5825000000000387</v>
      </c>
      <c r="Z57" s="84">
        <f>IF((Q57)=0,"",(Y57/Q57))</f>
        <v>1.5601427114985689E-2</v>
      </c>
      <c r="AA57" s="110"/>
      <c r="AB57" s="109">
        <v>0.13</v>
      </c>
      <c r="AC57" s="111">
        <f>AC56*AB57</f>
        <v>298.91688970000001</v>
      </c>
      <c r="AD57" s="110"/>
      <c r="AE57" s="112">
        <f t="shared" si="13"/>
        <v>0.61125999999995884</v>
      </c>
      <c r="AF57" s="84">
        <f>IF((W57)=0,"",(AE57/W57))</f>
        <v>2.0491064838926796E-3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2781.7830406822691</v>
      </c>
      <c r="I58" s="110"/>
      <c r="J58" s="114"/>
      <c r="K58" s="111">
        <f>K56+K57</f>
        <v>2744.1181481999997</v>
      </c>
      <c r="L58" s="110"/>
      <c r="M58" s="112">
        <f t="shared" si="38"/>
        <v>-37.664892482269352</v>
      </c>
      <c r="N58" s="84">
        <f>IF((H58)=0,"",(M58/H58))</f>
        <v>-1.3539838273308165E-2</v>
      </c>
      <c r="O58" s="212"/>
      <c r="P58" s="114"/>
      <c r="Q58" s="111">
        <f>Q56+Q57</f>
        <v>2553.1318197000001</v>
      </c>
      <c r="R58" s="110"/>
      <c r="S58" s="112">
        <f t="shared" si="41"/>
        <v>-190.98632849999967</v>
      </c>
      <c r="T58" s="84">
        <f>IF((K58)=0,"",(S58/K58))</f>
        <v>-6.9598434974557075E-2</v>
      </c>
      <c r="U58" s="110"/>
      <c r="V58" s="114"/>
      <c r="W58" s="111">
        <f>W56+W57</f>
        <v>2592.9643197000005</v>
      </c>
      <c r="X58" s="110"/>
      <c r="Y58" s="112">
        <f t="shared" si="44"/>
        <v>39.832500000000437</v>
      </c>
      <c r="Z58" s="84">
        <f>IF((Q58)=0,"",(Y58/Q58))</f>
        <v>1.5601427114985729E-2</v>
      </c>
      <c r="AA58" s="110"/>
      <c r="AB58" s="114"/>
      <c r="AC58" s="111">
        <f>AC56+AC57</f>
        <v>2598.2775796999999</v>
      </c>
      <c r="AD58" s="110"/>
      <c r="AE58" s="112">
        <f t="shared" si="13"/>
        <v>5.3132599999994454</v>
      </c>
      <c r="AF58" s="84">
        <f>IF((W58)=0,"",(AE58/W58))</f>
        <v>2.0491064838926037E-3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-194.2738512</v>
      </c>
      <c r="L59" s="110"/>
      <c r="M59" s="117">
        <f t="shared" si="38"/>
        <v>-194.2738512</v>
      </c>
      <c r="N59" s="89" t="str">
        <f>IF((H59)=0,"",(M59/H59))</f>
        <v/>
      </c>
      <c r="O59" s="212"/>
      <c r="P59" s="114"/>
      <c r="Q59" s="116">
        <f>ROUND(-Q58*10%,2)</f>
        <v>-255.31</v>
      </c>
      <c r="R59" s="110"/>
      <c r="S59" s="117">
        <f t="shared" si="41"/>
        <v>-61.036148800000007</v>
      </c>
      <c r="T59" s="89">
        <f>IF((K59)=0,"",(S59/K59))</f>
        <v>0.31417583181158459</v>
      </c>
      <c r="U59" s="110"/>
      <c r="V59" s="114"/>
      <c r="W59" s="116">
        <f>ROUND(-W58*10%,2)</f>
        <v>-259.3</v>
      </c>
      <c r="X59" s="110"/>
      <c r="Y59" s="117">
        <f t="shared" si="44"/>
        <v>-3.9900000000000091</v>
      </c>
      <c r="Z59" s="89">
        <f>IF((Q59)=0,"",(Y59/Q59))</f>
        <v>1.5628060005483564E-2</v>
      </c>
      <c r="AA59" s="110"/>
      <c r="AB59" s="114"/>
      <c r="AC59" s="116">
        <f>ROUND(-AC58*10%,2)</f>
        <v>-259.83</v>
      </c>
      <c r="AD59" s="110"/>
      <c r="AE59" s="117">
        <f t="shared" si="13"/>
        <v>-0.52999999999997272</v>
      </c>
      <c r="AF59" s="89">
        <f>IF((W59)=0,"",(AE59/W59))</f>
        <v>2.0439645198610593E-3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2781.7830406822691</v>
      </c>
      <c r="I60" s="120"/>
      <c r="J60" s="118"/>
      <c r="K60" s="121">
        <f>SUM(K58:K59)</f>
        <v>2549.8442969999996</v>
      </c>
      <c r="L60" s="120"/>
      <c r="M60" s="122">
        <f t="shared" si="38"/>
        <v>-231.93874368226943</v>
      </c>
      <c r="N60" s="123">
        <f>IF((H60)=0,"",(M60/H60))</f>
        <v>-8.3377725829180196E-2</v>
      </c>
      <c r="O60" s="212"/>
      <c r="P60" s="118"/>
      <c r="Q60" s="121">
        <f>SUM(Q58:Q59)</f>
        <v>2297.8218197000001</v>
      </c>
      <c r="R60" s="120"/>
      <c r="S60" s="122">
        <f t="shared" si="41"/>
        <v>-252.02247729999954</v>
      </c>
      <c r="T60" s="123">
        <f>IF((K60)=0,"",(S60/K60))</f>
        <v>-9.8838379110644012E-2</v>
      </c>
      <c r="U60" s="120"/>
      <c r="V60" s="118"/>
      <c r="W60" s="121">
        <f>SUM(W58:W59)</f>
        <v>2333.6643197000003</v>
      </c>
      <c r="X60" s="120"/>
      <c r="Y60" s="122">
        <f t="shared" si="44"/>
        <v>35.8425000000002</v>
      </c>
      <c r="Z60" s="123">
        <f>IF((Q60)=0,"",(Y60/Q60))</f>
        <v>1.5598467945908764E-2</v>
      </c>
      <c r="AA60" s="120"/>
      <c r="AB60" s="118"/>
      <c r="AC60" s="121">
        <f>SUM(AC58:AC59)</f>
        <v>2338.4475797</v>
      </c>
      <c r="AD60" s="120"/>
      <c r="AE60" s="122">
        <f t="shared" si="13"/>
        <v>4.7832599999997001</v>
      </c>
      <c r="AF60" s="123">
        <f>IF((W60)=0,"",(AE60/W60))</f>
        <v>2.0496778219648158E-3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2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7030A0"/>
    <pageSetUpPr fitToPage="1"/>
  </sheetPr>
  <dimension ref="A1:AP79"/>
  <sheetViews>
    <sheetView showGridLines="0" topLeftCell="A37" zoomScale="69" zoomScaleNormal="69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140625" style="1" customWidth="1"/>
    <col min="7" max="7" width="12.28515625" style="1" customWidth="1"/>
    <col min="8" max="8" width="12.28515625" style="142" customWidth="1"/>
    <col min="9" max="9" width="1.7109375" style="1" customWidth="1"/>
    <col min="10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3" width="12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9" width="12.28515625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5" width="12.28515625" style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71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100</v>
      </c>
      <c r="H7" s="9" t="s">
        <v>64</v>
      </c>
      <c r="J7" s="151"/>
      <c r="K7" s="151"/>
    </row>
    <row r="8" spans="2:42" x14ac:dyDescent="0.2">
      <c r="B8" s="6"/>
      <c r="G8" s="8">
        <f>G7*(24*30)*0.611111111111111</f>
        <v>43999.999999999993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5"/>
      <c r="L9" s="148"/>
      <c r="M9" s="241" t="s">
        <v>58</v>
      </c>
      <c r="N9" s="245"/>
      <c r="O9" s="212"/>
      <c r="P9" s="175" t="s">
        <v>57</v>
      </c>
      <c r="Q9" s="176"/>
      <c r="R9" s="148"/>
      <c r="S9" s="175" t="s">
        <v>58</v>
      </c>
      <c r="T9" s="176"/>
      <c r="U9" s="148"/>
      <c r="V9" s="175" t="s">
        <v>59</v>
      </c>
      <c r="W9" s="176"/>
      <c r="X9" s="148"/>
      <c r="Y9" s="175" t="s">
        <v>60</v>
      </c>
      <c r="Z9" s="176"/>
      <c r="AA9" s="148"/>
      <c r="AB9" s="175" t="s">
        <v>61</v>
      </c>
      <c r="AC9" s="176"/>
      <c r="AD9" s="148"/>
      <c r="AE9" s="175" t="s">
        <v>62</v>
      </c>
      <c r="AF9" s="176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376.98</v>
      </c>
      <c r="H12" s="18">
        <f t="shared" ref="H12:H27" si="0">$F12*G12</f>
        <v>376.98</v>
      </c>
      <c r="I12" s="19"/>
      <c r="J12" s="209">
        <v>378.88</v>
      </c>
      <c r="K12" s="18">
        <f t="shared" ref="K12:K27" si="1">$F12*J12</f>
        <v>378.88</v>
      </c>
      <c r="L12" s="19"/>
      <c r="M12" s="21">
        <f t="shared" ref="M12:M21" si="2">K12-H12</f>
        <v>1.8999999999999773</v>
      </c>
      <c r="N12" s="22">
        <f t="shared" ref="N12:N21" si="3">IF((H12)=0,"",(M12/H12))</f>
        <v>5.040055175340806E-3</v>
      </c>
      <c r="O12" s="212"/>
      <c r="P12" s="16">
        <v>378.88</v>
      </c>
      <c r="Q12" s="18">
        <f t="shared" ref="Q12:Q27" si="4">$F12*P12</f>
        <v>378.88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378.49</v>
      </c>
      <c r="W12" s="18">
        <f t="shared" ref="W12:W27" si="6">$F12*V12</f>
        <v>378.49</v>
      </c>
      <c r="X12" s="19"/>
      <c r="Y12" s="21">
        <f>W12-Q12</f>
        <v>-0.38999999999998636</v>
      </c>
      <c r="Z12" s="22">
        <f t="shared" ref="Z12:Z34" si="7">IF((Q12)=0,"",(Y12/Q12))</f>
        <v>-1.0293496621621261E-3</v>
      </c>
      <c r="AA12" s="19"/>
      <c r="AB12" s="16">
        <v>387.53</v>
      </c>
      <c r="AC12" s="18">
        <f t="shared" ref="AC12:AC27" si="8">$F12*AB12</f>
        <v>387.53</v>
      </c>
      <c r="AD12" s="19"/>
      <c r="AE12" s="21">
        <f>AC12-W12</f>
        <v>9.0399999999999636</v>
      </c>
      <c r="AF12" s="22">
        <f t="shared" ref="AF12:AF34" si="9">IF((W12)=0,"",(AE12/W12))</f>
        <v>2.3884382678538305E-2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3.5</v>
      </c>
      <c r="H13" s="18">
        <f t="shared" si="0"/>
        <v>3.5</v>
      </c>
      <c r="I13" s="19"/>
      <c r="J13" s="209">
        <v>3.46</v>
      </c>
      <c r="K13" s="18">
        <f t="shared" si="1"/>
        <v>3.46</v>
      </c>
      <c r="L13" s="19"/>
      <c r="M13" s="21">
        <f t="shared" si="2"/>
        <v>-4.0000000000000036E-2</v>
      </c>
      <c r="N13" s="22">
        <f t="shared" si="3"/>
        <v>-1.1428571428571439E-2</v>
      </c>
      <c r="O13" s="212"/>
      <c r="P13" s="16">
        <v>3.46</v>
      </c>
      <c r="Q13" s="18">
        <f t="shared" si="4"/>
        <v>3.46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-3.46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ref="K14" si="13">$F14*J14</f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ref="Q14" si="14">$F14*P14</f>
        <v>0</v>
      </c>
      <c r="R14" s="19"/>
      <c r="S14" s="21">
        <f t="shared" ref="S14" si="15">Q14-K14</f>
        <v>0</v>
      </c>
      <c r="T14" s="22" t="str">
        <f t="shared" ref="T14" si="16">IF((K14)=0,"",(S14/K14))</f>
        <v/>
      </c>
      <c r="U14" s="19"/>
      <c r="V14" s="16">
        <v>0</v>
      </c>
      <c r="W14" s="18">
        <f t="shared" ref="W14" si="17">$F14*V14</f>
        <v>0</v>
      </c>
      <c r="X14" s="19"/>
      <c r="Y14" s="21">
        <f t="shared" ref="Y14" si="18">W14-Q14</f>
        <v>0</v>
      </c>
      <c r="Z14" s="22" t="str">
        <f t="shared" ref="Z14" si="19">IF((Q14)=0,"",(Y14/Q14))</f>
        <v/>
      </c>
      <c r="AA14" s="19"/>
      <c r="AB14" s="16">
        <v>0</v>
      </c>
      <c r="AC14" s="18">
        <f>$F14*AB14</f>
        <v>0</v>
      </c>
      <c r="AD14" s="19"/>
      <c r="AE14" s="21">
        <f t="shared" ref="AE14" si="20">AC14-W14</f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3.15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3.15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3.15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100</v>
      </c>
      <c r="G19" s="16">
        <v>2.5413000000000001</v>
      </c>
      <c r="H19" s="18">
        <f t="shared" si="0"/>
        <v>254.13000000000002</v>
      </c>
      <c r="I19" s="19"/>
      <c r="J19" s="16">
        <v>2.5526</v>
      </c>
      <c r="K19" s="18">
        <f t="shared" si="1"/>
        <v>255.26</v>
      </c>
      <c r="L19" s="19"/>
      <c r="M19" s="21">
        <f t="shared" si="2"/>
        <v>1.129999999999967</v>
      </c>
      <c r="N19" s="22">
        <f t="shared" si="3"/>
        <v>4.4465431078580531E-3</v>
      </c>
      <c r="O19" s="212"/>
      <c r="P19" s="16">
        <v>2.5526</v>
      </c>
      <c r="Q19" s="18">
        <f t="shared" si="4"/>
        <v>255.26</v>
      </c>
      <c r="R19" s="19"/>
      <c r="S19" s="21">
        <f t="shared" si="10"/>
        <v>0</v>
      </c>
      <c r="T19" s="22">
        <f t="shared" si="5"/>
        <v>0</v>
      </c>
      <c r="U19" s="19"/>
      <c r="V19" s="16">
        <v>2.5503</v>
      </c>
      <c r="W19" s="18">
        <f t="shared" si="6"/>
        <v>255.03</v>
      </c>
      <c r="X19" s="19"/>
      <c r="Y19" s="21">
        <f t="shared" si="11"/>
        <v>-0.22999999999998977</v>
      </c>
      <c r="Z19" s="22">
        <f t="shared" si="7"/>
        <v>-9.0104207474727641E-4</v>
      </c>
      <c r="AA19" s="19"/>
      <c r="AB19" s="16">
        <v>2.6040000000000001</v>
      </c>
      <c r="AC19" s="18">
        <f t="shared" si="8"/>
        <v>260.40000000000003</v>
      </c>
      <c r="AD19" s="19"/>
      <c r="AE19" s="21">
        <f t="shared" si="12"/>
        <v>5.370000000000033</v>
      </c>
      <c r="AF19" s="22">
        <f t="shared" si="9"/>
        <v>2.1056346312198694E-2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21">$G$7</f>
        <v>100</v>
      </c>
      <c r="G20" s="16"/>
      <c r="H20" s="18">
        <f t="shared" si="0"/>
        <v>0</v>
      </c>
      <c r="I20" s="19"/>
      <c r="J20" s="16">
        <v>1.8E-3</v>
      </c>
      <c r="K20" s="18">
        <f t="shared" si="1"/>
        <v>0.18</v>
      </c>
      <c r="L20" s="19"/>
      <c r="M20" s="21">
        <f t="shared" si="2"/>
        <v>0.18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-0.18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100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22">$G$7</f>
        <v>100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23">K24-H24</f>
        <v>0</v>
      </c>
      <c r="N24" s="22" t="str">
        <f t="shared" ref="N24:N29" si="24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3.15" hidden="1" customHeight="1" x14ac:dyDescent="0.2">
      <c r="B25" s="24"/>
      <c r="C25" s="14"/>
      <c r="D25" s="15"/>
      <c r="E25" s="15"/>
      <c r="F25" s="17">
        <f t="shared" si="22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3"/>
        <v>0</v>
      </c>
      <c r="N25" s="22" t="str">
        <f t="shared" si="24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3.15" hidden="1" customHeight="1" x14ac:dyDescent="0.2">
      <c r="B26" s="24"/>
      <c r="C26" s="14"/>
      <c r="D26" s="15"/>
      <c r="E26" s="15"/>
      <c r="F26" s="17">
        <f t="shared" si="22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3"/>
        <v>0</v>
      </c>
      <c r="N26" s="22" t="str">
        <f t="shared" si="24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3.15" hidden="1" customHeight="1" x14ac:dyDescent="0.2">
      <c r="B27" s="24"/>
      <c r="C27" s="14"/>
      <c r="D27" s="15"/>
      <c r="E27" s="15"/>
      <c r="F27" s="17">
        <f t="shared" si="22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3"/>
        <v>0</v>
      </c>
      <c r="N27" s="22" t="str">
        <f t="shared" si="24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634.61</v>
      </c>
      <c r="I28" s="31"/>
      <c r="J28" s="28"/>
      <c r="K28" s="30">
        <f>SUM(K12:K27)</f>
        <v>637.77999999999986</v>
      </c>
      <c r="L28" s="31"/>
      <c r="M28" s="32">
        <f t="shared" si="23"/>
        <v>3.1699999999998454</v>
      </c>
      <c r="N28" s="33">
        <f t="shared" si="24"/>
        <v>4.9951938986146534E-3</v>
      </c>
      <c r="O28" s="212"/>
      <c r="P28" s="28"/>
      <c r="Q28" s="30">
        <f>SUM(Q12:Q27)</f>
        <v>637.59999999999991</v>
      </c>
      <c r="R28" s="31"/>
      <c r="S28" s="32">
        <f t="shared" si="10"/>
        <v>-0.17999999999994998</v>
      </c>
      <c r="T28" s="33">
        <f t="shared" si="5"/>
        <v>-2.8222898178047293E-4</v>
      </c>
      <c r="U28" s="31"/>
      <c r="V28" s="28"/>
      <c r="W28" s="30">
        <f>SUM(W12:W27)</f>
        <v>633.52</v>
      </c>
      <c r="X28" s="31"/>
      <c r="Y28" s="32">
        <f t="shared" si="11"/>
        <v>-4.0799999999999272</v>
      </c>
      <c r="Z28" s="33">
        <f t="shared" si="7"/>
        <v>-6.398996235884454E-3</v>
      </c>
      <c r="AA28" s="31"/>
      <c r="AB28" s="28"/>
      <c r="AC28" s="30">
        <f>SUM(AC12:AC27)</f>
        <v>647.93000000000006</v>
      </c>
      <c r="AD28" s="31"/>
      <c r="AE28" s="32">
        <f t="shared" si="12"/>
        <v>14.410000000000082</v>
      </c>
      <c r="AF28" s="33">
        <f t="shared" si="9"/>
        <v>2.2745927516100647E-2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100</v>
      </c>
      <c r="G29" s="16">
        <v>0.43235768943166519</v>
      </c>
      <c r="H29" s="18">
        <f t="shared" ref="H29:H35" si="25">$F29*G29</f>
        <v>43.235768943166519</v>
      </c>
      <c r="I29" s="19"/>
      <c r="J29" s="16">
        <v>-6.0299999999999999E-2</v>
      </c>
      <c r="K29" s="18">
        <f t="shared" ref="K29:K35" si="26">$F29*J29</f>
        <v>-6.03</v>
      </c>
      <c r="L29" s="19"/>
      <c r="M29" s="21">
        <f t="shared" si="23"/>
        <v>-49.26576894316652</v>
      </c>
      <c r="N29" s="22">
        <f t="shared" si="24"/>
        <v>-1.1394678560690443</v>
      </c>
      <c r="O29" s="212"/>
      <c r="P29" s="16">
        <v>-6.0299999999999999E-2</v>
      </c>
      <c r="Q29" s="18">
        <f t="shared" ref="Q29:Q35" si="27">$F29*P29</f>
        <v>-6.03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8">$F29*V29</f>
        <v>0</v>
      </c>
      <c r="X29" s="19"/>
      <c r="Y29" s="21">
        <f t="shared" si="11"/>
        <v>6.03</v>
      </c>
      <c r="Z29" s="22">
        <f t="shared" si="7"/>
        <v>-1</v>
      </c>
      <c r="AA29" s="19"/>
      <c r="AB29" s="16">
        <v>0</v>
      </c>
      <c r="AC29" s="18">
        <f t="shared" ref="AC29:AC35" si="29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3.15" customHeight="1" x14ac:dyDescent="0.2">
      <c r="B30" s="134" t="s">
        <v>17</v>
      </c>
      <c r="C30" s="14"/>
      <c r="D30" s="15" t="s">
        <v>65</v>
      </c>
      <c r="E30" s="15"/>
      <c r="F30" s="17">
        <f>$G$7</f>
        <v>100</v>
      </c>
      <c r="G30" s="16">
        <v>-0.30893329370118028</v>
      </c>
      <c r="H30" s="18">
        <f t="shared" ref="H30" si="30">$F30*G30</f>
        <v>-30.893329370118028</v>
      </c>
      <c r="I30" s="19"/>
      <c r="J30" s="16">
        <v>-0.86640000000000006</v>
      </c>
      <c r="K30" s="18">
        <f t="shared" ref="K30" si="31">$F30*J30</f>
        <v>-86.64</v>
      </c>
      <c r="L30" s="19"/>
      <c r="M30" s="21">
        <f t="shared" ref="M30" si="32">K30-H30</f>
        <v>-55.746670629881976</v>
      </c>
      <c r="N30" s="22">
        <f t="shared" ref="N30" si="33">IF((H30)=0,"",(M30/H30))</f>
        <v>1.8044889225763949</v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">
      <c r="B31" s="132">
        <v>1575</v>
      </c>
      <c r="C31" s="14"/>
      <c r="D31" s="15" t="s">
        <v>65</v>
      </c>
      <c r="E31" s="15"/>
      <c r="F31" s="17">
        <f t="shared" ref="F31" si="34">$G$7</f>
        <v>100</v>
      </c>
      <c r="G31" s="16">
        <v>0</v>
      </c>
      <c r="H31" s="18">
        <f t="shared" si="25"/>
        <v>0</v>
      </c>
      <c r="I31" s="19"/>
      <c r="J31" s="16">
        <v>0</v>
      </c>
      <c r="K31" s="18">
        <f t="shared" si="26"/>
        <v>0</v>
      </c>
      <c r="L31" s="19"/>
      <c r="M31" s="21">
        <f t="shared" ref="M31:M60" si="35">K31-H31</f>
        <v>0</v>
      </c>
      <c r="N31" s="22" t="str">
        <f>IF((H31)=0,"",(M31/H31))</f>
        <v/>
      </c>
      <c r="O31" s="212"/>
      <c r="P31" s="16">
        <v>0</v>
      </c>
      <c r="Q31" s="18">
        <f t="shared" si="27"/>
        <v>0</v>
      </c>
      <c r="R31" s="19"/>
      <c r="S31" s="21">
        <f t="shared" ref="S31" si="36">Q31-K31</f>
        <v>0</v>
      </c>
      <c r="T31" s="22" t="str">
        <f t="shared" ref="T31" si="37">IF((K31)=0,"",(S31/K31))</f>
        <v/>
      </c>
      <c r="U31" s="19"/>
      <c r="V31" s="16">
        <v>0</v>
      </c>
      <c r="W31" s="18">
        <f t="shared" si="28"/>
        <v>0</v>
      </c>
      <c r="X31" s="19"/>
      <c r="Y31" s="21">
        <f t="shared" ref="Y31" si="38">W31-Q31</f>
        <v>0</v>
      </c>
      <c r="Z31" s="22" t="str">
        <f t="shared" ref="Z31" si="39">IF((Q31)=0,"",(Y31/Q31))</f>
        <v/>
      </c>
      <c r="AA31" s="19"/>
      <c r="AB31" s="16">
        <v>0</v>
      </c>
      <c r="AC31" s="18">
        <f t="shared" si="29"/>
        <v>0</v>
      </c>
      <c r="AD31" s="19"/>
      <c r="AE31" s="21">
        <f t="shared" ref="AE31" si="40">AC31-W31</f>
        <v>0</v>
      </c>
      <c r="AF31" s="22" t="str">
        <f t="shared" ref="AF31" si="41">IF((W31)=0,"",(AE31/W31))</f>
        <v/>
      </c>
    </row>
    <row r="32" spans="2:32" ht="13.15" hidden="1" customHeight="1" x14ac:dyDescent="0.2">
      <c r="B32" s="35"/>
      <c r="C32" s="14"/>
      <c r="D32" s="15"/>
      <c r="E32" s="15"/>
      <c r="F32" s="17">
        <f t="shared" ref="F32:F33" si="42">$G$7</f>
        <v>100</v>
      </c>
      <c r="G32" s="16"/>
      <c r="H32" s="18">
        <f t="shared" si="25"/>
        <v>0</v>
      </c>
      <c r="I32" s="36"/>
      <c r="J32" s="16"/>
      <c r="K32" s="18">
        <f t="shared" si="26"/>
        <v>0</v>
      </c>
      <c r="L32" s="36"/>
      <c r="M32" s="21">
        <f t="shared" si="35"/>
        <v>0</v>
      </c>
      <c r="N32" s="22" t="str">
        <f>IF((H32)=0,"",(M32/H32))</f>
        <v/>
      </c>
      <c r="O32" s="212"/>
      <c r="P32" s="16"/>
      <c r="Q32" s="18">
        <f t="shared" si="27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8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9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42"/>
        <v>100</v>
      </c>
      <c r="G33" s="133">
        <v>2.1690000000000001E-2</v>
      </c>
      <c r="H33" s="18">
        <f t="shared" si="25"/>
        <v>2.169</v>
      </c>
      <c r="I33" s="19"/>
      <c r="J33" s="133">
        <v>2.1690000000000001E-2</v>
      </c>
      <c r="K33" s="18">
        <f t="shared" si="26"/>
        <v>2.169</v>
      </c>
      <c r="L33" s="19"/>
      <c r="M33" s="21">
        <f t="shared" si="35"/>
        <v>0</v>
      </c>
      <c r="N33" s="22">
        <f>IF((H33)=0,"",(M33/H33))</f>
        <v>0</v>
      </c>
      <c r="O33" s="212"/>
      <c r="P33" s="133">
        <v>2.1690000000000001E-2</v>
      </c>
      <c r="Q33" s="18">
        <f t="shared" si="27"/>
        <v>2.169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8"/>
        <v>2.169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9"/>
        <v>2.169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1667.5999999999985</v>
      </c>
      <c r="G34" s="38">
        <f>IF(ISBLANK($D$5)=TRUE, 0, IF($D$5="TOU", 0.64*#REF!+0.18*#REF!+0.18*#REF!, IF(AND($D$5="non-TOU", $F$48&gt;0), G48,G47)))</f>
        <v>0.121</v>
      </c>
      <c r="H34" s="18">
        <f t="shared" si="25"/>
        <v>201.77959999999982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26"/>
        <v>201.77959999999982</v>
      </c>
      <c r="L34" s="19"/>
      <c r="M34" s="21">
        <f t="shared" si="35"/>
        <v>0</v>
      </c>
      <c r="N34" s="22">
        <f>IF((H34)=0,"",(M34/H34))</f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27"/>
        <v>183.43599999999984</v>
      </c>
      <c r="R34" s="19"/>
      <c r="S34" s="21">
        <f t="shared" si="10"/>
        <v>-18.343599999999981</v>
      </c>
      <c r="T34" s="22">
        <f t="shared" si="5"/>
        <v>-9.0909090909090898E-2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8"/>
        <v>183.43599999999984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9"/>
        <v>183.43599999999984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25"/>
        <v>0</v>
      </c>
      <c r="I35" s="19"/>
      <c r="J35" s="38"/>
      <c r="K35" s="18">
        <f t="shared" si="26"/>
        <v>0</v>
      </c>
      <c r="L35" s="19"/>
      <c r="M35" s="21">
        <f t="shared" si="35"/>
        <v>0</v>
      </c>
      <c r="N35" s="22"/>
      <c r="O35" s="212"/>
      <c r="P35" s="38"/>
      <c r="Q35" s="18">
        <f t="shared" si="27"/>
        <v>0</v>
      </c>
      <c r="R35" s="19"/>
      <c r="S35" s="21">
        <f t="shared" si="10"/>
        <v>0</v>
      </c>
      <c r="T35" s="22"/>
      <c r="U35" s="19"/>
      <c r="V35" s="38"/>
      <c r="W35" s="18">
        <f t="shared" si="28"/>
        <v>0</v>
      </c>
      <c r="X35" s="19"/>
      <c r="Y35" s="21">
        <f t="shared" si="11"/>
        <v>0</v>
      </c>
      <c r="Z35" s="22"/>
      <c r="AA35" s="19"/>
      <c r="AB35" s="38"/>
      <c r="AC35" s="18">
        <f t="shared" si="29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850.90103957304837</v>
      </c>
      <c r="I36" s="31"/>
      <c r="J36" s="41"/>
      <c r="K36" s="43">
        <f>SUM(K29:K35)+K28</f>
        <v>749.05859999999961</v>
      </c>
      <c r="L36" s="31"/>
      <c r="M36" s="32">
        <f t="shared" si="35"/>
        <v>-101.84243957304875</v>
      </c>
      <c r="N36" s="33">
        <f t="shared" ref="N36:N46" si="43">IF((H36)=0,"",(M36/H36))</f>
        <v>-0.11968776019377017</v>
      </c>
      <c r="O36" s="212"/>
      <c r="P36" s="41"/>
      <c r="Q36" s="43">
        <f>SUM(Q29:Q35)+Q28</f>
        <v>817.17499999999973</v>
      </c>
      <c r="R36" s="31"/>
      <c r="S36" s="32">
        <f t="shared" si="10"/>
        <v>68.116400000000112</v>
      </c>
      <c r="T36" s="33">
        <f t="shared" ref="T36:T46" si="44">IF((K36)=0,"",(S36/K36))</f>
        <v>9.0936009545848809E-2</v>
      </c>
      <c r="U36" s="31"/>
      <c r="V36" s="41"/>
      <c r="W36" s="43">
        <f>SUM(W29:W35)+W28</f>
        <v>819.12499999999977</v>
      </c>
      <c r="X36" s="31"/>
      <c r="Y36" s="32">
        <f t="shared" si="11"/>
        <v>1.9500000000000455</v>
      </c>
      <c r="Z36" s="33">
        <f t="shared" ref="Z36:Z46" si="45">IF((Q36)=0,"",(Y36/Q36))</f>
        <v>2.3862697708569719E-3</v>
      </c>
      <c r="AA36" s="31"/>
      <c r="AB36" s="41"/>
      <c r="AC36" s="43">
        <f>SUM(AC29:AC35)+AC28</f>
        <v>833.53499999999985</v>
      </c>
      <c r="AD36" s="31"/>
      <c r="AE36" s="32">
        <f t="shared" si="12"/>
        <v>14.410000000000082</v>
      </c>
      <c r="AF36" s="33">
        <f t="shared" ref="AF36:AF46" si="46">IF((W36)=0,"",(AE36/W36))</f>
        <v>1.759194262170009E-2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100</v>
      </c>
      <c r="G37" s="20">
        <v>2.7064544797271646</v>
      </c>
      <c r="H37" s="18">
        <f>$F37*G37</f>
        <v>270.64544797271645</v>
      </c>
      <c r="I37" s="19"/>
      <c r="J37" s="20">
        <v>2.5720999999999998</v>
      </c>
      <c r="K37" s="18">
        <f>$F37*J37</f>
        <v>257.20999999999998</v>
      </c>
      <c r="L37" s="19"/>
      <c r="M37" s="21">
        <f t="shared" si="35"/>
        <v>-13.435447972716474</v>
      </c>
      <c r="N37" s="22">
        <f t="shared" si="43"/>
        <v>-4.9642246242659477E-2</v>
      </c>
      <c r="O37" s="212"/>
      <c r="P37" s="20">
        <v>2.5720999999999998</v>
      </c>
      <c r="Q37" s="18">
        <f>$F37*P37</f>
        <v>257.20999999999998</v>
      </c>
      <c r="R37" s="19"/>
      <c r="S37" s="21">
        <f t="shared" si="10"/>
        <v>0</v>
      </c>
      <c r="T37" s="22">
        <f t="shared" si="44"/>
        <v>0</v>
      </c>
      <c r="U37" s="19"/>
      <c r="V37" s="20">
        <v>2.5720999999999998</v>
      </c>
      <c r="W37" s="18">
        <f>$F37*V37</f>
        <v>257.20999999999998</v>
      </c>
      <c r="X37" s="19"/>
      <c r="Y37" s="21">
        <f t="shared" si="11"/>
        <v>0</v>
      </c>
      <c r="Z37" s="22">
        <f t="shared" si="45"/>
        <v>0</v>
      </c>
      <c r="AA37" s="19"/>
      <c r="AB37" s="20">
        <v>2.5720999999999998</v>
      </c>
      <c r="AC37" s="18">
        <f>$F37*AB37</f>
        <v>257.20999999999998</v>
      </c>
      <c r="AD37" s="19"/>
      <c r="AE37" s="21">
        <f t="shared" si="12"/>
        <v>0</v>
      </c>
      <c r="AF37" s="22">
        <f t="shared" si="46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100</v>
      </c>
      <c r="G38" s="20">
        <v>2.121465119800138</v>
      </c>
      <c r="H38" s="18">
        <f>$F38*G38</f>
        <v>212.1465119800138</v>
      </c>
      <c r="I38" s="19"/>
      <c r="J38" s="20">
        <v>2.1213000000000002</v>
      </c>
      <c r="K38" s="18">
        <f>$F38*J38</f>
        <v>212.13000000000002</v>
      </c>
      <c r="L38" s="19"/>
      <c r="M38" s="21">
        <f t="shared" si="35"/>
        <v>-1.6511980013774519E-2</v>
      </c>
      <c r="N38" s="22">
        <f t="shared" si="43"/>
        <v>-7.7832908303154677E-5</v>
      </c>
      <c r="O38" s="212"/>
      <c r="P38" s="20">
        <v>2.1213000000000002</v>
      </c>
      <c r="Q38" s="18">
        <f>$F38*P38</f>
        <v>212.13000000000002</v>
      </c>
      <c r="R38" s="19"/>
      <c r="S38" s="21">
        <f t="shared" si="10"/>
        <v>0</v>
      </c>
      <c r="T38" s="22">
        <f t="shared" si="44"/>
        <v>0</v>
      </c>
      <c r="U38" s="19"/>
      <c r="V38" s="20">
        <v>2.1213000000000002</v>
      </c>
      <c r="W38" s="18">
        <f>$F38*V38</f>
        <v>212.13000000000002</v>
      </c>
      <c r="X38" s="19"/>
      <c r="Y38" s="21">
        <f t="shared" si="11"/>
        <v>0</v>
      </c>
      <c r="Z38" s="22">
        <f t="shared" si="45"/>
        <v>0</v>
      </c>
      <c r="AA38" s="19"/>
      <c r="AB38" s="20">
        <v>2.1213000000000002</v>
      </c>
      <c r="AC38" s="18">
        <f>$F38*AB38</f>
        <v>212.13000000000002</v>
      </c>
      <c r="AD38" s="19"/>
      <c r="AE38" s="21">
        <f t="shared" si="12"/>
        <v>0</v>
      </c>
      <c r="AF38" s="22">
        <f t="shared" si="46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1333.6929995257788</v>
      </c>
      <c r="I39" s="48"/>
      <c r="J39" s="47"/>
      <c r="K39" s="43">
        <f>SUM(K36:K38)</f>
        <v>1218.3985999999998</v>
      </c>
      <c r="L39" s="48"/>
      <c r="M39" s="32">
        <f t="shared" si="35"/>
        <v>-115.294399525779</v>
      </c>
      <c r="N39" s="33">
        <f t="shared" si="43"/>
        <v>-8.6447480467224641E-2</v>
      </c>
      <c r="O39" s="212"/>
      <c r="P39" s="47"/>
      <c r="Q39" s="43">
        <f>SUM(Q36:Q38)</f>
        <v>1286.5149999999999</v>
      </c>
      <c r="R39" s="48"/>
      <c r="S39" s="32">
        <f t="shared" si="10"/>
        <v>68.116400000000112</v>
      </c>
      <c r="T39" s="33">
        <f t="shared" si="44"/>
        <v>5.5906498907664637E-2</v>
      </c>
      <c r="U39" s="48"/>
      <c r="V39" s="47"/>
      <c r="W39" s="43">
        <f>SUM(W36:W38)</f>
        <v>1288.4649999999999</v>
      </c>
      <c r="X39" s="48"/>
      <c r="Y39" s="32">
        <f t="shared" si="11"/>
        <v>1.9500000000000455</v>
      </c>
      <c r="Z39" s="33">
        <f t="shared" si="45"/>
        <v>1.5157227082467329E-3</v>
      </c>
      <c r="AA39" s="48"/>
      <c r="AB39" s="47"/>
      <c r="AC39" s="43">
        <f>SUM(AC36:AC38)</f>
        <v>1302.875</v>
      </c>
      <c r="AD39" s="48"/>
      <c r="AE39" s="32">
        <f t="shared" si="12"/>
        <v>14.410000000000082</v>
      </c>
      <c r="AF39" s="33">
        <f t="shared" si="46"/>
        <v>1.118385055084933E-2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45667.599999999991</v>
      </c>
      <c r="G40" s="50">
        <v>4.7000000000000002E-3</v>
      </c>
      <c r="H40" s="152">
        <f t="shared" ref="H40:H48" si="47">$F40*G40</f>
        <v>214.63771999999997</v>
      </c>
      <c r="I40" s="19"/>
      <c r="J40" s="50">
        <v>4.7000000000000002E-3</v>
      </c>
      <c r="K40" s="152">
        <f t="shared" ref="K40:K48" si="48">$F40*J40</f>
        <v>214.63771999999997</v>
      </c>
      <c r="L40" s="19"/>
      <c r="M40" s="21">
        <f t="shared" si="35"/>
        <v>0</v>
      </c>
      <c r="N40" s="153">
        <f t="shared" si="43"/>
        <v>0</v>
      </c>
      <c r="O40" s="212"/>
      <c r="P40" s="50">
        <v>4.7000000000000002E-3</v>
      </c>
      <c r="Q40" s="152">
        <f t="shared" ref="Q40:Q48" si="49">$F40*P40</f>
        <v>214.63771999999997</v>
      </c>
      <c r="R40" s="19"/>
      <c r="S40" s="21">
        <f t="shared" si="10"/>
        <v>0</v>
      </c>
      <c r="T40" s="153">
        <f t="shared" si="44"/>
        <v>0</v>
      </c>
      <c r="U40" s="19"/>
      <c r="V40" s="50">
        <v>4.7000000000000002E-3</v>
      </c>
      <c r="W40" s="152">
        <f t="shared" ref="W40:W48" si="50">$F40*V40</f>
        <v>214.63771999999997</v>
      </c>
      <c r="X40" s="19"/>
      <c r="Y40" s="21">
        <f t="shared" si="11"/>
        <v>0</v>
      </c>
      <c r="Z40" s="153">
        <f t="shared" si="45"/>
        <v>0</v>
      </c>
      <c r="AA40" s="19"/>
      <c r="AB40" s="50">
        <v>4.7000000000000002E-3</v>
      </c>
      <c r="AC40" s="152">
        <f t="shared" ref="AC40:AC48" si="51">$F40*AB40</f>
        <v>214.63771999999997</v>
      </c>
      <c r="AD40" s="19"/>
      <c r="AE40" s="21">
        <f t="shared" si="12"/>
        <v>0</v>
      </c>
      <c r="AF40" s="153">
        <f t="shared" si="46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45667.599999999991</v>
      </c>
      <c r="G41" s="50">
        <v>1.2999999999999999E-3</v>
      </c>
      <c r="H41" s="152">
        <f t="shared" si="47"/>
        <v>59.367879999999985</v>
      </c>
      <c r="I41" s="19"/>
      <c r="J41" s="50">
        <v>2.0999999999999999E-3</v>
      </c>
      <c r="K41" s="152">
        <f t="shared" si="48"/>
        <v>95.901959999999974</v>
      </c>
      <c r="L41" s="19"/>
      <c r="M41" s="21">
        <f t="shared" si="35"/>
        <v>36.534079999999989</v>
      </c>
      <c r="N41" s="153">
        <f t="shared" si="43"/>
        <v>0.61538461538461531</v>
      </c>
      <c r="O41" s="212"/>
      <c r="P41" s="50">
        <v>2.0999999999999999E-3</v>
      </c>
      <c r="Q41" s="152">
        <f t="shared" si="49"/>
        <v>95.901959999999974</v>
      </c>
      <c r="R41" s="19"/>
      <c r="S41" s="21">
        <f t="shared" si="10"/>
        <v>0</v>
      </c>
      <c r="T41" s="153">
        <f t="shared" si="44"/>
        <v>0</v>
      </c>
      <c r="U41" s="19"/>
      <c r="V41" s="50">
        <v>2.0999999999999999E-3</v>
      </c>
      <c r="W41" s="152">
        <f t="shared" si="50"/>
        <v>95.901959999999974</v>
      </c>
      <c r="X41" s="19"/>
      <c r="Y41" s="21">
        <f t="shared" si="11"/>
        <v>0</v>
      </c>
      <c r="Z41" s="153">
        <f t="shared" si="45"/>
        <v>0</v>
      </c>
      <c r="AA41" s="19"/>
      <c r="AB41" s="50">
        <v>2.0999999999999999E-3</v>
      </c>
      <c r="AC41" s="152">
        <f t="shared" si="51"/>
        <v>95.901959999999974</v>
      </c>
      <c r="AD41" s="19"/>
      <c r="AE41" s="21">
        <f t="shared" si="12"/>
        <v>0</v>
      </c>
      <c r="AF41" s="153">
        <f t="shared" si="46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47"/>
        <v>0.25</v>
      </c>
      <c r="I42" s="19"/>
      <c r="J42" s="50">
        <v>0.25</v>
      </c>
      <c r="K42" s="152">
        <f t="shared" si="48"/>
        <v>0.25</v>
      </c>
      <c r="L42" s="19"/>
      <c r="M42" s="21">
        <f t="shared" si="35"/>
        <v>0</v>
      </c>
      <c r="N42" s="153">
        <f t="shared" si="43"/>
        <v>0</v>
      </c>
      <c r="O42" s="212"/>
      <c r="P42" s="50">
        <v>0.25</v>
      </c>
      <c r="Q42" s="152">
        <f t="shared" si="49"/>
        <v>0.25</v>
      </c>
      <c r="R42" s="19"/>
      <c r="S42" s="21">
        <f t="shared" si="10"/>
        <v>0</v>
      </c>
      <c r="T42" s="153">
        <f t="shared" si="44"/>
        <v>0</v>
      </c>
      <c r="U42" s="19"/>
      <c r="V42" s="50">
        <v>0.25</v>
      </c>
      <c r="W42" s="152">
        <f t="shared" si="50"/>
        <v>0.25</v>
      </c>
      <c r="X42" s="19"/>
      <c r="Y42" s="21">
        <f t="shared" si="11"/>
        <v>0</v>
      </c>
      <c r="Z42" s="153">
        <f t="shared" si="45"/>
        <v>0</v>
      </c>
      <c r="AA42" s="19"/>
      <c r="AB42" s="50">
        <v>0.25</v>
      </c>
      <c r="AC42" s="152">
        <f t="shared" si="51"/>
        <v>0.25</v>
      </c>
      <c r="AD42" s="19"/>
      <c r="AE42" s="21">
        <f t="shared" si="12"/>
        <v>0</v>
      </c>
      <c r="AF42" s="153">
        <f t="shared" si="46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43999.999999999993</v>
      </c>
      <c r="G43" s="50">
        <v>7.0000000000000001E-3</v>
      </c>
      <c r="H43" s="152">
        <f t="shared" si="47"/>
        <v>307.99999999999994</v>
      </c>
      <c r="I43" s="19"/>
      <c r="J43" s="50">
        <v>7.0000000000000001E-3</v>
      </c>
      <c r="K43" s="152">
        <f t="shared" si="48"/>
        <v>307.99999999999994</v>
      </c>
      <c r="L43" s="19"/>
      <c r="M43" s="21">
        <f t="shared" si="35"/>
        <v>0</v>
      </c>
      <c r="N43" s="153">
        <f t="shared" si="43"/>
        <v>0</v>
      </c>
      <c r="O43" s="212"/>
      <c r="P43" s="50">
        <v>7.0000000000000001E-3</v>
      </c>
      <c r="Q43" s="152">
        <f t="shared" si="49"/>
        <v>307.99999999999994</v>
      </c>
      <c r="R43" s="19"/>
      <c r="S43" s="21">
        <f t="shared" si="10"/>
        <v>0</v>
      </c>
      <c r="T43" s="153">
        <f t="shared" si="44"/>
        <v>0</v>
      </c>
      <c r="U43" s="19"/>
      <c r="V43" s="50">
        <v>7.0000000000000001E-3</v>
      </c>
      <c r="W43" s="152">
        <f t="shared" si="50"/>
        <v>307.99999999999994</v>
      </c>
      <c r="X43" s="19"/>
      <c r="Y43" s="21">
        <f t="shared" si="11"/>
        <v>0</v>
      </c>
      <c r="Z43" s="153">
        <f t="shared" si="45"/>
        <v>0</v>
      </c>
      <c r="AA43" s="19"/>
      <c r="AB43" s="50">
        <v>7.0000000000000001E-3</v>
      </c>
      <c r="AC43" s="152">
        <f t="shared" si="51"/>
        <v>307.99999999999994</v>
      </c>
      <c r="AD43" s="19"/>
      <c r="AE43" s="21">
        <f t="shared" si="12"/>
        <v>0</v>
      </c>
      <c r="AF43" s="153">
        <f t="shared" si="46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28159.999999999996</v>
      </c>
      <c r="G44" s="54">
        <v>8.6999999999999994E-2</v>
      </c>
      <c r="H44" s="152">
        <f t="shared" si="47"/>
        <v>2449.9199999999996</v>
      </c>
      <c r="I44" s="19"/>
      <c r="J44" s="54">
        <f>+G44</f>
        <v>8.6999999999999994E-2</v>
      </c>
      <c r="K44" s="152">
        <f t="shared" si="48"/>
        <v>2449.9199999999996</v>
      </c>
      <c r="L44" s="19"/>
      <c r="M44" s="21">
        <f t="shared" si="35"/>
        <v>0</v>
      </c>
      <c r="N44" s="153">
        <f t="shared" si="43"/>
        <v>0</v>
      </c>
      <c r="O44" s="212"/>
      <c r="P44" s="54">
        <v>0.08</v>
      </c>
      <c r="Q44" s="152">
        <f t="shared" si="49"/>
        <v>2252.7999999999997</v>
      </c>
      <c r="R44" s="19"/>
      <c r="S44" s="21">
        <f t="shared" si="10"/>
        <v>-197.11999999999989</v>
      </c>
      <c r="T44" s="153">
        <f t="shared" si="44"/>
        <v>-8.04597701149425E-2</v>
      </c>
      <c r="U44" s="19"/>
      <c r="V44" s="54">
        <v>0.08</v>
      </c>
      <c r="W44" s="152">
        <f t="shared" si="50"/>
        <v>2252.7999999999997</v>
      </c>
      <c r="X44" s="19"/>
      <c r="Y44" s="21">
        <f t="shared" si="11"/>
        <v>0</v>
      </c>
      <c r="Z44" s="153">
        <f t="shared" si="45"/>
        <v>0</v>
      </c>
      <c r="AA44" s="19"/>
      <c r="AB44" s="54">
        <v>0.08</v>
      </c>
      <c r="AC44" s="152">
        <f t="shared" si="51"/>
        <v>2252.7999999999997</v>
      </c>
      <c r="AD44" s="19"/>
      <c r="AE44" s="21">
        <f t="shared" si="12"/>
        <v>0</v>
      </c>
      <c r="AF44" s="153">
        <f t="shared" si="46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7919.9999999999982</v>
      </c>
      <c r="G45" s="54">
        <v>0.13200000000000001</v>
      </c>
      <c r="H45" s="152">
        <f t="shared" si="47"/>
        <v>1045.4399999999998</v>
      </c>
      <c r="I45" s="19"/>
      <c r="J45" s="54">
        <f>+G45</f>
        <v>0.13200000000000001</v>
      </c>
      <c r="K45" s="152">
        <f t="shared" si="48"/>
        <v>1045.4399999999998</v>
      </c>
      <c r="L45" s="19"/>
      <c r="M45" s="21">
        <f t="shared" si="35"/>
        <v>0</v>
      </c>
      <c r="N45" s="153">
        <f t="shared" si="43"/>
        <v>0</v>
      </c>
      <c r="O45" s="212"/>
      <c r="P45" s="54">
        <v>0.122</v>
      </c>
      <c r="Q45" s="152">
        <f t="shared" si="49"/>
        <v>966.23999999999978</v>
      </c>
      <c r="R45" s="19"/>
      <c r="S45" s="21">
        <f t="shared" si="10"/>
        <v>-79.200000000000045</v>
      </c>
      <c r="T45" s="153">
        <f t="shared" si="44"/>
        <v>-7.5757575757575815E-2</v>
      </c>
      <c r="U45" s="19"/>
      <c r="V45" s="54">
        <v>0.122</v>
      </c>
      <c r="W45" s="152">
        <f t="shared" si="50"/>
        <v>966.23999999999978</v>
      </c>
      <c r="X45" s="19"/>
      <c r="Y45" s="21">
        <f t="shared" si="11"/>
        <v>0</v>
      </c>
      <c r="Z45" s="153">
        <f t="shared" si="45"/>
        <v>0</v>
      </c>
      <c r="AA45" s="19"/>
      <c r="AB45" s="54">
        <v>0.122</v>
      </c>
      <c r="AC45" s="152">
        <f t="shared" si="51"/>
        <v>966.23999999999978</v>
      </c>
      <c r="AD45" s="19"/>
      <c r="AE45" s="21">
        <f t="shared" si="12"/>
        <v>0</v>
      </c>
      <c r="AF45" s="153">
        <f t="shared" si="46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7919.9999999999982</v>
      </c>
      <c r="G46" s="54">
        <v>0.18</v>
      </c>
      <c r="H46" s="152">
        <f t="shared" si="47"/>
        <v>1425.5999999999997</v>
      </c>
      <c r="I46" s="19"/>
      <c r="J46" s="54">
        <f>+G46</f>
        <v>0.18</v>
      </c>
      <c r="K46" s="152">
        <f t="shared" si="48"/>
        <v>1425.5999999999997</v>
      </c>
      <c r="L46" s="19"/>
      <c r="M46" s="21">
        <f t="shared" si="35"/>
        <v>0</v>
      </c>
      <c r="N46" s="153">
        <f t="shared" si="43"/>
        <v>0</v>
      </c>
      <c r="O46" s="212"/>
      <c r="P46" s="54">
        <v>0.161</v>
      </c>
      <c r="Q46" s="152">
        <f t="shared" si="49"/>
        <v>1275.1199999999997</v>
      </c>
      <c r="R46" s="19"/>
      <c r="S46" s="21">
        <f t="shared" si="10"/>
        <v>-150.48000000000002</v>
      </c>
      <c r="T46" s="153">
        <f t="shared" si="44"/>
        <v>-0.1055555555555556</v>
      </c>
      <c r="U46" s="19"/>
      <c r="V46" s="54">
        <v>0.161</v>
      </c>
      <c r="W46" s="152">
        <f t="shared" si="50"/>
        <v>1275.1199999999997</v>
      </c>
      <c r="X46" s="19"/>
      <c r="Y46" s="21">
        <f t="shared" si="11"/>
        <v>0</v>
      </c>
      <c r="Z46" s="153">
        <f t="shared" si="45"/>
        <v>0</v>
      </c>
      <c r="AA46" s="19"/>
      <c r="AB46" s="54">
        <v>0.161</v>
      </c>
      <c r="AC46" s="152">
        <f t="shared" si="51"/>
        <v>1275.1199999999997</v>
      </c>
      <c r="AD46" s="19"/>
      <c r="AE46" s="21">
        <f t="shared" si="12"/>
        <v>0</v>
      </c>
      <c r="AF46" s="153">
        <f t="shared" si="46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47"/>
        <v>77.25</v>
      </c>
      <c r="I47" s="59"/>
      <c r="J47" s="54">
        <f>+G47</f>
        <v>0.10299999999999999</v>
      </c>
      <c r="K47" s="152">
        <f t="shared" si="48"/>
        <v>77.25</v>
      </c>
      <c r="L47" s="59"/>
      <c r="M47" s="60">
        <f t="shared" si="35"/>
        <v>0</v>
      </c>
      <c r="N47" s="153">
        <f>IF((H47)=FALSE,"",(M47/H47))</f>
        <v>0</v>
      </c>
      <c r="O47" s="212"/>
      <c r="P47" s="54">
        <v>9.4E-2</v>
      </c>
      <c r="Q47" s="152">
        <f t="shared" si="49"/>
        <v>70.5</v>
      </c>
      <c r="R47" s="59"/>
      <c r="S47" s="60">
        <f t="shared" si="10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50"/>
        <v>70.5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51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43249.999999999993</v>
      </c>
      <c r="G48" s="54">
        <v>0.121</v>
      </c>
      <c r="H48" s="152">
        <f t="shared" si="47"/>
        <v>5233.2499999999991</v>
      </c>
      <c r="I48" s="59"/>
      <c r="J48" s="54">
        <f>+G48</f>
        <v>0.121</v>
      </c>
      <c r="K48" s="152">
        <f t="shared" si="48"/>
        <v>5233.2499999999991</v>
      </c>
      <c r="L48" s="59"/>
      <c r="M48" s="60">
        <f t="shared" si="35"/>
        <v>0</v>
      </c>
      <c r="N48" s="153">
        <f>IF((H48)=FALSE,"",(M48/H48))</f>
        <v>0</v>
      </c>
      <c r="O48" s="212"/>
      <c r="P48" s="54">
        <v>0.11</v>
      </c>
      <c r="Q48" s="152">
        <f t="shared" si="49"/>
        <v>4757.4999999999991</v>
      </c>
      <c r="R48" s="59"/>
      <c r="S48" s="60">
        <f t="shared" si="10"/>
        <v>-475.75</v>
      </c>
      <c r="T48" s="153">
        <f>IF((K48)=FALSE,"",(S48/K48))</f>
        <v>-9.0909090909090925E-2</v>
      </c>
      <c r="U48" s="59"/>
      <c r="V48" s="54">
        <v>0.11</v>
      </c>
      <c r="W48" s="152">
        <f t="shared" si="50"/>
        <v>4757.4999999999991</v>
      </c>
      <c r="X48" s="59"/>
      <c r="Y48" s="60">
        <f t="shared" si="11"/>
        <v>0</v>
      </c>
      <c r="Z48" s="153">
        <f>IF((Q48)=FALSE,"",(Y48/Q48))</f>
        <v>0</v>
      </c>
      <c r="AA48" s="59"/>
      <c r="AB48" s="54">
        <v>0.11</v>
      </c>
      <c r="AC48" s="152">
        <f t="shared" si="51"/>
        <v>4757.4999999999991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5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6836.9085995257774</v>
      </c>
      <c r="I50" s="75"/>
      <c r="J50" s="72"/>
      <c r="K50" s="74">
        <f>SUM(K40:K46,K39)</f>
        <v>6758.1482799999985</v>
      </c>
      <c r="L50" s="75"/>
      <c r="M50" s="76">
        <f t="shared" si="35"/>
        <v>-78.760319525778868</v>
      </c>
      <c r="N50" s="77">
        <f>IF((H50)=0,"",(M50/H50))</f>
        <v>-1.1519873109206382E-2</v>
      </c>
      <c r="O50" s="212"/>
      <c r="P50" s="72"/>
      <c r="Q50" s="74">
        <f>SUM(Q40:Q46,Q39)</f>
        <v>6399.4646799999991</v>
      </c>
      <c r="R50" s="75"/>
      <c r="S50" s="76">
        <f t="shared" si="10"/>
        <v>-358.68359999999939</v>
      </c>
      <c r="T50" s="77">
        <f>IF((K50)=0,"",(S50/K50))</f>
        <v>-5.3074242401795819E-2</v>
      </c>
      <c r="U50" s="75"/>
      <c r="V50" s="72"/>
      <c r="W50" s="74">
        <f>SUM(W40:W46,W39)</f>
        <v>6401.414679999999</v>
      </c>
      <c r="X50" s="75"/>
      <c r="Y50" s="76">
        <f t="shared" si="11"/>
        <v>1.9499999999998181</v>
      </c>
      <c r="Z50" s="77">
        <f>IF((Q50)=0,"",(Y50/Q50))</f>
        <v>3.047129873369062E-4</v>
      </c>
      <c r="AA50" s="75"/>
      <c r="AB50" s="72"/>
      <c r="AC50" s="74">
        <f>SUM(AC40:AC46,AC39)</f>
        <v>6415.8246799999988</v>
      </c>
      <c r="AD50" s="75"/>
      <c r="AE50" s="76">
        <f t="shared" si="12"/>
        <v>14.409999999999854</v>
      </c>
      <c r="AF50" s="77">
        <f>IF((W50)=0,"",(AE50/W50))</f>
        <v>2.2510649161694143E-3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888.79811793835108</v>
      </c>
      <c r="I51" s="81"/>
      <c r="J51" s="79">
        <v>0.13</v>
      </c>
      <c r="K51" s="82">
        <f>K50*J51</f>
        <v>878.55927639999982</v>
      </c>
      <c r="L51" s="81"/>
      <c r="M51" s="83">
        <f t="shared" si="35"/>
        <v>-10.238841538351267</v>
      </c>
      <c r="N51" s="84">
        <f>IF((H51)=0,"",(M51/H51))</f>
        <v>-1.1519873109206397E-2</v>
      </c>
      <c r="O51" s="212"/>
      <c r="P51" s="79">
        <v>0.13</v>
      </c>
      <c r="Q51" s="82">
        <f>Q50*P51</f>
        <v>831.93040839999992</v>
      </c>
      <c r="R51" s="81"/>
      <c r="S51" s="83">
        <f t="shared" si="10"/>
        <v>-46.628867999999898</v>
      </c>
      <c r="T51" s="84">
        <f>IF((K51)=0,"",(S51/K51))</f>
        <v>-5.3074242401795792E-2</v>
      </c>
      <c r="U51" s="81"/>
      <c r="V51" s="79">
        <v>0.13</v>
      </c>
      <c r="W51" s="82">
        <f>W50*V51</f>
        <v>832.18390839999984</v>
      </c>
      <c r="X51" s="81"/>
      <c r="Y51" s="83">
        <f t="shared" si="11"/>
        <v>0.25349999999991724</v>
      </c>
      <c r="Z51" s="84">
        <f>IF((Q51)=0,"",(Y51/Q51))</f>
        <v>3.0471298733683513E-4</v>
      </c>
      <c r="AA51" s="81"/>
      <c r="AB51" s="79">
        <v>0.13</v>
      </c>
      <c r="AC51" s="82">
        <f>AC50*AB51</f>
        <v>834.05720839999992</v>
      </c>
      <c r="AD51" s="81"/>
      <c r="AE51" s="83">
        <f t="shared" si="12"/>
        <v>1.8733000000000857</v>
      </c>
      <c r="AF51" s="84">
        <f>IF((W51)=0,"",(AE51/W51))</f>
        <v>2.2510649161695401E-3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7725.7067174641288</v>
      </c>
      <c r="I52" s="81"/>
      <c r="J52" s="86"/>
      <c r="K52" s="82">
        <f>K50+K51</f>
        <v>7636.7075563999988</v>
      </c>
      <c r="L52" s="81"/>
      <c r="M52" s="83">
        <f t="shared" si="35"/>
        <v>-88.999161064130021</v>
      </c>
      <c r="N52" s="84">
        <f>IF((H52)=0,"",(M52/H52))</f>
        <v>-1.1519873109206368E-2</v>
      </c>
      <c r="O52" s="212"/>
      <c r="P52" s="86"/>
      <c r="Q52" s="82">
        <f>Q50+Q51</f>
        <v>7231.3950883999987</v>
      </c>
      <c r="R52" s="81"/>
      <c r="S52" s="83">
        <f t="shared" si="10"/>
        <v>-405.31246800000008</v>
      </c>
      <c r="T52" s="84">
        <f>IF((K52)=0,"",(S52/K52))</f>
        <v>-5.3074242401795917E-2</v>
      </c>
      <c r="U52" s="81"/>
      <c r="V52" s="86"/>
      <c r="W52" s="82">
        <f>W50+W51</f>
        <v>7233.5985883999983</v>
      </c>
      <c r="X52" s="81"/>
      <c r="Y52" s="83">
        <f t="shared" si="11"/>
        <v>2.2034999999996217</v>
      </c>
      <c r="Z52" s="84">
        <f>IF((Q52)=0,"",(Y52/Q52))</f>
        <v>3.0471298733688229E-4</v>
      </c>
      <c r="AA52" s="81"/>
      <c r="AB52" s="86"/>
      <c r="AC52" s="82">
        <f>AC50+AC51</f>
        <v>7249.8818883999984</v>
      </c>
      <c r="AD52" s="81"/>
      <c r="AE52" s="83">
        <f t="shared" si="12"/>
        <v>16.283300000000054</v>
      </c>
      <c r="AF52" s="84">
        <f>IF((W52)=0,"",(AE52/W52))</f>
        <v>2.2510649161694442E-3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35"/>
        <v>0</v>
      </c>
      <c r="N53" s="89" t="str">
        <f>IF((H53)=0,"",(M53/H53))</f>
        <v/>
      </c>
      <c r="O53" s="212"/>
      <c r="P53" s="86"/>
      <c r="Q53" s="87">
        <f>ROUND(-Q52*10%,2)</f>
        <v>-723.14</v>
      </c>
      <c r="R53" s="81"/>
      <c r="S53" s="88">
        <f t="shared" si="10"/>
        <v>-723.14</v>
      </c>
      <c r="T53" s="89" t="str">
        <f>IF((K53)=0,"",(S53/K53))</f>
        <v/>
      </c>
      <c r="U53" s="81"/>
      <c r="V53" s="86"/>
      <c r="W53" s="87">
        <f>ROUND(-W52*10%,2)</f>
        <v>-723.36</v>
      </c>
      <c r="X53" s="81"/>
      <c r="Y53" s="88">
        <f t="shared" si="11"/>
        <v>-0.22000000000002728</v>
      </c>
      <c r="Z53" s="89">
        <f>IF((Q53)=0,"",(Y53/Q53))</f>
        <v>3.0422878004262975E-4</v>
      </c>
      <c r="AA53" s="81"/>
      <c r="AB53" s="86"/>
      <c r="AC53" s="87">
        <f>ROUND(-AC52*10%,2)</f>
        <v>-724.99</v>
      </c>
      <c r="AD53" s="81"/>
      <c r="AE53" s="88">
        <f t="shared" si="12"/>
        <v>-1.6299999999999955</v>
      </c>
      <c r="AF53" s="89">
        <f>IF((W53)=0,"",(AE53/W53))</f>
        <v>2.2533731475337252E-3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7725.7067174641288</v>
      </c>
      <c r="I54" s="92"/>
      <c r="J54" s="90"/>
      <c r="K54" s="93">
        <f>K52+K53</f>
        <v>7636.7075563999988</v>
      </c>
      <c r="L54" s="92"/>
      <c r="M54" s="94">
        <f t="shared" si="35"/>
        <v>-88.999161064130021</v>
      </c>
      <c r="N54" s="95">
        <f>IF((H54)=0,"",(M54/H54))</f>
        <v>-1.1519873109206368E-2</v>
      </c>
      <c r="O54" s="212"/>
      <c r="P54" s="90"/>
      <c r="Q54" s="93">
        <f>Q52+Q53</f>
        <v>6508.2550883999984</v>
      </c>
      <c r="R54" s="92"/>
      <c r="S54" s="94">
        <f t="shared" si="10"/>
        <v>-1128.4524680000004</v>
      </c>
      <c r="T54" s="95">
        <f>IF((K54)=0,"",(S54/K54))</f>
        <v>-0.14776688247729122</v>
      </c>
      <c r="U54" s="92"/>
      <c r="V54" s="90"/>
      <c r="W54" s="93">
        <f>W52+W53</f>
        <v>6510.2385883999987</v>
      </c>
      <c r="X54" s="92"/>
      <c r="Y54" s="94">
        <f t="shared" si="11"/>
        <v>1.9835000000002765</v>
      </c>
      <c r="Z54" s="95">
        <f>IF((Q54)=0,"",(Y54/Q54))</f>
        <v>3.0476678818806163E-4</v>
      </c>
      <c r="AA54" s="92"/>
      <c r="AB54" s="90"/>
      <c r="AC54" s="93">
        <f>AC52+AC53</f>
        <v>6524.8918883999986</v>
      </c>
      <c r="AD54" s="92"/>
      <c r="AE54" s="94">
        <f t="shared" si="12"/>
        <v>14.653299999999945</v>
      </c>
      <c r="AF54" s="95">
        <f>IF((W54)=0,"",(AE54/W54))</f>
        <v>2.2508084459622302E-3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5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7226.4485995257774</v>
      </c>
      <c r="I56" s="106"/>
      <c r="J56" s="103"/>
      <c r="K56" s="105">
        <f>SUM(K47:K48,K39,K40:K43)</f>
        <v>7147.6882799999985</v>
      </c>
      <c r="L56" s="106"/>
      <c r="M56" s="107">
        <f t="shared" si="35"/>
        <v>-78.760319525778868</v>
      </c>
      <c r="N56" s="77">
        <f>IF((H56)=0,"",(M56/H56))</f>
        <v>-1.089889707801248E-2</v>
      </c>
      <c r="O56" s="212"/>
      <c r="P56" s="103"/>
      <c r="Q56" s="105">
        <f>SUM(Q47:Q48,Q39,Q40:Q43)</f>
        <v>6733.3046799999993</v>
      </c>
      <c r="R56" s="106"/>
      <c r="S56" s="107">
        <f t="shared" si="10"/>
        <v>-414.38359999999921</v>
      </c>
      <c r="T56" s="77">
        <f>IF((K56)=0,"",(S56/K56))</f>
        <v>-5.7974492418687192E-2</v>
      </c>
      <c r="U56" s="106"/>
      <c r="V56" s="103"/>
      <c r="W56" s="105">
        <f>SUM(W47:W48,W39,W40:W43)</f>
        <v>6735.2546799999991</v>
      </c>
      <c r="X56" s="106"/>
      <c r="Y56" s="107">
        <f t="shared" si="11"/>
        <v>1.9499999999998181</v>
      </c>
      <c r="Z56" s="77">
        <f>IF((Q56)=0,"",(Y56/Q56))</f>
        <v>2.8960519279514E-4</v>
      </c>
      <c r="AA56" s="106"/>
      <c r="AB56" s="103"/>
      <c r="AC56" s="105">
        <f>SUM(AC47:AC48,AC39,AC40:AC43)</f>
        <v>6749.664679999999</v>
      </c>
      <c r="AD56" s="106"/>
      <c r="AE56" s="107">
        <f t="shared" si="12"/>
        <v>14.409999999999854</v>
      </c>
      <c r="AF56" s="77">
        <f>IF((W56)=0,"",(AE56/W56))</f>
        <v>2.1394885100320892E-3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939.43831793835113</v>
      </c>
      <c r="I57" s="110"/>
      <c r="J57" s="109">
        <v>0.13</v>
      </c>
      <c r="K57" s="111">
        <f>K56*J57</f>
        <v>929.19947639999987</v>
      </c>
      <c r="L57" s="110"/>
      <c r="M57" s="112">
        <f t="shared" si="35"/>
        <v>-10.238841538351267</v>
      </c>
      <c r="N57" s="84">
        <f>IF((H57)=0,"",(M57/H57))</f>
        <v>-1.0898897078012493E-2</v>
      </c>
      <c r="O57" s="212"/>
      <c r="P57" s="109">
        <v>0.13</v>
      </c>
      <c r="Q57" s="111">
        <f>Q56*P57</f>
        <v>875.32960839999998</v>
      </c>
      <c r="R57" s="110"/>
      <c r="S57" s="112">
        <f t="shared" si="10"/>
        <v>-53.869867999999883</v>
      </c>
      <c r="T57" s="84">
        <f>IF((K57)=0,"",(S57/K57))</f>
        <v>-5.7974492418687171E-2</v>
      </c>
      <c r="U57" s="110"/>
      <c r="V57" s="109">
        <v>0.13</v>
      </c>
      <c r="W57" s="111">
        <f>W56*V57</f>
        <v>875.5831083999999</v>
      </c>
      <c r="X57" s="110"/>
      <c r="Y57" s="112">
        <f t="shared" si="11"/>
        <v>0.25349999999991724</v>
      </c>
      <c r="Z57" s="84">
        <f>IF((Q57)=0,"",(Y57/Q57))</f>
        <v>2.896051927950724E-4</v>
      </c>
      <c r="AA57" s="110"/>
      <c r="AB57" s="109">
        <v>0.13</v>
      </c>
      <c r="AC57" s="111">
        <f>AC56*AB57</f>
        <v>877.45640839999987</v>
      </c>
      <c r="AD57" s="110"/>
      <c r="AE57" s="112">
        <f t="shared" si="12"/>
        <v>1.873299999999972</v>
      </c>
      <c r="AF57" s="84">
        <f>IF((W57)=0,"",(AE57/W57))</f>
        <v>2.1394885100320788E-3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8165.8869174641286</v>
      </c>
      <c r="I58" s="110"/>
      <c r="J58" s="114"/>
      <c r="K58" s="111">
        <f>K56+K57</f>
        <v>8076.8877563999986</v>
      </c>
      <c r="L58" s="110"/>
      <c r="M58" s="112">
        <f t="shared" si="35"/>
        <v>-88.999161064130021</v>
      </c>
      <c r="N58" s="84">
        <f>IF((H58)=0,"",(M58/H58))</f>
        <v>-1.0898897078012467E-2</v>
      </c>
      <c r="O58" s="212"/>
      <c r="P58" s="114"/>
      <c r="Q58" s="111">
        <f>Q56+Q57</f>
        <v>7608.6342883999996</v>
      </c>
      <c r="R58" s="110"/>
      <c r="S58" s="112">
        <f t="shared" si="10"/>
        <v>-468.25346799999897</v>
      </c>
      <c r="T58" s="84">
        <f>IF((K58)=0,"",(S58/K58))</f>
        <v>-5.7974492418687171E-2</v>
      </c>
      <c r="U58" s="110"/>
      <c r="V58" s="114"/>
      <c r="W58" s="111">
        <f>W56+W57</f>
        <v>7610.8377883999992</v>
      </c>
      <c r="X58" s="110"/>
      <c r="Y58" s="112">
        <f t="shared" si="11"/>
        <v>2.2034999999996217</v>
      </c>
      <c r="Z58" s="84">
        <f>IF((Q58)=0,"",(Y58/Q58))</f>
        <v>2.8960519279511724E-4</v>
      </c>
      <c r="AA58" s="110"/>
      <c r="AB58" s="114"/>
      <c r="AC58" s="111">
        <f>AC56+AC57</f>
        <v>7627.1210883999993</v>
      </c>
      <c r="AD58" s="110"/>
      <c r="AE58" s="112">
        <f t="shared" si="12"/>
        <v>16.283300000000054</v>
      </c>
      <c r="AF58" s="84">
        <f>IF((W58)=0,"",(AE58/W58))</f>
        <v>2.1394885100321178E-3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35"/>
        <v>0</v>
      </c>
      <c r="N59" s="89" t="str">
        <f>IF((H59)=0,"",(M59/H59))</f>
        <v/>
      </c>
      <c r="O59" s="212"/>
      <c r="P59" s="114"/>
      <c r="Q59" s="116">
        <f>ROUND(-Q58*10%,2)</f>
        <v>-760.86</v>
      </c>
      <c r="R59" s="110"/>
      <c r="S59" s="117">
        <f t="shared" si="10"/>
        <v>-760.86</v>
      </c>
      <c r="T59" s="89" t="str">
        <f>IF((K59)=0,"",(S59/K59))</f>
        <v/>
      </c>
      <c r="U59" s="110"/>
      <c r="V59" s="114"/>
      <c r="W59" s="116">
        <f>ROUND(-W58*10%,2)</f>
        <v>-761.08</v>
      </c>
      <c r="X59" s="110"/>
      <c r="Y59" s="117">
        <f t="shared" si="11"/>
        <v>-0.22000000000002728</v>
      </c>
      <c r="Z59" s="89">
        <f>IF((Q59)=0,"",(Y59/Q59))</f>
        <v>2.8914649212736544E-4</v>
      </c>
      <c r="AA59" s="110"/>
      <c r="AB59" s="114"/>
      <c r="AC59" s="116">
        <f>ROUND(-AC58*10%,2)</f>
        <v>-762.71</v>
      </c>
      <c r="AD59" s="110"/>
      <c r="AE59" s="117">
        <f t="shared" si="12"/>
        <v>-1.6299999999999955</v>
      </c>
      <c r="AF59" s="89">
        <f>IF((W59)=0,"",(AE59/W59))</f>
        <v>2.1416933830871857E-3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8165.8869174641286</v>
      </c>
      <c r="I60" s="120"/>
      <c r="J60" s="118"/>
      <c r="K60" s="121">
        <f>SUM(K58:K59)</f>
        <v>8076.8877563999986</v>
      </c>
      <c r="L60" s="120"/>
      <c r="M60" s="122">
        <f t="shared" si="35"/>
        <v>-88.999161064130021</v>
      </c>
      <c r="N60" s="123">
        <f>IF((H60)=0,"",(M60/H60))</f>
        <v>-1.0898897078012467E-2</v>
      </c>
      <c r="O60" s="212"/>
      <c r="P60" s="118"/>
      <c r="Q60" s="121">
        <f>SUM(Q58:Q59)</f>
        <v>6847.7742883999999</v>
      </c>
      <c r="R60" s="120"/>
      <c r="S60" s="122">
        <f t="shared" si="10"/>
        <v>-1229.1134679999986</v>
      </c>
      <c r="T60" s="123">
        <f>IF((K60)=0,"",(S60/K60))</f>
        <v>-0.15217661865191434</v>
      </c>
      <c r="U60" s="120"/>
      <c r="V60" s="118"/>
      <c r="W60" s="121">
        <f>SUM(W58:W59)</f>
        <v>6849.7577883999993</v>
      </c>
      <c r="X60" s="120"/>
      <c r="Y60" s="122">
        <f t="shared" si="11"/>
        <v>1.983499999999367</v>
      </c>
      <c r="Z60" s="123">
        <f>IF((Q60)=0,"",(Y60/Q60))</f>
        <v>2.8965615928074301E-4</v>
      </c>
      <c r="AA60" s="120"/>
      <c r="AB60" s="118"/>
      <c r="AC60" s="121">
        <f>SUM(AC58:AC59)</f>
        <v>6864.4110883999992</v>
      </c>
      <c r="AD60" s="120"/>
      <c r="AE60" s="122">
        <f t="shared" si="12"/>
        <v>14.653299999999945</v>
      </c>
      <c r="AF60" s="123">
        <f>IF((W60)=0,"",(AE60/W60))</f>
        <v>2.1392435254886195E-3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7">
    <mergeCell ref="G9:H9"/>
    <mergeCell ref="J9:K9"/>
    <mergeCell ref="M9:N9"/>
    <mergeCell ref="B54:D54"/>
    <mergeCell ref="B60:D60"/>
    <mergeCell ref="B53:E53"/>
    <mergeCell ref="B59:E59"/>
  </mergeCells>
  <dataValidations xWindow="287" yWindow="754"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1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9" name="Option Button 2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0" name="Option Button 2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1" name="Option Button 2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2" name="Option Button 2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3" name="Option Button 2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7030A0"/>
    <pageSetUpPr fitToPage="1"/>
  </sheetPr>
  <dimension ref="A1:AP79"/>
  <sheetViews>
    <sheetView showGridLines="0" topLeftCell="C10" zoomScaleNormal="100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140625" style="1" customWidth="1"/>
    <col min="7" max="7" width="12.28515625" style="1" customWidth="1"/>
    <col min="8" max="8" width="12.28515625" style="142" customWidth="1"/>
    <col min="9" max="9" width="1.7109375" style="1" customWidth="1"/>
    <col min="10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3" width="12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9" width="12.28515625" style="1" hidden="1" customWidth="1"/>
    <col min="30" max="30" width="1.7109375" style="1" hidden="1" customWidth="1"/>
    <col min="31" max="32" width="0" style="1" hidden="1" customWidth="1"/>
    <col min="33" max="33" width="1.7109375" style="1" hidden="1" customWidth="1"/>
    <col min="34" max="35" width="12.28515625" style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71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250</v>
      </c>
      <c r="H7" s="9" t="s">
        <v>64</v>
      </c>
      <c r="J7" s="151"/>
      <c r="K7" s="151"/>
    </row>
    <row r="8" spans="2:42" x14ac:dyDescent="0.2">
      <c r="B8" s="6"/>
      <c r="G8" s="8">
        <f>G7*(24*30)*0.611111111111111</f>
        <v>109999.99999999999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5"/>
      <c r="L9" s="148"/>
      <c r="M9" s="241" t="s">
        <v>58</v>
      </c>
      <c r="N9" s="245"/>
      <c r="O9" s="212"/>
      <c r="P9" s="178" t="s">
        <v>57</v>
      </c>
      <c r="Q9" s="179"/>
      <c r="R9" s="148"/>
      <c r="S9" s="178" t="s">
        <v>58</v>
      </c>
      <c r="T9" s="179"/>
      <c r="U9" s="148"/>
      <c r="V9" s="178" t="s">
        <v>59</v>
      </c>
      <c r="W9" s="179"/>
      <c r="X9" s="148"/>
      <c r="Y9" s="178" t="s">
        <v>60</v>
      </c>
      <c r="Z9" s="179"/>
      <c r="AA9" s="148"/>
      <c r="AB9" s="178" t="s">
        <v>61</v>
      </c>
      <c r="AC9" s="179"/>
      <c r="AD9" s="148"/>
      <c r="AE9" s="178" t="s">
        <v>62</v>
      </c>
      <c r="AF9" s="179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376.98</v>
      </c>
      <c r="H12" s="18">
        <f t="shared" ref="H12:H27" si="0">$F12*G12</f>
        <v>376.98</v>
      </c>
      <c r="I12" s="19"/>
      <c r="J12" s="209">
        <v>378.88</v>
      </c>
      <c r="K12" s="18">
        <f t="shared" ref="K12:K27" si="1">$F12*J12</f>
        <v>378.88</v>
      </c>
      <c r="L12" s="19"/>
      <c r="M12" s="21">
        <f t="shared" ref="M12:M21" si="2">K12-H12</f>
        <v>1.8999999999999773</v>
      </c>
      <c r="N12" s="22">
        <f t="shared" ref="N12:N21" si="3">IF((H12)=0,"",(M12/H12))</f>
        <v>5.040055175340806E-3</v>
      </c>
      <c r="O12" s="212"/>
      <c r="P12" s="16">
        <v>378.88</v>
      </c>
      <c r="Q12" s="18">
        <f t="shared" ref="Q12:Q27" si="4">$F12*P12</f>
        <v>378.88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378.49</v>
      </c>
      <c r="W12" s="18">
        <f t="shared" ref="W12:W27" si="6">$F12*V12</f>
        <v>378.49</v>
      </c>
      <c r="X12" s="19"/>
      <c r="Y12" s="21">
        <f>W12-Q12</f>
        <v>-0.38999999999998636</v>
      </c>
      <c r="Z12" s="22">
        <f t="shared" ref="Z12:Z34" si="7">IF((Q12)=0,"",(Y12/Q12))</f>
        <v>-1.0293496621621261E-3</v>
      </c>
      <c r="AA12" s="19"/>
      <c r="AB12" s="16">
        <v>387.53</v>
      </c>
      <c r="AC12" s="18">
        <f t="shared" ref="AC12:AC27" si="8">$F12*AB12</f>
        <v>387.53</v>
      </c>
      <c r="AD12" s="19"/>
      <c r="AE12" s="21">
        <f>AC12-W12</f>
        <v>9.0399999999999636</v>
      </c>
      <c r="AF12" s="22">
        <f t="shared" ref="AF12:AF34" si="9">IF((W12)=0,"",(AE12/W12))</f>
        <v>2.3884382678538305E-2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3.5</v>
      </c>
      <c r="H13" s="18">
        <f t="shared" si="0"/>
        <v>3.5</v>
      </c>
      <c r="I13" s="19"/>
      <c r="J13" s="209">
        <v>3.46</v>
      </c>
      <c r="K13" s="18">
        <f t="shared" si="1"/>
        <v>3.46</v>
      </c>
      <c r="L13" s="19"/>
      <c r="M13" s="21">
        <f t="shared" si="2"/>
        <v>-4.0000000000000036E-2</v>
      </c>
      <c r="N13" s="22">
        <f t="shared" si="3"/>
        <v>-1.1428571428571439E-2</v>
      </c>
      <c r="O13" s="212"/>
      <c r="P13" s="16">
        <v>3.46</v>
      </c>
      <c r="Q13" s="18">
        <f t="shared" si="4"/>
        <v>3.46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-3.46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250</v>
      </c>
      <c r="G19" s="16">
        <v>2.5413000000000001</v>
      </c>
      <c r="H19" s="18">
        <f t="shared" si="0"/>
        <v>635.32500000000005</v>
      </c>
      <c r="I19" s="19"/>
      <c r="J19" s="16">
        <v>2.5526</v>
      </c>
      <c r="K19" s="18">
        <f t="shared" si="1"/>
        <v>638.15</v>
      </c>
      <c r="L19" s="19"/>
      <c r="M19" s="21">
        <f t="shared" si="2"/>
        <v>2.8249999999999318</v>
      </c>
      <c r="N19" s="22">
        <f t="shared" si="3"/>
        <v>4.4465431078580748E-3</v>
      </c>
      <c r="O19" s="212"/>
      <c r="P19" s="16">
        <v>2.5526</v>
      </c>
      <c r="Q19" s="18">
        <f t="shared" si="4"/>
        <v>638.15</v>
      </c>
      <c r="R19" s="19"/>
      <c r="S19" s="21">
        <f t="shared" si="10"/>
        <v>0</v>
      </c>
      <c r="T19" s="22">
        <f t="shared" si="5"/>
        <v>0</v>
      </c>
      <c r="U19" s="19"/>
      <c r="V19" s="16">
        <v>2.5503</v>
      </c>
      <c r="W19" s="18">
        <f t="shared" si="6"/>
        <v>637.57500000000005</v>
      </c>
      <c r="X19" s="19"/>
      <c r="Y19" s="21">
        <f t="shared" si="11"/>
        <v>-0.57499999999993179</v>
      </c>
      <c r="Z19" s="22">
        <f t="shared" si="7"/>
        <v>-9.0104207474720963E-4</v>
      </c>
      <c r="AA19" s="19"/>
      <c r="AB19" s="16">
        <v>2.6040000000000001</v>
      </c>
      <c r="AC19" s="18">
        <f t="shared" si="8"/>
        <v>651</v>
      </c>
      <c r="AD19" s="19"/>
      <c r="AE19" s="21">
        <f t="shared" si="13"/>
        <v>13.424999999999955</v>
      </c>
      <c r="AF19" s="22">
        <f t="shared" si="9"/>
        <v>2.1056346312198493E-2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4">$G$7</f>
        <v>250</v>
      </c>
      <c r="G20" s="16"/>
      <c r="H20" s="18">
        <f t="shared" si="0"/>
        <v>0</v>
      </c>
      <c r="I20" s="19"/>
      <c r="J20" s="16">
        <v>1.8E-3</v>
      </c>
      <c r="K20" s="18">
        <f t="shared" si="1"/>
        <v>0.45</v>
      </c>
      <c r="L20" s="19"/>
      <c r="M20" s="21">
        <f t="shared" si="2"/>
        <v>0.45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-0.45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250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5">$G$7</f>
        <v>250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">
      <c r="B25" s="24"/>
      <c r="C25" s="14"/>
      <c r="D25" s="15"/>
      <c r="E25" s="15"/>
      <c r="F25" s="17">
        <f t="shared" si="15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">
      <c r="B26" s="24"/>
      <c r="C26" s="14"/>
      <c r="D26" s="15"/>
      <c r="E26" s="15"/>
      <c r="F26" s="17">
        <f t="shared" si="15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">
      <c r="B27" s="24"/>
      <c r="C27" s="14"/>
      <c r="D27" s="15"/>
      <c r="E27" s="15"/>
      <c r="F27" s="17">
        <f t="shared" si="15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1015.8050000000001</v>
      </c>
      <c r="I28" s="31"/>
      <c r="J28" s="28"/>
      <c r="K28" s="30">
        <f>SUM(K12:K27)</f>
        <v>1020.94</v>
      </c>
      <c r="L28" s="31"/>
      <c r="M28" s="32">
        <f t="shared" si="16"/>
        <v>5.1349999999999909</v>
      </c>
      <c r="N28" s="33">
        <f t="shared" si="17"/>
        <v>5.055104080015348E-3</v>
      </c>
      <c r="O28" s="212"/>
      <c r="P28" s="28"/>
      <c r="Q28" s="30">
        <f>SUM(Q12:Q27)</f>
        <v>1020.49</v>
      </c>
      <c r="R28" s="31"/>
      <c r="S28" s="32">
        <f t="shared" si="10"/>
        <v>-0.45000000000004547</v>
      </c>
      <c r="T28" s="33">
        <f t="shared" si="5"/>
        <v>-4.4077027053504169E-4</v>
      </c>
      <c r="U28" s="31"/>
      <c r="V28" s="28"/>
      <c r="W28" s="30">
        <f>SUM(W12:W27)</f>
        <v>1016.0650000000001</v>
      </c>
      <c r="X28" s="31"/>
      <c r="Y28" s="32">
        <f t="shared" si="11"/>
        <v>-4.4249999999999545</v>
      </c>
      <c r="Z28" s="33">
        <f t="shared" si="7"/>
        <v>-4.3361522405902598E-3</v>
      </c>
      <c r="AA28" s="31"/>
      <c r="AB28" s="28"/>
      <c r="AC28" s="30">
        <f>SUM(AC12:AC27)</f>
        <v>1038.53</v>
      </c>
      <c r="AD28" s="31"/>
      <c r="AE28" s="32">
        <f t="shared" si="13"/>
        <v>22.464999999999918</v>
      </c>
      <c r="AF28" s="33">
        <f t="shared" si="9"/>
        <v>2.2109805967137849E-2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250</v>
      </c>
      <c r="G29" s="16">
        <v>0.43235768943166519</v>
      </c>
      <c r="H29" s="18">
        <f t="shared" ref="H29:H35" si="18">$F29*G29</f>
        <v>108.08942235791631</v>
      </c>
      <c r="I29" s="19"/>
      <c r="J29" s="16">
        <v>-6.0299999999999999E-2</v>
      </c>
      <c r="K29" s="18">
        <f t="shared" ref="K29:K35" si="19">$F29*J29</f>
        <v>-15.074999999999999</v>
      </c>
      <c r="L29" s="19"/>
      <c r="M29" s="21">
        <f t="shared" si="16"/>
        <v>-123.16442235791631</v>
      </c>
      <c r="N29" s="22">
        <f t="shared" si="17"/>
        <v>-1.1394678560690443</v>
      </c>
      <c r="O29" s="212"/>
      <c r="P29" s="16">
        <v>-6.0299999999999999E-2</v>
      </c>
      <c r="Q29" s="18">
        <f t="shared" ref="Q29:Q35" si="20">$F29*P29</f>
        <v>-15.074999999999999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15.074999999999999</v>
      </c>
      <c r="Z29" s="22">
        <f t="shared" si="7"/>
        <v>-1</v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">
      <c r="B30" s="134" t="s">
        <v>17</v>
      </c>
      <c r="C30" s="14"/>
      <c r="D30" s="15" t="s">
        <v>65</v>
      </c>
      <c r="E30" s="15"/>
      <c r="F30" s="17">
        <f>$G$7</f>
        <v>250</v>
      </c>
      <c r="G30" s="16">
        <v>-0.30893329370118028</v>
      </c>
      <c r="H30" s="18">
        <f t="shared" ref="H30" si="23">$F30*G30</f>
        <v>-77.233323425295069</v>
      </c>
      <c r="I30" s="19"/>
      <c r="J30" s="16">
        <v>-0.86640000000000006</v>
      </c>
      <c r="K30" s="18">
        <f t="shared" ref="K30" si="24">$F30*J30</f>
        <v>-216.60000000000002</v>
      </c>
      <c r="L30" s="19"/>
      <c r="M30" s="21">
        <f t="shared" ref="M30" si="25">K30-H30</f>
        <v>-139.36667657470497</v>
      </c>
      <c r="N30" s="22">
        <f t="shared" ref="N30" si="26">IF((H30)=0,"",(M30/H30))</f>
        <v>1.8044889225763954</v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">
      <c r="B31" s="132">
        <v>1575</v>
      </c>
      <c r="C31" s="14"/>
      <c r="D31" s="15" t="s">
        <v>65</v>
      </c>
      <c r="E31" s="15"/>
      <c r="F31" s="17">
        <f t="shared" ref="F31:F33" si="27">$G$7</f>
        <v>250</v>
      </c>
      <c r="G31" s="16">
        <v>0</v>
      </c>
      <c r="H31" s="18">
        <f t="shared" si="18"/>
        <v>0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0</v>
      </c>
      <c r="N31" s="22" t="str">
        <f>IF((H31)=0,"",(M31/H31))</f>
        <v/>
      </c>
      <c r="O31" s="212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">
      <c r="B32" s="35"/>
      <c r="C32" s="14"/>
      <c r="D32" s="15"/>
      <c r="E32" s="15"/>
      <c r="F32" s="17">
        <f t="shared" si="27"/>
        <v>250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212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7"/>
        <v>250</v>
      </c>
      <c r="G33" s="133">
        <v>2.1690000000000001E-2</v>
      </c>
      <c r="H33" s="18">
        <f t="shared" si="18"/>
        <v>5.4225000000000003</v>
      </c>
      <c r="I33" s="19"/>
      <c r="J33" s="133">
        <v>2.1690000000000001E-2</v>
      </c>
      <c r="K33" s="18">
        <f t="shared" si="19"/>
        <v>5.4225000000000003</v>
      </c>
      <c r="L33" s="19"/>
      <c r="M33" s="21">
        <f t="shared" si="28"/>
        <v>0</v>
      </c>
      <c r="N33" s="22">
        <f>IF((H33)=0,"",(M33/H33))</f>
        <v>0</v>
      </c>
      <c r="O33" s="212"/>
      <c r="P33" s="133">
        <v>2.1690000000000001E-2</v>
      </c>
      <c r="Q33" s="18">
        <f t="shared" si="20"/>
        <v>5.4225000000000003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5.4225000000000003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5.4225000000000003</v>
      </c>
      <c r="AD33" s="19"/>
      <c r="AE33" s="21">
        <f t="shared" si="13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4169</v>
      </c>
      <c r="G34" s="38">
        <f>IF(ISBLANK($D$5)=TRUE, 0, IF($D$5="TOU", 0.64*#REF!+0.18*#REF!+0.18*#REF!, IF(AND($D$5="non-TOU", $F$48&gt;0), G48,G47)))</f>
        <v>0.121</v>
      </c>
      <c r="H34" s="18">
        <f t="shared" si="18"/>
        <v>504.44900000000001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19"/>
        <v>504.44900000000001</v>
      </c>
      <c r="L34" s="19"/>
      <c r="M34" s="21">
        <f t="shared" si="28"/>
        <v>0</v>
      </c>
      <c r="N34" s="22">
        <f>IF((H34)=0,"",(M34/H34))</f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20"/>
        <v>458.59</v>
      </c>
      <c r="R34" s="19"/>
      <c r="S34" s="21">
        <f t="shared" si="10"/>
        <v>-45.859000000000037</v>
      </c>
      <c r="T34" s="22">
        <f t="shared" si="5"/>
        <v>-9.0909090909090981E-2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458.59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458.59</v>
      </c>
      <c r="AD34" s="19"/>
      <c r="AE34" s="21">
        <f t="shared" si="13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212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1556.5325989326213</v>
      </c>
      <c r="I36" s="31"/>
      <c r="J36" s="41"/>
      <c r="K36" s="43">
        <f>SUM(K29:K35)+K28</f>
        <v>1299.1365000000001</v>
      </c>
      <c r="L36" s="31"/>
      <c r="M36" s="32">
        <f t="shared" si="28"/>
        <v>-257.39609893262127</v>
      </c>
      <c r="N36" s="33">
        <f t="shared" ref="N36:N42" si="33">IF((H36)=0,"",(M36/H36))</f>
        <v>-0.16536505506478208</v>
      </c>
      <c r="O36" s="212"/>
      <c r="P36" s="41"/>
      <c r="Q36" s="43">
        <f>SUM(Q29:Q35)+Q28</f>
        <v>1469.4275</v>
      </c>
      <c r="R36" s="31"/>
      <c r="S36" s="32">
        <f t="shared" si="10"/>
        <v>170.29099999999994</v>
      </c>
      <c r="T36" s="33">
        <f t="shared" ref="T36:T42" si="34">IF((K36)=0,"",(S36/K36))</f>
        <v>0.13108014438821475</v>
      </c>
      <c r="U36" s="31"/>
      <c r="V36" s="41"/>
      <c r="W36" s="43">
        <f>SUM(W29:W35)+W28</f>
        <v>1480.0775000000001</v>
      </c>
      <c r="X36" s="31"/>
      <c r="Y36" s="32">
        <f t="shared" si="11"/>
        <v>10.650000000000091</v>
      </c>
      <c r="Z36" s="33">
        <f t="shared" ref="Z36:Z42" si="35">IF((Q36)=0,"",(Y36/Q36))</f>
        <v>7.2477206258900768E-3</v>
      </c>
      <c r="AA36" s="31"/>
      <c r="AB36" s="41"/>
      <c r="AC36" s="43">
        <f>SUM(AC29:AC35)+AC28</f>
        <v>1502.5425</v>
      </c>
      <c r="AD36" s="31"/>
      <c r="AE36" s="32">
        <f t="shared" si="13"/>
        <v>22.464999999999918</v>
      </c>
      <c r="AF36" s="33">
        <f t="shared" ref="AF36:AF46" si="36">IF((W36)=0,"",(AE36/W36))</f>
        <v>1.5178259246559668E-2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250</v>
      </c>
      <c r="G37" s="20">
        <v>2.7064544797271646</v>
      </c>
      <c r="H37" s="18">
        <f>$F37*G37</f>
        <v>676.61361993179116</v>
      </c>
      <c r="I37" s="19"/>
      <c r="J37" s="20">
        <v>2.5720999999999998</v>
      </c>
      <c r="K37" s="18">
        <f>$F37*J37</f>
        <v>643.02499999999998</v>
      </c>
      <c r="L37" s="19"/>
      <c r="M37" s="21">
        <f t="shared" si="28"/>
        <v>-33.588619931791186</v>
      </c>
      <c r="N37" s="22">
        <f t="shared" si="33"/>
        <v>-4.9642246242659477E-2</v>
      </c>
      <c r="O37" s="212"/>
      <c r="P37" s="20">
        <v>2.5720999999999998</v>
      </c>
      <c r="Q37" s="18">
        <f>$F37*P37</f>
        <v>643.02499999999998</v>
      </c>
      <c r="R37" s="19"/>
      <c r="S37" s="21">
        <f t="shared" si="10"/>
        <v>0</v>
      </c>
      <c r="T37" s="22">
        <f t="shared" si="34"/>
        <v>0</v>
      </c>
      <c r="U37" s="19"/>
      <c r="V37" s="20">
        <v>2.5720999999999998</v>
      </c>
      <c r="W37" s="18">
        <f>$F37*V37</f>
        <v>643.02499999999998</v>
      </c>
      <c r="X37" s="19"/>
      <c r="Y37" s="21">
        <f t="shared" si="11"/>
        <v>0</v>
      </c>
      <c r="Z37" s="22">
        <f t="shared" si="35"/>
        <v>0</v>
      </c>
      <c r="AA37" s="19"/>
      <c r="AB37" s="20">
        <v>2.5720999999999998</v>
      </c>
      <c r="AC37" s="18">
        <f>$F37*AB37</f>
        <v>643.02499999999998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250</v>
      </c>
      <c r="G38" s="20">
        <v>2.121465119800138</v>
      </c>
      <c r="H38" s="18">
        <f>$F38*G38</f>
        <v>530.36627995003448</v>
      </c>
      <c r="I38" s="19"/>
      <c r="J38" s="20">
        <v>2.1213000000000002</v>
      </c>
      <c r="K38" s="18">
        <f>$F38*J38</f>
        <v>530.32500000000005</v>
      </c>
      <c r="L38" s="19"/>
      <c r="M38" s="21">
        <f t="shared" si="28"/>
        <v>-4.1279950034436297E-2</v>
      </c>
      <c r="N38" s="22">
        <f t="shared" si="33"/>
        <v>-7.7832908303154677E-5</v>
      </c>
      <c r="O38" s="212"/>
      <c r="P38" s="20">
        <v>2.1213000000000002</v>
      </c>
      <c r="Q38" s="18">
        <f>$F38*P38</f>
        <v>530.32500000000005</v>
      </c>
      <c r="R38" s="19"/>
      <c r="S38" s="21">
        <f t="shared" si="10"/>
        <v>0</v>
      </c>
      <c r="T38" s="22">
        <f t="shared" si="34"/>
        <v>0</v>
      </c>
      <c r="U38" s="19"/>
      <c r="V38" s="20">
        <v>2.1213000000000002</v>
      </c>
      <c r="W38" s="18">
        <f>$F38*V38</f>
        <v>530.32500000000005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2.1213000000000002</v>
      </c>
      <c r="AC38" s="18">
        <f>$F38*AB38</f>
        <v>530.32500000000005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2763.5124988144471</v>
      </c>
      <c r="I39" s="48"/>
      <c r="J39" s="47"/>
      <c r="K39" s="43">
        <f>SUM(K36:K38)</f>
        <v>2472.4865</v>
      </c>
      <c r="L39" s="48"/>
      <c r="M39" s="32">
        <f t="shared" si="28"/>
        <v>-291.02599881444712</v>
      </c>
      <c r="N39" s="33">
        <f t="shared" si="33"/>
        <v>-0.10531018004778264</v>
      </c>
      <c r="O39" s="212"/>
      <c r="P39" s="47"/>
      <c r="Q39" s="43">
        <f>SUM(Q36:Q38)</f>
        <v>2642.7775000000001</v>
      </c>
      <c r="R39" s="48"/>
      <c r="S39" s="32">
        <f t="shared" si="10"/>
        <v>170.29100000000017</v>
      </c>
      <c r="T39" s="33">
        <f t="shared" si="34"/>
        <v>6.8874390214061901E-2</v>
      </c>
      <c r="U39" s="48"/>
      <c r="V39" s="47"/>
      <c r="W39" s="43">
        <f>SUM(W36:W38)</f>
        <v>2653.4274999999998</v>
      </c>
      <c r="X39" s="48"/>
      <c r="Y39" s="32">
        <f t="shared" si="11"/>
        <v>10.649999999999636</v>
      </c>
      <c r="Z39" s="33">
        <f t="shared" si="35"/>
        <v>4.0298511698391697E-3</v>
      </c>
      <c r="AA39" s="48"/>
      <c r="AB39" s="47"/>
      <c r="AC39" s="43">
        <f>SUM(AC36:AC38)</f>
        <v>2675.8924999999999</v>
      </c>
      <c r="AD39" s="48"/>
      <c r="AE39" s="32">
        <f t="shared" si="13"/>
        <v>22.465000000000146</v>
      </c>
      <c r="AF39" s="33">
        <f t="shared" si="36"/>
        <v>8.4664080703166552E-3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114168.99999999999</v>
      </c>
      <c r="G40" s="50">
        <v>4.7000000000000002E-3</v>
      </c>
      <c r="H40" s="152">
        <f t="shared" ref="H40:H42" si="37">$F40*G40</f>
        <v>536.59429999999998</v>
      </c>
      <c r="I40" s="19"/>
      <c r="J40" s="50">
        <v>4.7000000000000002E-3</v>
      </c>
      <c r="K40" s="152">
        <f t="shared" ref="K40:K42" si="38">$F40*J40</f>
        <v>536.59429999999998</v>
      </c>
      <c r="L40" s="19"/>
      <c r="M40" s="21">
        <f t="shared" si="28"/>
        <v>0</v>
      </c>
      <c r="N40" s="153">
        <f t="shared" si="33"/>
        <v>0</v>
      </c>
      <c r="O40" s="212"/>
      <c r="P40" s="50">
        <v>4.7000000000000002E-3</v>
      </c>
      <c r="Q40" s="152">
        <f t="shared" ref="Q40:Q42" si="39">$F40*P40</f>
        <v>536.59429999999998</v>
      </c>
      <c r="R40" s="19"/>
      <c r="S40" s="21">
        <f t="shared" si="10"/>
        <v>0</v>
      </c>
      <c r="T40" s="153">
        <f t="shared" si="34"/>
        <v>0</v>
      </c>
      <c r="U40" s="19"/>
      <c r="V40" s="50">
        <v>4.7000000000000002E-3</v>
      </c>
      <c r="W40" s="152">
        <f t="shared" ref="W40:W42" si="40">$F40*V40</f>
        <v>536.59429999999998</v>
      </c>
      <c r="X40" s="19"/>
      <c r="Y40" s="21">
        <f t="shared" si="11"/>
        <v>0</v>
      </c>
      <c r="Z40" s="153">
        <f t="shared" si="35"/>
        <v>0</v>
      </c>
      <c r="AA40" s="19"/>
      <c r="AB40" s="50">
        <v>4.7000000000000002E-3</v>
      </c>
      <c r="AC40" s="152">
        <f t="shared" ref="AC40:AC48" si="41">$F40*AB40</f>
        <v>536.59429999999998</v>
      </c>
      <c r="AD40" s="19"/>
      <c r="AE40" s="21">
        <f t="shared" si="13"/>
        <v>0</v>
      </c>
      <c r="AF40" s="153">
        <f t="shared" si="36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114168.99999999999</v>
      </c>
      <c r="G41" s="50">
        <v>1.2999999999999999E-3</v>
      </c>
      <c r="H41" s="152">
        <f t="shared" si="37"/>
        <v>148.41969999999998</v>
      </c>
      <c r="I41" s="19"/>
      <c r="J41" s="50">
        <v>2.0999999999999999E-3</v>
      </c>
      <c r="K41" s="152">
        <f t="shared" si="38"/>
        <v>239.75489999999996</v>
      </c>
      <c r="L41" s="19"/>
      <c r="M41" s="21">
        <f t="shared" si="28"/>
        <v>91.335199999999986</v>
      </c>
      <c r="N41" s="153">
        <f t="shared" si="33"/>
        <v>0.61538461538461542</v>
      </c>
      <c r="O41" s="212"/>
      <c r="P41" s="50">
        <v>2.0999999999999999E-3</v>
      </c>
      <c r="Q41" s="152">
        <f t="shared" si="39"/>
        <v>239.75489999999996</v>
      </c>
      <c r="R41" s="19"/>
      <c r="S41" s="21">
        <f t="shared" si="10"/>
        <v>0</v>
      </c>
      <c r="T41" s="153">
        <f t="shared" si="34"/>
        <v>0</v>
      </c>
      <c r="U41" s="19"/>
      <c r="V41" s="50">
        <v>2.0999999999999999E-3</v>
      </c>
      <c r="W41" s="152">
        <f t="shared" si="40"/>
        <v>239.75489999999996</v>
      </c>
      <c r="X41" s="19"/>
      <c r="Y41" s="21">
        <f t="shared" si="11"/>
        <v>0</v>
      </c>
      <c r="Z41" s="153">
        <f t="shared" si="35"/>
        <v>0</v>
      </c>
      <c r="AA41" s="19"/>
      <c r="AB41" s="50">
        <v>2.0999999999999999E-3</v>
      </c>
      <c r="AC41" s="152">
        <f t="shared" si="41"/>
        <v>239.75489999999996</v>
      </c>
      <c r="AD41" s="19"/>
      <c r="AE41" s="21">
        <f t="shared" si="13"/>
        <v>0</v>
      </c>
      <c r="AF41" s="153">
        <f t="shared" si="36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7"/>
        <v>0.25</v>
      </c>
      <c r="I42" s="19"/>
      <c r="J42" s="50">
        <v>0.25</v>
      </c>
      <c r="K42" s="152">
        <f t="shared" si="38"/>
        <v>0.25</v>
      </c>
      <c r="L42" s="19"/>
      <c r="M42" s="21">
        <f t="shared" si="28"/>
        <v>0</v>
      </c>
      <c r="N42" s="153">
        <f t="shared" si="33"/>
        <v>0</v>
      </c>
      <c r="O42" s="212"/>
      <c r="P42" s="50">
        <v>0.25</v>
      </c>
      <c r="Q42" s="152">
        <f t="shared" si="39"/>
        <v>0.25</v>
      </c>
      <c r="R42" s="19"/>
      <c r="S42" s="21">
        <f t="shared" si="10"/>
        <v>0</v>
      </c>
      <c r="T42" s="153">
        <f t="shared" si="34"/>
        <v>0</v>
      </c>
      <c r="U42" s="19"/>
      <c r="V42" s="50">
        <v>0.25</v>
      </c>
      <c r="W42" s="152">
        <f t="shared" si="40"/>
        <v>0.25</v>
      </c>
      <c r="X42" s="19"/>
      <c r="Y42" s="21">
        <f t="shared" si="11"/>
        <v>0</v>
      </c>
      <c r="Z42" s="153">
        <f t="shared" si="35"/>
        <v>0</v>
      </c>
      <c r="AA42" s="19"/>
      <c r="AB42" s="50">
        <v>0.25</v>
      </c>
      <c r="AC42" s="152">
        <f t="shared" si="41"/>
        <v>0.25</v>
      </c>
      <c r="AD42" s="19"/>
      <c r="AE42" s="21">
        <f t="shared" si="13"/>
        <v>0</v>
      </c>
      <c r="AF42" s="153">
        <f t="shared" si="36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109999.99999999999</v>
      </c>
      <c r="G43" s="50">
        <v>7.0000000000000001E-3</v>
      </c>
      <c r="H43" s="152">
        <f t="shared" ref="H43:H48" si="42">$F43*G43</f>
        <v>769.99999999999989</v>
      </c>
      <c r="I43" s="19"/>
      <c r="J43" s="50">
        <v>7.0000000000000001E-3</v>
      </c>
      <c r="K43" s="152">
        <f t="shared" ref="K43:K48" si="43">$F43*J43</f>
        <v>769.99999999999989</v>
      </c>
      <c r="L43" s="19"/>
      <c r="M43" s="21">
        <f t="shared" ref="M43:M60" si="44">K43-H43</f>
        <v>0</v>
      </c>
      <c r="N43" s="153">
        <f t="shared" ref="N43:N46" si="45">IF((H43)=0,"",(M43/H43))</f>
        <v>0</v>
      </c>
      <c r="O43" s="212"/>
      <c r="P43" s="50">
        <v>7.0000000000000001E-3</v>
      </c>
      <c r="Q43" s="152">
        <f t="shared" ref="Q43:Q48" si="46">$F43*P43</f>
        <v>769.99999999999989</v>
      </c>
      <c r="R43" s="19"/>
      <c r="S43" s="21">
        <f t="shared" ref="S43:S60" si="47">Q43-K43</f>
        <v>0</v>
      </c>
      <c r="T43" s="153">
        <f t="shared" ref="T43:T46" si="48">IF((K43)=0,"",(S43/K43))</f>
        <v>0</v>
      </c>
      <c r="U43" s="19"/>
      <c r="V43" s="50">
        <v>7.0000000000000001E-3</v>
      </c>
      <c r="W43" s="152">
        <f t="shared" ref="W43:W48" si="49">$F43*V43</f>
        <v>769.99999999999989</v>
      </c>
      <c r="X43" s="19"/>
      <c r="Y43" s="21">
        <f t="shared" ref="Y43:Y60" si="50">W43-Q43</f>
        <v>0</v>
      </c>
      <c r="Z43" s="153">
        <f t="shared" ref="Z43:Z46" si="51">IF((Q43)=0,"",(Y43/Q43))</f>
        <v>0</v>
      </c>
      <c r="AA43" s="19"/>
      <c r="AB43" s="50">
        <v>7.0000000000000001E-3</v>
      </c>
      <c r="AC43" s="152">
        <f t="shared" si="41"/>
        <v>769.99999999999989</v>
      </c>
      <c r="AD43" s="19"/>
      <c r="AE43" s="21">
        <f t="shared" si="13"/>
        <v>0</v>
      </c>
      <c r="AF43" s="153">
        <f t="shared" si="36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70399.999999999985</v>
      </c>
      <c r="G44" s="54">
        <v>8.6999999999999994E-2</v>
      </c>
      <c r="H44" s="152">
        <f t="shared" si="42"/>
        <v>6124.7999999999984</v>
      </c>
      <c r="I44" s="19"/>
      <c r="J44" s="54">
        <f>+G44</f>
        <v>8.6999999999999994E-2</v>
      </c>
      <c r="K44" s="152">
        <f t="shared" si="43"/>
        <v>6124.7999999999984</v>
      </c>
      <c r="L44" s="19"/>
      <c r="M44" s="21">
        <f t="shared" si="44"/>
        <v>0</v>
      </c>
      <c r="N44" s="153">
        <f t="shared" si="45"/>
        <v>0</v>
      </c>
      <c r="O44" s="212"/>
      <c r="P44" s="54">
        <v>0.08</v>
      </c>
      <c r="Q44" s="152">
        <f t="shared" si="46"/>
        <v>5631.9999999999991</v>
      </c>
      <c r="R44" s="19"/>
      <c r="S44" s="21">
        <f t="shared" si="47"/>
        <v>-492.79999999999927</v>
      </c>
      <c r="T44" s="153">
        <f t="shared" si="48"/>
        <v>-8.045977011494243E-2</v>
      </c>
      <c r="U44" s="19"/>
      <c r="V44" s="54">
        <v>0.08</v>
      </c>
      <c r="W44" s="152">
        <f t="shared" si="49"/>
        <v>5631.9999999999991</v>
      </c>
      <c r="X44" s="19"/>
      <c r="Y44" s="21">
        <f t="shared" si="50"/>
        <v>0</v>
      </c>
      <c r="Z44" s="153">
        <f t="shared" si="51"/>
        <v>0</v>
      </c>
      <c r="AA44" s="19"/>
      <c r="AB44" s="54">
        <v>0.08</v>
      </c>
      <c r="AC44" s="152">
        <f t="shared" si="41"/>
        <v>5631.9999999999991</v>
      </c>
      <c r="AD44" s="19"/>
      <c r="AE44" s="21">
        <f t="shared" si="13"/>
        <v>0</v>
      </c>
      <c r="AF44" s="153">
        <f t="shared" si="36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19799.999999999996</v>
      </c>
      <c r="G45" s="54">
        <v>0.13200000000000001</v>
      </c>
      <c r="H45" s="152">
        <f t="shared" si="42"/>
        <v>2613.5999999999995</v>
      </c>
      <c r="I45" s="19"/>
      <c r="J45" s="54">
        <f>+G45</f>
        <v>0.13200000000000001</v>
      </c>
      <c r="K45" s="152">
        <f t="shared" si="43"/>
        <v>2613.5999999999995</v>
      </c>
      <c r="L45" s="19"/>
      <c r="M45" s="21">
        <f t="shared" si="44"/>
        <v>0</v>
      </c>
      <c r="N45" s="153">
        <f t="shared" si="45"/>
        <v>0</v>
      </c>
      <c r="O45" s="212"/>
      <c r="P45" s="54">
        <v>0.122</v>
      </c>
      <c r="Q45" s="152">
        <f t="shared" si="46"/>
        <v>2415.5999999999995</v>
      </c>
      <c r="R45" s="19"/>
      <c r="S45" s="21">
        <f t="shared" si="47"/>
        <v>-198</v>
      </c>
      <c r="T45" s="153">
        <f t="shared" si="48"/>
        <v>-7.5757575757575774E-2</v>
      </c>
      <c r="U45" s="19"/>
      <c r="V45" s="54">
        <v>0.122</v>
      </c>
      <c r="W45" s="152">
        <f t="shared" si="49"/>
        <v>2415.5999999999995</v>
      </c>
      <c r="X45" s="19"/>
      <c r="Y45" s="21">
        <f t="shared" si="50"/>
        <v>0</v>
      </c>
      <c r="Z45" s="153">
        <f t="shared" si="51"/>
        <v>0</v>
      </c>
      <c r="AA45" s="19"/>
      <c r="AB45" s="54">
        <v>0.122</v>
      </c>
      <c r="AC45" s="152">
        <f t="shared" si="41"/>
        <v>2415.5999999999995</v>
      </c>
      <c r="AD45" s="19"/>
      <c r="AE45" s="21">
        <f t="shared" si="13"/>
        <v>0</v>
      </c>
      <c r="AF45" s="153">
        <f t="shared" si="36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19799.999999999996</v>
      </c>
      <c r="G46" s="54">
        <v>0.18</v>
      </c>
      <c r="H46" s="152">
        <f t="shared" si="42"/>
        <v>3563.9999999999991</v>
      </c>
      <c r="I46" s="19"/>
      <c r="J46" s="54">
        <f>+G46</f>
        <v>0.18</v>
      </c>
      <c r="K46" s="152">
        <f t="shared" si="43"/>
        <v>3563.9999999999991</v>
      </c>
      <c r="L46" s="19"/>
      <c r="M46" s="21">
        <f t="shared" si="44"/>
        <v>0</v>
      </c>
      <c r="N46" s="153">
        <f t="shared" si="45"/>
        <v>0</v>
      </c>
      <c r="O46" s="212"/>
      <c r="P46" s="54">
        <v>0.161</v>
      </c>
      <c r="Q46" s="152">
        <f t="shared" si="46"/>
        <v>3187.7999999999993</v>
      </c>
      <c r="R46" s="19"/>
      <c r="S46" s="21">
        <f t="shared" si="47"/>
        <v>-376.19999999999982</v>
      </c>
      <c r="T46" s="153">
        <f t="shared" si="48"/>
        <v>-0.10555555555555553</v>
      </c>
      <c r="U46" s="19"/>
      <c r="V46" s="54">
        <v>0.161</v>
      </c>
      <c r="W46" s="152">
        <f t="shared" si="49"/>
        <v>3187.7999999999993</v>
      </c>
      <c r="X46" s="19"/>
      <c r="Y46" s="21">
        <f t="shared" si="50"/>
        <v>0</v>
      </c>
      <c r="Z46" s="153">
        <f t="shared" si="51"/>
        <v>0</v>
      </c>
      <c r="AA46" s="19"/>
      <c r="AB46" s="54">
        <v>0.161</v>
      </c>
      <c r="AC46" s="152">
        <f t="shared" si="41"/>
        <v>3187.7999999999993</v>
      </c>
      <c r="AD46" s="19"/>
      <c r="AE46" s="21">
        <f t="shared" si="13"/>
        <v>0</v>
      </c>
      <c r="AF46" s="153">
        <f t="shared" si="36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42"/>
        <v>77.25</v>
      </c>
      <c r="I47" s="59"/>
      <c r="J47" s="54">
        <f>+G47</f>
        <v>0.10299999999999999</v>
      </c>
      <c r="K47" s="152">
        <f t="shared" si="43"/>
        <v>77.25</v>
      </c>
      <c r="L47" s="59"/>
      <c r="M47" s="60">
        <f t="shared" si="44"/>
        <v>0</v>
      </c>
      <c r="N47" s="153">
        <f>IF((H47)=FALSE,"",(M47/H47))</f>
        <v>0</v>
      </c>
      <c r="O47" s="212"/>
      <c r="P47" s="54">
        <v>9.4E-2</v>
      </c>
      <c r="Q47" s="152">
        <f t="shared" si="46"/>
        <v>70.5</v>
      </c>
      <c r="R47" s="59"/>
      <c r="S47" s="60">
        <f t="shared" si="47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9"/>
        <v>70.5</v>
      </c>
      <c r="X47" s="59"/>
      <c r="Y47" s="60">
        <f t="shared" si="50"/>
        <v>0</v>
      </c>
      <c r="Z47" s="153">
        <f>IF((Q47)=FALSE,"",(Y47/Q47))</f>
        <v>0</v>
      </c>
      <c r="AA47" s="59"/>
      <c r="AB47" s="54">
        <v>9.4E-2</v>
      </c>
      <c r="AC47" s="152">
        <f t="shared" si="41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109249.99999999999</v>
      </c>
      <c r="G48" s="54">
        <v>0.121</v>
      </c>
      <c r="H48" s="152">
        <f t="shared" si="42"/>
        <v>13219.249999999998</v>
      </c>
      <c r="I48" s="59"/>
      <c r="J48" s="54">
        <f>+G48</f>
        <v>0.121</v>
      </c>
      <c r="K48" s="152">
        <f t="shared" si="43"/>
        <v>13219.249999999998</v>
      </c>
      <c r="L48" s="59"/>
      <c r="M48" s="60">
        <f t="shared" si="44"/>
        <v>0</v>
      </c>
      <c r="N48" s="153">
        <f>IF((H48)=FALSE,"",(M48/H48))</f>
        <v>0</v>
      </c>
      <c r="O48" s="212"/>
      <c r="P48" s="54">
        <v>0.11</v>
      </c>
      <c r="Q48" s="152">
        <f t="shared" si="46"/>
        <v>12017.499999999998</v>
      </c>
      <c r="R48" s="59"/>
      <c r="S48" s="60">
        <f t="shared" si="47"/>
        <v>-1201.75</v>
      </c>
      <c r="T48" s="153">
        <f>IF((K48)=FALSE,"",(S48/K48))</f>
        <v>-9.0909090909090925E-2</v>
      </c>
      <c r="U48" s="59"/>
      <c r="V48" s="54">
        <v>0.11</v>
      </c>
      <c r="W48" s="152">
        <f t="shared" si="49"/>
        <v>12017.499999999998</v>
      </c>
      <c r="X48" s="59"/>
      <c r="Y48" s="60">
        <f t="shared" si="50"/>
        <v>0</v>
      </c>
      <c r="Z48" s="153">
        <f>IF((Q48)=FALSE,"",(Y48/Q48))</f>
        <v>0</v>
      </c>
      <c r="AA48" s="59"/>
      <c r="AB48" s="54">
        <v>0.11</v>
      </c>
      <c r="AC48" s="152">
        <f t="shared" si="41"/>
        <v>12017.499999999998</v>
      </c>
      <c r="AD48" s="59"/>
      <c r="AE48" s="60">
        <f t="shared" si="13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212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16521.176498814442</v>
      </c>
      <c r="I50" s="75"/>
      <c r="J50" s="72"/>
      <c r="K50" s="74">
        <f>SUM(K40:K46,K39)</f>
        <v>16321.485699999997</v>
      </c>
      <c r="L50" s="75"/>
      <c r="M50" s="76">
        <f t="shared" si="44"/>
        <v>-199.69079881444486</v>
      </c>
      <c r="N50" s="77">
        <f>IF((H50)=0,"",(M50/H50))</f>
        <v>-1.2086959958860959E-2</v>
      </c>
      <c r="O50" s="212"/>
      <c r="P50" s="72"/>
      <c r="Q50" s="74">
        <f>SUM(Q40:Q46,Q39)</f>
        <v>15424.776699999999</v>
      </c>
      <c r="R50" s="75"/>
      <c r="S50" s="76">
        <f t="shared" si="47"/>
        <v>-896.70899999999892</v>
      </c>
      <c r="T50" s="77">
        <f>IF((K50)=0,"",(S50/K50))</f>
        <v>-5.4940402882563508E-2</v>
      </c>
      <c r="U50" s="75"/>
      <c r="V50" s="72"/>
      <c r="W50" s="74">
        <f>SUM(W40:W46,W39)</f>
        <v>15435.426699999998</v>
      </c>
      <c r="X50" s="75"/>
      <c r="Y50" s="76">
        <f t="shared" si="50"/>
        <v>10.649999999999636</v>
      </c>
      <c r="Z50" s="77">
        <f>IF((Q50)=0,"",(Y50/Q50))</f>
        <v>6.9044759656064502E-4</v>
      </c>
      <c r="AA50" s="75"/>
      <c r="AB50" s="72"/>
      <c r="AC50" s="74">
        <f>SUM(AC40:AC46,AC39)</f>
        <v>15457.891699999998</v>
      </c>
      <c r="AD50" s="75"/>
      <c r="AE50" s="76">
        <f t="shared" si="13"/>
        <v>22.465000000000146</v>
      </c>
      <c r="AF50" s="77">
        <f>IF((W50)=0,"",(AE50/W50))</f>
        <v>1.4554181388455006E-3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2147.7529448458777</v>
      </c>
      <c r="I51" s="81"/>
      <c r="J51" s="79">
        <v>0.13</v>
      </c>
      <c r="K51" s="82">
        <f>K50*J51</f>
        <v>2121.7931409999997</v>
      </c>
      <c r="L51" s="81"/>
      <c r="M51" s="83">
        <f t="shared" si="44"/>
        <v>-25.959803845878014</v>
      </c>
      <c r="N51" s="84">
        <f>IF((H51)=0,"",(M51/H51))</f>
        <v>-1.2086959958861044E-2</v>
      </c>
      <c r="O51" s="212"/>
      <c r="P51" s="79">
        <v>0.13</v>
      </c>
      <c r="Q51" s="82">
        <f>Q50*P51</f>
        <v>2005.220971</v>
      </c>
      <c r="R51" s="81"/>
      <c r="S51" s="83">
        <f t="shared" si="47"/>
        <v>-116.57216999999969</v>
      </c>
      <c r="T51" s="84">
        <f>IF((K51)=0,"",(S51/K51))</f>
        <v>-5.4940402882563424E-2</v>
      </c>
      <c r="U51" s="81"/>
      <c r="V51" s="79">
        <v>0.13</v>
      </c>
      <c r="W51" s="82">
        <f>W50*V51</f>
        <v>2006.6054709999999</v>
      </c>
      <c r="X51" s="81"/>
      <c r="Y51" s="83">
        <f t="shared" si="50"/>
        <v>1.384499999999889</v>
      </c>
      <c r="Z51" s="84">
        <f>IF((Q51)=0,"",(Y51/Q51))</f>
        <v>6.9044759656061315E-4</v>
      </c>
      <c r="AA51" s="81"/>
      <c r="AB51" s="79">
        <v>0.13</v>
      </c>
      <c r="AC51" s="82">
        <f>AC50*AB51</f>
        <v>2009.5259209999999</v>
      </c>
      <c r="AD51" s="81"/>
      <c r="AE51" s="83">
        <f t="shared" si="13"/>
        <v>2.9204500000000735</v>
      </c>
      <c r="AF51" s="84">
        <f>IF((W51)=0,"",(AE51/W51))</f>
        <v>1.4554181388455277E-3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18668.92944366032</v>
      </c>
      <c r="I52" s="81"/>
      <c r="J52" s="86"/>
      <c r="K52" s="82">
        <f>K50+K51</f>
        <v>18443.278840999996</v>
      </c>
      <c r="L52" s="81"/>
      <c r="M52" s="83">
        <f t="shared" si="44"/>
        <v>-225.65060266032378</v>
      </c>
      <c r="N52" s="84">
        <f>IF((H52)=0,"",(M52/H52))</f>
        <v>-1.2086959958861018E-2</v>
      </c>
      <c r="O52" s="212"/>
      <c r="P52" s="86"/>
      <c r="Q52" s="82">
        <f>Q50+Q51</f>
        <v>17429.997670999997</v>
      </c>
      <c r="R52" s="81"/>
      <c r="S52" s="83">
        <f t="shared" si="47"/>
        <v>-1013.2811699999984</v>
      </c>
      <c r="T52" s="84">
        <f>IF((K52)=0,"",(S52/K52))</f>
        <v>-5.4940402882563487E-2</v>
      </c>
      <c r="U52" s="81"/>
      <c r="V52" s="86"/>
      <c r="W52" s="82">
        <f>W50+W51</f>
        <v>17442.032170999999</v>
      </c>
      <c r="X52" s="81"/>
      <c r="Y52" s="83">
        <f t="shared" si="50"/>
        <v>12.034500000001572</v>
      </c>
      <c r="Z52" s="84">
        <f>IF((Q52)=0,"",(Y52/Q52))</f>
        <v>6.9044759656075876E-4</v>
      </c>
      <c r="AA52" s="81"/>
      <c r="AB52" s="86"/>
      <c r="AC52" s="82">
        <f>AC50+AC51</f>
        <v>17467.417620999997</v>
      </c>
      <c r="AD52" s="81"/>
      <c r="AE52" s="83">
        <f t="shared" si="13"/>
        <v>25.385449999997945</v>
      </c>
      <c r="AF52" s="84">
        <f>IF((W52)=0,"",(AE52/W52))</f>
        <v>1.4554181388453733E-3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44"/>
        <v>0</v>
      </c>
      <c r="N53" s="89" t="str">
        <f>IF((H53)=0,"",(M53/H53))</f>
        <v/>
      </c>
      <c r="O53" s="212"/>
      <c r="P53" s="86"/>
      <c r="Q53" s="87">
        <f>ROUND(-Q52*10%,2)</f>
        <v>-1743</v>
      </c>
      <c r="R53" s="81"/>
      <c r="S53" s="88">
        <f t="shared" si="47"/>
        <v>-1743</v>
      </c>
      <c r="T53" s="89" t="str">
        <f>IF((K53)=0,"",(S53/K53))</f>
        <v/>
      </c>
      <c r="U53" s="81"/>
      <c r="V53" s="86"/>
      <c r="W53" s="87">
        <f>ROUND(-W52*10%,2)</f>
        <v>-1744.2</v>
      </c>
      <c r="X53" s="81"/>
      <c r="Y53" s="88">
        <f t="shared" si="50"/>
        <v>-1.2000000000000455</v>
      </c>
      <c r="Z53" s="89">
        <f>IF((Q53)=0,"",(Y53/Q53))</f>
        <v>6.8846815834770249E-4</v>
      </c>
      <c r="AA53" s="81"/>
      <c r="AB53" s="86"/>
      <c r="AC53" s="87">
        <f>ROUND(-AC52*10%,2)</f>
        <v>-1746.74</v>
      </c>
      <c r="AD53" s="81"/>
      <c r="AE53" s="88">
        <f t="shared" si="13"/>
        <v>-2.5399999999999636</v>
      </c>
      <c r="AF53" s="89">
        <f>IF((W53)=0,"",(AE53/W53))</f>
        <v>1.4562550166265127E-3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18668.92944366032</v>
      </c>
      <c r="I54" s="92"/>
      <c r="J54" s="90"/>
      <c r="K54" s="93">
        <f>K52+K53</f>
        <v>18443.278840999996</v>
      </c>
      <c r="L54" s="92"/>
      <c r="M54" s="94">
        <f t="shared" si="44"/>
        <v>-225.65060266032378</v>
      </c>
      <c r="N54" s="95">
        <f>IF((H54)=0,"",(M54/H54))</f>
        <v>-1.2086959958861018E-2</v>
      </c>
      <c r="O54" s="212"/>
      <c r="P54" s="90"/>
      <c r="Q54" s="93">
        <f>Q52+Q53</f>
        <v>15686.997670999997</v>
      </c>
      <c r="R54" s="92"/>
      <c r="S54" s="94">
        <f t="shared" si="47"/>
        <v>-2756.2811699999984</v>
      </c>
      <c r="T54" s="95">
        <f>IF((K54)=0,"",(S54/K54))</f>
        <v>-0.1494463752222136</v>
      </c>
      <c r="U54" s="92"/>
      <c r="V54" s="90"/>
      <c r="W54" s="93">
        <f>W52+W53</f>
        <v>15697.832170999998</v>
      </c>
      <c r="X54" s="92"/>
      <c r="Y54" s="94">
        <f t="shared" si="50"/>
        <v>10.834500000000844</v>
      </c>
      <c r="Z54" s="95">
        <f>IF((Q54)=0,"",(Y54/Q54))</f>
        <v>6.9066753417259727E-4</v>
      </c>
      <c r="AA54" s="92"/>
      <c r="AB54" s="90"/>
      <c r="AC54" s="93">
        <f>AC52+AC53</f>
        <v>15720.677620999997</v>
      </c>
      <c r="AD54" s="92"/>
      <c r="AE54" s="94">
        <f t="shared" si="13"/>
        <v>22.845449999998891</v>
      </c>
      <c r="AF54" s="95">
        <f>IF((W54)=0,"",(AE54/W54))</f>
        <v>1.4553251526158704E-3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212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17515.276498814444</v>
      </c>
      <c r="I56" s="106"/>
      <c r="J56" s="103"/>
      <c r="K56" s="105">
        <f>SUM(K47:K48,K39,K40:K43)</f>
        <v>17315.5857</v>
      </c>
      <c r="L56" s="106"/>
      <c r="M56" s="107">
        <f t="shared" si="44"/>
        <v>-199.69079881444486</v>
      </c>
      <c r="N56" s="77">
        <f>IF((H56)=0,"",(M56/H56))</f>
        <v>-1.1400950411942473E-2</v>
      </c>
      <c r="O56" s="212"/>
      <c r="P56" s="103"/>
      <c r="Q56" s="105">
        <f>SUM(Q47:Q48,Q39,Q40:Q43)</f>
        <v>16277.376699999999</v>
      </c>
      <c r="R56" s="106"/>
      <c r="S56" s="107">
        <f t="shared" si="47"/>
        <v>-1038.2090000000007</v>
      </c>
      <c r="T56" s="77">
        <f>IF((K56)=0,"",(S56/K56))</f>
        <v>-5.9958064254216986E-2</v>
      </c>
      <c r="U56" s="106"/>
      <c r="V56" s="103"/>
      <c r="W56" s="105">
        <f>SUM(W47:W48,W39,W40:W43)</f>
        <v>16288.026699999999</v>
      </c>
      <c r="X56" s="106"/>
      <c r="Y56" s="107">
        <f t="shared" si="50"/>
        <v>10.649999999999636</v>
      </c>
      <c r="Z56" s="77">
        <f>IF((Q56)=0,"",(Y56/Q56))</f>
        <v>6.5428233285278934E-4</v>
      </c>
      <c r="AA56" s="106"/>
      <c r="AB56" s="103"/>
      <c r="AC56" s="105">
        <f>SUM(AC47:AC48,AC39,AC40:AC43)</f>
        <v>16310.491699999999</v>
      </c>
      <c r="AD56" s="106"/>
      <c r="AE56" s="107">
        <f t="shared" si="13"/>
        <v>22.465000000000146</v>
      </c>
      <c r="AF56" s="77">
        <f>IF((W56)=0,"",(AE56/W56))</f>
        <v>1.3792339866437074E-3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2276.9859448458778</v>
      </c>
      <c r="I57" s="110"/>
      <c r="J57" s="109">
        <v>0.13</v>
      </c>
      <c r="K57" s="111">
        <f>K56*J57</f>
        <v>2251.0261409999998</v>
      </c>
      <c r="L57" s="110"/>
      <c r="M57" s="112">
        <f t="shared" si="44"/>
        <v>-25.959803845878014</v>
      </c>
      <c r="N57" s="84">
        <f>IF((H57)=0,"",(M57/H57))</f>
        <v>-1.1400950411942553E-2</v>
      </c>
      <c r="O57" s="212"/>
      <c r="P57" s="109">
        <v>0.13</v>
      </c>
      <c r="Q57" s="111">
        <f>Q56*P57</f>
        <v>2116.0589709999999</v>
      </c>
      <c r="R57" s="110"/>
      <c r="S57" s="112">
        <f t="shared" si="47"/>
        <v>-134.9671699999999</v>
      </c>
      <c r="T57" s="84">
        <f>IF((K57)=0,"",(S57/K57))</f>
        <v>-5.9958064254216896E-2</v>
      </c>
      <c r="U57" s="110"/>
      <c r="V57" s="109">
        <v>0.13</v>
      </c>
      <c r="W57" s="111">
        <f>W56*V57</f>
        <v>2117.443471</v>
      </c>
      <c r="X57" s="110"/>
      <c r="Y57" s="112">
        <f t="shared" si="50"/>
        <v>1.3845000000001164</v>
      </c>
      <c r="Z57" s="84">
        <f>IF((Q57)=0,"",(Y57/Q57))</f>
        <v>6.5428233285286664E-4</v>
      </c>
      <c r="AA57" s="110"/>
      <c r="AB57" s="109">
        <v>0.13</v>
      </c>
      <c r="AC57" s="111">
        <f>AC56*AB57</f>
        <v>2120.3639210000001</v>
      </c>
      <c r="AD57" s="110"/>
      <c r="AE57" s="112">
        <f t="shared" si="13"/>
        <v>2.9204500000000735</v>
      </c>
      <c r="AF57" s="84">
        <f>IF((W57)=0,"",(AE57/W57))</f>
        <v>1.379233986643733E-3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19792.262443660322</v>
      </c>
      <c r="I58" s="110"/>
      <c r="J58" s="114"/>
      <c r="K58" s="111">
        <f>K56+K57</f>
        <v>19566.611840999998</v>
      </c>
      <c r="L58" s="110"/>
      <c r="M58" s="112">
        <f t="shared" si="44"/>
        <v>-225.65060266032378</v>
      </c>
      <c r="N58" s="84">
        <f>IF((H58)=0,"",(M58/H58))</f>
        <v>-1.1400950411942529E-2</v>
      </c>
      <c r="O58" s="212"/>
      <c r="P58" s="114"/>
      <c r="Q58" s="111">
        <f>Q56+Q57</f>
        <v>18393.435670999999</v>
      </c>
      <c r="R58" s="110"/>
      <c r="S58" s="112">
        <f t="shared" si="47"/>
        <v>-1173.1761699999988</v>
      </c>
      <c r="T58" s="84">
        <f>IF((K58)=0,"",(S58/K58))</f>
        <v>-5.9958064254216882E-2</v>
      </c>
      <c r="U58" s="110"/>
      <c r="V58" s="114"/>
      <c r="W58" s="111">
        <f>W56+W57</f>
        <v>18405.470170999997</v>
      </c>
      <c r="X58" s="110"/>
      <c r="Y58" s="112">
        <f t="shared" si="50"/>
        <v>12.034499999997934</v>
      </c>
      <c r="Z58" s="84">
        <f>IF((Q58)=0,"",(Y58/Q58))</f>
        <v>6.5428233285269924E-4</v>
      </c>
      <c r="AA58" s="110"/>
      <c r="AB58" s="114"/>
      <c r="AC58" s="111">
        <f>AC56+AC57</f>
        <v>18430.855620999999</v>
      </c>
      <c r="AD58" s="110"/>
      <c r="AE58" s="112">
        <f t="shared" si="13"/>
        <v>25.385450000001583</v>
      </c>
      <c r="AF58" s="84">
        <f>IF((W58)=0,"",(AE58/W58))</f>
        <v>1.3792339866437844E-3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44"/>
        <v>0</v>
      </c>
      <c r="N59" s="89" t="str">
        <f>IF((H59)=0,"",(M59/H59))</f>
        <v/>
      </c>
      <c r="O59" s="212"/>
      <c r="P59" s="114"/>
      <c r="Q59" s="116">
        <f>ROUND(-Q58*10%,2)</f>
        <v>-1839.34</v>
      </c>
      <c r="R59" s="110"/>
      <c r="S59" s="117">
        <f t="shared" si="47"/>
        <v>-1839.34</v>
      </c>
      <c r="T59" s="89" t="str">
        <f>IF((K59)=0,"",(S59/K59))</f>
        <v/>
      </c>
      <c r="U59" s="110"/>
      <c r="V59" s="114"/>
      <c r="W59" s="116">
        <f>ROUND(-W58*10%,2)</f>
        <v>-1840.55</v>
      </c>
      <c r="X59" s="110"/>
      <c r="Y59" s="117">
        <f t="shared" si="50"/>
        <v>-1.2100000000000364</v>
      </c>
      <c r="Z59" s="89">
        <f>IF((Q59)=0,"",(Y59/Q59))</f>
        <v>6.5784466167214133E-4</v>
      </c>
      <c r="AA59" s="110"/>
      <c r="AB59" s="114"/>
      <c r="AC59" s="116">
        <f>ROUND(-AC58*10%,2)</f>
        <v>-1843.09</v>
      </c>
      <c r="AD59" s="110"/>
      <c r="AE59" s="117">
        <f t="shared" si="13"/>
        <v>-2.5399999999999636</v>
      </c>
      <c r="AF59" s="89">
        <f>IF((W59)=0,"",(AE59/W59))</f>
        <v>1.380022275950104E-3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19792.262443660322</v>
      </c>
      <c r="I60" s="120"/>
      <c r="J60" s="118"/>
      <c r="K60" s="121">
        <f>SUM(K58:K59)</f>
        <v>19566.611840999998</v>
      </c>
      <c r="L60" s="120"/>
      <c r="M60" s="122">
        <f t="shared" si="44"/>
        <v>-225.65060266032378</v>
      </c>
      <c r="N60" s="123">
        <f>IF((H60)=0,"",(M60/H60))</f>
        <v>-1.1400950411942529E-2</v>
      </c>
      <c r="O60" s="212"/>
      <c r="P60" s="118"/>
      <c r="Q60" s="121">
        <f>SUM(Q58:Q59)</f>
        <v>16554.095670999999</v>
      </c>
      <c r="R60" s="120"/>
      <c r="S60" s="122">
        <f t="shared" si="47"/>
        <v>-3012.516169999999</v>
      </c>
      <c r="T60" s="123">
        <f>IF((K60)=0,"",(S60/K60))</f>
        <v>-0.15396207552334401</v>
      </c>
      <c r="U60" s="120"/>
      <c r="V60" s="118"/>
      <c r="W60" s="121">
        <f>SUM(W58:W59)</f>
        <v>16564.920170999998</v>
      </c>
      <c r="X60" s="120"/>
      <c r="Y60" s="122">
        <f t="shared" si="50"/>
        <v>10.824499999998807</v>
      </c>
      <c r="Z60" s="123">
        <f>IF((Q60)=0,"",(Y60/Q60))</f>
        <v>6.5388651939238913E-4</v>
      </c>
      <c r="AA60" s="120"/>
      <c r="AB60" s="118"/>
      <c r="AC60" s="121">
        <f>SUM(AC58:AC59)</f>
        <v>16587.765620999999</v>
      </c>
      <c r="AD60" s="120"/>
      <c r="AE60" s="122">
        <f t="shared" si="13"/>
        <v>22.84545000000071</v>
      </c>
      <c r="AF60" s="123">
        <f>IF((W60)=0,"",(AE60/W60))</f>
        <v>1.3791463987853053E-3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7">
    <mergeCell ref="G9:H9"/>
    <mergeCell ref="J9:K9"/>
    <mergeCell ref="M9:N9"/>
    <mergeCell ref="B54:D54"/>
    <mergeCell ref="B60:D60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scale="51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7030A0"/>
    <pageSetUpPr fitToPage="1"/>
  </sheetPr>
  <dimension ref="A1:AP79"/>
  <sheetViews>
    <sheetView showGridLines="0" topLeftCell="A10" zoomScale="77" zoomScaleNormal="77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140625" style="1" customWidth="1"/>
    <col min="7" max="7" width="12.28515625" style="1" customWidth="1"/>
    <col min="8" max="8" width="12.28515625" style="142" customWidth="1"/>
    <col min="9" max="9" width="1.7109375" style="1" customWidth="1"/>
    <col min="10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3" width="12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9" width="12.28515625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5" width="12.28515625" style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71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350</v>
      </c>
      <c r="H7" s="9" t="s">
        <v>64</v>
      </c>
      <c r="J7" s="151"/>
      <c r="K7" s="151"/>
    </row>
    <row r="8" spans="2:42" x14ac:dyDescent="0.2">
      <c r="B8" s="6"/>
      <c r="G8" s="8">
        <f>G7*(24*30)*0.611111111111111</f>
        <v>153999.99999999997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5"/>
      <c r="L9" s="148"/>
      <c r="M9" s="241" t="s">
        <v>58</v>
      </c>
      <c r="N9" s="245"/>
      <c r="O9" s="212"/>
      <c r="P9" s="178" t="s">
        <v>57</v>
      </c>
      <c r="Q9" s="179"/>
      <c r="R9" s="148"/>
      <c r="S9" s="178" t="s">
        <v>58</v>
      </c>
      <c r="T9" s="179"/>
      <c r="U9" s="148"/>
      <c r="V9" s="178" t="s">
        <v>59</v>
      </c>
      <c r="W9" s="179"/>
      <c r="X9" s="148"/>
      <c r="Y9" s="178" t="s">
        <v>60</v>
      </c>
      <c r="Z9" s="179"/>
      <c r="AA9" s="148"/>
      <c r="AB9" s="178" t="s">
        <v>61</v>
      </c>
      <c r="AC9" s="179"/>
      <c r="AD9" s="148"/>
      <c r="AE9" s="178" t="s">
        <v>62</v>
      </c>
      <c r="AF9" s="179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376.98</v>
      </c>
      <c r="H12" s="18">
        <f t="shared" ref="H12:H27" si="0">$F12*G12</f>
        <v>376.98</v>
      </c>
      <c r="I12" s="19"/>
      <c r="J12" s="209">
        <v>378.88</v>
      </c>
      <c r="K12" s="18">
        <f t="shared" ref="K12:K27" si="1">$F12*J12</f>
        <v>378.88</v>
      </c>
      <c r="L12" s="19"/>
      <c r="M12" s="21">
        <f t="shared" ref="M12:M21" si="2">K12-H12</f>
        <v>1.8999999999999773</v>
      </c>
      <c r="N12" s="22">
        <f t="shared" ref="N12:N21" si="3">IF((H12)=0,"",(M12/H12))</f>
        <v>5.040055175340806E-3</v>
      </c>
      <c r="O12" s="212"/>
      <c r="P12" s="16">
        <v>378.88</v>
      </c>
      <c r="Q12" s="18">
        <f t="shared" ref="Q12:Q27" si="4">$F12*P12</f>
        <v>378.88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378.49</v>
      </c>
      <c r="W12" s="18">
        <f t="shared" ref="W12:W27" si="6">$F12*V12</f>
        <v>378.49</v>
      </c>
      <c r="X12" s="19"/>
      <c r="Y12" s="21">
        <f>W12-Q12</f>
        <v>-0.38999999999998636</v>
      </c>
      <c r="Z12" s="22">
        <f t="shared" ref="Z12:Z34" si="7">IF((Q12)=0,"",(Y12/Q12))</f>
        <v>-1.0293496621621261E-3</v>
      </c>
      <c r="AA12" s="19"/>
      <c r="AB12" s="16">
        <v>387.53</v>
      </c>
      <c r="AC12" s="18">
        <f t="shared" ref="AC12:AC27" si="8">$F12*AB12</f>
        <v>387.53</v>
      </c>
      <c r="AD12" s="19"/>
      <c r="AE12" s="21">
        <f>AC12-W12</f>
        <v>9.0399999999999636</v>
      </c>
      <c r="AF12" s="22">
        <f t="shared" ref="AF12:AF34" si="9">IF((W12)=0,"",(AE12/W12))</f>
        <v>2.3884382678538305E-2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3.5</v>
      </c>
      <c r="H13" s="18">
        <f t="shared" si="0"/>
        <v>3.5</v>
      </c>
      <c r="I13" s="19"/>
      <c r="J13" s="209">
        <v>3.46</v>
      </c>
      <c r="K13" s="18">
        <f t="shared" si="1"/>
        <v>3.46</v>
      </c>
      <c r="L13" s="19"/>
      <c r="M13" s="21">
        <f t="shared" si="2"/>
        <v>-4.0000000000000036E-2</v>
      </c>
      <c r="N13" s="22">
        <f t="shared" si="3"/>
        <v>-1.1428571428571439E-2</v>
      </c>
      <c r="O13" s="212"/>
      <c r="P13" s="16">
        <v>3.46</v>
      </c>
      <c r="Q13" s="18">
        <f t="shared" si="4"/>
        <v>3.46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-3.46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350</v>
      </c>
      <c r="G19" s="16">
        <v>2.5413000000000001</v>
      </c>
      <c r="H19" s="18">
        <f t="shared" si="0"/>
        <v>889.45500000000004</v>
      </c>
      <c r="I19" s="19"/>
      <c r="J19" s="16">
        <v>2.5526</v>
      </c>
      <c r="K19" s="18">
        <f t="shared" si="1"/>
        <v>893.41</v>
      </c>
      <c r="L19" s="19"/>
      <c r="M19" s="21">
        <f t="shared" si="2"/>
        <v>3.9549999999999272</v>
      </c>
      <c r="N19" s="22">
        <f t="shared" si="3"/>
        <v>4.4465431078581008E-3</v>
      </c>
      <c r="O19" s="212"/>
      <c r="P19" s="16">
        <v>2.5526</v>
      </c>
      <c r="Q19" s="18">
        <f t="shared" si="4"/>
        <v>893.41</v>
      </c>
      <c r="R19" s="19"/>
      <c r="S19" s="21">
        <f t="shared" si="10"/>
        <v>0</v>
      </c>
      <c r="T19" s="22">
        <f t="shared" si="5"/>
        <v>0</v>
      </c>
      <c r="U19" s="19"/>
      <c r="V19" s="16">
        <v>2.5503</v>
      </c>
      <c r="W19" s="18">
        <f t="shared" si="6"/>
        <v>892.60500000000002</v>
      </c>
      <c r="X19" s="19"/>
      <c r="Y19" s="21">
        <f t="shared" si="11"/>
        <v>-0.80499999999994998</v>
      </c>
      <c r="Z19" s="22">
        <f t="shared" si="7"/>
        <v>-9.0104207474726047E-4</v>
      </c>
      <c r="AA19" s="19"/>
      <c r="AB19" s="16">
        <v>2.6040000000000001</v>
      </c>
      <c r="AC19" s="18">
        <f t="shared" si="8"/>
        <v>911.4</v>
      </c>
      <c r="AD19" s="19"/>
      <c r="AE19" s="21">
        <f t="shared" si="13"/>
        <v>18.794999999999959</v>
      </c>
      <c r="AF19" s="22">
        <f t="shared" si="9"/>
        <v>2.1056346312198517E-2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4">$G$7</f>
        <v>350</v>
      </c>
      <c r="G20" s="16"/>
      <c r="H20" s="18">
        <f t="shared" si="0"/>
        <v>0</v>
      </c>
      <c r="I20" s="19"/>
      <c r="J20" s="16">
        <v>1.8E-3</v>
      </c>
      <c r="K20" s="18">
        <f t="shared" si="1"/>
        <v>0.63</v>
      </c>
      <c r="L20" s="19"/>
      <c r="M20" s="21">
        <f t="shared" si="2"/>
        <v>0.63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-0.63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350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5">$G$7</f>
        <v>350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">
      <c r="B25" s="24"/>
      <c r="C25" s="14"/>
      <c r="D25" s="15"/>
      <c r="E25" s="15"/>
      <c r="F25" s="17">
        <f t="shared" si="15"/>
        <v>350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">
      <c r="B26" s="24"/>
      <c r="C26" s="14"/>
      <c r="D26" s="15"/>
      <c r="E26" s="15"/>
      <c r="F26" s="17">
        <f t="shared" si="15"/>
        <v>350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">
      <c r="B27" s="24"/>
      <c r="C27" s="14"/>
      <c r="D27" s="15"/>
      <c r="E27" s="15"/>
      <c r="F27" s="17">
        <f t="shared" si="15"/>
        <v>350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1269.9349999999999</v>
      </c>
      <c r="I28" s="31"/>
      <c r="J28" s="28"/>
      <c r="K28" s="30">
        <f>SUM(K12:K27)</f>
        <v>1276.3800000000001</v>
      </c>
      <c r="L28" s="31"/>
      <c r="M28" s="32">
        <f t="shared" si="16"/>
        <v>6.4450000000001637</v>
      </c>
      <c r="N28" s="33">
        <f t="shared" si="17"/>
        <v>5.0750628969200504E-3</v>
      </c>
      <c r="O28" s="212"/>
      <c r="P28" s="28"/>
      <c r="Q28" s="30">
        <f>SUM(Q12:Q27)</f>
        <v>1275.75</v>
      </c>
      <c r="R28" s="31"/>
      <c r="S28" s="32">
        <f t="shared" si="10"/>
        <v>-0.63000000000010914</v>
      </c>
      <c r="T28" s="33">
        <f t="shared" si="5"/>
        <v>-4.9358341559732144E-4</v>
      </c>
      <c r="U28" s="31"/>
      <c r="V28" s="28"/>
      <c r="W28" s="30">
        <f>SUM(W12:W27)</f>
        <v>1271.095</v>
      </c>
      <c r="X28" s="31"/>
      <c r="Y28" s="32">
        <f t="shared" si="11"/>
        <v>-4.6549999999999727</v>
      </c>
      <c r="Z28" s="33">
        <f t="shared" si="7"/>
        <v>-3.6488340192043682E-3</v>
      </c>
      <c r="AA28" s="31"/>
      <c r="AB28" s="28"/>
      <c r="AC28" s="30">
        <f>SUM(AC12:AC27)</f>
        <v>1298.9299999999998</v>
      </c>
      <c r="AD28" s="31"/>
      <c r="AE28" s="32">
        <f t="shared" si="13"/>
        <v>27.834999999999809</v>
      </c>
      <c r="AF28" s="33">
        <f t="shared" si="9"/>
        <v>2.1898441894586802E-2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350</v>
      </c>
      <c r="G29" s="16">
        <v>0.43235768943166519</v>
      </c>
      <c r="H29" s="18">
        <f t="shared" ref="H29:H35" si="18">$F29*G29</f>
        <v>151.32519130108281</v>
      </c>
      <c r="I29" s="19"/>
      <c r="J29" s="16">
        <v>-6.0299999999999999E-2</v>
      </c>
      <c r="K29" s="18">
        <f t="shared" ref="K29:K35" si="19">$F29*J29</f>
        <v>-21.105</v>
      </c>
      <c r="L29" s="19"/>
      <c r="M29" s="21">
        <f t="shared" si="16"/>
        <v>-172.4301913010828</v>
      </c>
      <c r="N29" s="22">
        <f t="shared" si="17"/>
        <v>-1.1394678560690441</v>
      </c>
      <c r="O29" s="212"/>
      <c r="P29" s="16">
        <v>-6.0299999999999999E-2</v>
      </c>
      <c r="Q29" s="18">
        <f t="shared" ref="Q29:Q35" si="20">$F29*P29</f>
        <v>-21.105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21.105</v>
      </c>
      <c r="Z29" s="22">
        <f t="shared" si="7"/>
        <v>-1</v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">
      <c r="B30" s="134" t="s">
        <v>17</v>
      </c>
      <c r="C30" s="14"/>
      <c r="D30" s="15" t="s">
        <v>65</v>
      </c>
      <c r="E30" s="15"/>
      <c r="F30" s="17">
        <f>$G$7</f>
        <v>350</v>
      </c>
      <c r="G30" s="16">
        <v>-0.30893329370118028</v>
      </c>
      <c r="H30" s="18">
        <f t="shared" ref="H30" si="23">$F30*G30</f>
        <v>-108.12665279541309</v>
      </c>
      <c r="I30" s="19"/>
      <c r="J30" s="16">
        <v>-0.86640000000000006</v>
      </c>
      <c r="K30" s="18">
        <f t="shared" ref="K30" si="24">$F30*J30</f>
        <v>-303.24</v>
      </c>
      <c r="L30" s="19"/>
      <c r="M30" s="21">
        <f t="shared" ref="M30" si="25">K30-H30</f>
        <v>-195.11334720458692</v>
      </c>
      <c r="N30" s="22">
        <f t="shared" ref="N30" si="26">IF((H30)=0,"",(M30/H30))</f>
        <v>1.8044889225763949</v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">
      <c r="B31" s="132">
        <v>1575</v>
      </c>
      <c r="C31" s="14"/>
      <c r="D31" s="15" t="s">
        <v>65</v>
      </c>
      <c r="E31" s="15"/>
      <c r="F31" s="17">
        <f t="shared" ref="F31:F33" si="27">$G$7</f>
        <v>350</v>
      </c>
      <c r="G31" s="16">
        <v>0</v>
      </c>
      <c r="H31" s="18">
        <f t="shared" si="18"/>
        <v>0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0</v>
      </c>
      <c r="N31" s="22" t="str">
        <f>IF((H31)=0,"",(M31/H31))</f>
        <v/>
      </c>
      <c r="O31" s="212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">
      <c r="B32" s="35"/>
      <c r="C32" s="14"/>
      <c r="D32" s="15"/>
      <c r="E32" s="15"/>
      <c r="F32" s="17">
        <f t="shared" si="27"/>
        <v>350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212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7"/>
        <v>350</v>
      </c>
      <c r="G33" s="133">
        <v>2.1690000000000001E-2</v>
      </c>
      <c r="H33" s="18">
        <f t="shared" si="18"/>
        <v>7.5914999999999999</v>
      </c>
      <c r="I33" s="19"/>
      <c r="J33" s="133">
        <v>2.1690000000000001E-2</v>
      </c>
      <c r="K33" s="18">
        <f t="shared" si="19"/>
        <v>7.5914999999999999</v>
      </c>
      <c r="L33" s="19"/>
      <c r="M33" s="21">
        <f t="shared" si="28"/>
        <v>0</v>
      </c>
      <c r="N33" s="22">
        <f>IF((H33)=0,"",(M33/H33))</f>
        <v>0</v>
      </c>
      <c r="O33" s="212"/>
      <c r="P33" s="133">
        <v>2.1690000000000001E-2</v>
      </c>
      <c r="Q33" s="18">
        <f t="shared" si="20"/>
        <v>7.5914999999999999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7.5914999999999999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7.5914999999999999</v>
      </c>
      <c r="AD33" s="19"/>
      <c r="AE33" s="21">
        <f t="shared" si="13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5836.6000000000058</v>
      </c>
      <c r="G34" s="38">
        <f>IF(ISBLANK($D$5)=TRUE, 0, IF($D$5="TOU", 0.64*#REF!+0.18*#REF!+0.18*#REF!, IF(AND($D$5="non-TOU", $F$48&gt;0), G48,G47)))</f>
        <v>0.121</v>
      </c>
      <c r="H34" s="18">
        <f t="shared" si="18"/>
        <v>706.22860000000071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19"/>
        <v>706.22860000000071</v>
      </c>
      <c r="L34" s="19"/>
      <c r="M34" s="21">
        <f t="shared" si="28"/>
        <v>0</v>
      </c>
      <c r="N34" s="22">
        <f>IF((H34)=0,"",(M34/H34))</f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20"/>
        <v>642.02600000000064</v>
      </c>
      <c r="R34" s="19"/>
      <c r="S34" s="21">
        <f t="shared" si="10"/>
        <v>-64.202600000000075</v>
      </c>
      <c r="T34" s="22">
        <f t="shared" si="5"/>
        <v>-9.0909090909090925E-2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642.02600000000064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642.02600000000064</v>
      </c>
      <c r="AD34" s="19"/>
      <c r="AE34" s="21">
        <f t="shared" si="13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212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2026.9536385056704</v>
      </c>
      <c r="I36" s="31"/>
      <c r="J36" s="41"/>
      <c r="K36" s="43">
        <f>SUM(K29:K35)+K28</f>
        <v>1665.8551000000007</v>
      </c>
      <c r="L36" s="31"/>
      <c r="M36" s="32">
        <f t="shared" si="28"/>
        <v>-361.09853850566969</v>
      </c>
      <c r="N36" s="33">
        <f t="shared" ref="N36:N42" si="33">IF((H36)=0,"",(M36/H36))</f>
        <v>-0.17814839552614639</v>
      </c>
      <c r="O36" s="212"/>
      <c r="P36" s="41"/>
      <c r="Q36" s="43">
        <f>SUM(Q29:Q35)+Q28</f>
        <v>1904.2625000000007</v>
      </c>
      <c r="R36" s="31"/>
      <c r="S36" s="32">
        <f t="shared" si="10"/>
        <v>238.40740000000005</v>
      </c>
      <c r="T36" s="33">
        <f t="shared" ref="T36:T42" si="34">IF((K36)=0,"",(S36/K36))</f>
        <v>0.14311412799348511</v>
      </c>
      <c r="U36" s="31"/>
      <c r="V36" s="41"/>
      <c r="W36" s="43">
        <f>SUM(W29:W35)+W28</f>
        <v>1920.7125000000005</v>
      </c>
      <c r="X36" s="31"/>
      <c r="Y36" s="32">
        <f t="shared" si="11"/>
        <v>16.449999999999818</v>
      </c>
      <c r="Z36" s="33">
        <f t="shared" ref="Z36:Z42" si="35">IF((Q36)=0,"",(Y36/Q36))</f>
        <v>8.6385149106280312E-3</v>
      </c>
      <c r="AA36" s="31"/>
      <c r="AB36" s="41"/>
      <c r="AC36" s="43">
        <f>SUM(AC29:AC35)+AC28</f>
        <v>1948.5475000000006</v>
      </c>
      <c r="AD36" s="31"/>
      <c r="AE36" s="32">
        <f t="shared" si="13"/>
        <v>27.835000000000036</v>
      </c>
      <c r="AF36" s="33">
        <f t="shared" ref="AF36:AF46" si="36">IF((W36)=0,"",(AE36/W36))</f>
        <v>1.4492017936052391E-2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350</v>
      </c>
      <c r="G37" s="20">
        <v>2.7064544797271646</v>
      </c>
      <c r="H37" s="18">
        <f>$F37*G37</f>
        <v>947.25906790450756</v>
      </c>
      <c r="I37" s="19"/>
      <c r="J37" s="20">
        <v>2.5720999999999998</v>
      </c>
      <c r="K37" s="18">
        <f>$F37*J37</f>
        <v>900.2349999999999</v>
      </c>
      <c r="L37" s="19"/>
      <c r="M37" s="21">
        <f t="shared" si="28"/>
        <v>-47.02406790450766</v>
      </c>
      <c r="N37" s="22">
        <f t="shared" si="33"/>
        <v>-4.9642246242659477E-2</v>
      </c>
      <c r="O37" s="212"/>
      <c r="P37" s="20">
        <v>2.5720999999999998</v>
      </c>
      <c r="Q37" s="18">
        <f>$F37*P37</f>
        <v>900.2349999999999</v>
      </c>
      <c r="R37" s="19"/>
      <c r="S37" s="21">
        <f t="shared" si="10"/>
        <v>0</v>
      </c>
      <c r="T37" s="22">
        <f t="shared" si="34"/>
        <v>0</v>
      </c>
      <c r="U37" s="19"/>
      <c r="V37" s="20">
        <v>2.5720999999999998</v>
      </c>
      <c r="W37" s="18">
        <f>$F37*V37</f>
        <v>900.2349999999999</v>
      </c>
      <c r="X37" s="19"/>
      <c r="Y37" s="21">
        <f t="shared" si="11"/>
        <v>0</v>
      </c>
      <c r="Z37" s="22">
        <f t="shared" si="35"/>
        <v>0</v>
      </c>
      <c r="AA37" s="19"/>
      <c r="AB37" s="20">
        <v>2.5720999999999998</v>
      </c>
      <c r="AC37" s="18">
        <f>$F37*AB37</f>
        <v>900.2349999999999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350</v>
      </c>
      <c r="G38" s="20">
        <v>2.121465119800138</v>
      </c>
      <c r="H38" s="18">
        <f>$F38*G38</f>
        <v>742.51279193004825</v>
      </c>
      <c r="I38" s="19"/>
      <c r="J38" s="20">
        <v>2.1213000000000002</v>
      </c>
      <c r="K38" s="18">
        <f>$F38*J38</f>
        <v>742.45500000000004</v>
      </c>
      <c r="L38" s="19"/>
      <c r="M38" s="21">
        <f t="shared" si="28"/>
        <v>-5.7791930048210816E-2</v>
      </c>
      <c r="N38" s="22">
        <f t="shared" si="33"/>
        <v>-7.7832908303154677E-5</v>
      </c>
      <c r="O38" s="212"/>
      <c r="P38" s="20">
        <v>2.1213000000000002</v>
      </c>
      <c r="Q38" s="18">
        <f>$F38*P38</f>
        <v>742.45500000000004</v>
      </c>
      <c r="R38" s="19"/>
      <c r="S38" s="21">
        <f t="shared" si="10"/>
        <v>0</v>
      </c>
      <c r="T38" s="22">
        <f t="shared" si="34"/>
        <v>0</v>
      </c>
      <c r="U38" s="19"/>
      <c r="V38" s="20">
        <v>2.1213000000000002</v>
      </c>
      <c r="W38" s="18">
        <f>$F38*V38</f>
        <v>742.45500000000004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2.1213000000000002</v>
      </c>
      <c r="AC38" s="18">
        <f>$F38*AB38</f>
        <v>742.45500000000004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3716.7254983402263</v>
      </c>
      <c r="I39" s="48"/>
      <c r="J39" s="47"/>
      <c r="K39" s="43">
        <f>SUM(K36:K38)</f>
        <v>3308.5451000000003</v>
      </c>
      <c r="L39" s="48"/>
      <c r="M39" s="32">
        <f t="shared" si="28"/>
        <v>-408.18039834022602</v>
      </c>
      <c r="N39" s="33">
        <f t="shared" si="33"/>
        <v>-0.10982258402524121</v>
      </c>
      <c r="O39" s="212"/>
      <c r="P39" s="47"/>
      <c r="Q39" s="43">
        <f>SUM(Q36:Q38)</f>
        <v>3546.9525000000003</v>
      </c>
      <c r="R39" s="48"/>
      <c r="S39" s="32">
        <f t="shared" si="10"/>
        <v>238.40740000000005</v>
      </c>
      <c r="T39" s="33">
        <f t="shared" si="34"/>
        <v>7.2058077733321527E-2</v>
      </c>
      <c r="U39" s="48"/>
      <c r="V39" s="47"/>
      <c r="W39" s="43">
        <f>SUM(W36:W38)</f>
        <v>3563.4025000000001</v>
      </c>
      <c r="X39" s="48"/>
      <c r="Y39" s="32">
        <f t="shared" si="11"/>
        <v>16.449999999999818</v>
      </c>
      <c r="Z39" s="33">
        <f t="shared" si="35"/>
        <v>4.6377841259503238E-3</v>
      </c>
      <c r="AA39" s="48"/>
      <c r="AB39" s="47"/>
      <c r="AC39" s="43">
        <f>SUM(AC36:AC38)</f>
        <v>3591.2375000000002</v>
      </c>
      <c r="AD39" s="48"/>
      <c r="AE39" s="32">
        <f t="shared" si="13"/>
        <v>27.835000000000036</v>
      </c>
      <c r="AF39" s="33">
        <f t="shared" si="36"/>
        <v>7.8113544568709356E-3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159836.59999999998</v>
      </c>
      <c r="G40" s="50">
        <v>4.7000000000000002E-3</v>
      </c>
      <c r="H40" s="152">
        <f t="shared" ref="H40:H42" si="37">$F40*G40</f>
        <v>751.23201999999992</v>
      </c>
      <c r="I40" s="19"/>
      <c r="J40" s="50">
        <v>4.7000000000000002E-3</v>
      </c>
      <c r="K40" s="152">
        <f t="shared" ref="K40:K42" si="38">$F40*J40</f>
        <v>751.23201999999992</v>
      </c>
      <c r="L40" s="19"/>
      <c r="M40" s="21">
        <f t="shared" si="28"/>
        <v>0</v>
      </c>
      <c r="N40" s="153">
        <f t="shared" si="33"/>
        <v>0</v>
      </c>
      <c r="O40" s="212"/>
      <c r="P40" s="50">
        <v>4.7000000000000002E-3</v>
      </c>
      <c r="Q40" s="152">
        <f t="shared" ref="Q40:Q42" si="39">$F40*P40</f>
        <v>751.23201999999992</v>
      </c>
      <c r="R40" s="19"/>
      <c r="S40" s="21">
        <f t="shared" si="10"/>
        <v>0</v>
      </c>
      <c r="T40" s="153">
        <f t="shared" si="34"/>
        <v>0</v>
      </c>
      <c r="U40" s="19"/>
      <c r="V40" s="50">
        <v>4.7000000000000002E-3</v>
      </c>
      <c r="W40" s="152">
        <f t="shared" ref="W40:W42" si="40">$F40*V40</f>
        <v>751.23201999999992</v>
      </c>
      <c r="X40" s="19"/>
      <c r="Y40" s="21">
        <f t="shared" si="11"/>
        <v>0</v>
      </c>
      <c r="Z40" s="153">
        <f t="shared" si="35"/>
        <v>0</v>
      </c>
      <c r="AA40" s="19"/>
      <c r="AB40" s="50">
        <v>4.7000000000000002E-3</v>
      </c>
      <c r="AC40" s="152">
        <f t="shared" ref="AC40:AC48" si="41">$F40*AB40</f>
        <v>751.23201999999992</v>
      </c>
      <c r="AD40" s="19"/>
      <c r="AE40" s="21">
        <f t="shared" si="13"/>
        <v>0</v>
      </c>
      <c r="AF40" s="153">
        <f t="shared" si="36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159836.59999999998</v>
      </c>
      <c r="G41" s="50">
        <v>1.2999999999999999E-3</v>
      </c>
      <c r="H41" s="152">
        <f t="shared" si="37"/>
        <v>207.78757999999996</v>
      </c>
      <c r="I41" s="19"/>
      <c r="J41" s="50">
        <v>2.0999999999999999E-3</v>
      </c>
      <c r="K41" s="152">
        <f t="shared" si="38"/>
        <v>335.65685999999994</v>
      </c>
      <c r="L41" s="19"/>
      <c r="M41" s="21">
        <f t="shared" si="28"/>
        <v>127.86927999999997</v>
      </c>
      <c r="N41" s="153">
        <f t="shared" si="33"/>
        <v>0.61538461538461542</v>
      </c>
      <c r="O41" s="212"/>
      <c r="P41" s="50">
        <v>2.0999999999999999E-3</v>
      </c>
      <c r="Q41" s="152">
        <f t="shared" si="39"/>
        <v>335.65685999999994</v>
      </c>
      <c r="R41" s="19"/>
      <c r="S41" s="21">
        <f t="shared" si="10"/>
        <v>0</v>
      </c>
      <c r="T41" s="153">
        <f t="shared" si="34"/>
        <v>0</v>
      </c>
      <c r="U41" s="19"/>
      <c r="V41" s="50">
        <v>2.0999999999999999E-3</v>
      </c>
      <c r="W41" s="152">
        <f t="shared" si="40"/>
        <v>335.65685999999994</v>
      </c>
      <c r="X41" s="19"/>
      <c r="Y41" s="21">
        <f t="shared" si="11"/>
        <v>0</v>
      </c>
      <c r="Z41" s="153">
        <f t="shared" si="35"/>
        <v>0</v>
      </c>
      <c r="AA41" s="19"/>
      <c r="AB41" s="50">
        <v>2.0999999999999999E-3</v>
      </c>
      <c r="AC41" s="152">
        <f t="shared" si="41"/>
        <v>335.65685999999994</v>
      </c>
      <c r="AD41" s="19"/>
      <c r="AE41" s="21">
        <f t="shared" si="13"/>
        <v>0</v>
      </c>
      <c r="AF41" s="153">
        <f t="shared" si="36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7"/>
        <v>0.25</v>
      </c>
      <c r="I42" s="19"/>
      <c r="J42" s="50">
        <v>0.25</v>
      </c>
      <c r="K42" s="152">
        <f t="shared" si="38"/>
        <v>0.25</v>
      </c>
      <c r="L42" s="19"/>
      <c r="M42" s="21">
        <f t="shared" si="28"/>
        <v>0</v>
      </c>
      <c r="N42" s="153">
        <f t="shared" si="33"/>
        <v>0</v>
      </c>
      <c r="O42" s="212"/>
      <c r="P42" s="50">
        <v>0.25</v>
      </c>
      <c r="Q42" s="152">
        <f t="shared" si="39"/>
        <v>0.25</v>
      </c>
      <c r="R42" s="19"/>
      <c r="S42" s="21">
        <f t="shared" si="10"/>
        <v>0</v>
      </c>
      <c r="T42" s="153">
        <f t="shared" si="34"/>
        <v>0</v>
      </c>
      <c r="U42" s="19"/>
      <c r="V42" s="50">
        <v>0.25</v>
      </c>
      <c r="W42" s="152">
        <f t="shared" si="40"/>
        <v>0.25</v>
      </c>
      <c r="X42" s="19"/>
      <c r="Y42" s="21">
        <f t="shared" si="11"/>
        <v>0</v>
      </c>
      <c r="Z42" s="153">
        <f t="shared" si="35"/>
        <v>0</v>
      </c>
      <c r="AA42" s="19"/>
      <c r="AB42" s="50">
        <v>0.25</v>
      </c>
      <c r="AC42" s="152">
        <f t="shared" si="41"/>
        <v>0.25</v>
      </c>
      <c r="AD42" s="19"/>
      <c r="AE42" s="21">
        <f t="shared" si="13"/>
        <v>0</v>
      </c>
      <c r="AF42" s="153">
        <f t="shared" si="36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153999.99999999997</v>
      </c>
      <c r="G43" s="50">
        <v>7.0000000000000001E-3</v>
      </c>
      <c r="H43" s="152">
        <f t="shared" ref="H43:H48" si="42">$F43*G43</f>
        <v>1077.9999999999998</v>
      </c>
      <c r="I43" s="19"/>
      <c r="J43" s="50">
        <v>7.0000000000000001E-3</v>
      </c>
      <c r="K43" s="152">
        <f t="shared" ref="K43:K48" si="43">$F43*J43</f>
        <v>1077.9999999999998</v>
      </c>
      <c r="L43" s="19"/>
      <c r="M43" s="21">
        <f t="shared" ref="M43:M60" si="44">K43-H43</f>
        <v>0</v>
      </c>
      <c r="N43" s="153">
        <f t="shared" ref="N43:N46" si="45">IF((H43)=0,"",(M43/H43))</f>
        <v>0</v>
      </c>
      <c r="O43" s="212"/>
      <c r="P43" s="50">
        <v>7.0000000000000001E-3</v>
      </c>
      <c r="Q43" s="152">
        <f t="shared" ref="Q43:Q48" si="46">$F43*P43</f>
        <v>1077.9999999999998</v>
      </c>
      <c r="R43" s="19"/>
      <c r="S43" s="21">
        <f t="shared" ref="S43:S60" si="47">Q43-K43</f>
        <v>0</v>
      </c>
      <c r="T43" s="153">
        <f t="shared" ref="T43:T46" si="48">IF((K43)=0,"",(S43/K43))</f>
        <v>0</v>
      </c>
      <c r="U43" s="19"/>
      <c r="V43" s="50">
        <v>7.0000000000000001E-3</v>
      </c>
      <c r="W43" s="152">
        <f t="shared" ref="W43:W48" si="49">$F43*V43</f>
        <v>1077.9999999999998</v>
      </c>
      <c r="X43" s="19"/>
      <c r="Y43" s="21">
        <f t="shared" ref="Y43:Y60" si="50">W43-Q43</f>
        <v>0</v>
      </c>
      <c r="Z43" s="153">
        <f t="shared" ref="Z43:Z46" si="51">IF((Q43)=0,"",(Y43/Q43))</f>
        <v>0</v>
      </c>
      <c r="AA43" s="19"/>
      <c r="AB43" s="50">
        <v>7.0000000000000001E-3</v>
      </c>
      <c r="AC43" s="152">
        <f t="shared" si="41"/>
        <v>1077.9999999999998</v>
      </c>
      <c r="AD43" s="19"/>
      <c r="AE43" s="21">
        <f t="shared" si="13"/>
        <v>0</v>
      </c>
      <c r="AF43" s="153">
        <f t="shared" si="36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98559.999999999985</v>
      </c>
      <c r="G44" s="54">
        <v>8.6999999999999994E-2</v>
      </c>
      <c r="H44" s="152">
        <f t="shared" si="42"/>
        <v>8574.7199999999975</v>
      </c>
      <c r="I44" s="19"/>
      <c r="J44" s="54">
        <f>+G44</f>
        <v>8.6999999999999994E-2</v>
      </c>
      <c r="K44" s="152">
        <f t="shared" si="43"/>
        <v>8574.7199999999975</v>
      </c>
      <c r="L44" s="19"/>
      <c r="M44" s="21">
        <f t="shared" si="44"/>
        <v>0</v>
      </c>
      <c r="N44" s="153">
        <f t="shared" si="45"/>
        <v>0</v>
      </c>
      <c r="O44" s="212"/>
      <c r="P44" s="54">
        <v>0.08</v>
      </c>
      <c r="Q44" s="152">
        <f t="shared" si="46"/>
        <v>7884.7999999999993</v>
      </c>
      <c r="R44" s="19"/>
      <c r="S44" s="21">
        <f t="shared" si="47"/>
        <v>-689.91999999999825</v>
      </c>
      <c r="T44" s="153">
        <f t="shared" si="48"/>
        <v>-8.0459770114942347E-2</v>
      </c>
      <c r="U44" s="19"/>
      <c r="V44" s="54">
        <v>0.08</v>
      </c>
      <c r="W44" s="152">
        <f t="shared" si="49"/>
        <v>7884.7999999999993</v>
      </c>
      <c r="X44" s="19"/>
      <c r="Y44" s="21">
        <f t="shared" si="50"/>
        <v>0</v>
      </c>
      <c r="Z44" s="153">
        <f t="shared" si="51"/>
        <v>0</v>
      </c>
      <c r="AA44" s="19"/>
      <c r="AB44" s="54">
        <v>0.08</v>
      </c>
      <c r="AC44" s="152">
        <f t="shared" si="41"/>
        <v>7884.7999999999993</v>
      </c>
      <c r="AD44" s="19"/>
      <c r="AE44" s="21">
        <f t="shared" si="13"/>
        <v>0</v>
      </c>
      <c r="AF44" s="153">
        <f t="shared" si="36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27719.999999999993</v>
      </c>
      <c r="G45" s="54">
        <v>0.13200000000000001</v>
      </c>
      <c r="H45" s="152">
        <f t="shared" si="42"/>
        <v>3659.0399999999991</v>
      </c>
      <c r="I45" s="19"/>
      <c r="J45" s="54">
        <f>+G45</f>
        <v>0.13200000000000001</v>
      </c>
      <c r="K45" s="152">
        <f t="shared" si="43"/>
        <v>3659.0399999999991</v>
      </c>
      <c r="L45" s="19"/>
      <c r="M45" s="21">
        <f t="shared" si="44"/>
        <v>0</v>
      </c>
      <c r="N45" s="153">
        <f t="shared" si="45"/>
        <v>0</v>
      </c>
      <c r="O45" s="212"/>
      <c r="P45" s="54">
        <v>0.122</v>
      </c>
      <c r="Q45" s="152">
        <f t="shared" si="46"/>
        <v>3381.8399999999992</v>
      </c>
      <c r="R45" s="19"/>
      <c r="S45" s="21">
        <f t="shared" si="47"/>
        <v>-277.19999999999982</v>
      </c>
      <c r="T45" s="153">
        <f t="shared" si="48"/>
        <v>-7.5757575757575732E-2</v>
      </c>
      <c r="U45" s="19"/>
      <c r="V45" s="54">
        <v>0.122</v>
      </c>
      <c r="W45" s="152">
        <f t="shared" si="49"/>
        <v>3381.8399999999992</v>
      </c>
      <c r="X45" s="19"/>
      <c r="Y45" s="21">
        <f t="shared" si="50"/>
        <v>0</v>
      </c>
      <c r="Z45" s="153">
        <f t="shared" si="51"/>
        <v>0</v>
      </c>
      <c r="AA45" s="19"/>
      <c r="AB45" s="54">
        <v>0.122</v>
      </c>
      <c r="AC45" s="152">
        <f t="shared" si="41"/>
        <v>3381.8399999999992</v>
      </c>
      <c r="AD45" s="19"/>
      <c r="AE45" s="21">
        <f t="shared" si="13"/>
        <v>0</v>
      </c>
      <c r="AF45" s="153">
        <f t="shared" si="36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27719.999999999993</v>
      </c>
      <c r="G46" s="54">
        <v>0.18</v>
      </c>
      <c r="H46" s="152">
        <f t="shared" si="42"/>
        <v>4989.5999999999985</v>
      </c>
      <c r="I46" s="19"/>
      <c r="J46" s="54">
        <f>+G46</f>
        <v>0.18</v>
      </c>
      <c r="K46" s="152">
        <f t="shared" si="43"/>
        <v>4989.5999999999985</v>
      </c>
      <c r="L46" s="19"/>
      <c r="M46" s="21">
        <f t="shared" si="44"/>
        <v>0</v>
      </c>
      <c r="N46" s="153">
        <f t="shared" si="45"/>
        <v>0</v>
      </c>
      <c r="O46" s="212"/>
      <c r="P46" s="54">
        <v>0.161</v>
      </c>
      <c r="Q46" s="152">
        <f t="shared" si="46"/>
        <v>4462.9199999999992</v>
      </c>
      <c r="R46" s="19"/>
      <c r="S46" s="21">
        <f t="shared" si="47"/>
        <v>-526.67999999999938</v>
      </c>
      <c r="T46" s="153">
        <f t="shared" si="48"/>
        <v>-0.10555555555555546</v>
      </c>
      <c r="U46" s="19"/>
      <c r="V46" s="54">
        <v>0.161</v>
      </c>
      <c r="W46" s="152">
        <f t="shared" si="49"/>
        <v>4462.9199999999992</v>
      </c>
      <c r="X46" s="19"/>
      <c r="Y46" s="21">
        <f t="shared" si="50"/>
        <v>0</v>
      </c>
      <c r="Z46" s="153">
        <f t="shared" si="51"/>
        <v>0</v>
      </c>
      <c r="AA46" s="19"/>
      <c r="AB46" s="54">
        <v>0.161</v>
      </c>
      <c r="AC46" s="152">
        <f t="shared" si="41"/>
        <v>4462.9199999999992</v>
      </c>
      <c r="AD46" s="19"/>
      <c r="AE46" s="21">
        <f t="shared" si="13"/>
        <v>0</v>
      </c>
      <c r="AF46" s="153">
        <f t="shared" si="36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42"/>
        <v>77.25</v>
      </c>
      <c r="I47" s="59"/>
      <c r="J47" s="54">
        <f>+G47</f>
        <v>0.10299999999999999</v>
      </c>
      <c r="K47" s="152">
        <f t="shared" si="43"/>
        <v>77.25</v>
      </c>
      <c r="L47" s="59"/>
      <c r="M47" s="60">
        <f t="shared" si="44"/>
        <v>0</v>
      </c>
      <c r="N47" s="153">
        <f>IF((H47)=FALSE,"",(M47/H47))</f>
        <v>0</v>
      </c>
      <c r="O47" s="212"/>
      <c r="P47" s="54">
        <v>9.4E-2</v>
      </c>
      <c r="Q47" s="152">
        <f t="shared" si="46"/>
        <v>70.5</v>
      </c>
      <c r="R47" s="59"/>
      <c r="S47" s="60">
        <f t="shared" si="47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9"/>
        <v>70.5</v>
      </c>
      <c r="X47" s="59"/>
      <c r="Y47" s="60">
        <f t="shared" si="50"/>
        <v>0</v>
      </c>
      <c r="Z47" s="153">
        <f>IF((Q47)=FALSE,"",(Y47/Q47))</f>
        <v>0</v>
      </c>
      <c r="AA47" s="59"/>
      <c r="AB47" s="54">
        <v>9.4E-2</v>
      </c>
      <c r="AC47" s="152">
        <f t="shared" si="41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153249.99999999997</v>
      </c>
      <c r="G48" s="54">
        <v>0.121</v>
      </c>
      <c r="H48" s="152">
        <f t="shared" si="42"/>
        <v>18543.249999999996</v>
      </c>
      <c r="I48" s="59"/>
      <c r="J48" s="54">
        <f>+G48</f>
        <v>0.121</v>
      </c>
      <c r="K48" s="152">
        <f t="shared" si="43"/>
        <v>18543.249999999996</v>
      </c>
      <c r="L48" s="59"/>
      <c r="M48" s="60">
        <f t="shared" si="44"/>
        <v>0</v>
      </c>
      <c r="N48" s="153">
        <f>IF((H48)=FALSE,"",(M48/H48))</f>
        <v>0</v>
      </c>
      <c r="O48" s="212"/>
      <c r="P48" s="54">
        <v>0.11</v>
      </c>
      <c r="Q48" s="152">
        <f t="shared" si="46"/>
        <v>16857.499999999996</v>
      </c>
      <c r="R48" s="59"/>
      <c r="S48" s="60">
        <f t="shared" si="47"/>
        <v>-1685.75</v>
      </c>
      <c r="T48" s="153">
        <f>IF((K48)=FALSE,"",(S48/K48))</f>
        <v>-9.0909090909090925E-2</v>
      </c>
      <c r="U48" s="59"/>
      <c r="V48" s="54">
        <v>0.11</v>
      </c>
      <c r="W48" s="152">
        <f t="shared" si="49"/>
        <v>16857.499999999996</v>
      </c>
      <c r="X48" s="59"/>
      <c r="Y48" s="60">
        <f t="shared" si="50"/>
        <v>0</v>
      </c>
      <c r="Z48" s="153">
        <f>IF((Q48)=FALSE,"",(Y48/Q48))</f>
        <v>0</v>
      </c>
      <c r="AA48" s="59"/>
      <c r="AB48" s="54">
        <v>0.11</v>
      </c>
      <c r="AC48" s="152">
        <f t="shared" si="41"/>
        <v>16857.499999999996</v>
      </c>
      <c r="AD48" s="59"/>
      <c r="AE48" s="60">
        <f t="shared" si="13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212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22977.35509834022</v>
      </c>
      <c r="I50" s="75"/>
      <c r="J50" s="72"/>
      <c r="K50" s="74">
        <f>SUM(K40:K46,K39)</f>
        <v>22697.043979999991</v>
      </c>
      <c r="L50" s="75"/>
      <c r="M50" s="76">
        <f t="shared" si="44"/>
        <v>-280.31111834022886</v>
      </c>
      <c r="N50" s="77">
        <f>IF((H50)=0,"",(M50/H50))</f>
        <v>-1.2199451030831537E-2</v>
      </c>
      <c r="O50" s="212"/>
      <c r="P50" s="72"/>
      <c r="Q50" s="74">
        <f>SUM(Q40:Q46,Q39)</f>
        <v>21441.651379999996</v>
      </c>
      <c r="R50" s="75"/>
      <c r="S50" s="76">
        <f t="shared" si="47"/>
        <v>-1255.3925999999956</v>
      </c>
      <c r="T50" s="77">
        <f>IF((K50)=0,"",(S50/K50))</f>
        <v>-5.531084140763938E-2</v>
      </c>
      <c r="U50" s="75"/>
      <c r="V50" s="72"/>
      <c r="W50" s="74">
        <f>SUM(W40:W46,W39)</f>
        <v>21458.101379999996</v>
      </c>
      <c r="X50" s="75"/>
      <c r="Y50" s="76">
        <f t="shared" si="50"/>
        <v>16.450000000000728</v>
      </c>
      <c r="Z50" s="77">
        <f>IF((Q50)=0,"",(Y50/Q50))</f>
        <v>7.6719837052031817E-4</v>
      </c>
      <c r="AA50" s="75"/>
      <c r="AB50" s="72"/>
      <c r="AC50" s="74">
        <f>SUM(AC40:AC46,AC39)</f>
        <v>21485.936379999996</v>
      </c>
      <c r="AD50" s="75"/>
      <c r="AE50" s="76">
        <f t="shared" si="13"/>
        <v>27.834999999999127</v>
      </c>
      <c r="AF50" s="77">
        <f>IF((W50)=0,"",(AE50/W50))</f>
        <v>1.297179070369325E-3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2987.0561627842289</v>
      </c>
      <c r="I51" s="81"/>
      <c r="J51" s="79">
        <v>0.13</v>
      </c>
      <c r="K51" s="82">
        <f>K50*J51</f>
        <v>2950.6157173999991</v>
      </c>
      <c r="L51" s="81"/>
      <c r="M51" s="83">
        <f t="shared" si="44"/>
        <v>-36.440445384229861</v>
      </c>
      <c r="N51" s="84">
        <f>IF((H51)=0,"",(M51/H51))</f>
        <v>-1.2199451030831572E-2</v>
      </c>
      <c r="O51" s="212"/>
      <c r="P51" s="79">
        <v>0.13</v>
      </c>
      <c r="Q51" s="82">
        <f>Q50*P51</f>
        <v>2787.4146793999994</v>
      </c>
      <c r="R51" s="81"/>
      <c r="S51" s="83">
        <f t="shared" si="47"/>
        <v>-163.2010379999997</v>
      </c>
      <c r="T51" s="84">
        <f>IF((K51)=0,"",(S51/K51))</f>
        <v>-5.5310841407639463E-2</v>
      </c>
      <c r="U51" s="81"/>
      <c r="V51" s="79">
        <v>0.13</v>
      </c>
      <c r="W51" s="82">
        <f>W50*V51</f>
        <v>2789.5531793999994</v>
      </c>
      <c r="X51" s="81"/>
      <c r="Y51" s="83">
        <f t="shared" si="50"/>
        <v>2.1385000000000218</v>
      </c>
      <c r="Z51" s="84">
        <f>IF((Q51)=0,"",(Y51/Q51))</f>
        <v>7.6719837052029204E-4</v>
      </c>
      <c r="AA51" s="81"/>
      <c r="AB51" s="79">
        <v>0.13</v>
      </c>
      <c r="AC51" s="82">
        <f>AC50*AB51</f>
        <v>2793.1717293999995</v>
      </c>
      <c r="AD51" s="81"/>
      <c r="AE51" s="83">
        <f t="shared" si="13"/>
        <v>3.6185500000001412</v>
      </c>
      <c r="AF51" s="84">
        <f>IF((W51)=0,"",(AE51/W51))</f>
        <v>1.2971790703694163E-3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25964.411261124449</v>
      </c>
      <c r="I52" s="81"/>
      <c r="J52" s="86"/>
      <c r="K52" s="82">
        <f>K50+K51</f>
        <v>25647.659697399991</v>
      </c>
      <c r="L52" s="81"/>
      <c r="M52" s="83">
        <f t="shared" si="44"/>
        <v>-316.75156372445781</v>
      </c>
      <c r="N52" s="84">
        <f>IF((H52)=0,"",(M52/H52))</f>
        <v>-1.2199451030831506E-2</v>
      </c>
      <c r="O52" s="212"/>
      <c r="P52" s="86"/>
      <c r="Q52" s="82">
        <f>Q50+Q51</f>
        <v>24229.066059399996</v>
      </c>
      <c r="R52" s="81"/>
      <c r="S52" s="83">
        <f t="shared" si="47"/>
        <v>-1418.5936379999948</v>
      </c>
      <c r="T52" s="84">
        <f>IF((K52)=0,"",(S52/K52))</f>
        <v>-5.5310841407639366E-2</v>
      </c>
      <c r="U52" s="81"/>
      <c r="V52" s="86"/>
      <c r="W52" s="82">
        <f>W50+W51</f>
        <v>24247.654559399994</v>
      </c>
      <c r="X52" s="81"/>
      <c r="Y52" s="83">
        <f t="shared" si="50"/>
        <v>18.588499999998021</v>
      </c>
      <c r="Z52" s="84">
        <f>IF((Q52)=0,"",(Y52/Q52))</f>
        <v>7.6719837052020249E-4</v>
      </c>
      <c r="AA52" s="81"/>
      <c r="AB52" s="86"/>
      <c r="AC52" s="82">
        <f>AC50+AC51</f>
        <v>24279.108109399996</v>
      </c>
      <c r="AD52" s="81"/>
      <c r="AE52" s="83">
        <f t="shared" si="13"/>
        <v>31.453550000001997</v>
      </c>
      <c r="AF52" s="84">
        <f>IF((W52)=0,"",(AE52/W52))</f>
        <v>1.2971790703694482E-3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44"/>
        <v>0</v>
      </c>
      <c r="N53" s="89" t="str">
        <f>IF((H53)=0,"",(M53/H53))</f>
        <v/>
      </c>
      <c r="O53" s="212"/>
      <c r="P53" s="86"/>
      <c r="Q53" s="87">
        <f>ROUND(-Q52*10%,2)</f>
        <v>-2422.91</v>
      </c>
      <c r="R53" s="81"/>
      <c r="S53" s="88">
        <f t="shared" si="47"/>
        <v>-2422.91</v>
      </c>
      <c r="T53" s="89" t="str">
        <f>IF((K53)=0,"",(S53/K53))</f>
        <v/>
      </c>
      <c r="U53" s="81"/>
      <c r="V53" s="86"/>
      <c r="W53" s="87">
        <f>ROUND(-W52*10%,2)</f>
        <v>-2424.77</v>
      </c>
      <c r="X53" s="81"/>
      <c r="Y53" s="88">
        <f t="shared" si="50"/>
        <v>-1.8600000000001273</v>
      </c>
      <c r="Z53" s="89">
        <f>IF((Q53)=0,"",(Y53/Q53))</f>
        <v>7.6767193168550526E-4</v>
      </c>
      <c r="AA53" s="81"/>
      <c r="AB53" s="86"/>
      <c r="AC53" s="87">
        <f>ROUND(-AC52*10%,2)</f>
        <v>-2427.91</v>
      </c>
      <c r="AD53" s="81"/>
      <c r="AE53" s="88">
        <f t="shared" si="13"/>
        <v>-3.1399999999998727</v>
      </c>
      <c r="AF53" s="89">
        <f>IF((W53)=0,"",(AE53/W53))</f>
        <v>1.2949681825492202E-3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25964.411261124449</v>
      </c>
      <c r="I54" s="92"/>
      <c r="J54" s="90"/>
      <c r="K54" s="93">
        <f>K52+K53</f>
        <v>25647.659697399991</v>
      </c>
      <c r="L54" s="92"/>
      <c r="M54" s="94">
        <f t="shared" si="44"/>
        <v>-316.75156372445781</v>
      </c>
      <c r="N54" s="95">
        <f>IF((H54)=0,"",(M54/H54))</f>
        <v>-1.2199451030831506E-2</v>
      </c>
      <c r="O54" s="212"/>
      <c r="P54" s="90"/>
      <c r="Q54" s="93">
        <f>Q52+Q53</f>
        <v>21806.156059399997</v>
      </c>
      <c r="R54" s="92"/>
      <c r="S54" s="94">
        <f t="shared" si="47"/>
        <v>-3841.5036379999947</v>
      </c>
      <c r="T54" s="95">
        <f>IF((K54)=0,"",(S54/K54))</f>
        <v>-0.14977988960097688</v>
      </c>
      <c r="U54" s="92"/>
      <c r="V54" s="90"/>
      <c r="W54" s="93">
        <f>W52+W53</f>
        <v>21822.884559399994</v>
      </c>
      <c r="X54" s="92"/>
      <c r="Y54" s="94">
        <f t="shared" si="50"/>
        <v>16.728499999997439</v>
      </c>
      <c r="Z54" s="95">
        <f>IF((Q54)=0,"",(Y54/Q54))</f>
        <v>7.6714575253102762E-4</v>
      </c>
      <c r="AA54" s="92"/>
      <c r="AB54" s="90"/>
      <c r="AC54" s="93">
        <f>AC52+AC53</f>
        <v>21851.198109399997</v>
      </c>
      <c r="AD54" s="92"/>
      <c r="AE54" s="94">
        <f t="shared" si="13"/>
        <v>28.313550000002579</v>
      </c>
      <c r="AF54" s="95">
        <f>IF((W54)=0,"",(AE54/W54))</f>
        <v>1.2974247250832288E-3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212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24374.495098340223</v>
      </c>
      <c r="I56" s="106"/>
      <c r="J56" s="103"/>
      <c r="K56" s="105">
        <f>SUM(K47:K48,K39,K40:K43)</f>
        <v>24094.183979999994</v>
      </c>
      <c r="L56" s="106"/>
      <c r="M56" s="107">
        <f t="shared" si="44"/>
        <v>-280.31111834022886</v>
      </c>
      <c r="N56" s="77">
        <f>IF((H56)=0,"",(M56/H56))</f>
        <v>-1.1500181530296257E-2</v>
      </c>
      <c r="O56" s="212"/>
      <c r="P56" s="103"/>
      <c r="Q56" s="105">
        <f>SUM(Q47:Q48,Q39,Q40:Q43)</f>
        <v>22640.091379999994</v>
      </c>
      <c r="R56" s="106"/>
      <c r="S56" s="107">
        <f t="shared" si="47"/>
        <v>-1454.0925999999999</v>
      </c>
      <c r="T56" s="77">
        <f>IF((K56)=0,"",(S56/K56))</f>
        <v>-6.0350356800089489E-2</v>
      </c>
      <c r="U56" s="106"/>
      <c r="V56" s="103"/>
      <c r="W56" s="105">
        <f>SUM(W47:W48,W39,W40:W43)</f>
        <v>22656.541379999995</v>
      </c>
      <c r="X56" s="106"/>
      <c r="Y56" s="107">
        <f t="shared" si="50"/>
        <v>16.450000000000728</v>
      </c>
      <c r="Z56" s="77">
        <f>IF((Q56)=0,"",(Y56/Q56))</f>
        <v>7.2658717334208624E-4</v>
      </c>
      <c r="AA56" s="106"/>
      <c r="AB56" s="103"/>
      <c r="AC56" s="105">
        <f>SUM(AC47:AC48,AC39,AC40:AC43)</f>
        <v>22684.376379999994</v>
      </c>
      <c r="AD56" s="106"/>
      <c r="AE56" s="107">
        <f t="shared" si="13"/>
        <v>27.834999999999127</v>
      </c>
      <c r="AF56" s="77">
        <f>IF((W56)=0,"",(AE56/W56))</f>
        <v>1.2285635098996355E-3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3168.6843627842291</v>
      </c>
      <c r="I57" s="110"/>
      <c r="J57" s="109">
        <v>0.13</v>
      </c>
      <c r="K57" s="111">
        <f>K56*J57</f>
        <v>3132.2439173999992</v>
      </c>
      <c r="L57" s="110"/>
      <c r="M57" s="112">
        <f t="shared" si="44"/>
        <v>-36.440445384229861</v>
      </c>
      <c r="N57" s="84">
        <f>IF((H57)=0,"",(M57/H57))</f>
        <v>-1.1500181530296289E-2</v>
      </c>
      <c r="O57" s="212"/>
      <c r="P57" s="109">
        <v>0.13</v>
      </c>
      <c r="Q57" s="111">
        <f>Q56*P57</f>
        <v>2943.2118793999994</v>
      </c>
      <c r="R57" s="110"/>
      <c r="S57" s="112">
        <f t="shared" si="47"/>
        <v>-189.03203799999983</v>
      </c>
      <c r="T57" s="84">
        <f>IF((K57)=0,"",(S57/K57))</f>
        <v>-6.035035680008944E-2</v>
      </c>
      <c r="U57" s="110"/>
      <c r="V57" s="109">
        <v>0.13</v>
      </c>
      <c r="W57" s="111">
        <f>W56*V57</f>
        <v>2945.3503793999994</v>
      </c>
      <c r="X57" s="110"/>
      <c r="Y57" s="112">
        <f t="shared" si="50"/>
        <v>2.1385000000000218</v>
      </c>
      <c r="Z57" s="84">
        <f>IF((Q57)=0,"",(Y57/Q57))</f>
        <v>7.2658717334206141E-4</v>
      </c>
      <c r="AA57" s="110"/>
      <c r="AB57" s="109">
        <v>0.13</v>
      </c>
      <c r="AC57" s="111">
        <f>AC56*AB57</f>
        <v>2948.9689293999995</v>
      </c>
      <c r="AD57" s="110"/>
      <c r="AE57" s="112">
        <f t="shared" si="13"/>
        <v>3.6185500000001412</v>
      </c>
      <c r="AF57" s="84">
        <f>IF((W57)=0,"",(AE57/W57))</f>
        <v>1.2285635098997221E-3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27543.179461124451</v>
      </c>
      <c r="I58" s="110"/>
      <c r="J58" s="114"/>
      <c r="K58" s="111">
        <f>K56+K57</f>
        <v>27226.427897399994</v>
      </c>
      <c r="L58" s="110"/>
      <c r="M58" s="112">
        <f t="shared" si="44"/>
        <v>-316.75156372445781</v>
      </c>
      <c r="N58" s="84">
        <f>IF((H58)=0,"",(M58/H58))</f>
        <v>-1.1500181530296227E-2</v>
      </c>
      <c r="O58" s="212"/>
      <c r="P58" s="114"/>
      <c r="Q58" s="111">
        <f>Q56+Q57</f>
        <v>25583.303259399992</v>
      </c>
      <c r="R58" s="110"/>
      <c r="S58" s="112">
        <f t="shared" si="47"/>
        <v>-1643.1246380000011</v>
      </c>
      <c r="T58" s="84">
        <f>IF((K58)=0,"",(S58/K58))</f>
        <v>-6.0350356800089537E-2</v>
      </c>
      <c r="U58" s="110"/>
      <c r="V58" s="114"/>
      <c r="W58" s="111">
        <f>W56+W57</f>
        <v>25601.891759399994</v>
      </c>
      <c r="X58" s="110"/>
      <c r="Y58" s="112">
        <f t="shared" si="50"/>
        <v>18.588500000001659</v>
      </c>
      <c r="Z58" s="84">
        <f>IF((Q58)=0,"",(Y58/Q58))</f>
        <v>7.2658717334211898E-4</v>
      </c>
      <c r="AA58" s="110"/>
      <c r="AB58" s="114"/>
      <c r="AC58" s="111">
        <f>AC56+AC57</f>
        <v>25633.345309399992</v>
      </c>
      <c r="AD58" s="110"/>
      <c r="AE58" s="112">
        <f t="shared" si="13"/>
        <v>31.453549999998359</v>
      </c>
      <c r="AF58" s="84">
        <f>IF((W58)=0,"",(AE58/W58))</f>
        <v>1.22856350989961E-3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44"/>
        <v>0</v>
      </c>
      <c r="N59" s="89" t="str">
        <f>IF((H59)=0,"",(M59/H59))</f>
        <v/>
      </c>
      <c r="O59" s="212"/>
      <c r="P59" s="114"/>
      <c r="Q59" s="116">
        <f>ROUND(-Q58*10%,2)</f>
        <v>-2558.33</v>
      </c>
      <c r="R59" s="110"/>
      <c r="S59" s="117">
        <f t="shared" si="47"/>
        <v>-2558.33</v>
      </c>
      <c r="T59" s="89" t="str">
        <f>IF((K59)=0,"",(S59/K59))</f>
        <v/>
      </c>
      <c r="U59" s="110"/>
      <c r="V59" s="114"/>
      <c r="W59" s="116">
        <f>ROUND(-W58*10%,2)</f>
        <v>-2560.19</v>
      </c>
      <c r="X59" s="110"/>
      <c r="Y59" s="117">
        <f t="shared" si="50"/>
        <v>-1.8600000000001273</v>
      </c>
      <c r="Z59" s="89">
        <f>IF((Q59)=0,"",(Y59/Q59))</f>
        <v>7.2703677789813178E-4</v>
      </c>
      <c r="AA59" s="110"/>
      <c r="AB59" s="114"/>
      <c r="AC59" s="116">
        <f>ROUND(-AC58*10%,2)</f>
        <v>-2563.33</v>
      </c>
      <c r="AD59" s="110"/>
      <c r="AE59" s="117">
        <f t="shared" si="13"/>
        <v>-3.1399999999998727</v>
      </c>
      <c r="AF59" s="89">
        <f>IF((W59)=0,"",(AE59/W59))</f>
        <v>1.2264714728203268E-3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27543.179461124451</v>
      </c>
      <c r="I60" s="120"/>
      <c r="J60" s="118"/>
      <c r="K60" s="121">
        <f>SUM(K58:K59)</f>
        <v>27226.427897399994</v>
      </c>
      <c r="L60" s="120"/>
      <c r="M60" s="122">
        <f t="shared" si="44"/>
        <v>-316.75156372445781</v>
      </c>
      <c r="N60" s="123">
        <f>IF((H60)=0,"",(M60/H60))</f>
        <v>-1.1500181530296227E-2</v>
      </c>
      <c r="O60" s="212"/>
      <c r="P60" s="118"/>
      <c r="Q60" s="121">
        <f>SUM(Q58:Q59)</f>
        <v>23024.973259399994</v>
      </c>
      <c r="R60" s="120"/>
      <c r="S60" s="122">
        <f t="shared" si="47"/>
        <v>-4201.4546379999992</v>
      </c>
      <c r="T60" s="123">
        <f>IF((K60)=0,"",(S60/K60))</f>
        <v>-0.15431530914862393</v>
      </c>
      <c r="U60" s="120"/>
      <c r="V60" s="118"/>
      <c r="W60" s="121">
        <f>SUM(W58:W59)</f>
        <v>23041.701759399995</v>
      </c>
      <c r="X60" s="120"/>
      <c r="Y60" s="122">
        <f t="shared" si="50"/>
        <v>16.728500000001077</v>
      </c>
      <c r="Z60" s="123">
        <f>IF((Q60)=0,"",(Y60/Q60))</f>
        <v>7.2653721728739172E-4</v>
      </c>
      <c r="AA60" s="120"/>
      <c r="AB60" s="118"/>
      <c r="AC60" s="121">
        <f>SUM(AC58:AC59)</f>
        <v>23070.015309399991</v>
      </c>
      <c r="AD60" s="120"/>
      <c r="AE60" s="122">
        <f t="shared" si="13"/>
        <v>28.313549999995303</v>
      </c>
      <c r="AF60" s="123">
        <f>IF((W60)=0,"",(AE60/W60))</f>
        <v>1.2287959585469692E-3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7">
    <mergeCell ref="G9:H9"/>
    <mergeCell ref="J9:K9"/>
    <mergeCell ref="M9:N9"/>
    <mergeCell ref="B54:D54"/>
    <mergeCell ref="B60:D60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scale="51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7030A0"/>
    <pageSetUpPr fitToPage="1"/>
  </sheetPr>
  <dimension ref="A1:AP79"/>
  <sheetViews>
    <sheetView showGridLines="0" topLeftCell="C24" zoomScaleNormal="100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42578125" style="1" bestFit="1" customWidth="1"/>
    <col min="7" max="7" width="12.28515625" style="1" customWidth="1"/>
    <col min="8" max="8" width="12.28515625" style="142" customWidth="1"/>
    <col min="9" max="9" width="1.7109375" style="1" customWidth="1"/>
    <col min="10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3" width="12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9" width="12.28515625" style="1" hidden="1" customWidth="1"/>
    <col min="30" max="30" width="1.7109375" style="1" hidden="1" customWidth="1"/>
    <col min="31" max="32" width="0" style="1" hidden="1" customWidth="1"/>
    <col min="33" max="33" width="1.7109375" style="1" hidden="1" customWidth="1"/>
    <col min="34" max="35" width="12.28515625" style="1" hidden="1" customWidth="1"/>
    <col min="36" max="36" width="1.7109375" style="1" hidden="1" customWidth="1"/>
    <col min="37" max="37" width="0" style="1" hidden="1" customWidth="1"/>
    <col min="38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71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2000</v>
      </c>
      <c r="H7" s="9" t="s">
        <v>64</v>
      </c>
      <c r="J7" s="151"/>
      <c r="K7" s="151"/>
    </row>
    <row r="8" spans="2:42" x14ac:dyDescent="0.2">
      <c r="B8" s="6"/>
      <c r="G8" s="8">
        <f>G7*(24*30)*0.611111111111111</f>
        <v>879999.99999999988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5"/>
      <c r="L9" s="148"/>
      <c r="M9" s="241" t="s">
        <v>58</v>
      </c>
      <c r="N9" s="245"/>
      <c r="O9" s="212"/>
      <c r="P9" s="178" t="s">
        <v>57</v>
      </c>
      <c r="Q9" s="179"/>
      <c r="R9" s="148"/>
      <c r="S9" s="178" t="s">
        <v>58</v>
      </c>
      <c r="T9" s="179"/>
      <c r="U9" s="148"/>
      <c r="V9" s="178" t="s">
        <v>59</v>
      </c>
      <c r="W9" s="179"/>
      <c r="X9" s="148"/>
      <c r="Y9" s="178" t="s">
        <v>60</v>
      </c>
      <c r="Z9" s="179"/>
      <c r="AA9" s="148"/>
      <c r="AB9" s="178" t="s">
        <v>61</v>
      </c>
      <c r="AC9" s="179"/>
      <c r="AD9" s="148"/>
      <c r="AE9" s="178" t="s">
        <v>62</v>
      </c>
      <c r="AF9" s="179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376.98</v>
      </c>
      <c r="H12" s="18">
        <f t="shared" ref="H12:H27" si="0">$F12*G12</f>
        <v>376.98</v>
      </c>
      <c r="I12" s="19"/>
      <c r="J12" s="209">
        <v>378.88</v>
      </c>
      <c r="K12" s="18">
        <f t="shared" ref="K12:K27" si="1">$F12*J12</f>
        <v>378.88</v>
      </c>
      <c r="L12" s="19"/>
      <c r="M12" s="21">
        <f t="shared" ref="M12:M21" si="2">K12-H12</f>
        <v>1.8999999999999773</v>
      </c>
      <c r="N12" s="22">
        <f t="shared" ref="N12:N21" si="3">IF((H12)=0,"",(M12/H12))</f>
        <v>5.040055175340806E-3</v>
      </c>
      <c r="O12" s="212"/>
      <c r="P12" s="16">
        <v>378.88</v>
      </c>
      <c r="Q12" s="18">
        <f t="shared" ref="Q12:Q27" si="4">$F12*P12</f>
        <v>378.88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378.49</v>
      </c>
      <c r="W12" s="18">
        <f t="shared" ref="W12:W27" si="6">$F12*V12</f>
        <v>378.49</v>
      </c>
      <c r="X12" s="19"/>
      <c r="Y12" s="21">
        <f>W12-Q12</f>
        <v>-0.38999999999998636</v>
      </c>
      <c r="Z12" s="22">
        <f t="shared" ref="Z12:Z34" si="7">IF((Q12)=0,"",(Y12/Q12))</f>
        <v>-1.0293496621621261E-3</v>
      </c>
      <c r="AA12" s="19"/>
      <c r="AB12" s="16">
        <v>387.53</v>
      </c>
      <c r="AC12" s="18">
        <f t="shared" ref="AC12:AC27" si="8">$F12*AB12</f>
        <v>387.53</v>
      </c>
      <c r="AD12" s="19"/>
      <c r="AE12" s="21">
        <f>AC12-W12</f>
        <v>9.0399999999999636</v>
      </c>
      <c r="AF12" s="22">
        <f t="shared" ref="AF12:AF34" si="9">IF((W12)=0,"",(AE12/W12))</f>
        <v>2.3884382678538305E-2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3.5</v>
      </c>
      <c r="H13" s="18">
        <f t="shared" si="0"/>
        <v>3.5</v>
      </c>
      <c r="I13" s="19"/>
      <c r="J13" s="209">
        <v>3.46</v>
      </c>
      <c r="K13" s="18">
        <f t="shared" si="1"/>
        <v>3.46</v>
      </c>
      <c r="L13" s="19"/>
      <c r="M13" s="21">
        <f t="shared" si="2"/>
        <v>-4.0000000000000036E-2</v>
      </c>
      <c r="N13" s="22">
        <f t="shared" si="3"/>
        <v>-1.1428571428571439E-2</v>
      </c>
      <c r="O13" s="212"/>
      <c r="P13" s="16">
        <v>3.46</v>
      </c>
      <c r="Q13" s="18">
        <f t="shared" si="4"/>
        <v>3.46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-3.46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2000</v>
      </c>
      <c r="G19" s="16">
        <v>2.5413000000000001</v>
      </c>
      <c r="H19" s="18">
        <f t="shared" si="0"/>
        <v>5082.6000000000004</v>
      </c>
      <c r="I19" s="19"/>
      <c r="J19" s="16">
        <v>2.5526</v>
      </c>
      <c r="K19" s="18">
        <f t="shared" si="1"/>
        <v>5105.2</v>
      </c>
      <c r="L19" s="19"/>
      <c r="M19" s="21">
        <f t="shared" si="2"/>
        <v>22.599999999999454</v>
      </c>
      <c r="N19" s="22">
        <f t="shared" si="3"/>
        <v>4.4465431078580748E-3</v>
      </c>
      <c r="O19" s="212"/>
      <c r="P19" s="16">
        <v>2.5526</v>
      </c>
      <c r="Q19" s="18">
        <f t="shared" si="4"/>
        <v>5105.2</v>
      </c>
      <c r="R19" s="19"/>
      <c r="S19" s="21">
        <f t="shared" si="10"/>
        <v>0</v>
      </c>
      <c r="T19" s="22">
        <f t="shared" si="5"/>
        <v>0</v>
      </c>
      <c r="U19" s="19"/>
      <c r="V19" s="16">
        <v>2.5503</v>
      </c>
      <c r="W19" s="18">
        <f t="shared" si="6"/>
        <v>5100.6000000000004</v>
      </c>
      <c r="X19" s="19"/>
      <c r="Y19" s="21">
        <f t="shared" si="11"/>
        <v>-4.5999999999994543</v>
      </c>
      <c r="Z19" s="22">
        <f t="shared" si="7"/>
        <v>-9.0104207474720963E-4</v>
      </c>
      <c r="AA19" s="19"/>
      <c r="AB19" s="16">
        <v>2.6040000000000001</v>
      </c>
      <c r="AC19" s="18">
        <f t="shared" si="8"/>
        <v>5208</v>
      </c>
      <c r="AD19" s="19"/>
      <c r="AE19" s="21">
        <f t="shared" si="13"/>
        <v>107.39999999999964</v>
      </c>
      <c r="AF19" s="22">
        <f t="shared" si="9"/>
        <v>2.1056346312198493E-2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4">$G$7</f>
        <v>2000</v>
      </c>
      <c r="G20" s="16"/>
      <c r="H20" s="18">
        <f t="shared" si="0"/>
        <v>0</v>
      </c>
      <c r="I20" s="19"/>
      <c r="J20" s="16">
        <v>1.8E-3</v>
      </c>
      <c r="K20" s="18">
        <f t="shared" si="1"/>
        <v>3.6</v>
      </c>
      <c r="L20" s="19"/>
      <c r="M20" s="21">
        <f t="shared" si="2"/>
        <v>3.6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-3.6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2000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5">$G$7</f>
        <v>2000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">
      <c r="B25" s="24"/>
      <c r="C25" s="14"/>
      <c r="D25" s="15"/>
      <c r="E25" s="15"/>
      <c r="F25" s="17">
        <f t="shared" si="15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">
      <c r="B26" s="24"/>
      <c r="C26" s="14"/>
      <c r="D26" s="15"/>
      <c r="E26" s="15"/>
      <c r="F26" s="17">
        <f t="shared" si="15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">
      <c r="B27" s="24"/>
      <c r="C27" s="14"/>
      <c r="D27" s="15"/>
      <c r="E27" s="15"/>
      <c r="F27" s="17">
        <f t="shared" si="15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5463.08</v>
      </c>
      <c r="I28" s="31"/>
      <c r="J28" s="28"/>
      <c r="K28" s="30">
        <f>SUM(K12:K27)</f>
        <v>5491.14</v>
      </c>
      <c r="L28" s="31"/>
      <c r="M28" s="32">
        <f t="shared" si="16"/>
        <v>28.0600000000004</v>
      </c>
      <c r="N28" s="33">
        <f t="shared" si="17"/>
        <v>5.1362967410326045E-3</v>
      </c>
      <c r="O28" s="212"/>
      <c r="P28" s="28"/>
      <c r="Q28" s="30">
        <f>SUM(Q12:Q27)</f>
        <v>5487.54</v>
      </c>
      <c r="R28" s="31"/>
      <c r="S28" s="32">
        <f t="shared" si="10"/>
        <v>-3.6000000000003638</v>
      </c>
      <c r="T28" s="33">
        <f t="shared" si="5"/>
        <v>-6.5560156907315482E-4</v>
      </c>
      <c r="U28" s="31"/>
      <c r="V28" s="28"/>
      <c r="W28" s="30">
        <f>SUM(W12:W27)</f>
        <v>5479.09</v>
      </c>
      <c r="X28" s="31"/>
      <c r="Y28" s="32">
        <f t="shared" si="11"/>
        <v>-8.4499999999998181</v>
      </c>
      <c r="Z28" s="33">
        <f t="shared" si="7"/>
        <v>-1.5398521013058344E-3</v>
      </c>
      <c r="AA28" s="31"/>
      <c r="AB28" s="28"/>
      <c r="AC28" s="30">
        <f>SUM(AC12:AC27)</f>
        <v>5595.53</v>
      </c>
      <c r="AD28" s="31"/>
      <c r="AE28" s="32">
        <f t="shared" si="13"/>
        <v>116.4399999999996</v>
      </c>
      <c r="AF28" s="33">
        <f t="shared" si="9"/>
        <v>2.125170420635536E-2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2000</v>
      </c>
      <c r="G29" s="16">
        <v>0.43235768943166519</v>
      </c>
      <c r="H29" s="18">
        <f t="shared" ref="H29:H35" si="18">$F29*G29</f>
        <v>864.71537886333044</v>
      </c>
      <c r="I29" s="19"/>
      <c r="J29" s="16">
        <v>-6.0299999999999999E-2</v>
      </c>
      <c r="K29" s="18">
        <f t="shared" ref="K29:K35" si="19">$F29*J29</f>
        <v>-120.6</v>
      </c>
      <c r="L29" s="19"/>
      <c r="M29" s="21">
        <f t="shared" si="16"/>
        <v>-985.31537886333047</v>
      </c>
      <c r="N29" s="22">
        <f t="shared" si="17"/>
        <v>-1.1394678560690443</v>
      </c>
      <c r="O29" s="212"/>
      <c r="P29" s="16">
        <v>-6.0299999999999999E-2</v>
      </c>
      <c r="Q29" s="18">
        <f t="shared" ref="Q29:Q35" si="20">$F29*P29</f>
        <v>-120.6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120.6</v>
      </c>
      <c r="Z29" s="22">
        <f t="shared" si="7"/>
        <v>-1</v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">
      <c r="B30" s="134" t="s">
        <v>17</v>
      </c>
      <c r="C30" s="14"/>
      <c r="D30" s="15" t="s">
        <v>65</v>
      </c>
      <c r="E30" s="15"/>
      <c r="F30" s="17">
        <f>$G$7</f>
        <v>2000</v>
      </c>
      <c r="G30" s="16">
        <v>-0.30893329370118028</v>
      </c>
      <c r="H30" s="18">
        <f t="shared" ref="H30" si="23">$F30*G30</f>
        <v>-617.86658740236055</v>
      </c>
      <c r="I30" s="19"/>
      <c r="J30" s="16">
        <v>-0.86640000000000006</v>
      </c>
      <c r="K30" s="18">
        <f t="shared" ref="K30" si="24">$F30*J30</f>
        <v>-1732.8000000000002</v>
      </c>
      <c r="L30" s="19"/>
      <c r="M30" s="21">
        <f t="shared" ref="M30" si="25">K30-H30</f>
        <v>-1114.9334125976397</v>
      </c>
      <c r="N30" s="22">
        <f t="shared" ref="N30" si="26">IF((H30)=0,"",(M30/H30))</f>
        <v>1.8044889225763954</v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">
      <c r="B31" s="132">
        <v>1575</v>
      </c>
      <c r="C31" s="14"/>
      <c r="D31" s="15" t="s">
        <v>65</v>
      </c>
      <c r="E31" s="15"/>
      <c r="F31" s="17">
        <f t="shared" ref="F31:F33" si="27">$G$7</f>
        <v>2000</v>
      </c>
      <c r="G31" s="16">
        <v>0</v>
      </c>
      <c r="H31" s="18">
        <f t="shared" si="18"/>
        <v>0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0</v>
      </c>
      <c r="N31" s="22" t="str">
        <f>IF((H31)=0,"",(M31/H31))</f>
        <v/>
      </c>
      <c r="O31" s="212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">
      <c r="B32" s="35"/>
      <c r="C32" s="14"/>
      <c r="D32" s="15"/>
      <c r="E32" s="15"/>
      <c r="F32" s="17">
        <f t="shared" si="27"/>
        <v>2000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212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7"/>
        <v>2000</v>
      </c>
      <c r="G33" s="133">
        <v>2.1690000000000001E-2</v>
      </c>
      <c r="H33" s="18">
        <f t="shared" si="18"/>
        <v>43.38</v>
      </c>
      <c r="I33" s="19"/>
      <c r="J33" s="133">
        <v>2.1690000000000001E-2</v>
      </c>
      <c r="K33" s="18">
        <f t="shared" si="19"/>
        <v>43.38</v>
      </c>
      <c r="L33" s="19"/>
      <c r="M33" s="21">
        <f t="shared" si="28"/>
        <v>0</v>
      </c>
      <c r="N33" s="22">
        <f>IF((H33)=0,"",(M33/H33))</f>
        <v>0</v>
      </c>
      <c r="O33" s="212"/>
      <c r="P33" s="133">
        <v>2.1690000000000001E-2</v>
      </c>
      <c r="Q33" s="18">
        <f t="shared" si="20"/>
        <v>43.38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43.38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43.38</v>
      </c>
      <c r="AD33" s="19"/>
      <c r="AE33" s="21">
        <f t="shared" si="13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33352</v>
      </c>
      <c r="G34" s="38">
        <f>IF(ISBLANK($D$5)=TRUE, 0, IF($D$5="TOU", 0.64*#REF!+0.18*#REF!+0.18*#REF!, IF(AND($D$5="non-TOU", $F$48&gt;0), G48,G47)))</f>
        <v>0.121</v>
      </c>
      <c r="H34" s="18">
        <f t="shared" si="18"/>
        <v>4035.5920000000001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19"/>
        <v>4035.5920000000001</v>
      </c>
      <c r="L34" s="19"/>
      <c r="M34" s="21">
        <f t="shared" si="28"/>
        <v>0</v>
      </c>
      <c r="N34" s="22">
        <f>IF((H34)=0,"",(M34/H34))</f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20"/>
        <v>3668.72</v>
      </c>
      <c r="R34" s="19"/>
      <c r="S34" s="21">
        <f t="shared" si="10"/>
        <v>-366.8720000000003</v>
      </c>
      <c r="T34" s="22">
        <f t="shared" si="5"/>
        <v>-9.0909090909090981E-2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3668.72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3668.72</v>
      </c>
      <c r="AD34" s="19"/>
      <c r="AE34" s="21">
        <f t="shared" si="13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212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9788.9007914609701</v>
      </c>
      <c r="I36" s="31"/>
      <c r="J36" s="41"/>
      <c r="K36" s="43">
        <f>SUM(K29:K35)+K28</f>
        <v>7716.7120000000004</v>
      </c>
      <c r="L36" s="31"/>
      <c r="M36" s="32">
        <f t="shared" si="28"/>
        <v>-2072.1887914609697</v>
      </c>
      <c r="N36" s="33">
        <f t="shared" ref="N36:N42" si="33">IF((H36)=0,"",(M36/H36))</f>
        <v>-0.21168758736104223</v>
      </c>
      <c r="O36" s="212"/>
      <c r="P36" s="41"/>
      <c r="Q36" s="43">
        <f>SUM(Q29:Q35)+Q28</f>
        <v>9079.0400000000009</v>
      </c>
      <c r="R36" s="31"/>
      <c r="S36" s="32">
        <f t="shared" si="10"/>
        <v>1362.3280000000004</v>
      </c>
      <c r="T36" s="33">
        <f t="shared" ref="T36:T42" si="34">IF((K36)=0,"",(S36/K36))</f>
        <v>0.17654254817336715</v>
      </c>
      <c r="U36" s="31"/>
      <c r="V36" s="41"/>
      <c r="W36" s="43">
        <f>SUM(W29:W35)+W28</f>
        <v>9191.19</v>
      </c>
      <c r="X36" s="31"/>
      <c r="Y36" s="32">
        <f t="shared" si="11"/>
        <v>112.14999999999964</v>
      </c>
      <c r="Z36" s="33">
        <f t="shared" ref="Z36:Z42" si="35">IF((Q36)=0,"",(Y36/Q36))</f>
        <v>1.2352627590582223E-2</v>
      </c>
      <c r="AA36" s="31"/>
      <c r="AB36" s="41"/>
      <c r="AC36" s="43">
        <f>SUM(AC29:AC35)+AC28</f>
        <v>9307.6299999999992</v>
      </c>
      <c r="AD36" s="31"/>
      <c r="AE36" s="32">
        <f t="shared" si="13"/>
        <v>116.43999999999869</v>
      </c>
      <c r="AF36" s="33">
        <f t="shared" ref="AF36:AF46" si="36">IF((W36)=0,"",(AE36/W36))</f>
        <v>1.2668653351742123E-2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2000</v>
      </c>
      <c r="G37" s="20">
        <v>2.7064544797271646</v>
      </c>
      <c r="H37" s="18">
        <f>$F37*G37</f>
        <v>5412.9089594543293</v>
      </c>
      <c r="I37" s="19"/>
      <c r="J37" s="20">
        <v>2.5720999999999998</v>
      </c>
      <c r="K37" s="18">
        <f>$F37*J37</f>
        <v>5144.2</v>
      </c>
      <c r="L37" s="19"/>
      <c r="M37" s="21">
        <f t="shared" si="28"/>
        <v>-268.70895945432949</v>
      </c>
      <c r="N37" s="22">
        <f t="shared" si="33"/>
        <v>-4.9642246242659477E-2</v>
      </c>
      <c r="O37" s="212"/>
      <c r="P37" s="20">
        <v>2.5720999999999998</v>
      </c>
      <c r="Q37" s="18">
        <f>$F37*P37</f>
        <v>5144.2</v>
      </c>
      <c r="R37" s="19"/>
      <c r="S37" s="21">
        <f t="shared" si="10"/>
        <v>0</v>
      </c>
      <c r="T37" s="22">
        <f t="shared" si="34"/>
        <v>0</v>
      </c>
      <c r="U37" s="19"/>
      <c r="V37" s="20">
        <v>2.5720999999999998</v>
      </c>
      <c r="W37" s="18">
        <f>$F37*V37</f>
        <v>5144.2</v>
      </c>
      <c r="X37" s="19"/>
      <c r="Y37" s="21">
        <f t="shared" si="11"/>
        <v>0</v>
      </c>
      <c r="Z37" s="22">
        <f t="shared" si="35"/>
        <v>0</v>
      </c>
      <c r="AA37" s="19"/>
      <c r="AB37" s="20">
        <v>2.5720999999999998</v>
      </c>
      <c r="AC37" s="18">
        <f>$F37*AB37</f>
        <v>5144.2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2000</v>
      </c>
      <c r="G38" s="20">
        <v>2.121465119800138</v>
      </c>
      <c r="H38" s="18">
        <f>$F38*G38</f>
        <v>4242.9302396002759</v>
      </c>
      <c r="I38" s="19"/>
      <c r="J38" s="20">
        <v>2.1213000000000002</v>
      </c>
      <c r="K38" s="18">
        <f>$F38*J38</f>
        <v>4242.6000000000004</v>
      </c>
      <c r="L38" s="19"/>
      <c r="M38" s="21">
        <f t="shared" si="28"/>
        <v>-0.33023960027549037</v>
      </c>
      <c r="N38" s="22">
        <f t="shared" si="33"/>
        <v>-7.7832908303154677E-5</v>
      </c>
      <c r="O38" s="212"/>
      <c r="P38" s="20">
        <v>2.1213000000000002</v>
      </c>
      <c r="Q38" s="18">
        <f>$F38*P38</f>
        <v>4242.6000000000004</v>
      </c>
      <c r="R38" s="19"/>
      <c r="S38" s="21">
        <f t="shared" si="10"/>
        <v>0</v>
      </c>
      <c r="T38" s="22">
        <f t="shared" si="34"/>
        <v>0</v>
      </c>
      <c r="U38" s="19"/>
      <c r="V38" s="20">
        <v>2.1213000000000002</v>
      </c>
      <c r="W38" s="18">
        <f>$F38*V38</f>
        <v>4242.6000000000004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2.1213000000000002</v>
      </c>
      <c r="AC38" s="18">
        <f>$F38*AB38</f>
        <v>4242.6000000000004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19444.739990515576</v>
      </c>
      <c r="I39" s="48"/>
      <c r="J39" s="47"/>
      <c r="K39" s="43">
        <f>SUM(K36:K38)</f>
        <v>17103.512000000002</v>
      </c>
      <c r="L39" s="48"/>
      <c r="M39" s="32">
        <f t="shared" si="28"/>
        <v>-2341.2279905155738</v>
      </c>
      <c r="N39" s="33">
        <f t="shared" si="33"/>
        <v>-0.12040418085598152</v>
      </c>
      <c r="O39" s="212"/>
      <c r="P39" s="47"/>
      <c r="Q39" s="43">
        <f>SUM(Q36:Q38)</f>
        <v>18465.840000000004</v>
      </c>
      <c r="R39" s="48"/>
      <c r="S39" s="32">
        <f t="shared" si="10"/>
        <v>1362.3280000000013</v>
      </c>
      <c r="T39" s="33">
        <f t="shared" si="34"/>
        <v>7.9651945167752744E-2</v>
      </c>
      <c r="U39" s="48"/>
      <c r="V39" s="47"/>
      <c r="W39" s="43">
        <f>SUM(W36:W38)</f>
        <v>18577.989999999998</v>
      </c>
      <c r="X39" s="48"/>
      <c r="Y39" s="32">
        <f t="shared" si="11"/>
        <v>112.14999999999418</v>
      </c>
      <c r="Z39" s="33">
        <f t="shared" si="35"/>
        <v>6.0733765699255574E-3</v>
      </c>
      <c r="AA39" s="48"/>
      <c r="AB39" s="47"/>
      <c r="AC39" s="43">
        <f>SUM(AC36:AC38)</f>
        <v>18694.43</v>
      </c>
      <c r="AD39" s="48"/>
      <c r="AE39" s="32">
        <f t="shared" si="13"/>
        <v>116.44000000000233</v>
      </c>
      <c r="AF39" s="33">
        <f t="shared" si="36"/>
        <v>6.2676317513359813E-3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913351.99999999988</v>
      </c>
      <c r="G40" s="50">
        <v>4.7000000000000002E-3</v>
      </c>
      <c r="H40" s="152">
        <f t="shared" ref="H40:H42" si="37">$F40*G40</f>
        <v>4292.7543999999998</v>
      </c>
      <c r="I40" s="19"/>
      <c r="J40" s="50">
        <v>4.7000000000000002E-3</v>
      </c>
      <c r="K40" s="152">
        <f t="shared" ref="K40:K42" si="38">$F40*J40</f>
        <v>4292.7543999999998</v>
      </c>
      <c r="L40" s="19"/>
      <c r="M40" s="21">
        <f t="shared" si="28"/>
        <v>0</v>
      </c>
      <c r="N40" s="153">
        <f t="shared" si="33"/>
        <v>0</v>
      </c>
      <c r="O40" s="212"/>
      <c r="P40" s="50">
        <v>4.7000000000000002E-3</v>
      </c>
      <c r="Q40" s="152">
        <f t="shared" ref="Q40:Q42" si="39">$F40*P40</f>
        <v>4292.7543999999998</v>
      </c>
      <c r="R40" s="19"/>
      <c r="S40" s="21">
        <f t="shared" si="10"/>
        <v>0</v>
      </c>
      <c r="T40" s="153">
        <f t="shared" si="34"/>
        <v>0</v>
      </c>
      <c r="U40" s="19"/>
      <c r="V40" s="50">
        <v>4.7000000000000002E-3</v>
      </c>
      <c r="W40" s="152">
        <f t="shared" ref="W40:W42" si="40">$F40*V40</f>
        <v>4292.7543999999998</v>
      </c>
      <c r="X40" s="19"/>
      <c r="Y40" s="21">
        <f t="shared" si="11"/>
        <v>0</v>
      </c>
      <c r="Z40" s="153">
        <f t="shared" si="35"/>
        <v>0</v>
      </c>
      <c r="AA40" s="19"/>
      <c r="AB40" s="50">
        <v>4.7000000000000002E-3</v>
      </c>
      <c r="AC40" s="152">
        <f t="shared" ref="AC40:AC48" si="41">$F40*AB40</f>
        <v>4292.7543999999998</v>
      </c>
      <c r="AD40" s="19"/>
      <c r="AE40" s="21">
        <f t="shared" si="13"/>
        <v>0</v>
      </c>
      <c r="AF40" s="153">
        <f t="shared" si="36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913351.99999999988</v>
      </c>
      <c r="G41" s="50">
        <v>1.2999999999999999E-3</v>
      </c>
      <c r="H41" s="152">
        <f t="shared" si="37"/>
        <v>1187.3575999999998</v>
      </c>
      <c r="I41" s="19"/>
      <c r="J41" s="50">
        <v>2.0999999999999999E-3</v>
      </c>
      <c r="K41" s="152">
        <f t="shared" si="38"/>
        <v>1918.0391999999997</v>
      </c>
      <c r="L41" s="19"/>
      <c r="M41" s="21">
        <f t="shared" si="28"/>
        <v>730.68159999999989</v>
      </c>
      <c r="N41" s="153">
        <f t="shared" si="33"/>
        <v>0.61538461538461542</v>
      </c>
      <c r="O41" s="212"/>
      <c r="P41" s="50">
        <v>2.0999999999999999E-3</v>
      </c>
      <c r="Q41" s="152">
        <f t="shared" si="39"/>
        <v>1918.0391999999997</v>
      </c>
      <c r="R41" s="19"/>
      <c r="S41" s="21">
        <f t="shared" si="10"/>
        <v>0</v>
      </c>
      <c r="T41" s="153">
        <f t="shared" si="34"/>
        <v>0</v>
      </c>
      <c r="U41" s="19"/>
      <c r="V41" s="50">
        <v>2.0999999999999999E-3</v>
      </c>
      <c r="W41" s="152">
        <f t="shared" si="40"/>
        <v>1918.0391999999997</v>
      </c>
      <c r="X41" s="19"/>
      <c r="Y41" s="21">
        <f t="shared" si="11"/>
        <v>0</v>
      </c>
      <c r="Z41" s="153">
        <f t="shared" si="35"/>
        <v>0</v>
      </c>
      <c r="AA41" s="19"/>
      <c r="AB41" s="50">
        <v>2.0999999999999999E-3</v>
      </c>
      <c r="AC41" s="152">
        <f t="shared" si="41"/>
        <v>1918.0391999999997</v>
      </c>
      <c r="AD41" s="19"/>
      <c r="AE41" s="21">
        <f t="shared" si="13"/>
        <v>0</v>
      </c>
      <c r="AF41" s="153">
        <f t="shared" si="36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7"/>
        <v>0.25</v>
      </c>
      <c r="I42" s="19"/>
      <c r="J42" s="50">
        <v>0.25</v>
      </c>
      <c r="K42" s="152">
        <f t="shared" si="38"/>
        <v>0.25</v>
      </c>
      <c r="L42" s="19"/>
      <c r="M42" s="21">
        <f t="shared" si="28"/>
        <v>0</v>
      </c>
      <c r="N42" s="153">
        <f t="shared" si="33"/>
        <v>0</v>
      </c>
      <c r="O42" s="212"/>
      <c r="P42" s="50">
        <v>0.25</v>
      </c>
      <c r="Q42" s="152">
        <f t="shared" si="39"/>
        <v>0.25</v>
      </c>
      <c r="R42" s="19"/>
      <c r="S42" s="21">
        <f t="shared" si="10"/>
        <v>0</v>
      </c>
      <c r="T42" s="153">
        <f t="shared" si="34"/>
        <v>0</v>
      </c>
      <c r="U42" s="19"/>
      <c r="V42" s="50">
        <v>0.25</v>
      </c>
      <c r="W42" s="152">
        <f t="shared" si="40"/>
        <v>0.25</v>
      </c>
      <c r="X42" s="19"/>
      <c r="Y42" s="21">
        <f t="shared" si="11"/>
        <v>0</v>
      </c>
      <c r="Z42" s="153">
        <f t="shared" si="35"/>
        <v>0</v>
      </c>
      <c r="AA42" s="19"/>
      <c r="AB42" s="50">
        <v>0.25</v>
      </c>
      <c r="AC42" s="152">
        <f t="shared" si="41"/>
        <v>0.25</v>
      </c>
      <c r="AD42" s="19"/>
      <c r="AE42" s="21">
        <f t="shared" si="13"/>
        <v>0</v>
      </c>
      <c r="AF42" s="153">
        <f t="shared" si="36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879999.99999999988</v>
      </c>
      <c r="G43" s="50">
        <v>7.0000000000000001E-3</v>
      </c>
      <c r="H43" s="152">
        <f t="shared" ref="H43:H48" si="42">$F43*G43</f>
        <v>6159.9999999999991</v>
      </c>
      <c r="I43" s="19"/>
      <c r="J43" s="50">
        <v>7.0000000000000001E-3</v>
      </c>
      <c r="K43" s="152">
        <f t="shared" ref="K43:K48" si="43">$F43*J43</f>
        <v>6159.9999999999991</v>
      </c>
      <c r="L43" s="19"/>
      <c r="M43" s="21">
        <f t="shared" ref="M43:M60" si="44">K43-H43</f>
        <v>0</v>
      </c>
      <c r="N43" s="153">
        <f t="shared" ref="N43:N46" si="45">IF((H43)=0,"",(M43/H43))</f>
        <v>0</v>
      </c>
      <c r="O43" s="212"/>
      <c r="P43" s="50">
        <v>7.0000000000000001E-3</v>
      </c>
      <c r="Q43" s="152">
        <f t="shared" ref="Q43:Q48" si="46">$F43*P43</f>
        <v>6159.9999999999991</v>
      </c>
      <c r="R43" s="19"/>
      <c r="S43" s="21">
        <f t="shared" ref="S43:S60" si="47">Q43-K43</f>
        <v>0</v>
      </c>
      <c r="T43" s="153">
        <f t="shared" ref="T43:T46" si="48">IF((K43)=0,"",(S43/K43))</f>
        <v>0</v>
      </c>
      <c r="U43" s="19"/>
      <c r="V43" s="50">
        <v>7.0000000000000001E-3</v>
      </c>
      <c r="W43" s="152">
        <f t="shared" ref="W43:W48" si="49">$F43*V43</f>
        <v>6159.9999999999991</v>
      </c>
      <c r="X43" s="19"/>
      <c r="Y43" s="21">
        <f t="shared" ref="Y43:Y60" si="50">W43-Q43</f>
        <v>0</v>
      </c>
      <c r="Z43" s="153">
        <f t="shared" ref="Z43:Z46" si="51">IF((Q43)=0,"",(Y43/Q43))</f>
        <v>0</v>
      </c>
      <c r="AA43" s="19"/>
      <c r="AB43" s="50">
        <v>7.0000000000000001E-3</v>
      </c>
      <c r="AC43" s="152">
        <f t="shared" si="41"/>
        <v>6159.9999999999991</v>
      </c>
      <c r="AD43" s="19"/>
      <c r="AE43" s="21">
        <f t="shared" si="13"/>
        <v>0</v>
      </c>
      <c r="AF43" s="153">
        <f t="shared" si="36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563199.99999999988</v>
      </c>
      <c r="G44" s="54">
        <v>8.6999999999999994E-2</v>
      </c>
      <c r="H44" s="152">
        <f t="shared" si="42"/>
        <v>48998.399999999987</v>
      </c>
      <c r="I44" s="19"/>
      <c r="J44" s="54">
        <f>+G44</f>
        <v>8.6999999999999994E-2</v>
      </c>
      <c r="K44" s="152">
        <f t="shared" si="43"/>
        <v>48998.399999999987</v>
      </c>
      <c r="L44" s="19"/>
      <c r="M44" s="21">
        <f t="shared" si="44"/>
        <v>0</v>
      </c>
      <c r="N44" s="153">
        <f t="shared" si="45"/>
        <v>0</v>
      </c>
      <c r="O44" s="212"/>
      <c r="P44" s="54">
        <v>0.08</v>
      </c>
      <c r="Q44" s="152">
        <f t="shared" si="46"/>
        <v>45055.999999999993</v>
      </c>
      <c r="R44" s="19"/>
      <c r="S44" s="21">
        <f t="shared" si="47"/>
        <v>-3942.3999999999942</v>
      </c>
      <c r="T44" s="153">
        <f t="shared" si="48"/>
        <v>-8.045977011494243E-2</v>
      </c>
      <c r="U44" s="19"/>
      <c r="V44" s="54">
        <v>0.08</v>
      </c>
      <c r="W44" s="152">
        <f t="shared" si="49"/>
        <v>45055.999999999993</v>
      </c>
      <c r="X44" s="19"/>
      <c r="Y44" s="21">
        <f t="shared" si="50"/>
        <v>0</v>
      </c>
      <c r="Z44" s="153">
        <f t="shared" si="51"/>
        <v>0</v>
      </c>
      <c r="AA44" s="19"/>
      <c r="AB44" s="54">
        <v>0.08</v>
      </c>
      <c r="AC44" s="152">
        <f t="shared" si="41"/>
        <v>45055.999999999993</v>
      </c>
      <c r="AD44" s="19"/>
      <c r="AE44" s="21">
        <f t="shared" si="13"/>
        <v>0</v>
      </c>
      <c r="AF44" s="153">
        <f t="shared" si="36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158399.99999999997</v>
      </c>
      <c r="G45" s="54">
        <v>0.13200000000000001</v>
      </c>
      <c r="H45" s="152">
        <f t="shared" si="42"/>
        <v>20908.799999999996</v>
      </c>
      <c r="I45" s="19"/>
      <c r="J45" s="54">
        <f>+G45</f>
        <v>0.13200000000000001</v>
      </c>
      <c r="K45" s="152">
        <f t="shared" si="43"/>
        <v>20908.799999999996</v>
      </c>
      <c r="L45" s="19"/>
      <c r="M45" s="21">
        <f t="shared" si="44"/>
        <v>0</v>
      </c>
      <c r="N45" s="153">
        <f t="shared" si="45"/>
        <v>0</v>
      </c>
      <c r="O45" s="212"/>
      <c r="P45" s="54">
        <v>0.122</v>
      </c>
      <c r="Q45" s="152">
        <f t="shared" si="46"/>
        <v>19324.799999999996</v>
      </c>
      <c r="R45" s="19"/>
      <c r="S45" s="21">
        <f t="shared" si="47"/>
        <v>-1584</v>
      </c>
      <c r="T45" s="153">
        <f t="shared" si="48"/>
        <v>-7.5757575757575774E-2</v>
      </c>
      <c r="U45" s="19"/>
      <c r="V45" s="54">
        <v>0.122</v>
      </c>
      <c r="W45" s="152">
        <f t="shared" si="49"/>
        <v>19324.799999999996</v>
      </c>
      <c r="X45" s="19"/>
      <c r="Y45" s="21">
        <f t="shared" si="50"/>
        <v>0</v>
      </c>
      <c r="Z45" s="153">
        <f t="shared" si="51"/>
        <v>0</v>
      </c>
      <c r="AA45" s="19"/>
      <c r="AB45" s="54">
        <v>0.122</v>
      </c>
      <c r="AC45" s="152">
        <f t="shared" si="41"/>
        <v>19324.799999999996</v>
      </c>
      <c r="AD45" s="19"/>
      <c r="AE45" s="21">
        <f t="shared" si="13"/>
        <v>0</v>
      </c>
      <c r="AF45" s="153">
        <f t="shared" si="36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158399.99999999997</v>
      </c>
      <c r="G46" s="54">
        <v>0.18</v>
      </c>
      <c r="H46" s="152">
        <f t="shared" si="42"/>
        <v>28511.999999999993</v>
      </c>
      <c r="I46" s="19"/>
      <c r="J46" s="54">
        <f>+G46</f>
        <v>0.18</v>
      </c>
      <c r="K46" s="152">
        <f t="shared" si="43"/>
        <v>28511.999999999993</v>
      </c>
      <c r="L46" s="19"/>
      <c r="M46" s="21">
        <f t="shared" si="44"/>
        <v>0</v>
      </c>
      <c r="N46" s="153">
        <f t="shared" si="45"/>
        <v>0</v>
      </c>
      <c r="O46" s="212"/>
      <c r="P46" s="54">
        <v>0.161</v>
      </c>
      <c r="Q46" s="152">
        <f t="shared" si="46"/>
        <v>25502.399999999994</v>
      </c>
      <c r="R46" s="19"/>
      <c r="S46" s="21">
        <f t="shared" si="47"/>
        <v>-3009.5999999999985</v>
      </c>
      <c r="T46" s="153">
        <f t="shared" si="48"/>
        <v>-0.10555555555555553</v>
      </c>
      <c r="U46" s="19"/>
      <c r="V46" s="54">
        <v>0.161</v>
      </c>
      <c r="W46" s="152">
        <f t="shared" si="49"/>
        <v>25502.399999999994</v>
      </c>
      <c r="X46" s="19"/>
      <c r="Y46" s="21">
        <f t="shared" si="50"/>
        <v>0</v>
      </c>
      <c r="Z46" s="153">
        <f t="shared" si="51"/>
        <v>0</v>
      </c>
      <c r="AA46" s="19"/>
      <c r="AB46" s="54">
        <v>0.161</v>
      </c>
      <c r="AC46" s="152">
        <f t="shared" si="41"/>
        <v>25502.399999999994</v>
      </c>
      <c r="AD46" s="19"/>
      <c r="AE46" s="21">
        <f t="shared" si="13"/>
        <v>0</v>
      </c>
      <c r="AF46" s="153">
        <f t="shared" si="36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42"/>
        <v>77.25</v>
      </c>
      <c r="I47" s="59"/>
      <c r="J47" s="54">
        <f>+G47</f>
        <v>0.10299999999999999</v>
      </c>
      <c r="K47" s="152">
        <f t="shared" si="43"/>
        <v>77.25</v>
      </c>
      <c r="L47" s="59"/>
      <c r="M47" s="60">
        <f t="shared" si="44"/>
        <v>0</v>
      </c>
      <c r="N47" s="153">
        <f>IF((H47)=FALSE,"",(M47/H47))</f>
        <v>0</v>
      </c>
      <c r="O47" s="212"/>
      <c r="P47" s="54">
        <v>9.4E-2</v>
      </c>
      <c r="Q47" s="152">
        <f t="shared" si="46"/>
        <v>70.5</v>
      </c>
      <c r="R47" s="59"/>
      <c r="S47" s="60">
        <f t="shared" si="47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9"/>
        <v>70.5</v>
      </c>
      <c r="X47" s="59"/>
      <c r="Y47" s="60">
        <f t="shared" si="50"/>
        <v>0</v>
      </c>
      <c r="Z47" s="153">
        <f>IF((Q47)=FALSE,"",(Y47/Q47))</f>
        <v>0</v>
      </c>
      <c r="AA47" s="59"/>
      <c r="AB47" s="54">
        <v>9.4E-2</v>
      </c>
      <c r="AC47" s="152">
        <f t="shared" si="41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879249.99999999988</v>
      </c>
      <c r="G48" s="54">
        <v>0.121</v>
      </c>
      <c r="H48" s="152">
        <f t="shared" si="42"/>
        <v>106389.24999999999</v>
      </c>
      <c r="I48" s="59"/>
      <c r="J48" s="54">
        <f>+G48</f>
        <v>0.121</v>
      </c>
      <c r="K48" s="152">
        <f t="shared" si="43"/>
        <v>106389.24999999999</v>
      </c>
      <c r="L48" s="59"/>
      <c r="M48" s="60">
        <f t="shared" si="44"/>
        <v>0</v>
      </c>
      <c r="N48" s="153">
        <f>IF((H48)=FALSE,"",(M48/H48))</f>
        <v>0</v>
      </c>
      <c r="O48" s="212"/>
      <c r="P48" s="54">
        <v>0.11</v>
      </c>
      <c r="Q48" s="152">
        <f t="shared" si="46"/>
        <v>96717.499999999985</v>
      </c>
      <c r="R48" s="59"/>
      <c r="S48" s="60">
        <f t="shared" si="47"/>
        <v>-9671.75</v>
      </c>
      <c r="T48" s="153">
        <f>IF((K48)=FALSE,"",(S48/K48))</f>
        <v>-9.0909090909090925E-2</v>
      </c>
      <c r="U48" s="59"/>
      <c r="V48" s="54">
        <v>0.11</v>
      </c>
      <c r="W48" s="152">
        <f t="shared" si="49"/>
        <v>96717.499999999985</v>
      </c>
      <c r="X48" s="59"/>
      <c r="Y48" s="60">
        <f t="shared" si="50"/>
        <v>0</v>
      </c>
      <c r="Z48" s="153">
        <f>IF((Q48)=FALSE,"",(Y48/Q48))</f>
        <v>0</v>
      </c>
      <c r="AA48" s="59"/>
      <c r="AB48" s="54">
        <v>0.11</v>
      </c>
      <c r="AC48" s="152">
        <f t="shared" si="41"/>
        <v>96717.499999999985</v>
      </c>
      <c r="AD48" s="59"/>
      <c r="AE48" s="60">
        <f t="shared" si="13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212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129504.30199051555</v>
      </c>
      <c r="I50" s="75"/>
      <c r="J50" s="72"/>
      <c r="K50" s="74">
        <f>SUM(K40:K46,K39)</f>
        <v>127893.75559999999</v>
      </c>
      <c r="L50" s="75"/>
      <c r="M50" s="76">
        <f t="shared" si="44"/>
        <v>-1610.546390515563</v>
      </c>
      <c r="N50" s="77">
        <f>IF((H50)=0,"",(M50/H50))</f>
        <v>-1.2436238532319288E-2</v>
      </c>
      <c r="O50" s="212"/>
      <c r="P50" s="72"/>
      <c r="Q50" s="74">
        <f>SUM(Q40:Q46,Q39)</f>
        <v>120720.08359999998</v>
      </c>
      <c r="R50" s="75"/>
      <c r="S50" s="76">
        <f t="shared" si="47"/>
        <v>-7173.6720000000059</v>
      </c>
      <c r="T50" s="77">
        <f>IF((K50)=0,"",(S50/K50))</f>
        <v>-5.6090869850099284E-2</v>
      </c>
      <c r="U50" s="75"/>
      <c r="V50" s="72"/>
      <c r="W50" s="74">
        <f>SUM(W40:W46,W39)</f>
        <v>120832.23359999998</v>
      </c>
      <c r="X50" s="75"/>
      <c r="Y50" s="76">
        <f t="shared" si="50"/>
        <v>112.14999999999418</v>
      </c>
      <c r="Z50" s="77">
        <f>IF((Q50)=0,"",(Y50/Q50))</f>
        <v>9.2900863431802816E-4</v>
      </c>
      <c r="AA50" s="75"/>
      <c r="AB50" s="72"/>
      <c r="AC50" s="74">
        <f>SUM(AC40:AC46,AC39)</f>
        <v>120948.67359999998</v>
      </c>
      <c r="AD50" s="75"/>
      <c r="AE50" s="76">
        <f t="shared" si="13"/>
        <v>116.44000000000233</v>
      </c>
      <c r="AF50" s="77">
        <f>IF((W50)=0,"",(AE50/W50))</f>
        <v>9.6365014972298209E-4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16835.559258767022</v>
      </c>
      <c r="I51" s="81"/>
      <c r="J51" s="79">
        <v>0.13</v>
      </c>
      <c r="K51" s="82">
        <f>K50*J51</f>
        <v>16626.188227999999</v>
      </c>
      <c r="L51" s="81"/>
      <c r="M51" s="83">
        <f t="shared" si="44"/>
        <v>-209.3710307670226</v>
      </c>
      <c r="N51" s="84">
        <f>IF((H51)=0,"",(M51/H51))</f>
        <v>-1.2436238532319253E-2</v>
      </c>
      <c r="O51" s="212"/>
      <c r="P51" s="79">
        <v>0.13</v>
      </c>
      <c r="Q51" s="82">
        <f>Q50*P51</f>
        <v>15693.610867999998</v>
      </c>
      <c r="R51" s="81"/>
      <c r="S51" s="83">
        <f t="shared" si="47"/>
        <v>-932.57736000000114</v>
      </c>
      <c r="T51" s="84">
        <f>IF((K51)=0,"",(S51/K51))</f>
        <v>-5.6090869850099305E-2</v>
      </c>
      <c r="U51" s="81"/>
      <c r="V51" s="79">
        <v>0.13</v>
      </c>
      <c r="W51" s="82">
        <f>W50*V51</f>
        <v>15708.190367999998</v>
      </c>
      <c r="X51" s="81"/>
      <c r="Y51" s="83">
        <f t="shared" si="50"/>
        <v>14.579499999999825</v>
      </c>
      <c r="Z51" s="84">
        <f>IF((Q51)=0,"",(Y51/Q51))</f>
        <v>9.2900863431806524E-4</v>
      </c>
      <c r="AA51" s="81"/>
      <c r="AB51" s="79">
        <v>0.13</v>
      </c>
      <c r="AC51" s="82">
        <f>AC50*AB51</f>
        <v>15723.327567999999</v>
      </c>
      <c r="AD51" s="81"/>
      <c r="AE51" s="83">
        <f t="shared" si="13"/>
        <v>15.13720000000103</v>
      </c>
      <c r="AF51" s="84">
        <f>IF((W51)=0,"",(AE51/W51))</f>
        <v>9.6365014972302839E-4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146339.86124928258</v>
      </c>
      <c r="I52" s="81"/>
      <c r="J52" s="86"/>
      <c r="K52" s="82">
        <f>K50+K51</f>
        <v>144519.94382799999</v>
      </c>
      <c r="L52" s="81"/>
      <c r="M52" s="83">
        <f t="shared" si="44"/>
        <v>-1819.9174212825892</v>
      </c>
      <c r="N52" s="84">
        <f>IF((H52)=0,"",(M52/H52))</f>
        <v>-1.2436238532319309E-2</v>
      </c>
      <c r="O52" s="212"/>
      <c r="P52" s="86"/>
      <c r="Q52" s="82">
        <f>Q50+Q51</f>
        <v>136413.69446799997</v>
      </c>
      <c r="R52" s="81"/>
      <c r="S52" s="83">
        <f t="shared" si="47"/>
        <v>-8106.2493600000162</v>
      </c>
      <c r="T52" s="84">
        <f>IF((K52)=0,"",(S52/K52))</f>
        <v>-5.6090869850099347E-2</v>
      </c>
      <c r="U52" s="81"/>
      <c r="V52" s="86"/>
      <c r="W52" s="82">
        <f>W50+W51</f>
        <v>136540.42396799999</v>
      </c>
      <c r="X52" s="81"/>
      <c r="Y52" s="83">
        <f t="shared" si="50"/>
        <v>126.72950000001583</v>
      </c>
      <c r="Z52" s="84">
        <f>IF((Q52)=0,"",(Y52/Q52))</f>
        <v>9.2900863431819253E-4</v>
      </c>
      <c r="AA52" s="81"/>
      <c r="AB52" s="86"/>
      <c r="AC52" s="82">
        <f>AC50+AC51</f>
        <v>136672.00116799999</v>
      </c>
      <c r="AD52" s="81"/>
      <c r="AE52" s="83">
        <f t="shared" si="13"/>
        <v>131.57719999999972</v>
      </c>
      <c r="AF52" s="84">
        <f>IF((W52)=0,"",(AE52/W52))</f>
        <v>9.6365014972296073E-4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44"/>
        <v>0</v>
      </c>
      <c r="N53" s="89" t="str">
        <f>IF((H53)=0,"",(M53/H53))</f>
        <v/>
      </c>
      <c r="O53" s="212"/>
      <c r="P53" s="86"/>
      <c r="Q53" s="87">
        <f>ROUND(-Q52*10%,2)</f>
        <v>-13641.37</v>
      </c>
      <c r="R53" s="81"/>
      <c r="S53" s="88">
        <f t="shared" si="47"/>
        <v>-13641.37</v>
      </c>
      <c r="T53" s="89" t="str">
        <f>IF((K53)=0,"",(S53/K53))</f>
        <v/>
      </c>
      <c r="U53" s="81"/>
      <c r="V53" s="86"/>
      <c r="W53" s="87">
        <f>ROUND(-W52*10%,2)</f>
        <v>-13654.04</v>
      </c>
      <c r="X53" s="81"/>
      <c r="Y53" s="88">
        <f t="shared" si="50"/>
        <v>-12.670000000000073</v>
      </c>
      <c r="Z53" s="89">
        <f>IF((Q53)=0,"",(Y53/Q53))</f>
        <v>9.2879234270458705E-4</v>
      </c>
      <c r="AA53" s="81"/>
      <c r="AB53" s="86"/>
      <c r="AC53" s="87">
        <f>ROUND(-AC52*10%,2)</f>
        <v>-13667.2</v>
      </c>
      <c r="AD53" s="81"/>
      <c r="AE53" s="88">
        <f t="shared" si="13"/>
        <v>-13.159999999999854</v>
      </c>
      <c r="AF53" s="89">
        <f>IF((W53)=0,"",(AE53/W53))</f>
        <v>9.6381730242476617E-4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146339.86124928258</v>
      </c>
      <c r="I54" s="92"/>
      <c r="J54" s="90"/>
      <c r="K54" s="93">
        <f>K52+K53</f>
        <v>144519.94382799999</v>
      </c>
      <c r="L54" s="92"/>
      <c r="M54" s="94">
        <f t="shared" si="44"/>
        <v>-1819.9174212825892</v>
      </c>
      <c r="N54" s="95">
        <f>IF((H54)=0,"",(M54/H54))</f>
        <v>-1.2436238532319309E-2</v>
      </c>
      <c r="O54" s="212"/>
      <c r="P54" s="90"/>
      <c r="Q54" s="93">
        <f>Q52+Q53</f>
        <v>122772.32446799998</v>
      </c>
      <c r="R54" s="92"/>
      <c r="S54" s="94">
        <f t="shared" si="47"/>
        <v>-21747.619360000012</v>
      </c>
      <c r="T54" s="95">
        <f>IF((K54)=0,"",(S54/K54))</f>
        <v>-0.1504817866929348</v>
      </c>
      <c r="U54" s="92"/>
      <c r="V54" s="90"/>
      <c r="W54" s="93">
        <f>W52+W53</f>
        <v>122886.38396799998</v>
      </c>
      <c r="X54" s="92"/>
      <c r="Y54" s="94">
        <f t="shared" si="50"/>
        <v>114.05950000000303</v>
      </c>
      <c r="Z54" s="95">
        <f>IF((Q54)=0,"",(Y54/Q54))</f>
        <v>9.2903266672068343E-4</v>
      </c>
      <c r="AA54" s="92"/>
      <c r="AB54" s="90"/>
      <c r="AC54" s="93">
        <f>AC52+AC53</f>
        <v>123004.80116799999</v>
      </c>
      <c r="AD54" s="92"/>
      <c r="AE54" s="94">
        <f t="shared" si="13"/>
        <v>118.41720000001078</v>
      </c>
      <c r="AF54" s="95">
        <f>IF((W54)=0,"",(AE54/W54))</f>
        <v>9.6363157720424919E-4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212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137551.60199051557</v>
      </c>
      <c r="I56" s="106"/>
      <c r="J56" s="103"/>
      <c r="K56" s="105">
        <f>SUM(K47:K48,K39,K40:K43)</f>
        <v>135941.05559999999</v>
      </c>
      <c r="L56" s="106"/>
      <c r="M56" s="107">
        <f t="shared" si="44"/>
        <v>-1610.5463905155775</v>
      </c>
      <c r="N56" s="77">
        <f>IF((H56)=0,"",(M56/H56))</f>
        <v>-1.1708670544067001E-2</v>
      </c>
      <c r="O56" s="212"/>
      <c r="P56" s="103"/>
      <c r="Q56" s="105">
        <f>SUM(Q47:Q48,Q39,Q40:Q43)</f>
        <v>127624.8836</v>
      </c>
      <c r="R56" s="106"/>
      <c r="S56" s="107">
        <f t="shared" si="47"/>
        <v>-8316.1719999999914</v>
      </c>
      <c r="T56" s="77">
        <f>IF((K56)=0,"",(S56/K56))</f>
        <v>-6.1174837603659098E-2</v>
      </c>
      <c r="U56" s="106"/>
      <c r="V56" s="103"/>
      <c r="W56" s="105">
        <f>SUM(W47:W48,W39,W40:W43)</f>
        <v>127737.0336</v>
      </c>
      <c r="X56" s="106"/>
      <c r="Y56" s="107">
        <f t="shared" si="50"/>
        <v>112.14999999999418</v>
      </c>
      <c r="Z56" s="77">
        <f>IF((Q56)=0,"",(Y56/Q56))</f>
        <v>8.7874712858891245E-4</v>
      </c>
      <c r="AA56" s="106"/>
      <c r="AB56" s="103"/>
      <c r="AC56" s="105">
        <f>SUM(AC47:AC48,AC39,AC40:AC43)</f>
        <v>127853.4736</v>
      </c>
      <c r="AD56" s="106"/>
      <c r="AE56" s="107">
        <f t="shared" si="13"/>
        <v>116.44000000000233</v>
      </c>
      <c r="AF56" s="77">
        <f>IF((W56)=0,"",(AE56/W56))</f>
        <v>9.1156023212991171E-4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17881.708258767023</v>
      </c>
      <c r="I57" s="110"/>
      <c r="J57" s="109">
        <v>0.13</v>
      </c>
      <c r="K57" s="111">
        <f>K56*J57</f>
        <v>17672.337228</v>
      </c>
      <c r="L57" s="110"/>
      <c r="M57" s="112">
        <f t="shared" si="44"/>
        <v>-209.3710307670226</v>
      </c>
      <c r="N57" s="84">
        <f>IF((H57)=0,"",(M57/H57))</f>
        <v>-1.1708670544066864E-2</v>
      </c>
      <c r="O57" s="212"/>
      <c r="P57" s="109">
        <v>0.13</v>
      </c>
      <c r="Q57" s="111">
        <f>Q56*P57</f>
        <v>16591.234868</v>
      </c>
      <c r="R57" s="110"/>
      <c r="S57" s="112">
        <f t="shared" si="47"/>
        <v>-1081.1023600000008</v>
      </c>
      <c r="T57" s="84">
        <f>IF((K57)=0,"",(S57/K57))</f>
        <v>-6.1174837603659195E-2</v>
      </c>
      <c r="U57" s="110"/>
      <c r="V57" s="109">
        <v>0.13</v>
      </c>
      <c r="W57" s="111">
        <f>W56*V57</f>
        <v>16605.814367999999</v>
      </c>
      <c r="X57" s="110"/>
      <c r="Y57" s="112">
        <f t="shared" si="50"/>
        <v>14.579499999999825</v>
      </c>
      <c r="Z57" s="84">
        <f>IF((Q57)=0,"",(Y57/Q57))</f>
        <v>8.7874712858894758E-4</v>
      </c>
      <c r="AA57" s="110"/>
      <c r="AB57" s="109">
        <v>0.13</v>
      </c>
      <c r="AC57" s="111">
        <f>AC56*AB57</f>
        <v>16620.951568</v>
      </c>
      <c r="AD57" s="110"/>
      <c r="AE57" s="112">
        <f t="shared" si="13"/>
        <v>15.13720000000103</v>
      </c>
      <c r="AF57" s="84">
        <f>IF((W57)=0,"",(AE57/W57))</f>
        <v>9.1156023212995551E-4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155433.3102492826</v>
      </c>
      <c r="I58" s="110"/>
      <c r="J58" s="114"/>
      <c r="K58" s="111">
        <f>K56+K57</f>
        <v>153613.39282799998</v>
      </c>
      <c r="L58" s="110"/>
      <c r="M58" s="112">
        <f t="shared" si="44"/>
        <v>-1819.9174212826183</v>
      </c>
      <c r="N58" s="84">
        <f>IF((H58)=0,"",(M58/H58))</f>
        <v>-1.1708670544067101E-2</v>
      </c>
      <c r="O58" s="212"/>
      <c r="P58" s="114"/>
      <c r="Q58" s="111">
        <f>Q56+Q57</f>
        <v>144216.118468</v>
      </c>
      <c r="R58" s="110"/>
      <c r="S58" s="112">
        <f t="shared" si="47"/>
        <v>-9397.2743599999812</v>
      </c>
      <c r="T58" s="84">
        <f>IF((K58)=0,"",(S58/K58))</f>
        <v>-6.1174837603659042E-2</v>
      </c>
      <c r="U58" s="110"/>
      <c r="V58" s="114"/>
      <c r="W58" s="111">
        <f>W56+W57</f>
        <v>144342.84796799999</v>
      </c>
      <c r="X58" s="110"/>
      <c r="Y58" s="112">
        <f t="shared" si="50"/>
        <v>126.72949999998673</v>
      </c>
      <c r="Z58" s="84">
        <f>IF((Q58)=0,"",(Y58/Q58))</f>
        <v>8.7874712858886604E-4</v>
      </c>
      <c r="AA58" s="110"/>
      <c r="AB58" s="114"/>
      <c r="AC58" s="111">
        <f>AC56+AC57</f>
        <v>144474.42516799999</v>
      </c>
      <c r="AD58" s="110"/>
      <c r="AE58" s="112">
        <f t="shared" si="13"/>
        <v>131.57719999999972</v>
      </c>
      <c r="AF58" s="84">
        <f>IF((W58)=0,"",(AE58/W58))</f>
        <v>9.1156023212989165E-4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44"/>
        <v>0</v>
      </c>
      <c r="N59" s="89" t="str">
        <f>IF((H59)=0,"",(M59/H59))</f>
        <v/>
      </c>
      <c r="O59" s="212"/>
      <c r="P59" s="114"/>
      <c r="Q59" s="116">
        <f>ROUND(-Q58*10%,2)</f>
        <v>-14421.61</v>
      </c>
      <c r="R59" s="110"/>
      <c r="S59" s="117">
        <f t="shared" si="47"/>
        <v>-14421.61</v>
      </c>
      <c r="T59" s="89" t="str">
        <f>IF((K59)=0,"",(S59/K59))</f>
        <v/>
      </c>
      <c r="U59" s="110"/>
      <c r="V59" s="114"/>
      <c r="W59" s="116">
        <f>ROUND(-W58*10%,2)</f>
        <v>-14434.28</v>
      </c>
      <c r="X59" s="110"/>
      <c r="Y59" s="117">
        <f t="shared" si="50"/>
        <v>-12.670000000000073</v>
      </c>
      <c r="Z59" s="89">
        <f>IF((Q59)=0,"",(Y59/Q59))</f>
        <v>8.7854268698155558E-4</v>
      </c>
      <c r="AA59" s="110"/>
      <c r="AB59" s="114"/>
      <c r="AC59" s="116">
        <f>ROUND(-AC58*10%,2)</f>
        <v>-14447.44</v>
      </c>
      <c r="AD59" s="110"/>
      <c r="AE59" s="117">
        <f t="shared" si="13"/>
        <v>-13.159999999999854</v>
      </c>
      <c r="AF59" s="89">
        <f>IF((W59)=0,"",(AE59/W59))</f>
        <v>9.117184923667723E-4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155433.3102492826</v>
      </c>
      <c r="I60" s="120"/>
      <c r="J60" s="118"/>
      <c r="K60" s="121">
        <f>SUM(K58:K59)</f>
        <v>153613.39282799998</v>
      </c>
      <c r="L60" s="120"/>
      <c r="M60" s="122">
        <f t="shared" si="44"/>
        <v>-1819.9174212826183</v>
      </c>
      <c r="N60" s="123">
        <f>IF((H60)=0,"",(M60/H60))</f>
        <v>-1.1708670544067101E-2</v>
      </c>
      <c r="O60" s="212"/>
      <c r="P60" s="118"/>
      <c r="Q60" s="121">
        <f>SUM(Q58:Q59)</f>
        <v>129794.508468</v>
      </c>
      <c r="R60" s="120"/>
      <c r="S60" s="122">
        <f t="shared" si="47"/>
        <v>-23818.884359999982</v>
      </c>
      <c r="T60" s="123">
        <f>IF((K60)=0,"",(S60/K60))</f>
        <v>-0.15505734182090392</v>
      </c>
      <c r="U60" s="120"/>
      <c r="V60" s="118"/>
      <c r="W60" s="121">
        <f>SUM(W58:W59)</f>
        <v>129908.56796799999</v>
      </c>
      <c r="X60" s="120"/>
      <c r="Y60" s="122">
        <f t="shared" si="50"/>
        <v>114.05949999998847</v>
      </c>
      <c r="Z60" s="123">
        <f>IF((Q60)=0,"",(Y60/Q60))</f>
        <v>8.787698443197935E-4</v>
      </c>
      <c r="AA60" s="120"/>
      <c r="AB60" s="118"/>
      <c r="AC60" s="121">
        <f>SUM(AC58:AC59)</f>
        <v>130026.98516799998</v>
      </c>
      <c r="AD60" s="120"/>
      <c r="AE60" s="122">
        <f t="shared" si="13"/>
        <v>118.41719999999623</v>
      </c>
      <c r="AF60" s="123">
        <f>IF((W60)=0,"",(AE60/W60))</f>
        <v>9.1154264766559205E-4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7">
    <mergeCell ref="G9:H9"/>
    <mergeCell ref="J9:K9"/>
    <mergeCell ref="M9:N9"/>
    <mergeCell ref="B54:D54"/>
    <mergeCell ref="B60:D60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scale="6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topLeftCell="A22" zoomScale="80" zoomScaleNormal="80" workbookViewId="0">
      <selection activeCell="M35" sqref="M35"/>
    </sheetView>
  </sheetViews>
  <sheetFormatPr defaultColWidth="8.85546875" defaultRowHeight="12.75" x14ac:dyDescent="0.2"/>
  <cols>
    <col min="1" max="1" width="8.85546875" style="162"/>
    <col min="2" max="2" width="27.5703125" style="162" bestFit="1" customWidth="1"/>
    <col min="3" max="3" width="12.28515625" style="161" bestFit="1" customWidth="1"/>
    <col min="4" max="4" width="8.5703125" style="161" bestFit="1" customWidth="1"/>
    <col min="5" max="5" width="15.28515625" style="162" customWidth="1"/>
    <col min="6" max="8" width="15.28515625" style="162" hidden="1" customWidth="1"/>
    <col min="9" max="9" width="8.85546875" style="162" customWidth="1"/>
    <col min="10" max="10" width="29.7109375" style="162" bestFit="1" customWidth="1"/>
    <col min="11" max="11" width="13.42578125" style="161" bestFit="1" customWidth="1"/>
    <col min="12" max="12" width="9.7109375" style="161" bestFit="1" customWidth="1"/>
    <col min="13" max="13" width="15.28515625" style="162" customWidth="1"/>
    <col min="14" max="16" width="15.28515625" style="162" hidden="1" customWidth="1"/>
    <col min="17" max="16384" width="8.85546875" style="162"/>
  </cols>
  <sheetData>
    <row r="1" spans="1:16" ht="26.25" thickBot="1" x14ac:dyDescent="0.25">
      <c r="A1" s="213"/>
      <c r="B1" s="166" t="s">
        <v>73</v>
      </c>
      <c r="C1" s="167" t="s">
        <v>74</v>
      </c>
      <c r="D1" s="167" t="s">
        <v>75</v>
      </c>
      <c r="E1" s="168" t="s">
        <v>83</v>
      </c>
      <c r="F1" s="168" t="s">
        <v>83</v>
      </c>
      <c r="G1" s="168" t="s">
        <v>84</v>
      </c>
      <c r="H1" s="169" t="s">
        <v>85</v>
      </c>
      <c r="I1" s="214"/>
      <c r="J1" s="166" t="s">
        <v>73</v>
      </c>
      <c r="K1" s="167" t="s">
        <v>74</v>
      </c>
      <c r="L1" s="167" t="s">
        <v>75</v>
      </c>
      <c r="M1" s="169" t="s">
        <v>89</v>
      </c>
      <c r="N1" s="168" t="s">
        <v>89</v>
      </c>
      <c r="O1" s="168" t="s">
        <v>90</v>
      </c>
      <c r="P1" s="169" t="s">
        <v>91</v>
      </c>
    </row>
    <row r="2" spans="1:16" x14ac:dyDescent="0.2">
      <c r="A2" s="232" t="s">
        <v>99</v>
      </c>
      <c r="B2" s="182" t="s">
        <v>76</v>
      </c>
      <c r="C2" s="183">
        <v>100</v>
      </c>
      <c r="D2" s="183"/>
      <c r="E2" s="184">
        <f>('Bill Impacts - Residential 100'!$M$12+'Bill Impacts - Residential 100'!$M$19)</f>
        <v>2.1399999999999992</v>
      </c>
      <c r="F2" s="184">
        <f>('Bill Impacts - Residential 100'!$S$12+'Bill Impacts - Residential 100'!$S$19)</f>
        <v>0</v>
      </c>
      <c r="G2" s="184">
        <f>('Bill Impacts - Residential 100'!$Y$12+'Bill Impacts - Residential 100'!$Y$19)</f>
        <v>2.1500000000000008</v>
      </c>
      <c r="H2" s="185">
        <f>('Bill Impacts - Residential 100'!$AE$12+'Bill Impacts - Residential 100'!$AE$19)</f>
        <v>2.6999999999999993</v>
      </c>
      <c r="I2" s="236" t="s">
        <v>100</v>
      </c>
      <c r="J2" s="186" t="s">
        <v>76</v>
      </c>
      <c r="K2" s="187">
        <v>100</v>
      </c>
      <c r="L2" s="187"/>
      <c r="M2" s="185">
        <f>'Bill Impacts - Residential 100'!$M$50</f>
        <v>1.8925346007049839</v>
      </c>
      <c r="N2" s="184">
        <f>'Bill Impacts - Residential 100'!$S$50</f>
        <v>-0.96999999999999886</v>
      </c>
      <c r="O2" s="184">
        <f>'Bill Impacts - Residential 100'!$Y$50</f>
        <v>1.6200000000361854</v>
      </c>
      <c r="P2" s="185">
        <f>'Bill Impacts - Residential 100'!$AE$50</f>
        <v>1.9099748074846588</v>
      </c>
    </row>
    <row r="3" spans="1:16" x14ac:dyDescent="0.2">
      <c r="A3" s="233"/>
      <c r="B3" s="160" t="s">
        <v>76</v>
      </c>
      <c r="C3" s="161">
        <v>200</v>
      </c>
      <c r="E3" s="170">
        <f>('Bill Impacts - Residential 200'!$M$12+'Bill Impacts - Residential 200'!$M$19)</f>
        <v>1.7399999999999991</v>
      </c>
      <c r="F3" s="170">
        <f>('Bill Impacts - Residential 200'!$S$12+'Bill Impacts - Residential 200'!$S$19)</f>
        <v>0</v>
      </c>
      <c r="G3" s="170">
        <f>('Bill Impacts - Residential 200'!$Y$12+'Bill Impacts - Residential 200'!$Y$19)</f>
        <v>1.7500000000000009</v>
      </c>
      <c r="H3" s="171">
        <f>('Bill Impacts - Residential 200'!$AE$12+'Bill Impacts - Residential 200'!$AE$19)</f>
        <v>2.2899999999999991</v>
      </c>
      <c r="I3" s="236"/>
      <c r="J3" s="174" t="s">
        <v>76</v>
      </c>
      <c r="K3" s="188">
        <v>200</v>
      </c>
      <c r="L3" s="188"/>
      <c r="M3" s="171">
        <f>'Bill Impacts - Residential 200'!$M$50</f>
        <v>1.2450692014099758</v>
      </c>
      <c r="N3" s="170">
        <f>'Bill Impacts - Residential 200'!$S$50</f>
        <v>-1.9399999999999977</v>
      </c>
      <c r="O3" s="170">
        <f>'Bill Impacts - Residential 200'!$Y$50</f>
        <v>1.4800000000723657</v>
      </c>
      <c r="P3" s="171">
        <f>'Bill Impacts - Residential 200'!$AE$50</f>
        <v>1.4999496149693172</v>
      </c>
    </row>
    <row r="4" spans="1:16" x14ac:dyDescent="0.2">
      <c r="A4" s="233"/>
      <c r="B4" s="160" t="s">
        <v>76</v>
      </c>
      <c r="C4" s="161">
        <v>500</v>
      </c>
      <c r="E4" s="170">
        <f>('Bill Impacts - Residential 500'!$M$12+'Bill Impacts - Residential 500'!$M$19)</f>
        <v>0.53999999999999915</v>
      </c>
      <c r="F4" s="170">
        <f>('Bill Impacts - Residential 500'!$S$12+'Bill Impacts - Residential 500'!$S$19)</f>
        <v>0</v>
      </c>
      <c r="G4" s="170">
        <f>('Bill Impacts - Residential 500'!$Y$12+'Bill Impacts - Residential 500'!$Y$19)</f>
        <v>0.55000000000000115</v>
      </c>
      <c r="H4" s="171">
        <f>('Bill Impacts - Residential 500'!$AE$12+'Bill Impacts - Residential 500'!$AE$19)</f>
        <v>1.0599999999999992</v>
      </c>
      <c r="I4" s="236"/>
      <c r="J4" s="174" t="s">
        <v>76</v>
      </c>
      <c r="K4" s="188">
        <v>500</v>
      </c>
      <c r="L4" s="188"/>
      <c r="M4" s="171">
        <f>'Bill Impacts - Residential 500'!$M$50</f>
        <v>-0.69732699647505569</v>
      </c>
      <c r="N4" s="170">
        <f>'Bill Impacts - Residential 500'!$S$50</f>
        <v>-5.0338149999999757</v>
      </c>
      <c r="O4" s="170">
        <f>'Bill Impacts - Residential 500'!$Y$50</f>
        <v>1.060000000180878</v>
      </c>
      <c r="P4" s="171">
        <f>'Bill Impacts - Residential 500'!$AE$50</f>
        <v>0.26987403742330685</v>
      </c>
    </row>
    <row r="5" spans="1:16" x14ac:dyDescent="0.2">
      <c r="A5" s="233"/>
      <c r="B5" s="197" t="s">
        <v>76</v>
      </c>
      <c r="C5" s="198">
        <v>750</v>
      </c>
      <c r="D5" s="198"/>
      <c r="E5" s="201">
        <f>('Bill Impacts - Residential 750'!$M$12+'Bill Impacts - Residential 750'!$M$19)</f>
        <v>-0.46000000000000085</v>
      </c>
      <c r="F5" s="201">
        <f>('Bill Impacts - Residential 750'!$S$12+'Bill Impacts - Residential 750'!$S$19)</f>
        <v>0</v>
      </c>
      <c r="G5" s="201">
        <f>('Bill Impacts - Residential 750'!$Y$12+'Bill Impacts - Residential 750'!$Y$19)</f>
        <v>-0.4499999999999984</v>
      </c>
      <c r="H5" s="202">
        <f>('Bill Impacts - Residential 750'!$AE$12+'Bill Impacts - Residential 750'!$AE$19)</f>
        <v>3.4999999999999254E-2</v>
      </c>
      <c r="I5" s="236"/>
      <c r="J5" s="219" t="s">
        <v>76</v>
      </c>
      <c r="K5" s="220">
        <v>750</v>
      </c>
      <c r="L5" s="220"/>
      <c r="M5" s="202">
        <f>'Bill Impacts - Residential 750'!$M$50</f>
        <v>-2.3159904947125938</v>
      </c>
      <c r="N5" s="170">
        <f>'Bill Impacts - Residential 750'!$S$50</f>
        <v>-7.5507225000000062</v>
      </c>
      <c r="O5" s="170">
        <f>'Bill Impacts - Residential 750'!$Y$50</f>
        <v>0.71000000027135002</v>
      </c>
      <c r="P5" s="171">
        <f>'Bill Impacts - Residential 750'!$AE$50</f>
        <v>-0.75518894386503632</v>
      </c>
    </row>
    <row r="6" spans="1:16" x14ac:dyDescent="0.2">
      <c r="A6" s="233"/>
      <c r="B6" s="160" t="s">
        <v>76</v>
      </c>
      <c r="C6" s="161">
        <v>1000</v>
      </c>
      <c r="E6" s="170">
        <f>('Bill Impacts - Residential 1000'!$M$12+'Bill Impacts - Residential 1000'!$M$19)</f>
        <v>-1.4600000000000009</v>
      </c>
      <c r="F6" s="170">
        <f>('Bill Impacts - Residential 1000'!$S$12+'Bill Impacts - Residential 1000'!$S$19)</f>
        <v>0</v>
      </c>
      <c r="G6" s="170">
        <f>('Bill Impacts - Residential 1000'!$Y$12+'Bill Impacts - Residential 1000'!$Y$19)</f>
        <v>-1.4499999999999984</v>
      </c>
      <c r="H6" s="171">
        <f>('Bill Impacts - Residential 1000'!$AE$12+'Bill Impacts - Residential 1000'!$AE$19)</f>
        <v>-0.9900000000000011</v>
      </c>
      <c r="I6" s="236"/>
      <c r="J6" s="174" t="s">
        <v>76</v>
      </c>
      <c r="K6" s="188">
        <v>1000</v>
      </c>
      <c r="L6" s="188"/>
      <c r="M6" s="171">
        <f>'Bill Impacts - Residential 1000'!$M$50</f>
        <v>-3.9346539929501319</v>
      </c>
      <c r="N6" s="170">
        <f>'Bill Impacts - Residential 1000'!$S$50</f>
        <v>-10.067629999999951</v>
      </c>
      <c r="O6" s="170">
        <f>'Bill Impacts - Residential 1000'!$Y$50</f>
        <v>0.36000000036179358</v>
      </c>
      <c r="P6" s="171">
        <f>'Bill Impacts - Residential 1000'!$AE$50</f>
        <v>-1.7802519251534079</v>
      </c>
    </row>
    <row r="7" spans="1:16" x14ac:dyDescent="0.2">
      <c r="A7" s="233"/>
      <c r="B7" s="160" t="s">
        <v>76</v>
      </c>
      <c r="C7" s="161">
        <v>1500</v>
      </c>
      <c r="E7" s="170">
        <f>('Bill Impacts - Residential 1500'!$M$12+'Bill Impacts - Residential 1500'!$M$19)</f>
        <v>-3.4600000000000009</v>
      </c>
      <c r="F7" s="170">
        <f>('Bill Impacts - Residential 1500'!$S$12+'Bill Impacts - Residential 1500'!$S$19)</f>
        <v>0</v>
      </c>
      <c r="G7" s="170">
        <f>('Bill Impacts - Residential 1500'!$Y$12+'Bill Impacts - Residential 1500'!$Y$19)</f>
        <v>-3.4499999999999975</v>
      </c>
      <c r="H7" s="171">
        <f>('Bill Impacts - Residential 1500'!$AE$12+'Bill Impacts - Residential 1500'!$AE$19)</f>
        <v>-3.0400000000000009</v>
      </c>
      <c r="I7" s="236"/>
      <c r="J7" s="174" t="s">
        <v>76</v>
      </c>
      <c r="K7" s="188">
        <v>1500</v>
      </c>
      <c r="L7" s="188"/>
      <c r="M7" s="171">
        <f>'Bill Impacts - Residential 1500'!$M$50</f>
        <v>-7.171980989425208</v>
      </c>
      <c r="N7" s="170">
        <f>'Bill Impacts - Residential 1500'!$S$50</f>
        <v>-15.101444999999984</v>
      </c>
      <c r="O7" s="170">
        <f>'Bill Impacts - Residential 1500'!$Y$50</f>
        <v>-0.33999999945731929</v>
      </c>
      <c r="P7" s="171">
        <f>'Bill Impacts - Residential 1500'!$AE$50</f>
        <v>-3.8303778877300942</v>
      </c>
    </row>
    <row r="8" spans="1:16" ht="13.5" thickBot="1" x14ac:dyDescent="0.25">
      <c r="A8" s="233"/>
      <c r="B8" s="163" t="s">
        <v>76</v>
      </c>
      <c r="C8" s="164">
        <v>2000</v>
      </c>
      <c r="D8" s="164"/>
      <c r="E8" s="172">
        <f>('Bill Impacts - Residential 2000'!$M$12+'Bill Impacts - Residential 2000'!$M$19)</f>
        <v>-5.4600000000000009</v>
      </c>
      <c r="F8" s="172">
        <f>('Bill Impacts - Residential 2000'!$S$12+'Bill Impacts - Residential 2000'!$S$19)</f>
        <v>0</v>
      </c>
      <c r="G8" s="172">
        <f>('Bill Impacts - Residential 2000'!$Y$12+'Bill Impacts - Residential 2000'!$Y$19)</f>
        <v>-5.4499999999999975</v>
      </c>
      <c r="H8" s="173">
        <f>('Bill Impacts - Residential 2000'!$AE$12+'Bill Impacts - Residential 2000'!$AE$19)</f>
        <v>-5.0900000000000016</v>
      </c>
      <c r="I8" s="236"/>
      <c r="J8" s="174" t="s">
        <v>76</v>
      </c>
      <c r="K8" s="188">
        <v>2000</v>
      </c>
      <c r="L8" s="188"/>
      <c r="M8" s="171">
        <f>'Bill Impacts - Residential 2000'!$M$50</f>
        <v>-10.409307985900227</v>
      </c>
      <c r="N8" s="170">
        <f>'Bill Impacts - Residential 2000'!$S$50</f>
        <v>-20.13525999999996</v>
      </c>
      <c r="O8" s="170">
        <f>'Bill Impacts - Residential 2000'!$Y$50</f>
        <v>-1.0399999992764037</v>
      </c>
      <c r="P8" s="171">
        <f>'Bill Impacts - Residential 2000'!$AE$50</f>
        <v>-5.880503850306809</v>
      </c>
    </row>
    <row r="9" spans="1:16" x14ac:dyDescent="0.2">
      <c r="A9" s="233"/>
      <c r="B9" s="160" t="s">
        <v>77</v>
      </c>
      <c r="C9" s="161">
        <v>1000</v>
      </c>
      <c r="E9" s="170">
        <f>('Bill Impacts - GS &lt; 50 1000'!$M$12+'Bill Impacts - GS &lt; 50 1000'!$M$19)</f>
        <v>0.3100000000000005</v>
      </c>
      <c r="F9" s="170">
        <f>('Bill Impacts - GS &lt; 50 1000'!$S$12+'Bill Impacts - GS &lt; 50 1000'!$S$19)</f>
        <v>0</v>
      </c>
      <c r="G9" s="170">
        <f>('Bill Impacts - GS &lt; 50 1000'!$Y$12+'Bill Impacts - GS &lt; 50 1000'!$Y$19)</f>
        <v>0.15999999999999659</v>
      </c>
      <c r="H9" s="171">
        <f>('Bill Impacts - GS &lt; 50 1000'!$AE$12+'Bill Impacts - GS &lt; 50 1000'!$AE$19)</f>
        <v>1.2900000000000027</v>
      </c>
      <c r="I9" s="236"/>
      <c r="J9" s="186" t="s">
        <v>77</v>
      </c>
      <c r="K9" s="187">
        <v>1000</v>
      </c>
      <c r="L9" s="187"/>
      <c r="M9" s="204">
        <f>'Bill Impacts - GS &lt; 50 1000'!$M$50</f>
        <v>-2.0354508839096752</v>
      </c>
      <c r="N9" s="170">
        <f>'Bill Impacts - GS &lt; 50 1000'!$S$50</f>
        <v>-10.067630000000008</v>
      </c>
      <c r="O9" s="170">
        <f>'Bill Impacts - GS &lt; 50 1000'!$Y$50</f>
        <v>0.25</v>
      </c>
      <c r="P9" s="171">
        <f>'Bill Impacts - GS &lt; 50 1000'!$AE$50</f>
        <v>0.50200000000000955</v>
      </c>
    </row>
    <row r="10" spans="1:16" x14ac:dyDescent="0.2">
      <c r="A10" s="233"/>
      <c r="B10" s="197" t="s">
        <v>77</v>
      </c>
      <c r="C10" s="198">
        <v>2000</v>
      </c>
      <c r="D10" s="198"/>
      <c r="E10" s="201">
        <f>('Bill Impacts - GS &lt; 50 2000'!$M$12+'Bill Impacts - GS &lt; 50 2000'!$M$19)</f>
        <v>0.41000000000000014</v>
      </c>
      <c r="F10" s="201">
        <f>('Bill Impacts - GS &lt; 50 2000'!$S$12+'Bill Impacts - GS &lt; 50 2000'!$S$19)</f>
        <v>0</v>
      </c>
      <c r="G10" s="201">
        <f>('Bill Impacts - GS &lt; 50 2000'!$Y$12+'Bill Impacts - GS &lt; 50 2000'!$Y$19)</f>
        <v>0.15999999999999659</v>
      </c>
      <c r="H10" s="202">
        <f>('Bill Impacts - GS &lt; 50 2000'!$AE$12+'Bill Impacts - GS &lt; 50 2000'!$AE$19)</f>
        <v>1.5900000000000034</v>
      </c>
      <c r="I10" s="236"/>
      <c r="J10" s="219" t="s">
        <v>77</v>
      </c>
      <c r="K10" s="220">
        <v>2000</v>
      </c>
      <c r="L10" s="220"/>
      <c r="M10" s="202">
        <f>'Bill Impacts - GS &lt; 50 2000'!$M$50</f>
        <v>-4.2709017678193391</v>
      </c>
      <c r="N10" s="170">
        <f>'Bill Impacts - GS &lt; 50 2000'!$S$50</f>
        <v>-20.13525999999996</v>
      </c>
      <c r="O10" s="170">
        <f>'Bill Impacts - GS &lt; 50 2000'!$Y$50</f>
        <v>2.75</v>
      </c>
      <c r="P10" s="171">
        <f>'Bill Impacts - GS &lt; 50 2000'!$AE$50</f>
        <v>0.80200000000002092</v>
      </c>
    </row>
    <row r="11" spans="1:16" x14ac:dyDescent="0.2">
      <c r="A11" s="233"/>
      <c r="B11" s="160" t="s">
        <v>77</v>
      </c>
      <c r="C11" s="161">
        <v>5000</v>
      </c>
      <c r="E11" s="170">
        <f>('Bill Impacts - GS &lt; 50 5000'!$M$12+'Bill Impacts - GS &lt; 50 5000'!$M$19)</f>
        <v>0.71000000000000085</v>
      </c>
      <c r="F11" s="170">
        <f>('Bill Impacts - GS &lt; 50 5000'!$S$12+'Bill Impacts - GS &lt; 50 5000'!$S$19)</f>
        <v>0</v>
      </c>
      <c r="G11" s="170">
        <f>('Bill Impacts - GS &lt; 50 5000'!$Y$12+'Bill Impacts - GS &lt; 50 5000'!$Y$19)</f>
        <v>0.15999999999999659</v>
      </c>
      <c r="H11" s="171">
        <f>('Bill Impacts - GS &lt; 50 5000'!$AE$12+'Bill Impacts - GS &lt; 50 5000'!$AE$19)</f>
        <v>2.490000000000002</v>
      </c>
      <c r="I11" s="236"/>
      <c r="J11" s="174" t="s">
        <v>77</v>
      </c>
      <c r="K11" s="188">
        <v>5000</v>
      </c>
      <c r="L11" s="188"/>
      <c r="M11" s="171">
        <f>'Bill Impacts - GS &lt; 50 5000'!$M$50</f>
        <v>-10.977254419548444</v>
      </c>
      <c r="N11" s="170">
        <f>'Bill Impacts - GS &lt; 50 5000'!$S$50</f>
        <v>-50.338149999999928</v>
      </c>
      <c r="O11" s="170">
        <f>'Bill Impacts - GS &lt; 50 5000'!$Y$50</f>
        <v>10.25</v>
      </c>
      <c r="P11" s="171">
        <f>'Bill Impacts - GS &lt; 50 5000'!$AE$50</f>
        <v>1.7019999999999982</v>
      </c>
    </row>
    <row r="12" spans="1:16" ht="13.9" customHeight="1" x14ac:dyDescent="0.2">
      <c r="A12" s="233"/>
      <c r="B12" s="160" t="s">
        <v>77</v>
      </c>
      <c r="C12" s="161">
        <v>10000</v>
      </c>
      <c r="E12" s="170">
        <f>('Bill Impacts - GS &lt; 50 10000'!$M$12+'Bill Impacts - GS &lt; 50 10000'!$M$19)</f>
        <v>1.2100000000000009</v>
      </c>
      <c r="F12" s="170">
        <f>('Bill Impacts - GS &lt; 50 10000'!$S$12+'Bill Impacts - GS &lt; 50 10000'!$S$19)</f>
        <v>0</v>
      </c>
      <c r="G12" s="170">
        <f>('Bill Impacts - GS &lt; 50 10000'!$Y$12+'Bill Impacts - GS &lt; 50 10000'!$Y$19)</f>
        <v>0.15999999999999659</v>
      </c>
      <c r="H12" s="171">
        <f>('Bill Impacts - GS &lt; 50 10000'!$AE$12+'Bill Impacts - GS &lt; 50 10000'!$AE$19)</f>
        <v>3.990000000000002</v>
      </c>
      <c r="I12" s="236"/>
      <c r="J12" s="174" t="s">
        <v>77</v>
      </c>
      <c r="K12" s="188">
        <v>10000</v>
      </c>
      <c r="L12" s="188"/>
      <c r="M12" s="171">
        <f>'Bill Impacts - GS &lt; 50 10000'!$M$50</f>
        <v>-22.154508839096934</v>
      </c>
      <c r="N12" s="170">
        <f>'Bill Impacts - GS &lt; 50 10000'!$S$50</f>
        <v>-100.67629999999986</v>
      </c>
      <c r="O12" s="170">
        <f>'Bill Impacts - GS &lt; 50 10000'!$Y$50</f>
        <v>22.75</v>
      </c>
      <c r="P12" s="171">
        <f>'Bill Impacts - GS &lt; 50 10000'!$AE$50</f>
        <v>3.2020000000002256</v>
      </c>
    </row>
    <row r="13" spans="1:16" ht="13.5" thickBot="1" x14ac:dyDescent="0.25">
      <c r="A13" s="233"/>
      <c r="B13" s="163" t="s">
        <v>77</v>
      </c>
      <c r="C13" s="164">
        <v>15000</v>
      </c>
      <c r="D13" s="164"/>
      <c r="E13" s="172">
        <f>('Bill Impacts - GS &lt; 50 15000'!$M$12+'Bill Impacts - GS &lt; 50 15000'!$M$19)</f>
        <v>1.7100000000000009</v>
      </c>
      <c r="F13" s="172">
        <f>('Bill Impacts - GS &lt; 50 15000'!$S$12+'Bill Impacts - GS &lt; 50 15000'!$S$19)</f>
        <v>0</v>
      </c>
      <c r="G13" s="172">
        <f>('Bill Impacts - GS &lt; 50 15000'!$Y$12+'Bill Impacts - GS &lt; 50 15000'!$Y$19)</f>
        <v>0.15999999999999659</v>
      </c>
      <c r="H13" s="173">
        <f>('Bill Impacts - GS &lt; 50 15000'!$AE$12+'Bill Impacts - GS &lt; 50 15000'!$AE$19)</f>
        <v>5.490000000000002</v>
      </c>
      <c r="I13" s="236"/>
      <c r="J13" s="225" t="s">
        <v>77</v>
      </c>
      <c r="K13" s="189">
        <v>15000</v>
      </c>
      <c r="L13" s="189"/>
      <c r="M13" s="173">
        <f>'Bill Impacts - GS &lt; 50 15000'!$M$50</f>
        <v>-33.331763258645424</v>
      </c>
      <c r="N13" s="170">
        <f>'Bill Impacts - GS &lt; 50 15000'!$S$50</f>
        <v>-151.01444999999967</v>
      </c>
      <c r="O13" s="170">
        <f>'Bill Impacts - GS &lt; 50 15000'!$Y$50</f>
        <v>35.25</v>
      </c>
      <c r="P13" s="171">
        <f>'Bill Impacts - GS &lt; 50 15000'!$AE$50</f>
        <v>4.7020000000002256</v>
      </c>
    </row>
    <row r="14" spans="1:16" x14ac:dyDescent="0.2">
      <c r="A14" s="233"/>
      <c r="B14" s="160" t="s">
        <v>78</v>
      </c>
      <c r="C14" s="161">
        <v>43999.999999999993</v>
      </c>
      <c r="D14" s="161">
        <v>100</v>
      </c>
      <c r="E14" s="170">
        <f>('Bill Impacts - GS &gt; 50 100'!$M$12+'Bill Impacts - GS &gt; 50 100'!$M$19)</f>
        <v>3.0299999999999443</v>
      </c>
      <c r="F14" s="170">
        <f>('Bill Impacts - GS &gt; 50 100'!$S$12+'Bill Impacts - GS &gt; 50 100'!$S$19)</f>
        <v>0</v>
      </c>
      <c r="G14" s="170">
        <f>('Bill Impacts - GS &gt; 50 100'!$Y$12+'Bill Impacts - GS &gt; 50 100'!$Y$19)</f>
        <v>-0.61999999999997613</v>
      </c>
      <c r="H14" s="171">
        <f>('Bill Impacts - GS &gt; 50 100'!$AE$12+'Bill Impacts - GS &gt; 50 100'!$AE$19)</f>
        <v>14.409999999999997</v>
      </c>
      <c r="I14" s="236"/>
      <c r="J14" s="174" t="s">
        <v>78</v>
      </c>
      <c r="K14" s="188">
        <v>43999.999999999993</v>
      </c>
      <c r="L14" s="188">
        <v>100</v>
      </c>
      <c r="M14" s="171">
        <f>'Bill Impacts - GS &gt; 50 100'!$M$56</f>
        <v>-78.760319525778868</v>
      </c>
      <c r="N14" s="170">
        <f>'Bill Impacts - GS &gt; 50 100'!$S$56</f>
        <v>-414.38359999999921</v>
      </c>
      <c r="O14" s="170">
        <f>'Bill Impacts - GS &gt; 50 100'!$Y$56</f>
        <v>1.9499999999998181</v>
      </c>
      <c r="P14" s="171">
        <f>'Bill Impacts - GS &gt; 50 100'!$AE$56</f>
        <v>14.409999999999854</v>
      </c>
    </row>
    <row r="15" spans="1:16" x14ac:dyDescent="0.2">
      <c r="A15" s="233"/>
      <c r="B15" s="197" t="s">
        <v>78</v>
      </c>
      <c r="C15" s="198">
        <v>109999.99999999999</v>
      </c>
      <c r="D15" s="198">
        <v>250</v>
      </c>
      <c r="E15" s="201">
        <f>('Bill Impacts - GS &gt; 50 250'!$M$12+'Bill Impacts - GS &gt; 50 250'!$M$19)</f>
        <v>4.7249999999999091</v>
      </c>
      <c r="F15" s="201">
        <f>('Bill Impacts - GS &gt; 50 250'!$S$12+'Bill Impacts - GS &gt; 50 250'!$S$19)</f>
        <v>0</v>
      </c>
      <c r="G15" s="201">
        <f>('Bill Impacts - GS &gt; 50 250'!$Y$12+'Bill Impacts - GS &gt; 50 250'!$Y$19)</f>
        <v>-0.96499999999991815</v>
      </c>
      <c r="H15" s="202">
        <f>('Bill Impacts - GS &gt; 50 250'!$AE$12+'Bill Impacts - GS &gt; 50 250'!$AE$19)</f>
        <v>22.464999999999918</v>
      </c>
      <c r="I15" s="236"/>
      <c r="J15" s="219" t="s">
        <v>78</v>
      </c>
      <c r="K15" s="220">
        <v>109999.99999999999</v>
      </c>
      <c r="L15" s="220">
        <v>250</v>
      </c>
      <c r="M15" s="202">
        <f>'Bill Impacts - GS &gt; 50 250'!$M$56</f>
        <v>-199.69079881444486</v>
      </c>
      <c r="N15" s="170">
        <f>'Bill Impacts - GS &gt; 50 250'!$S$56</f>
        <v>-1038.2090000000007</v>
      </c>
      <c r="O15" s="170">
        <f>'Bill Impacts - GS &gt; 50 250'!$Y$56</f>
        <v>10.649999999999636</v>
      </c>
      <c r="P15" s="171">
        <f>'Bill Impacts - GS &gt; 50 250'!$AE$56</f>
        <v>22.465000000000146</v>
      </c>
    </row>
    <row r="16" spans="1:16" x14ac:dyDescent="0.2">
      <c r="A16" s="233"/>
      <c r="B16" s="160" t="s">
        <v>78</v>
      </c>
      <c r="C16" s="161">
        <v>153999.99999999997</v>
      </c>
      <c r="D16" s="161">
        <v>350</v>
      </c>
      <c r="E16" s="170">
        <f>('Bill Impacts - GS &gt; 50 350'!$M$12+'Bill Impacts - GS &gt; 50 350'!$M$19)</f>
        <v>5.8549999999999045</v>
      </c>
      <c r="F16" s="170">
        <f>('Bill Impacts - GS &gt; 50 350'!$S$12+'Bill Impacts - GS &gt; 50 350'!$S$19)</f>
        <v>0</v>
      </c>
      <c r="G16" s="170">
        <f>('Bill Impacts - GS &gt; 50 350'!$Y$12+'Bill Impacts - GS &gt; 50 350'!$Y$19)</f>
        <v>-1.1949999999999363</v>
      </c>
      <c r="H16" s="171">
        <f>('Bill Impacts - GS &gt; 50 350'!$AE$12+'Bill Impacts - GS &gt; 50 350'!$AE$19)</f>
        <v>27.834999999999923</v>
      </c>
      <c r="I16" s="236"/>
      <c r="J16" s="174" t="s">
        <v>78</v>
      </c>
      <c r="K16" s="188">
        <v>153999.99999999997</v>
      </c>
      <c r="L16" s="188">
        <v>350</v>
      </c>
      <c r="M16" s="171">
        <f>'Bill Impacts - GS &gt; 50 350'!$M$56</f>
        <v>-280.31111834022886</v>
      </c>
      <c r="N16" s="170">
        <f>'Bill Impacts - GS &gt; 50 350'!$S$56</f>
        <v>-1454.0925999999999</v>
      </c>
      <c r="O16" s="170">
        <f>'Bill Impacts - GS &gt; 50 350'!$Y$56</f>
        <v>16.450000000000728</v>
      </c>
      <c r="P16" s="171">
        <f>'Bill Impacts - GS &gt; 50 350'!$AE$56</f>
        <v>27.834999999999127</v>
      </c>
    </row>
    <row r="17" spans="1:16" x14ac:dyDescent="0.2">
      <c r="A17" s="233"/>
      <c r="B17" s="160" t="s">
        <v>78</v>
      </c>
      <c r="C17" s="161">
        <v>879999.99999999988</v>
      </c>
      <c r="D17" s="161">
        <v>2000</v>
      </c>
      <c r="E17" s="170">
        <f>('Bill Impacts - GS &gt; 50 2000'!$M$12+'Bill Impacts - GS &gt; 50 2000'!$M$19)</f>
        <v>24.499999999999432</v>
      </c>
      <c r="F17" s="170">
        <f>('Bill Impacts - GS &gt; 50 2000'!$S$12+'Bill Impacts - GS &gt; 50 2000'!$S$19)</f>
        <v>0</v>
      </c>
      <c r="G17" s="170">
        <f>('Bill Impacts - GS &gt; 50 2000'!$Y$12+'Bill Impacts - GS &gt; 50 2000'!$Y$19)</f>
        <v>-4.9899999999994407</v>
      </c>
      <c r="H17" s="171">
        <f>('Bill Impacts - GS &gt; 50 2000'!$AE$12+'Bill Impacts - GS &gt; 50 2000'!$AE$19)</f>
        <v>116.4399999999996</v>
      </c>
      <c r="I17" s="236"/>
      <c r="J17" s="174" t="s">
        <v>78</v>
      </c>
      <c r="K17" s="188">
        <v>879999.99999999988</v>
      </c>
      <c r="L17" s="188">
        <v>2000</v>
      </c>
      <c r="M17" s="171">
        <f>'Bill Impacts - GS &gt; 50 2000'!$M$56</f>
        <v>-1610.5463905155775</v>
      </c>
      <c r="N17" s="170">
        <f>'Bill Impacts - GS &gt; 50 2000'!$S$56</f>
        <v>-8316.1719999999914</v>
      </c>
      <c r="O17" s="170">
        <f>'Bill Impacts - GS &gt; 50 2000'!$Y$56</f>
        <v>112.14999999999418</v>
      </c>
      <c r="P17" s="171">
        <f>'Bill Impacts - GS &gt; 50 2000'!$AE$56</f>
        <v>116.44000000000233</v>
      </c>
    </row>
    <row r="18" spans="1:16" ht="13.5" thickBot="1" x14ac:dyDescent="0.25">
      <c r="A18" s="233"/>
      <c r="B18" s="160" t="s">
        <v>78</v>
      </c>
      <c r="C18" s="161">
        <v>1759999.9999999998</v>
      </c>
      <c r="D18" s="161">
        <v>4000</v>
      </c>
      <c r="E18" s="170">
        <f>('Bill Impacts - GS &gt; 50 4000'!$M$12+'Bill Impacts - GS &gt; 50 4000'!$M$19)</f>
        <v>47.099999999998886</v>
      </c>
      <c r="F18" s="172">
        <f>('Bill Impacts - GS &gt; 50 4000'!$S$12+'Bill Impacts - GS &gt; 50 4000'!$S$19)</f>
        <v>0</v>
      </c>
      <c r="G18" s="172">
        <f>('Bill Impacts - GS &gt; 50 4000'!$Y$12+'Bill Impacts - GS &gt; 50 4000'!$Y$19)</f>
        <v>-9.589999999998895</v>
      </c>
      <c r="H18" s="173">
        <f>('Bill Impacts - GS &gt; 50 4000'!$AE$12+'Bill Impacts - GS &gt; 50 4000'!$AE$19)</f>
        <v>223.83999999999924</v>
      </c>
      <c r="I18" s="236"/>
      <c r="J18" s="174" t="s">
        <v>78</v>
      </c>
      <c r="K18" s="188">
        <v>1759999.9999999998</v>
      </c>
      <c r="L18" s="188">
        <v>4000</v>
      </c>
      <c r="M18" s="171">
        <f>'Bill Impacts - GS &gt; 50 4000'!$M$56</f>
        <v>-3222.9527810311411</v>
      </c>
      <c r="N18" s="170">
        <f>'Bill Impacts - GS &gt; 50 4000'!$S$56</f>
        <v>-16633.843999999983</v>
      </c>
      <c r="O18" s="170">
        <f>'Bill Impacts - GS &gt; 50 4000'!$Y$56</f>
        <v>228.15000000002328</v>
      </c>
      <c r="P18" s="171">
        <f>'Bill Impacts - GS &gt; 50 4000'!$AE$56</f>
        <v>223.8399999999674</v>
      </c>
    </row>
    <row r="19" spans="1:16" ht="13.5" thickBot="1" x14ac:dyDescent="0.25">
      <c r="A19" s="234"/>
      <c r="B19" s="229" t="s">
        <v>79</v>
      </c>
      <c r="C19" s="230">
        <v>2555000</v>
      </c>
      <c r="D19" s="230">
        <v>5000</v>
      </c>
      <c r="E19" s="228">
        <f>('Bill Impacts - Large Use 5000'!$M$12+'Bill Impacts - Large Use 5000'!$M$19)</f>
        <v>122.3199999999988</v>
      </c>
      <c r="F19" s="170"/>
      <c r="G19" s="170"/>
      <c r="H19" s="171"/>
      <c r="I19" s="237"/>
      <c r="J19" s="226" t="s">
        <v>79</v>
      </c>
      <c r="K19" s="227">
        <f>+C19</f>
        <v>2555000</v>
      </c>
      <c r="L19" s="227">
        <f>+D19</f>
        <v>5000</v>
      </c>
      <c r="M19" s="228">
        <f>'Bill Impacts - Large Use 5000'!$M$56</f>
        <v>-6900.9983677888522</v>
      </c>
      <c r="N19" s="170"/>
      <c r="O19" s="170"/>
      <c r="P19" s="171"/>
    </row>
    <row r="20" spans="1:16" x14ac:dyDescent="0.2">
      <c r="A20" s="234"/>
      <c r="B20" s="160" t="s">
        <v>79</v>
      </c>
      <c r="C20" s="161">
        <v>3321500</v>
      </c>
      <c r="D20" s="161">
        <v>6500</v>
      </c>
      <c r="E20" s="171">
        <f>('Bill Impacts - Large Use 6500'!$M$12+'Bill Impacts - Large Use 6500'!$M$19)</f>
        <v>130.71999999999935</v>
      </c>
      <c r="F20" s="203">
        <f>('Bill Impacts - Large Use 6500'!$S$12+'Bill Impacts - Large Use 6500'!$S$19)</f>
        <v>0</v>
      </c>
      <c r="G20" s="203">
        <f>('Bill Impacts - Large Use 6500'!$Y$12+'Bill Impacts - Large Use 6500'!$Y$19)</f>
        <v>130.69999999999891</v>
      </c>
      <c r="H20" s="204">
        <f>('Bill Impacts - Large Use 6500'!$AE$12+'Bill Impacts - Large Use 6500'!$AE$19)</f>
        <v>787.63000000000102</v>
      </c>
      <c r="I20" s="237"/>
      <c r="J20" s="174" t="s">
        <v>79</v>
      </c>
      <c r="K20" s="188">
        <v>3321500</v>
      </c>
      <c r="L20" s="188">
        <v>6500</v>
      </c>
      <c r="M20" s="171">
        <f>'Bill Impacts - Large Use 6500'!$M$56</f>
        <v>-8999.5938781255973</v>
      </c>
      <c r="N20" s="170">
        <f>'Bill Impacts - Large Use 6500'!$S$56</f>
        <v>-27372.768999999971</v>
      </c>
      <c r="O20" s="170">
        <f>'Bill Impacts - Large Use 6500'!$Y$56</f>
        <v>635.09999999997672</v>
      </c>
      <c r="P20" s="171">
        <f>'Bill Impacts - Large Use 6500'!$AE$56</f>
        <v>787.63000000000466</v>
      </c>
    </row>
    <row r="21" spans="1:16" x14ac:dyDescent="0.2">
      <c r="A21" s="234"/>
      <c r="B21" s="160" t="s">
        <v>79</v>
      </c>
      <c r="C21" s="161">
        <v>3832500</v>
      </c>
      <c r="D21" s="161">
        <v>7500</v>
      </c>
      <c r="E21" s="171">
        <f>('Bill Impacts - Large Use 7500'!$M$12+'Bill Impacts - Large Use 7500'!$M$19)</f>
        <v>136.31999999999971</v>
      </c>
      <c r="F21" s="170">
        <f>('Bill Impacts - Large Use 7500'!$S$12+'Bill Impacts - Large Use 7500'!$S$19)</f>
        <v>0</v>
      </c>
      <c r="G21" s="170">
        <f>('Bill Impacts - Large Use 7500'!$Y$12+'Bill Impacts - Large Use 7500'!$Y$19)</f>
        <v>136.29999999999927</v>
      </c>
      <c r="H21" s="171">
        <f>('Bill Impacts - Large Use 7500'!$AE$12+'Bill Impacts - Large Use 7500'!$AE$19)</f>
        <v>821.22999999999956</v>
      </c>
      <c r="I21" s="237"/>
      <c r="J21" s="174" t="s">
        <v>79</v>
      </c>
      <c r="K21" s="188">
        <v>3832500</v>
      </c>
      <c r="L21" s="188">
        <v>7500</v>
      </c>
      <c r="M21" s="171">
        <f>'Bill Impacts - Large Use 7500'!$M$56</f>
        <v>-10398.657551683369</v>
      </c>
      <c r="N21" s="170">
        <f>'Bill Impacts - Large Use 7500'!$S$56</f>
        <v>-31584.194999999832</v>
      </c>
      <c r="O21" s="170">
        <f>'Bill Impacts - Large Use 7500'!$Y$56</f>
        <v>718.29999999993015</v>
      </c>
      <c r="P21" s="171">
        <f>'Bill Impacts - Large Use 7500'!$AE$56</f>
        <v>821.23000000009779</v>
      </c>
    </row>
    <row r="22" spans="1:16" x14ac:dyDescent="0.2">
      <c r="A22" s="234"/>
      <c r="B22" s="197" t="s">
        <v>79</v>
      </c>
      <c r="C22" s="198">
        <v>5110000</v>
      </c>
      <c r="D22" s="198">
        <v>10000</v>
      </c>
      <c r="E22" s="202">
        <f>('Bill Impacts - Large Use 10000'!$M$12+'Bill Impacts - Large Use 10000'!$M$19)</f>
        <v>150.31999999999789</v>
      </c>
      <c r="F22" s="170">
        <f>('Bill Impacts - Large Use 10000'!$S$12+'Bill Impacts - Large Use 10000'!$S$19)</f>
        <v>0</v>
      </c>
      <c r="G22" s="170">
        <f>('Bill Impacts - Large Use 10000'!$Y$12+'Bill Impacts - Large Use 10000'!$Y$19)</f>
        <v>150.30000000000109</v>
      </c>
      <c r="H22" s="171">
        <f>('Bill Impacts - Large Use 10000'!$AE$12+'Bill Impacts - Large Use 10000'!$AE$19)</f>
        <v>905.22999999999956</v>
      </c>
      <c r="I22" s="237"/>
      <c r="J22" s="219" t="s">
        <v>79</v>
      </c>
      <c r="K22" s="220">
        <v>5110000</v>
      </c>
      <c r="L22" s="220">
        <v>10000</v>
      </c>
      <c r="M22" s="202">
        <f>'Bill Impacts - Large Use 10000'!$M$56</f>
        <v>-13896.316735577653</v>
      </c>
      <c r="N22" s="170">
        <f>'Bill Impacts - Large Use 10000'!$S$56</f>
        <v>-42112.760000000009</v>
      </c>
      <c r="O22" s="170">
        <f>'Bill Impacts - Large Use 10000'!$Y$56</f>
        <v>926.30000000004657</v>
      </c>
      <c r="P22" s="171">
        <f>'Bill Impacts - Large Use 10000'!$AE$56</f>
        <v>905.22999999998137</v>
      </c>
    </row>
    <row r="23" spans="1:16" x14ac:dyDescent="0.2">
      <c r="A23" s="234"/>
      <c r="B23" s="160" t="s">
        <v>79</v>
      </c>
      <c r="C23" s="161">
        <v>6387500</v>
      </c>
      <c r="D23" s="161">
        <v>12500</v>
      </c>
      <c r="E23" s="171">
        <f>('Bill Impacts - Large Use 12500'!$M$12+'Bill Impacts - Large Use 12500'!$M$19)</f>
        <v>164.31999999999971</v>
      </c>
      <c r="F23" s="170">
        <f>('Bill Impacts - Large Use 12500'!$S$12+'Bill Impacts - Large Use 12500'!$S$19)</f>
        <v>0</v>
      </c>
      <c r="G23" s="170">
        <f>('Bill Impacts - Large Use 12500'!$Y$12+'Bill Impacts - Large Use 12500'!$Y$19)</f>
        <v>164.29999999999927</v>
      </c>
      <c r="H23" s="171">
        <f>('Bill Impacts - Large Use 12500'!$AE$12+'Bill Impacts - Large Use 12500'!$AE$19)</f>
        <v>989.22999999999956</v>
      </c>
      <c r="I23" s="237"/>
      <c r="J23" s="174" t="s">
        <v>79</v>
      </c>
      <c r="K23" s="188">
        <v>6387500</v>
      </c>
      <c r="L23" s="188">
        <v>12500</v>
      </c>
      <c r="M23" s="171">
        <f>'Bill Impacts - Large Use 12500'!$M$56</f>
        <v>-17393.97591947217</v>
      </c>
      <c r="N23" s="170">
        <f>'Bill Impacts - Large Use 12500'!$S$56</f>
        <v>-52641.324999999953</v>
      </c>
      <c r="O23" s="170">
        <f>'Bill Impacts - Large Use 12500'!$Y$56</f>
        <v>1134.3000000000466</v>
      </c>
      <c r="P23" s="171">
        <f>'Bill Impacts - Large Use 12500'!$AE$56</f>
        <v>989.22999999998137</v>
      </c>
    </row>
    <row r="24" spans="1:16" x14ac:dyDescent="0.2">
      <c r="A24" s="234"/>
      <c r="B24" s="160" t="s">
        <v>82</v>
      </c>
      <c r="C24" s="161">
        <v>7665000</v>
      </c>
      <c r="D24" s="161">
        <v>15000</v>
      </c>
      <c r="E24" s="171">
        <f>('Bill Impacts - Large Use2 15000'!$M$12+'Bill Impacts - Large Use2 15000'!$M$19)</f>
        <v>2220.6199999999994</v>
      </c>
      <c r="F24" s="170">
        <f>('Bill Impacts - Large Use2 15000'!$S$12+'Bill Impacts - Large Use2 15000'!$S$19)</f>
        <v>0</v>
      </c>
      <c r="G24" s="170">
        <f>('Bill Impacts - Large Use2 15000'!$Y$12+'Bill Impacts - Large Use2 15000'!$Y$19)</f>
        <v>-10.329999999999927</v>
      </c>
      <c r="H24" s="171">
        <f>('Bill Impacts - Large Use2 15000'!$AE$12+'Bill Impacts - Large Use2 15000'!$AE$19)</f>
        <v>252.09000000000015</v>
      </c>
      <c r="I24" s="237"/>
      <c r="J24" s="174" t="s">
        <v>82</v>
      </c>
      <c r="K24" s="188">
        <v>7665000</v>
      </c>
      <c r="L24" s="188">
        <v>15000</v>
      </c>
      <c r="M24" s="171">
        <f>'Bill Impacts - Large Use2 15000'!$M$56</f>
        <v>-18084.60124806012</v>
      </c>
      <c r="N24" s="170">
        <f>'Bill Impacts - Large Use2 15000'!$S$56</f>
        <v>-65992.889999999898</v>
      </c>
      <c r="O24" s="170">
        <f>'Bill Impacts - Large Use2 15000'!$Y$56</f>
        <v>1380.1699999999255</v>
      </c>
      <c r="P24" s="171">
        <f>'Bill Impacts - Large Use2 15000'!$AE$56</f>
        <v>252.09000000008382</v>
      </c>
    </row>
    <row r="25" spans="1:16" ht="13.5" thickBot="1" x14ac:dyDescent="0.25">
      <c r="A25" s="234"/>
      <c r="B25" s="215" t="s">
        <v>82</v>
      </c>
      <c r="C25" s="216">
        <v>10220000</v>
      </c>
      <c r="D25" s="216">
        <v>20000</v>
      </c>
      <c r="E25" s="222">
        <f>('Bill Impacts - Large Use2 20000'!$M$12+'Bill Impacts - Large Use2 20000'!$M$19)</f>
        <v>2568.1200000000008</v>
      </c>
      <c r="F25" s="172">
        <f>('Bill Impacts - Large Use2 20000'!$S$12+'Bill Impacts - Large Use2 20000'!$S$19)</f>
        <v>0</v>
      </c>
      <c r="G25" s="172">
        <f>('Bill Impacts - Large Use2 20000'!$Y$12+'Bill Impacts - Large Use2 20000'!$Y$19)</f>
        <v>-11.830000000000837</v>
      </c>
      <c r="H25" s="173">
        <f>('Bill Impacts - Large Use2 20000'!$AE$12+'Bill Impacts - Large Use2 20000'!$AE$19)</f>
        <v>291.59000000000015</v>
      </c>
      <c r="I25" s="237"/>
      <c r="J25" s="224" t="s">
        <v>82</v>
      </c>
      <c r="K25" s="221">
        <v>10220000</v>
      </c>
      <c r="L25" s="221">
        <v>20000</v>
      </c>
      <c r="M25" s="222">
        <f>'Bill Impacts - Large Use2 20000'!$M$56</f>
        <v>-24505.508330747019</v>
      </c>
      <c r="N25" s="170">
        <f>'Bill Impacts - Large Use2 20000'!$S$56</f>
        <v>-87991.020000000019</v>
      </c>
      <c r="O25" s="170">
        <f>'Bill Impacts - Large Use2 20000'!$Y$56</f>
        <v>1842.1700000003912</v>
      </c>
      <c r="P25" s="171">
        <f>'Bill Impacts - Large Use2 20000'!$AE$56</f>
        <v>291.58999999985099</v>
      </c>
    </row>
    <row r="26" spans="1:16" x14ac:dyDescent="0.2">
      <c r="A26" s="233"/>
      <c r="B26" s="160" t="s">
        <v>80</v>
      </c>
      <c r="C26" s="161">
        <v>250</v>
      </c>
      <c r="E26" s="170">
        <f>('Bill Impacts - USL 250'!$M$12+'Bill Impacts - USL 250'!$M$19)</f>
        <v>5.5000000000000604E-2</v>
      </c>
      <c r="F26" s="170">
        <f>('Bill Impacts - USL 250'!$S$12+'Bill Impacts - USL 250'!$S$19)</f>
        <v>0</v>
      </c>
      <c r="G26" s="170">
        <f>('Bill Impacts - USL 250'!$Y$12+'Bill Impacts - USL 250'!$Y$19)</f>
        <v>5.4999999999999272E-2</v>
      </c>
      <c r="H26" s="171">
        <f>('Bill Impacts - USL 250'!$AE$12+'Bill Impacts - USL 250'!$AE$19)</f>
        <v>0.27499999999999947</v>
      </c>
      <c r="I26" s="236"/>
      <c r="J26" s="174" t="s">
        <v>80</v>
      </c>
      <c r="K26" s="188">
        <v>250</v>
      </c>
      <c r="L26" s="188"/>
      <c r="M26" s="171">
        <f>'Bill Impacts - USL 250'!$M$56</f>
        <v>-1.0581996098402797</v>
      </c>
      <c r="N26" s="170">
        <f>'Bill Impacts - USL 250'!$S$56</f>
        <v>-2.25</v>
      </c>
      <c r="O26" s="170">
        <f>'Bill Impacts - USL 250'!$Y$56</f>
        <v>0.28000000000000114</v>
      </c>
      <c r="P26" s="171">
        <f>'Bill Impacts - USL 250'!$AE$56</f>
        <v>0.27499999999999858</v>
      </c>
    </row>
    <row r="27" spans="1:16" x14ac:dyDescent="0.2">
      <c r="A27" s="233"/>
      <c r="B27" s="160" t="s">
        <v>80</v>
      </c>
      <c r="C27" s="161">
        <v>500</v>
      </c>
      <c r="E27" s="170">
        <f>('Bill Impacts - USL 500'!$M$12+'Bill Impacts - USL 500'!$M$19)</f>
        <v>8.0000000000000071E-2</v>
      </c>
      <c r="F27" s="170">
        <f>('Bill Impacts - USL 500'!$S$12+'Bill Impacts - USL 500'!$S$19)</f>
        <v>0</v>
      </c>
      <c r="G27" s="170">
        <f>('Bill Impacts - USL 500'!$Y$12+'Bill Impacts - USL 500'!$Y$19)</f>
        <v>7.9999999999999183E-2</v>
      </c>
      <c r="H27" s="171">
        <f>('Bill Impacts - USL 500'!$AE$12+'Bill Impacts - USL 500'!$AE$19)</f>
        <v>0.34999999999999964</v>
      </c>
      <c r="I27" s="236"/>
      <c r="J27" s="174" t="s">
        <v>80</v>
      </c>
      <c r="K27" s="188">
        <v>500</v>
      </c>
      <c r="L27" s="188"/>
      <c r="M27" s="171">
        <f>'Bill Impacts - USL 500'!$M$56</f>
        <v>-2.1463992196805606</v>
      </c>
      <c r="N27" s="170">
        <f>'Bill Impacts - USL 500'!$S$56</f>
        <v>-4.5</v>
      </c>
      <c r="O27" s="170">
        <f>'Bill Impacts - USL 500'!$Y$56</f>
        <v>0.53000000000000114</v>
      </c>
      <c r="P27" s="171">
        <f>'Bill Impacts - USL 500'!$AE$56</f>
        <v>0.34999999999999432</v>
      </c>
    </row>
    <row r="28" spans="1:16" x14ac:dyDescent="0.2">
      <c r="A28" s="233"/>
      <c r="B28" s="160" t="s">
        <v>81</v>
      </c>
      <c r="C28" s="161">
        <v>97008</v>
      </c>
      <c r="D28" s="161">
        <v>216</v>
      </c>
      <c r="E28" s="170">
        <f>('Bill Impacts - Sentinel (2)'!$M$12+'Bill Impacts - Sentinel (2)'!$M$19)</f>
        <v>37.873199999999997</v>
      </c>
      <c r="F28" s="170">
        <f>('Bill Impacts - Sentinel (2)'!$S$12+'Bill Impacts - Sentinel (2)'!$S$19)</f>
        <v>0</v>
      </c>
      <c r="G28" s="170">
        <f>('Bill Impacts - Sentinel (2)'!$Y$12+'Bill Impacts - Sentinel (2)'!$Y$19)</f>
        <v>-10.579600000000028</v>
      </c>
      <c r="H28" s="171">
        <f>('Bill Impacts - Sentinel (2)'!$AE$12+'Bill Impacts - Sentinel (2)'!$AE$19)</f>
        <v>171.14439999999968</v>
      </c>
      <c r="I28" s="236"/>
      <c r="J28" s="174" t="s">
        <v>81</v>
      </c>
      <c r="K28" s="188">
        <v>97008</v>
      </c>
      <c r="L28" s="188">
        <v>216</v>
      </c>
      <c r="M28" s="171">
        <f>'Bill Impacts - Sentinel (2)'!$M$56</f>
        <v>-240.91565816430375</v>
      </c>
      <c r="N28" s="170">
        <f>'Bill Impacts - Sentinel (2)'!$S$56</f>
        <v>-1229.7486021119985</v>
      </c>
      <c r="O28" s="170">
        <f>'Bill Impacts - Sentinel (2)'!$Y$56</f>
        <v>181.12039999999979</v>
      </c>
      <c r="P28" s="171">
        <f>'Bill Impacts - Sentinel (2)'!$AE$56</f>
        <v>171.14440000000104</v>
      </c>
    </row>
    <row r="29" spans="1:16" ht="13.5" thickBot="1" x14ac:dyDescent="0.25">
      <c r="A29" s="235"/>
      <c r="B29" s="215" t="s">
        <v>102</v>
      </c>
      <c r="C29" s="216">
        <v>1782038</v>
      </c>
      <c r="D29" s="216">
        <v>4973</v>
      </c>
      <c r="E29" s="217">
        <f>('Bill Impacts - Street Light (2'!$M$12+'Bill Impacts - Street Light (2'!$M$19)</f>
        <v>-6435.1940270000014</v>
      </c>
      <c r="F29" s="172">
        <f>('Bill Impacts - Street Light (2'!$S$12+'Bill Impacts - Street Light (2'!$S$19)</f>
        <v>0</v>
      </c>
      <c r="G29" s="172">
        <f>('Bill Impacts - Street Light (2'!$Y$12+'Bill Impacts - Street Light (2'!$Y$19)</f>
        <v>-6421.7652259999995</v>
      </c>
      <c r="H29" s="173">
        <f>('Bill Impacts - Street Light (2'!$AE$12+'Bill Impacts - Street Light (2'!$AE$19)</f>
        <v>-2891.620973000001</v>
      </c>
      <c r="I29" s="238"/>
      <c r="J29" s="215" t="s">
        <v>102</v>
      </c>
      <c r="K29" s="221">
        <f>+C29</f>
        <v>1782038</v>
      </c>
      <c r="L29" s="221">
        <f>+D29</f>
        <v>4973</v>
      </c>
      <c r="M29" s="222">
        <f>'Bill Impacts - Street Light (2'!$M$56</f>
        <v>-14714.68018367578</v>
      </c>
      <c r="N29" s="172">
        <f>'Bill Impacts - Street Light (2'!$S$56</f>
        <v>-22799.841870519973</v>
      </c>
      <c r="O29" s="172">
        <f>'Bill Impacts - Street Light (2'!$Y$56</f>
        <v>-1940.0272329999716</v>
      </c>
      <c r="P29" s="173">
        <f>'Bill Impacts - Street Light (2'!$AE$56</f>
        <v>-2891.6209730000701</v>
      </c>
    </row>
    <row r="30" spans="1:16" ht="13.5" thickBot="1" x14ac:dyDescent="0.25"/>
    <row r="31" spans="1:16" ht="26.25" thickBot="1" x14ac:dyDescent="0.25">
      <c r="A31" s="213"/>
      <c r="B31" s="166" t="s">
        <v>73</v>
      </c>
      <c r="C31" s="167" t="s">
        <v>74</v>
      </c>
      <c r="D31" s="167" t="s">
        <v>75</v>
      </c>
      <c r="E31" s="168" t="s">
        <v>86</v>
      </c>
      <c r="F31" s="168" t="s">
        <v>86</v>
      </c>
      <c r="G31" s="168" t="s">
        <v>87</v>
      </c>
      <c r="H31" s="169" t="s">
        <v>88</v>
      </c>
      <c r="I31" s="214"/>
      <c r="J31" s="166" t="s">
        <v>73</v>
      </c>
      <c r="K31" s="167" t="s">
        <v>74</v>
      </c>
      <c r="L31" s="167" t="s">
        <v>75</v>
      </c>
      <c r="M31" s="169" t="s">
        <v>92</v>
      </c>
      <c r="N31" s="168" t="s">
        <v>92</v>
      </c>
      <c r="O31" s="168" t="s">
        <v>93</v>
      </c>
      <c r="P31" s="169" t="s">
        <v>94</v>
      </c>
    </row>
    <row r="32" spans="1:16" x14ac:dyDescent="0.2">
      <c r="A32" s="232" t="s">
        <v>99</v>
      </c>
      <c r="B32" s="182" t="s">
        <v>76</v>
      </c>
      <c r="C32" s="183">
        <v>100</v>
      </c>
      <c r="D32" s="183"/>
      <c r="E32" s="191">
        <f>E2/SUM('Bill Impacts - Residential 100'!$H$12+'Bill Impacts - Residential 100'!$H$19)</f>
        <v>0.10694652673663163</v>
      </c>
      <c r="F32" s="191">
        <f>F2/SUM('Bill Impacts - Residential 100'!$K$12+'Bill Impacts - Residential 100'!$K$19)</f>
        <v>0</v>
      </c>
      <c r="G32" s="191">
        <f>G2/SUM('Bill Impacts - Residential 100'!$Q$12+'Bill Impacts - Residential 100'!$Q$19)</f>
        <v>9.7065462753950379E-2</v>
      </c>
      <c r="H32" s="192">
        <f>H2/SUM('Bill Impacts - Residential 100'!$W$12+'Bill Impacts - Residential 100'!$W$19)</f>
        <v>0.11111111111111108</v>
      </c>
      <c r="I32" s="232" t="s">
        <v>100</v>
      </c>
      <c r="J32" s="182" t="s">
        <v>76</v>
      </c>
      <c r="K32" s="183">
        <v>100</v>
      </c>
      <c r="L32" s="183"/>
      <c r="M32" s="192">
        <f>'Bill Impacts - Residential 100'!$N$50</f>
        <v>5.3269541675748565E-2</v>
      </c>
      <c r="N32" s="191">
        <f>'Bill Impacts - Residential 100'!$T$50</f>
        <v>-2.5921930425005835E-2</v>
      </c>
      <c r="O32" s="191">
        <f>'Bill Impacts - Residential 100'!$Z$50</f>
        <v>4.4444380308836295E-2</v>
      </c>
      <c r="P32" s="194">
        <f>'Bill Impacts - Residential 100'!$AF$50</f>
        <v>5.0170007053721273E-2</v>
      </c>
    </row>
    <row r="33" spans="1:16" x14ac:dyDescent="0.2">
      <c r="A33" s="233"/>
      <c r="B33" s="160" t="s">
        <v>76</v>
      </c>
      <c r="C33" s="161">
        <v>200</v>
      </c>
      <c r="E33" s="193">
        <f>E3/SUM('Bill Impacts - Residential 200'!$H$12+'Bill Impacts - Residential 200'!$H$19)</f>
        <v>8.1998114985862361E-2</v>
      </c>
      <c r="F33" s="193">
        <f>F3/SUM('Bill Impacts - Residential 200'!$K$12+'Bill Impacts - Residential 200'!$K$19)</f>
        <v>0</v>
      </c>
      <c r="G33" s="193">
        <f>G3/SUM('Bill Impacts - Residential 200'!$Q$12+'Bill Impacts - Residential 200'!$Q$19)</f>
        <v>7.6219512195121991E-2</v>
      </c>
      <c r="H33" s="194">
        <f>H3/SUM('Bill Impacts - Residential 200'!$W$12+'Bill Impacts - Residential 200'!$W$19)</f>
        <v>9.2675030352084145E-2</v>
      </c>
      <c r="I33" s="233"/>
      <c r="J33" s="160" t="s">
        <v>76</v>
      </c>
      <c r="K33" s="161">
        <v>200</v>
      </c>
      <c r="M33" s="194">
        <f>'Bill Impacts - Residential 200'!$N$50</f>
        <v>2.4691488597837988E-2</v>
      </c>
      <c r="N33" s="193">
        <f>'Bill Impacts - Residential 200'!$T$50</f>
        <v>-3.7545888332970921E-2</v>
      </c>
      <c r="O33" s="193">
        <f>'Bill Impacts - Residential 200'!$Z$50</f>
        <v>2.9760644867207597E-2</v>
      </c>
      <c r="P33" s="194">
        <f>'Bill Impacts - Residential 200'!$AF$50</f>
        <v>2.9290110010572783E-2</v>
      </c>
    </row>
    <row r="34" spans="1:16" x14ac:dyDescent="0.2">
      <c r="A34" s="233"/>
      <c r="B34" s="160" t="s">
        <v>76</v>
      </c>
      <c r="C34" s="161">
        <v>500</v>
      </c>
      <c r="E34" s="193">
        <f>E4/SUM('Bill Impacts - Residential 500'!$H$12+'Bill Impacts - Residential 500'!$H$19)</f>
        <v>2.1730382293762542E-2</v>
      </c>
      <c r="F34" s="193">
        <f>F4/SUM('Bill Impacts - Residential 500'!$K$12+'Bill Impacts - Residential 500'!$K$19)</f>
        <v>0</v>
      </c>
      <c r="G34" s="193">
        <f>G4/SUM('Bill Impacts - Residential 500'!$Q$12+'Bill Impacts - Residential 500'!$Q$19)</f>
        <v>2.1662071681764518E-2</v>
      </c>
      <c r="H34" s="194">
        <f>H4/SUM('Bill Impacts - Residential 500'!$W$12+'Bill Impacts - Residential 500'!$W$19)</f>
        <v>4.08635312259059E-2</v>
      </c>
      <c r="I34" s="233"/>
      <c r="J34" s="160" t="s">
        <v>76</v>
      </c>
      <c r="K34" s="161">
        <v>500</v>
      </c>
      <c r="M34" s="194">
        <f>'Bill Impacts - Residential 500'!$N$50</f>
        <v>-7.3312096794822387E-3</v>
      </c>
      <c r="N34" s="193">
        <f>'Bill Impacts - Residential 500'!$T$50</f>
        <v>-5.3312867810713448E-2</v>
      </c>
      <c r="O34" s="193">
        <f>'Bill Impacts - Residential 500'!$Z$50</f>
        <v>1.1858620897147742E-2</v>
      </c>
      <c r="P34" s="194">
        <f>'Bill Impacts - Residential 500'!$AF$50</f>
        <v>2.9837991804961763E-3</v>
      </c>
    </row>
    <row r="35" spans="1:16" x14ac:dyDescent="0.2">
      <c r="A35" s="233"/>
      <c r="B35" s="197" t="s">
        <v>76</v>
      </c>
      <c r="C35" s="198">
        <v>750</v>
      </c>
      <c r="D35" s="198"/>
      <c r="E35" s="199">
        <f>E5/SUM('Bill Impacts - Residential 750'!$H$12+'Bill Impacts - Residential 750'!$H$19)</f>
        <v>-1.6502242152466397E-2</v>
      </c>
      <c r="F35" s="199">
        <f>F5/SUM('Bill Impacts - Residential 750'!$K$12+'Bill Impacts - Residential 750'!$K$19)</f>
        <v>0</v>
      </c>
      <c r="G35" s="199">
        <f>G5/SUM('Bill Impacts - Residential 750'!$Q$12+'Bill Impacts - Residential 750'!$Q$19)</f>
        <v>-1.6414371694327867E-2</v>
      </c>
      <c r="H35" s="200">
        <f>H5/SUM('Bill Impacts - Residential 750'!$W$12+'Bill Impacts - Residential 750'!$W$19)</f>
        <v>1.2979788614870852E-3</v>
      </c>
      <c r="I35" s="233"/>
      <c r="J35" s="197" t="s">
        <v>76</v>
      </c>
      <c r="K35" s="198">
        <v>750</v>
      </c>
      <c r="L35" s="198"/>
      <c r="M35" s="200">
        <f>'Bill Impacts - Residential 750'!$N$50</f>
        <v>-1.7497478549285638E-2</v>
      </c>
      <c r="N35" s="193">
        <f>'Bill Impacts - Residential 750'!$T$50</f>
        <v>-5.806220611644939E-2</v>
      </c>
      <c r="O35" s="193">
        <f>'Bill Impacts - Residential 750'!$Z$50</f>
        <v>5.7961704674531055E-3</v>
      </c>
      <c r="P35" s="194">
        <f>'Bill Impacts - Residential 750'!$AF$50</f>
        <v>-6.129547943267229E-3</v>
      </c>
    </row>
    <row r="36" spans="1:16" x14ac:dyDescent="0.2">
      <c r="A36" s="233"/>
      <c r="B36" s="160" t="s">
        <v>76</v>
      </c>
      <c r="C36" s="161">
        <v>1000</v>
      </c>
      <c r="E36" s="193">
        <f>E6/SUM('Bill Impacts - Residential 1000'!$H$12+'Bill Impacts - Residential 1000'!$H$19)</f>
        <v>-4.7249190938511355E-2</v>
      </c>
      <c r="F36" s="193">
        <f>F6/SUM('Bill Impacts - Residential 1000'!$K$12+'Bill Impacts - Residential 1000'!$K$19)</f>
        <v>0</v>
      </c>
      <c r="G36" s="193">
        <f>G6/SUM('Bill Impacts - Residential 1000'!$Q$12+'Bill Impacts - Residential 1000'!$Q$19)</f>
        <v>-4.9252717391304296E-2</v>
      </c>
      <c r="H36" s="194">
        <f>H6/SUM('Bill Impacts - Residential 1000'!$W$12+'Bill Impacts - Residential 1000'!$W$19)</f>
        <v>-3.5369774919614183E-2</v>
      </c>
      <c r="I36" s="233"/>
      <c r="J36" s="160" t="s">
        <v>76</v>
      </c>
      <c r="K36" s="161">
        <v>1000</v>
      </c>
      <c r="M36" s="194">
        <f>'Bill Impacts - Residential 1000'!$N$50</f>
        <v>-2.3198902256930824E-2</v>
      </c>
      <c r="N36" s="193">
        <f>'Bill Impacts - Residential 1000'!$T$50</f>
        <v>-6.0768986753477895E-2</v>
      </c>
      <c r="O36" s="193">
        <f>'Bill Impacts - Residential 1000'!$Z$50</f>
        <v>2.3135816209959737E-3</v>
      </c>
      <c r="P36" s="194">
        <f>'Bill Impacts - Residential 1000'!$AF$50</f>
        <v>-1.1414586230414777E-2</v>
      </c>
    </row>
    <row r="37" spans="1:16" x14ac:dyDescent="0.2">
      <c r="A37" s="233"/>
      <c r="B37" s="160" t="s">
        <v>76</v>
      </c>
      <c r="C37" s="161">
        <v>1500</v>
      </c>
      <c r="E37" s="193">
        <f>E7/SUM('Bill Impacts - Residential 1500'!$H$12+'Bill Impacts - Residential 1500'!$H$19)</f>
        <v>-9.3640054127198932E-2</v>
      </c>
      <c r="F37" s="193">
        <f>F7/SUM('Bill Impacts - Residential 1500'!$K$12+'Bill Impacts - Residential 1500'!$K$19)</f>
        <v>0</v>
      </c>
      <c r="G37" s="193">
        <f>G7/SUM('Bill Impacts - Residential 1500'!$Q$12+'Bill Impacts - Residential 1500'!$Q$19)</f>
        <v>-0.10301582561958787</v>
      </c>
      <c r="H37" s="194">
        <f>H7/SUM('Bill Impacts - Residential 1500'!$W$12+'Bill Impacts - Residential 1500'!$W$19)</f>
        <v>-0.10119840213049271</v>
      </c>
      <c r="I37" s="233"/>
      <c r="J37" s="160" t="s">
        <v>76</v>
      </c>
      <c r="K37" s="161">
        <v>1500</v>
      </c>
      <c r="M37" s="194">
        <f>'Bill Impacts - Residential 1500'!$N$50</f>
        <v>-2.9382193457386428E-2</v>
      </c>
      <c r="N37" s="193">
        <f>'Bill Impacts - Residential 1500'!$T$50</f>
        <v>-6.3740480789547416E-2</v>
      </c>
      <c r="O37" s="193">
        <f>'Bill Impacts - Residential 1500'!$Z$50</f>
        <v>-1.5327788520323497E-3</v>
      </c>
      <c r="P37" s="194">
        <f>'Bill Impacts - Residential 1500'!$AF$50</f>
        <v>-1.7294515228893248E-2</v>
      </c>
    </row>
    <row r="38" spans="1:16" ht="13.5" thickBot="1" x14ac:dyDescent="0.25">
      <c r="A38" s="233"/>
      <c r="B38" s="163" t="s">
        <v>76</v>
      </c>
      <c r="C38" s="164">
        <v>2000</v>
      </c>
      <c r="D38" s="164"/>
      <c r="E38" s="195">
        <f>E8/SUM('Bill Impacts - Residential 2000'!$H$12+'Bill Impacts - Residential 2000'!$H$19)</f>
        <v>-0.12697674418604654</v>
      </c>
      <c r="F38" s="195">
        <f>F8/SUM('Bill Impacts - Residential 2000'!$K$12+'Bill Impacts - Residential 2000'!$K$19)</f>
        <v>0</v>
      </c>
      <c r="G38" s="195">
        <f>G8/SUM('Bill Impacts - Residential 2000'!$Q$12+'Bill Impacts - Residential 2000'!$Q$19)</f>
        <v>-0.14517847629195518</v>
      </c>
      <c r="H38" s="196">
        <f>H8/SUM('Bill Impacts - Residential 2000'!$W$12+'Bill Impacts - Residential 2000'!$W$19)</f>
        <v>-0.15861639139918982</v>
      </c>
      <c r="I38" s="233"/>
      <c r="J38" s="163" t="s">
        <v>76</v>
      </c>
      <c r="K38" s="164">
        <v>2000</v>
      </c>
      <c r="L38" s="164"/>
      <c r="M38" s="196">
        <f>'Bill Impacts - Residential 2000'!$N$50</f>
        <v>-3.2674041759171366E-2</v>
      </c>
      <c r="N38" s="193">
        <f>'Bill Impacts - Residential 2000'!$T$50</f>
        <v>-6.5337934465894698E-2</v>
      </c>
      <c r="O38" s="193">
        <f>'Bill Impacts - Residential 2000'!$Z$50</f>
        <v>-3.6106623834747942E-3</v>
      </c>
      <c r="P38" s="194">
        <f>'Bill Impacts - Residential 2000'!$AF$50</f>
        <v>-2.0489860876596627E-2</v>
      </c>
    </row>
    <row r="39" spans="1:16" x14ac:dyDescent="0.2">
      <c r="A39" s="233"/>
      <c r="B39" s="160" t="s">
        <v>77</v>
      </c>
      <c r="C39" s="161">
        <v>1000</v>
      </c>
      <c r="E39" s="193">
        <f>E9/SUM('Bill Impacts - GS &lt; 50 1000'!$H$12+'Bill Impacts - GS &lt; 50 1000'!$H$19)</f>
        <v>5.9834008878594958E-3</v>
      </c>
      <c r="F39" s="193">
        <f>F9/SUM('Bill Impacts - GS &lt; 50 1000'!$K$12+'Bill Impacts - GS &lt; 50 1000'!$K$19)</f>
        <v>0</v>
      </c>
      <c r="G39" s="193">
        <f>G9/SUM('Bill Impacts - GS &lt; 50 1000'!$Q$12+'Bill Impacts - GS &lt; 50 1000'!$Q$19)</f>
        <v>3.0698388334611778E-3</v>
      </c>
      <c r="H39" s="194">
        <f>H9/SUM('Bill Impacts - GS &lt; 50 1000'!$W$12+'Bill Impacts - GS &lt; 50 1000'!$W$19)</f>
        <v>2.4674827850038307E-2</v>
      </c>
      <c r="I39" s="233"/>
      <c r="J39" s="182" t="s">
        <v>77</v>
      </c>
      <c r="K39" s="183">
        <v>1000</v>
      </c>
      <c r="L39" s="183"/>
      <c r="M39" s="192">
        <f>'Bill Impacts - GS &lt; 50 1000'!$N$50</f>
        <v>-1.0303621804157273E-2</v>
      </c>
      <c r="N39" s="193">
        <f>'Bill Impacts - GS &lt; 50 1000'!$T$50</f>
        <v>-5.1493753242645247E-2</v>
      </c>
      <c r="O39" s="193">
        <f>'Bill Impacts - GS &lt; 50 1000'!$Z$50</f>
        <v>1.3481155388510018E-3</v>
      </c>
      <c r="P39" s="194">
        <f>'Bill Impacts - GS &lt; 50 1000'!$AF$50</f>
        <v>2.7033715448259955E-3</v>
      </c>
    </row>
    <row r="40" spans="1:16" x14ac:dyDescent="0.2">
      <c r="A40" s="233"/>
      <c r="B40" s="197" t="s">
        <v>77</v>
      </c>
      <c r="C40" s="198">
        <v>2000</v>
      </c>
      <c r="D40" s="198"/>
      <c r="E40" s="199">
        <f>E10/SUM('Bill Impacts - GS &lt; 50 2000'!$H$12+'Bill Impacts - GS &lt; 50 2000'!$H$19)</f>
        <v>6.5694600224323052E-3</v>
      </c>
      <c r="F40" s="199">
        <f>F10/SUM('Bill Impacts - GS &lt; 50 2000'!$K$12+'Bill Impacts - GS &lt; 50 2000'!$K$19)</f>
        <v>0</v>
      </c>
      <c r="G40" s="199">
        <f>G10/SUM('Bill Impacts - GS &lt; 50 2000'!$Q$12+'Bill Impacts - GS &lt; 50 2000'!$Q$19)</f>
        <v>2.5469595670168195E-3</v>
      </c>
      <c r="H40" s="200">
        <f>H10/SUM('Bill Impacts - GS &lt; 50 2000'!$W$12+'Bill Impacts - GS &lt; 50 2000'!$W$19)</f>
        <v>2.5246109876151213E-2</v>
      </c>
      <c r="I40" s="233"/>
      <c r="J40" s="197" t="s">
        <v>77</v>
      </c>
      <c r="K40" s="198">
        <v>2000</v>
      </c>
      <c r="L40" s="198"/>
      <c r="M40" s="200">
        <f>'Bill Impacts - GS &lt; 50 2000'!$N$50</f>
        <v>-1.2187733430067415E-2</v>
      </c>
      <c r="N40" s="193">
        <f>'Bill Impacts - GS &lt; 50 2000'!$T$50</f>
        <v>-5.8168275843962572E-2</v>
      </c>
      <c r="O40" s="193">
        <f>'Bill Impacts - GS &lt; 50 2000'!$Z$50</f>
        <v>8.4350629531139438E-3</v>
      </c>
      <c r="P40" s="194">
        <f>'Bill Impacts - GS &lt; 50 2000'!$AF$50</f>
        <v>2.4393946393397024E-3</v>
      </c>
    </row>
    <row r="41" spans="1:16" x14ac:dyDescent="0.2">
      <c r="A41" s="233"/>
      <c r="B41" s="160" t="s">
        <v>77</v>
      </c>
      <c r="C41" s="161">
        <v>5000</v>
      </c>
      <c r="E41" s="193">
        <f>E11/SUM('Bill Impacts - GS &lt; 50 5000'!$H$12+'Bill Impacts - GS &lt; 50 5000'!$H$19)</f>
        <v>7.5363549517036494E-3</v>
      </c>
      <c r="F41" s="193">
        <f>F11/SUM('Bill Impacts - GS &lt; 50 5000'!$K$12+'Bill Impacts - GS &lt; 50 5000'!$K$19)</f>
        <v>0</v>
      </c>
      <c r="G41" s="193">
        <f>G11/SUM('Bill Impacts - GS &lt; 50 5000'!$Q$12+'Bill Impacts - GS &lt; 50 5000'!$Q$19)</f>
        <v>1.6856300042140391E-3</v>
      </c>
      <c r="H41" s="194">
        <f>H11/SUM('Bill Impacts - GS &lt; 50 5000'!$W$12+'Bill Impacts - GS &lt; 50 5000'!$W$19)</f>
        <v>2.6188472864955847E-2</v>
      </c>
      <c r="I41" s="233"/>
      <c r="J41" s="160" t="s">
        <v>77</v>
      </c>
      <c r="K41" s="161">
        <v>5000</v>
      </c>
      <c r="M41" s="194">
        <f>'Bill Impacts - GS &lt; 50 5000'!$N$50</f>
        <v>-1.3567850478688149E-2</v>
      </c>
      <c r="N41" s="193">
        <f>'Bill Impacts - GS &lt; 50 5000'!$T$50</f>
        <v>-6.3073561034834261E-2</v>
      </c>
      <c r="O41" s="193">
        <f>'Bill Impacts - GS &lt; 50 5000'!$Z$50</f>
        <v>1.3707822484581474E-2</v>
      </c>
      <c r="P41" s="194">
        <f>'Bill Impacts - GS &lt; 50 5000'!$AF$50</f>
        <v>2.2453878289399147E-3</v>
      </c>
    </row>
    <row r="42" spans="1:16" x14ac:dyDescent="0.2">
      <c r="A42" s="233"/>
      <c r="B42" s="160" t="s">
        <v>77</v>
      </c>
      <c r="C42" s="161">
        <v>10000</v>
      </c>
      <c r="E42" s="193">
        <f>E12/SUM('Bill Impacts - GS &lt; 50 10000'!$H$12+'Bill Impacts - GS &lt; 50 10000'!$H$19)</f>
        <v>8.2195503022892517E-3</v>
      </c>
      <c r="F42" s="193">
        <f>F12/SUM('Bill Impacts - GS &lt; 50 10000'!$K$12+'Bill Impacts - GS &lt; 50 10000'!$K$19)</f>
        <v>0</v>
      </c>
      <c r="G42" s="193">
        <f>G12/SUM('Bill Impacts - GS &lt; 50 10000'!$Q$12+'Bill Impacts - GS &lt; 50 10000'!$Q$19)</f>
        <v>1.0780218299420333E-3</v>
      </c>
      <c r="H42" s="194">
        <f>H12/SUM('Bill Impacts - GS &lt; 50 10000'!$W$12+'Bill Impacts - GS &lt; 50 10000'!$W$19)</f>
        <v>2.6854219948849119E-2</v>
      </c>
      <c r="I42" s="233"/>
      <c r="J42" s="160" t="s">
        <v>77</v>
      </c>
      <c r="K42" s="161">
        <v>10000</v>
      </c>
      <c r="M42" s="194">
        <f>'Bill Impacts - GS &lt; 50 10000'!$N$50</f>
        <v>-1.4080128591725544E-2</v>
      </c>
      <c r="N42" s="193">
        <f>'Bill Impacts - GS &lt; 50 10000'!$T$50</f>
        <v>-6.4897821882529308E-2</v>
      </c>
      <c r="O42" s="193">
        <f>'Bill Impacts - GS &lt; 50 10000'!$Z$50</f>
        <v>1.5682857897328172E-2</v>
      </c>
      <c r="P42" s="194">
        <f>'Bill Impacts - GS &lt; 50 10000'!$AF$50</f>
        <v>2.1732366034455438E-3</v>
      </c>
    </row>
    <row r="43" spans="1:16" ht="13.5" thickBot="1" x14ac:dyDescent="0.25">
      <c r="A43" s="233"/>
      <c r="B43" s="163" t="s">
        <v>77</v>
      </c>
      <c r="C43" s="164">
        <v>15000</v>
      </c>
      <c r="D43" s="164"/>
      <c r="E43" s="195">
        <f>E13/SUM('Bill Impacts - GS &lt; 50 15000'!$H$12+'Bill Impacts - GS &lt; 50 15000'!$H$19)</f>
        <v>8.5410319164876923E-3</v>
      </c>
      <c r="F43" s="195">
        <f>F13/SUM('Bill Impacts - GS &lt; 50 15000'!$K$12+'Bill Impacts - GS &lt; 50 15000'!$K$19)</f>
        <v>0</v>
      </c>
      <c r="G43" s="195">
        <f>G13/SUM('Bill Impacts - GS &lt; 50 15000'!$Q$12+'Bill Impacts - GS &lt; 50 15000'!$Q$19)</f>
        <v>7.9239302694134592E-4</v>
      </c>
      <c r="H43" s="196">
        <f>H13/SUM('Bill Impacts - GS &lt; 50 15000'!$W$12+'Bill Impacts - GS &lt; 50 15000'!$W$19)</f>
        <v>2.7167458432304049E-2</v>
      </c>
      <c r="I43" s="233"/>
      <c r="J43" s="163" t="s">
        <v>77</v>
      </c>
      <c r="K43" s="164">
        <v>15000</v>
      </c>
      <c r="L43" s="164"/>
      <c r="M43" s="196">
        <f>'Bill Impacts - GS &lt; 50 15000'!$N$50</f>
        <v>-1.4257413157756528E-2</v>
      </c>
      <c r="N43" s="193">
        <f>'Bill Impacts - GS &lt; 50 15000'!$T$50</f>
        <v>-6.5529587175245152E-2</v>
      </c>
      <c r="O43" s="193">
        <f>'Bill Impacts - GS &lt; 50 15000'!$Z$50</f>
        <v>1.6368636060623463E-2</v>
      </c>
      <c r="P43" s="194">
        <f>'Bill Impacts - GS &lt; 50 15000'!$AF$50</f>
        <v>2.1482496090056528E-3</v>
      </c>
    </row>
    <row r="44" spans="1:16" x14ac:dyDescent="0.2">
      <c r="A44" s="233"/>
      <c r="B44" s="160" t="s">
        <v>78</v>
      </c>
      <c r="C44" s="161">
        <v>43999.999999999993</v>
      </c>
      <c r="D44" s="161">
        <v>100</v>
      </c>
      <c r="E44" s="193">
        <f>E14/SUM('Bill Impacts - GS &gt; 50 100'!$H$12+'Bill Impacts - GS &gt; 50 100'!$H$19)</f>
        <v>4.8010647906069374E-3</v>
      </c>
      <c r="F44" s="193">
        <f>F14/SUM('Bill Impacts - GS &gt; 50 100'!$K$12+'Bill Impacts - GS &gt; 50 100'!$K$19)</f>
        <v>0</v>
      </c>
      <c r="G44" s="193">
        <f>G14/SUM('Bill Impacts - GS &gt; 50 100'!$Q$12+'Bill Impacts - GS &gt; 50 100'!$Q$19)</f>
        <v>-9.7770208471311716E-4</v>
      </c>
      <c r="H44" s="194">
        <f>H14/SUM('Bill Impacts - GS &gt; 50 100'!$W$12+'Bill Impacts - GS &gt; 50 100'!$W$19)</f>
        <v>2.2745927516100512E-2</v>
      </c>
      <c r="I44" s="233"/>
      <c r="J44" s="182" t="s">
        <v>78</v>
      </c>
      <c r="K44" s="183">
        <v>43999.999999999993</v>
      </c>
      <c r="L44" s="183">
        <v>100</v>
      </c>
      <c r="M44" s="192">
        <f>'Bill Impacts - GS &gt; 50 100'!$N$56</f>
        <v>-1.089889707801248E-2</v>
      </c>
      <c r="N44" s="193">
        <f>'Bill Impacts - GS &gt; 50 100'!$T$56</f>
        <v>-5.7974492418687192E-2</v>
      </c>
      <c r="O44" s="193">
        <f>'Bill Impacts - GS &gt; 50 100'!$Z$56</f>
        <v>2.8960519279514E-4</v>
      </c>
      <c r="P44" s="194">
        <f>'Bill Impacts - GS &gt; 50 100'!$AF$56</f>
        <v>2.1394885100320892E-3</v>
      </c>
    </row>
    <row r="45" spans="1:16" x14ac:dyDescent="0.2">
      <c r="A45" s="233"/>
      <c r="B45" s="197" t="s">
        <v>78</v>
      </c>
      <c r="C45" s="198">
        <v>109999.99999999999</v>
      </c>
      <c r="D45" s="198">
        <v>250</v>
      </c>
      <c r="E45" s="199">
        <f>E15/SUM('Bill Impacts - GS &gt; 50 250'!$H$12+'Bill Impacts - GS &gt; 50 250'!$H$19)</f>
        <v>4.6675656052275836E-3</v>
      </c>
      <c r="F45" s="199">
        <f>F15/SUM('Bill Impacts - GS &gt; 50 250'!$K$12+'Bill Impacts - GS &gt; 50 250'!$K$19)</f>
        <v>0</v>
      </c>
      <c r="G45" s="199">
        <f>G15/SUM('Bill Impacts - GS &gt; 50 250'!$Q$12+'Bill Impacts - GS &gt; 50 250'!$Q$19)</f>
        <v>-9.4884123378850002E-4</v>
      </c>
      <c r="H45" s="200">
        <f>H15/SUM('Bill Impacts - GS &gt; 50 250'!$W$12+'Bill Impacts - GS &gt; 50 250'!$W$19)</f>
        <v>2.2109805967137849E-2</v>
      </c>
      <c r="I45" s="233"/>
      <c r="J45" s="197" t="s">
        <v>78</v>
      </c>
      <c r="K45" s="198">
        <v>109999.99999999999</v>
      </c>
      <c r="L45" s="198">
        <v>250</v>
      </c>
      <c r="M45" s="200">
        <f>'Bill Impacts - GS &gt; 50 250'!$N$56</f>
        <v>-1.1400950411942473E-2</v>
      </c>
      <c r="N45" s="193">
        <f>'Bill Impacts - GS &gt; 50 250'!$T$56</f>
        <v>-5.9958064254216986E-2</v>
      </c>
      <c r="O45" s="193">
        <f>'Bill Impacts - GS &gt; 50 250'!$Z$56</f>
        <v>6.5428233285278934E-4</v>
      </c>
      <c r="P45" s="194">
        <f>'Bill Impacts - GS &gt; 50 250'!$AF$56</f>
        <v>1.3792339866437074E-3</v>
      </c>
    </row>
    <row r="46" spans="1:16" x14ac:dyDescent="0.2">
      <c r="A46" s="233"/>
      <c r="B46" s="160" t="s">
        <v>78</v>
      </c>
      <c r="C46" s="161">
        <v>153999.99999999997</v>
      </c>
      <c r="D46" s="161">
        <v>350</v>
      </c>
      <c r="E46" s="193">
        <f>E16/SUM('Bill Impacts - GS &gt; 50 350'!$H$12+'Bill Impacts - GS &gt; 50 350'!$H$19)</f>
        <v>4.6232139825572605E-3</v>
      </c>
      <c r="F46" s="193">
        <f>F16/SUM('Bill Impacts - GS &gt; 50 350'!$K$12+'Bill Impacts - GS &gt; 50 350'!$K$19)</f>
        <v>0</v>
      </c>
      <c r="G46" s="193">
        <f>G16/SUM('Bill Impacts - GS &gt; 50 350'!$Q$12+'Bill Impacts - GS &gt; 50 350'!$Q$19)</f>
        <v>-9.3925127132959963E-4</v>
      </c>
      <c r="H46" s="194">
        <f>H16/SUM('Bill Impacts - GS &gt; 50 350'!$W$12+'Bill Impacts - GS &gt; 50 350'!$W$19)</f>
        <v>2.1898441894586888E-2</v>
      </c>
      <c r="I46" s="233"/>
      <c r="J46" s="160" t="s">
        <v>78</v>
      </c>
      <c r="K46" s="161">
        <v>153999.99999999997</v>
      </c>
      <c r="L46" s="161">
        <v>350</v>
      </c>
      <c r="M46" s="194">
        <f>'Bill Impacts - GS &gt; 50 350'!$N$56</f>
        <v>-1.1500181530296257E-2</v>
      </c>
      <c r="N46" s="193">
        <f>'Bill Impacts - GS &gt; 50 350'!$T$56</f>
        <v>-6.0350356800089489E-2</v>
      </c>
      <c r="O46" s="193">
        <f>'Bill Impacts - GS &gt; 50 350'!$Z$56</f>
        <v>7.2658717334208624E-4</v>
      </c>
      <c r="P46" s="194">
        <f>'Bill Impacts - GS &gt; 50 350'!$AF$56</f>
        <v>1.2285635098996355E-3</v>
      </c>
    </row>
    <row r="47" spans="1:16" x14ac:dyDescent="0.2">
      <c r="A47" s="233"/>
      <c r="B47" s="160" t="s">
        <v>78</v>
      </c>
      <c r="C47" s="161">
        <v>879999.99999999988</v>
      </c>
      <c r="D47" s="161">
        <v>2000</v>
      </c>
      <c r="E47" s="193">
        <f>E17/SUM('Bill Impacts - GS &gt; 50 2000'!$H$12+'Bill Impacts - GS &gt; 50 2000'!$H$19)</f>
        <v>4.4875246813856438E-3</v>
      </c>
      <c r="F47" s="193">
        <f>F17/SUM('Bill Impacts - GS &gt; 50 2000'!$K$12+'Bill Impacts - GS &gt; 50 2000'!$K$19)</f>
        <v>0</v>
      </c>
      <c r="G47" s="193">
        <f>G17/SUM('Bill Impacts - GS &gt; 50 2000'!$Q$12+'Bill Impacts - GS &gt; 50 2000'!$Q$19)</f>
        <v>-9.0990649297593052E-4</v>
      </c>
      <c r="H47" s="194">
        <f>H17/SUM('Bill Impacts - GS &gt; 50 2000'!$W$12+'Bill Impacts - GS &gt; 50 2000'!$W$19)</f>
        <v>2.125170420635536E-2</v>
      </c>
      <c r="I47" s="233"/>
      <c r="J47" s="160" t="s">
        <v>78</v>
      </c>
      <c r="K47" s="161">
        <v>879999.99999999988</v>
      </c>
      <c r="L47" s="161">
        <v>2000</v>
      </c>
      <c r="M47" s="194">
        <f>'Bill Impacts - GS &gt; 50 2000'!$N$56</f>
        <v>-1.1708670544067001E-2</v>
      </c>
      <c r="N47" s="193">
        <f>'Bill Impacts - GS &gt; 50 2000'!$T$56</f>
        <v>-6.1174837603659098E-2</v>
      </c>
      <c r="O47" s="193">
        <f>'Bill Impacts - GS &gt; 50 2000'!$Z$56</f>
        <v>8.7874712858891245E-4</v>
      </c>
      <c r="P47" s="194">
        <f>'Bill Impacts - GS &gt; 50 2000'!$AF$56</f>
        <v>9.1156023212991171E-4</v>
      </c>
    </row>
    <row r="48" spans="1:16" ht="13.5" thickBot="1" x14ac:dyDescent="0.25">
      <c r="A48" s="233"/>
      <c r="B48" s="160" t="s">
        <v>78</v>
      </c>
      <c r="C48" s="161">
        <v>1759999.9999999998</v>
      </c>
      <c r="D48" s="161">
        <v>4000</v>
      </c>
      <c r="E48" s="193">
        <f>E18/SUM('Bill Impacts - GS &gt; 50 4000'!$H$12+'Bill Impacts - GS &gt; 50 4000'!$H$19)</f>
        <v>4.4677666289134584E-3</v>
      </c>
      <c r="F48" s="195">
        <f>F18/SUM('Bill Impacts - GS &gt; 50 4000'!$K$12+'Bill Impacts - GS &gt; 50 4000'!$K$19)</f>
        <v>0</v>
      </c>
      <c r="G48" s="195">
        <f>G18/SUM('Bill Impacts - GS &gt; 50 4000'!$Q$12+'Bill Impacts - GS &gt; 50 4000'!$Q$19)</f>
        <v>-9.0563286644596193E-4</v>
      </c>
      <c r="H48" s="196">
        <f>H18/SUM('Bill Impacts - GS &gt; 50 4000'!$W$12+'Bill Impacts - GS &gt; 50 4000'!$W$19)</f>
        <v>2.1157519738290935E-2</v>
      </c>
      <c r="I48" s="233"/>
      <c r="J48" s="163" t="s">
        <v>78</v>
      </c>
      <c r="K48" s="164">
        <v>1759999.9999999998</v>
      </c>
      <c r="L48" s="164">
        <v>4000</v>
      </c>
      <c r="M48" s="196">
        <f>'Bill Impacts - GS &gt; 50 4000'!$N$56</f>
        <v>-1.1731091252191338E-2</v>
      </c>
      <c r="N48" s="193">
        <f>'Bill Impacts - GS &gt; 50 4000'!$T$56</f>
        <v>-6.1263522193093202E-2</v>
      </c>
      <c r="O48" s="193">
        <f>'Bill Impacts - GS &gt; 50 4000'!$Z$56</f>
        <v>8.9513000829015269E-4</v>
      </c>
      <c r="P48" s="194">
        <f>'Bill Impacts - GS &gt; 50 4000'!$AF$56</f>
        <v>8.7743461725221436E-4</v>
      </c>
    </row>
    <row r="49" spans="1:16" ht="13.5" thickBot="1" x14ac:dyDescent="0.25">
      <c r="A49" s="234"/>
      <c r="B49" s="229" t="s">
        <v>79</v>
      </c>
      <c r="C49" s="230">
        <v>2555000</v>
      </c>
      <c r="D49" s="230">
        <v>5000</v>
      </c>
      <c r="E49" s="231">
        <f>E19/SUM('Bill Impacts - Large Use 5000'!$H$12+'Bill Impacts - Large Use 5000'!$H$19)</f>
        <v>3.9847931536614294E-3</v>
      </c>
      <c r="F49" s="193"/>
      <c r="G49" s="193"/>
      <c r="H49" s="194"/>
      <c r="I49" s="233"/>
      <c r="J49" s="229" t="s">
        <v>79</v>
      </c>
      <c r="K49" s="230">
        <v>2555000</v>
      </c>
      <c r="L49" s="230">
        <v>5000</v>
      </c>
      <c r="M49" s="200">
        <f>'Bill Impacts - Large Use 5000'!$N$56</f>
        <v>-1.7103734378100088E-2</v>
      </c>
      <c r="N49" s="193"/>
      <c r="O49" s="193"/>
      <c r="P49" s="194"/>
    </row>
    <row r="50" spans="1:16" x14ac:dyDescent="0.2">
      <c r="A50" s="234"/>
      <c r="B50" s="160" t="s">
        <v>79</v>
      </c>
      <c r="C50" s="161">
        <v>3321500</v>
      </c>
      <c r="D50" s="161">
        <v>6500</v>
      </c>
      <c r="E50" s="194">
        <f>E20/SUM('Bill Impacts - Large Use 6500'!$H$12+'Bill Impacts - Large Use 6500'!$H$19)</f>
        <v>3.9860403208469529E-3</v>
      </c>
      <c r="F50" s="191">
        <f>F20/SUM('Bill Impacts - Large Use 6500'!$K$12+'Bill Impacts - Large Use 6500'!$K$19)</f>
        <v>0</v>
      </c>
      <c r="G50" s="191">
        <f>G20/SUM('Bill Impacts - Large Use 6500'!$Q$12+'Bill Impacts - Large Use 6500'!$Q$19)</f>
        <v>3.969607446218164E-3</v>
      </c>
      <c r="H50" s="192">
        <f>H20/SUM('Bill Impacts - Large Use 6500'!$W$12+'Bill Impacts - Large Use 6500'!$W$19)</f>
        <v>2.3827235525793185E-2</v>
      </c>
      <c r="I50" s="233"/>
      <c r="J50" s="160" t="s">
        <v>79</v>
      </c>
      <c r="K50" s="161">
        <v>3321500</v>
      </c>
      <c r="L50" s="161">
        <v>6500</v>
      </c>
      <c r="M50" s="194">
        <f>'Bill Impacts - Large Use 6500'!$N$56</f>
        <v>-1.739336065225636E-2</v>
      </c>
      <c r="N50" s="193">
        <f>'Bill Impacts - Large Use 6500'!$T$56</f>
        <v>-5.3839327765665815E-2</v>
      </c>
      <c r="O50" s="193">
        <f>'Bill Impacts - Large Use 6500'!$Z$56</f>
        <v>1.3202558990953915E-3</v>
      </c>
      <c r="P50" s="194">
        <f>'Bill Impacts - Large Use 6500'!$AF$56</f>
        <v>1.6351788148741572E-3</v>
      </c>
    </row>
    <row r="51" spans="1:16" x14ac:dyDescent="0.2">
      <c r="A51" s="234"/>
      <c r="B51" s="160" t="s">
        <v>79</v>
      </c>
      <c r="C51" s="161">
        <v>3832500</v>
      </c>
      <c r="D51" s="161">
        <v>7500</v>
      </c>
      <c r="E51" s="194">
        <f>E21/SUM('Bill Impacts - Large Use 7500'!$H$12+'Bill Impacts - Large Use 7500'!$H$19)</f>
        <v>3.9867867499001905E-3</v>
      </c>
      <c r="F51" s="193">
        <f>F21/SUM('Bill Impacts - Large Use 7500'!$K$12+'Bill Impacts - Large Use 7500'!$K$19)</f>
        <v>0</v>
      </c>
      <c r="G51" s="193">
        <f>G21/SUM('Bill Impacts - Large Use 7500'!$Q$12+'Bill Impacts - Large Use 7500'!$Q$19)</f>
        <v>3.9703728043153632E-3</v>
      </c>
      <c r="H51" s="194">
        <f>H21/SUM('Bill Impacts - Large Use 7500'!$W$12+'Bill Impacts - Large Use 7500'!$W$19)</f>
        <v>2.3827547317511348E-2</v>
      </c>
      <c r="I51" s="233"/>
      <c r="J51" s="160" t="s">
        <v>79</v>
      </c>
      <c r="K51" s="161">
        <v>3832500</v>
      </c>
      <c r="L51" s="161">
        <v>7500</v>
      </c>
      <c r="M51" s="194">
        <f>'Bill Impacts - Large Use 7500'!$N$56</f>
        <v>-1.7524653126862591E-2</v>
      </c>
      <c r="N51" s="193">
        <f>'Bill Impacts - Large Use 7500'!$T$56</f>
        <v>-5.4177667699460114E-2</v>
      </c>
      <c r="O51" s="193">
        <f>'Bill Impacts - Large Use 7500'!$Z$56</f>
        <v>1.3027071447814505E-3</v>
      </c>
      <c r="P51" s="194">
        <f>'Bill Impacts - Large Use 7500'!$AF$56</f>
        <v>1.4874430414531716E-3</v>
      </c>
    </row>
    <row r="52" spans="1:16" x14ac:dyDescent="0.2">
      <c r="A52" s="234"/>
      <c r="B52" s="197" t="s">
        <v>79</v>
      </c>
      <c r="C52" s="198">
        <v>5110000</v>
      </c>
      <c r="D52" s="198">
        <v>10000</v>
      </c>
      <c r="E52" s="200">
        <f>E22/SUM('Bill Impacts - Large Use 10000'!$H$12+'Bill Impacts - Large Use 10000'!$H$19)</f>
        <v>3.9884104730266998E-3</v>
      </c>
      <c r="F52" s="193">
        <f>F22/SUM('Bill Impacts - Large Use 10000'!$K$12+'Bill Impacts - Large Use 10000'!$K$19)</f>
        <v>0</v>
      </c>
      <c r="G52" s="193">
        <f>G22/SUM('Bill Impacts - Large Use 10000'!$Q$12+'Bill Impacts - Large Use 10000'!$Q$19)</f>
        <v>3.9720377002668405E-3</v>
      </c>
      <c r="H52" s="194">
        <f>H22/SUM('Bill Impacts - Large Use 10000'!$W$12+'Bill Impacts - Large Use 10000'!$W$19)</f>
        <v>2.3828225561479354E-2</v>
      </c>
      <c r="I52" s="233"/>
      <c r="J52" s="197" t="s">
        <v>79</v>
      </c>
      <c r="K52" s="198">
        <v>5110000</v>
      </c>
      <c r="L52" s="198">
        <v>10000</v>
      </c>
      <c r="M52" s="200">
        <f>'Bill Impacts - Large Use 10000'!$N$56</f>
        <v>-1.7741478123257267E-2</v>
      </c>
      <c r="N52" s="193">
        <f>'Bill Impacts - Large Use 10000'!$T$56</f>
        <v>-5.4736622464409627E-2</v>
      </c>
      <c r="O52" s="193">
        <f>'Bill Impacts - Large Use 10000'!$Z$56</f>
        <v>1.2736881906092908E-3</v>
      </c>
      <c r="P52" s="194">
        <f>'Bill Impacts - Large Use 10000'!$AF$56</f>
        <v>1.2431329924282462E-3</v>
      </c>
    </row>
    <row r="53" spans="1:16" x14ac:dyDescent="0.2">
      <c r="A53" s="234"/>
      <c r="B53" s="160" t="s">
        <v>79</v>
      </c>
      <c r="C53" s="161">
        <v>6387500</v>
      </c>
      <c r="D53" s="161">
        <v>12500</v>
      </c>
      <c r="E53" s="194">
        <f>E23/SUM('Bill Impacts - Large Use 12500'!$H$12+'Bill Impacts - Large Use 12500'!$H$19)</f>
        <v>3.9897585190886518E-3</v>
      </c>
      <c r="F53" s="193">
        <f>F23/SUM('Bill Impacts - Large Use 12500'!$K$12+'Bill Impacts - Large Use 12500'!$K$19)</f>
        <v>0</v>
      </c>
      <c r="G53" s="193">
        <f>G23/SUM('Bill Impacts - Large Use 12500'!$Q$12+'Bill Impacts - Large Use 12500'!$Q$19)</f>
        <v>3.9734199247057301E-3</v>
      </c>
      <c r="H53" s="194">
        <f>H23/SUM('Bill Impacts - Large Use 12500'!$W$12+'Bill Impacts - Large Use 12500'!$W$19)</f>
        <v>2.3828788649245897E-2</v>
      </c>
      <c r="I53" s="233"/>
      <c r="J53" s="160" t="s">
        <v>79</v>
      </c>
      <c r="K53" s="161">
        <v>6387500</v>
      </c>
      <c r="L53" s="161">
        <v>12500</v>
      </c>
      <c r="M53" s="194">
        <f>'Bill Impacts - Large Use 12500'!$N$56</f>
        <v>-1.7873684504182356E-2</v>
      </c>
      <c r="N53" s="193">
        <f>'Bill Impacts - Large Use 12500'!$T$56</f>
        <v>-5.5077559393764672E-2</v>
      </c>
      <c r="O53" s="193">
        <f>'Bill Impacts - Large Use 12500'!$Z$56</f>
        <v>1.2559710945278708E-3</v>
      </c>
      <c r="P53" s="194">
        <f>'Bill Impacts - Large Use 12500'!$AF$56</f>
        <v>1.0939661193529293E-3</v>
      </c>
    </row>
    <row r="54" spans="1:16" x14ac:dyDescent="0.2">
      <c r="A54" s="234"/>
      <c r="B54" s="160" t="s">
        <v>82</v>
      </c>
      <c r="C54" s="161">
        <v>7665000</v>
      </c>
      <c r="D54" s="161">
        <v>15000</v>
      </c>
      <c r="E54" s="194">
        <f>E24/SUM('Bill Impacts - Large Use2 15000'!$H$12+'Bill Impacts - Large Use2 15000'!$H$19)</f>
        <v>0.26639874275705688</v>
      </c>
      <c r="F54" s="193">
        <f>F24/SUM('Bill Impacts - Large Use2 15000'!$K$12+'Bill Impacts - Large Use2 15000'!$K$19)</f>
        <v>0</v>
      </c>
      <c r="G54" s="193">
        <f>G24/SUM('Bill Impacts - Large Use2 15000'!$Q$12+'Bill Impacts - Large Use2 15000'!$Q$19)</f>
        <v>-9.7856071055063966E-4</v>
      </c>
      <c r="H54" s="194">
        <f>H24/SUM('Bill Impacts - Large Use2 15000'!$W$12+'Bill Impacts - Large Use2 15000'!$W$19)</f>
        <v>2.3903872467165257E-2</v>
      </c>
      <c r="I54" s="233"/>
      <c r="J54" s="160" t="s">
        <v>82</v>
      </c>
      <c r="K54" s="161">
        <v>7665000</v>
      </c>
      <c r="L54" s="161">
        <v>15000</v>
      </c>
      <c r="M54" s="194">
        <f>'Bill Impacts - Large Use2 15000'!$N$56</f>
        <v>-1.6024762375720824E-2</v>
      </c>
      <c r="N54" s="193">
        <f>'Bill Impacts - Large Use2 15000'!$T$56</f>
        <v>-5.9428619147432402E-2</v>
      </c>
      <c r="O54" s="193">
        <f>'Bill Impacts - Large Use2 15000'!$Z$56</f>
        <v>1.3214152503721718E-3</v>
      </c>
      <c r="P54" s="194">
        <f>'Bill Impacts - Large Use2 15000'!$AF$56</f>
        <v>2.410398482576312E-4</v>
      </c>
    </row>
    <row r="55" spans="1:16" ht="13.5" thickBot="1" x14ac:dyDescent="0.25">
      <c r="A55" s="234"/>
      <c r="B55" s="215" t="s">
        <v>82</v>
      </c>
      <c r="C55" s="216">
        <v>10220000</v>
      </c>
      <c r="D55" s="216">
        <v>20000</v>
      </c>
      <c r="E55" s="223">
        <f>E25/SUM('Bill Impacts - Large Use2 20000'!$H$12+'Bill Impacts - Large Use2 20000'!$H$19)</f>
        <v>0.26639696271861585</v>
      </c>
      <c r="F55" s="195">
        <f>F25/SUM('Bill Impacts - Large Use2 20000'!$K$12+'Bill Impacts - Large Use2 20000'!$K$19)</f>
        <v>0</v>
      </c>
      <c r="G55" s="195">
        <f>G25/SUM('Bill Impacts - Large Use2 20000'!$Q$12+'Bill Impacts - Large Use2 20000'!$Q$19)</f>
        <v>-9.6901129721377202E-4</v>
      </c>
      <c r="H55" s="196">
        <f>H25/SUM('Bill Impacts - Large Use2 20000'!$W$12+'Bill Impacts - Large Use2 20000'!$W$19)</f>
        <v>2.3907698034434509E-2</v>
      </c>
      <c r="I55" s="233"/>
      <c r="J55" s="197" t="s">
        <v>82</v>
      </c>
      <c r="K55" s="198">
        <v>10220000</v>
      </c>
      <c r="L55" s="198">
        <v>20000</v>
      </c>
      <c r="M55" s="200">
        <f>'Bill Impacts - Large Use2 20000'!$N$56</f>
        <v>-1.6301667078905444E-2</v>
      </c>
      <c r="N55" s="193">
        <f>'Bill Impacts - Large Use2 20000'!$T$56</f>
        <v>-5.9503802628963189E-2</v>
      </c>
      <c r="O55" s="193">
        <f>'Bill Impacts - Large Use2 20000'!$Z$56</f>
        <v>1.3245825516437755E-3</v>
      </c>
      <c r="P55" s="194">
        <f>'Bill Impacts - Large Use2 20000'!$AF$56</f>
        <v>2.0938572597381839E-4</v>
      </c>
    </row>
    <row r="56" spans="1:16" x14ac:dyDescent="0.2">
      <c r="A56" s="233"/>
      <c r="B56" s="160" t="s">
        <v>80</v>
      </c>
      <c r="C56" s="161">
        <v>250</v>
      </c>
      <c r="E56" s="193">
        <f>E26/SUM('Bill Impacts - USL 250'!$H$12+'Bill Impacts - USL 250'!$H$19)</f>
        <v>4.694835680751225E-3</v>
      </c>
      <c r="F56" s="193">
        <f>F26/SUM('Bill Impacts - USL 250'!$K$12+'Bill Impacts - USL 250'!$K$19)</f>
        <v>0</v>
      </c>
      <c r="G56" s="193">
        <f>G26/SUM('Bill Impacts - USL 250'!$Q$12+'Bill Impacts - USL 250'!$Q$19)</f>
        <v>4.6728971962616203E-3</v>
      </c>
      <c r="H56" s="194">
        <f>H26/SUM('Bill Impacts - USL 250'!$W$12+'Bill Impacts - USL 250'!$W$19)</f>
        <v>2.325581395348833E-2</v>
      </c>
      <c r="I56" s="233"/>
      <c r="J56" s="182" t="s">
        <v>80</v>
      </c>
      <c r="K56" s="183">
        <v>250</v>
      </c>
      <c r="L56" s="183"/>
      <c r="M56" s="192">
        <f>'Bill Impacts - USL 250'!$N$56</f>
        <v>-2.2967490995897493E-2</v>
      </c>
      <c r="N56" s="193">
        <f>'Bill Impacts - USL 250'!$T$56</f>
        <v>-4.9982671118995639E-2</v>
      </c>
      <c r="O56" s="193">
        <f>'Bill Impacts - USL 250'!$Z$56</f>
        <v>6.5473181911105101E-3</v>
      </c>
      <c r="P56" s="194">
        <f>'Bill Impacts - USL 250'!$AF$56</f>
        <v>6.3885737695837724E-3</v>
      </c>
    </row>
    <row r="57" spans="1:16" x14ac:dyDescent="0.2">
      <c r="A57" s="233"/>
      <c r="B57" s="160" t="s">
        <v>80</v>
      </c>
      <c r="C57" s="161">
        <v>500</v>
      </c>
      <c r="E57" s="193">
        <f>E27/SUM('Bill Impacts - USL 500'!$H$12+'Bill Impacts - USL 500'!$H$19)</f>
        <v>5.3368912608405652E-3</v>
      </c>
      <c r="F57" s="193">
        <f>F27/SUM('Bill Impacts - USL 500'!$K$12+'Bill Impacts - USL 500'!$K$19)</f>
        <v>0</v>
      </c>
      <c r="G57" s="193">
        <f>G27/SUM('Bill Impacts - USL 500'!$Q$12+'Bill Impacts - USL 500'!$Q$19)</f>
        <v>5.3085600530855459E-3</v>
      </c>
      <c r="H57" s="194">
        <f>H27/SUM('Bill Impacts - USL 500'!$W$12+'Bill Impacts - USL 500'!$W$19)</f>
        <v>2.310231023102308E-2</v>
      </c>
      <c r="I57" s="233"/>
      <c r="J57" s="160" t="s">
        <v>80</v>
      </c>
      <c r="K57" s="161">
        <v>500</v>
      </c>
      <c r="M57" s="194">
        <f>'Bill Impacts - USL 500'!$N$56</f>
        <v>-2.5718438677095071E-2</v>
      </c>
      <c r="N57" s="193">
        <f>'Bill Impacts - USL 500'!$T$56</f>
        <v>-5.5342927481574516E-2</v>
      </c>
      <c r="O57" s="193">
        <f>'Bill Impacts - USL 500'!$Z$56</f>
        <v>6.9000351599754015E-3</v>
      </c>
      <c r="P57" s="194">
        <f>'Bill Impacts - USL 500'!$AF$56</f>
        <v>4.5254015625419549E-3</v>
      </c>
    </row>
    <row r="58" spans="1:16" x14ac:dyDescent="0.2">
      <c r="A58" s="233"/>
      <c r="B58" s="160" t="s">
        <v>81</v>
      </c>
      <c r="C58" s="161">
        <v>97008</v>
      </c>
      <c r="D58" s="161">
        <v>216</v>
      </c>
      <c r="E58" s="193">
        <f>E28/SUM('Bill Impacts - Sentinel (2)'!$H$12+'Bill Impacts - Sentinel (2)'!$H$19)</f>
        <v>5.2906783023629654E-3</v>
      </c>
      <c r="F58" s="193">
        <f>F28/SUM('Bill Impacts - Sentinel (2)'!$K$12+'Bill Impacts - Sentinel (2)'!$K$19)</f>
        <v>0</v>
      </c>
      <c r="G58" s="193">
        <f>G28/SUM('Bill Impacts - Sentinel (2)'!$Q$12+'Bill Impacts - Sentinel (2)'!$Q$19)</f>
        <v>-1.4701340835210064E-3</v>
      </c>
      <c r="H58" s="194">
        <f>H28/SUM('Bill Impacts - Sentinel (2)'!$W$12+'Bill Impacts - Sentinel (2)'!$W$19)</f>
        <v>2.3817124810048169E-2</v>
      </c>
      <c r="I58" s="233"/>
      <c r="J58" s="160" t="s">
        <v>81</v>
      </c>
      <c r="K58" s="161">
        <v>97008</v>
      </c>
      <c r="L58" s="161">
        <v>216</v>
      </c>
      <c r="M58" s="194">
        <f>'Bill Impacts - Sentinel (2)'!$N$56</f>
        <v>-1.1030111255163108E-2</v>
      </c>
      <c r="N58" s="193">
        <f>'Bill Impacts - Sentinel (2)'!$T$56</f>
        <v>-5.6930911096150331E-2</v>
      </c>
      <c r="O58" s="193">
        <f>'Bill Impacts - Sentinel (2)'!$Z$56</f>
        <v>8.8911032789825498E-3</v>
      </c>
      <c r="P58" s="194">
        <f>'Bill Impacts - Sentinel (2)'!$AF$56</f>
        <v>8.3273474838126971E-3</v>
      </c>
    </row>
    <row r="59" spans="1:16" ht="13.5" thickBot="1" x14ac:dyDescent="0.25">
      <c r="A59" s="235"/>
      <c r="B59" s="215" t="s">
        <v>102</v>
      </c>
      <c r="C59" s="216">
        <v>1782038</v>
      </c>
      <c r="D59" s="216">
        <v>4973</v>
      </c>
      <c r="E59" s="218">
        <f>E29/SUM('Bill Impacts - Street Light (2'!$H$12+'Bill Impacts - Street Light (2'!$H$19)</f>
        <v>-5.7310565303834014E-2</v>
      </c>
      <c r="F59" s="195">
        <f>F29/SUM('Bill Impacts - Street Light (2'!$K$12+'Bill Impacts - Street Light (2'!$K$19)</f>
        <v>0</v>
      </c>
      <c r="G59" s="195">
        <f>G29/SUM('Bill Impacts - Street Light (2'!$Q$12+'Bill Impacts - Street Light (2'!$Q$19)</f>
        <v>-6.0667881651183052E-2</v>
      </c>
      <c r="H59" s="196">
        <f>H29/SUM('Bill Impacts - Street Light (2'!$W$12+'Bill Impacts - Street Light (2'!$W$19)</f>
        <v>-2.9082156052899533E-2</v>
      </c>
      <c r="I59" s="235"/>
      <c r="J59" s="215" t="s">
        <v>102</v>
      </c>
      <c r="K59" s="216">
        <f>+C59</f>
        <v>1782038</v>
      </c>
      <c r="L59" s="216">
        <f>+D59</f>
        <v>4973</v>
      </c>
      <c r="M59" s="223">
        <f>'Bill Impacts - Street Light (2'!$N$56</f>
        <v>-3.8139761214475668E-2</v>
      </c>
      <c r="N59" s="195">
        <f>'Bill Impacts - Street Light (2'!$T$56</f>
        <v>-6.1439405531970512E-2</v>
      </c>
      <c r="O59" s="195">
        <f>'Bill Impacts - Street Light (2'!$Z$56</f>
        <v>-5.5700703453660915E-3</v>
      </c>
      <c r="P59" s="196">
        <f>'Bill Impacts - Street Light (2'!$AF$56</f>
        <v>-8.3487226308003992E-3</v>
      </c>
    </row>
    <row r="60" spans="1:16" x14ac:dyDescent="0.2">
      <c r="E60" s="165"/>
      <c r="F60" s="165"/>
      <c r="G60" s="165"/>
      <c r="H60" s="165"/>
    </row>
  </sheetData>
  <mergeCells count="4">
    <mergeCell ref="A2:A29"/>
    <mergeCell ref="I2:I29"/>
    <mergeCell ref="A32:A59"/>
    <mergeCell ref="I32:I59"/>
  </mergeCells>
  <pageMargins left="0.7" right="0.7" top="0.75" bottom="0.75" header="0.3" footer="0.3"/>
  <pageSetup scale="65" orientation="landscape" r:id="rId1"/>
  <headerFooter>
    <oddHeader>&amp;C&amp;"Arial,Bold"2017 Horizon Utilities Customer Bill Impacts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7030A0"/>
    <pageSetUpPr fitToPage="1"/>
  </sheetPr>
  <dimension ref="A1:AP79"/>
  <sheetViews>
    <sheetView showGridLines="0" topLeftCell="C7" zoomScaleNormal="100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42578125" style="1" bestFit="1" customWidth="1"/>
    <col min="7" max="7" width="12.28515625" style="1" customWidth="1"/>
    <col min="8" max="8" width="12.28515625" style="142" customWidth="1"/>
    <col min="9" max="9" width="1.7109375" style="1" customWidth="1"/>
    <col min="10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3" width="12.28515625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9" width="12.28515625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5" width="12.28515625" style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71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4000</v>
      </c>
      <c r="H7" s="9" t="s">
        <v>64</v>
      </c>
      <c r="J7" s="151"/>
      <c r="K7" s="151"/>
    </row>
    <row r="8" spans="2:42" x14ac:dyDescent="0.2">
      <c r="B8" s="6"/>
      <c r="G8" s="8">
        <f>G7*(24*30)*0.611111111111111</f>
        <v>1759999.9999999998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5"/>
      <c r="L9" s="148"/>
      <c r="M9" s="241" t="s">
        <v>58</v>
      </c>
      <c r="N9" s="245"/>
      <c r="O9" s="212"/>
      <c r="P9" s="178" t="s">
        <v>57</v>
      </c>
      <c r="Q9" s="179"/>
      <c r="R9" s="148"/>
      <c r="S9" s="178" t="s">
        <v>58</v>
      </c>
      <c r="T9" s="179"/>
      <c r="U9" s="148"/>
      <c r="V9" s="178" t="s">
        <v>59</v>
      </c>
      <c r="W9" s="179"/>
      <c r="X9" s="148"/>
      <c r="Y9" s="178" t="s">
        <v>60</v>
      </c>
      <c r="Z9" s="179"/>
      <c r="AA9" s="148"/>
      <c r="AB9" s="178" t="s">
        <v>61</v>
      </c>
      <c r="AC9" s="179"/>
      <c r="AD9" s="148"/>
      <c r="AE9" s="178" t="s">
        <v>62</v>
      </c>
      <c r="AF9" s="179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376.98</v>
      </c>
      <c r="H12" s="18">
        <f t="shared" ref="H12:H27" si="0">$F12*G12</f>
        <v>376.98</v>
      </c>
      <c r="I12" s="19"/>
      <c r="J12" s="209">
        <v>378.88</v>
      </c>
      <c r="K12" s="18">
        <f t="shared" ref="K12:K27" si="1">$F12*J12</f>
        <v>378.88</v>
      </c>
      <c r="L12" s="19"/>
      <c r="M12" s="21">
        <f t="shared" ref="M12:M21" si="2">K12-H12</f>
        <v>1.8999999999999773</v>
      </c>
      <c r="N12" s="22">
        <f t="shared" ref="N12:N21" si="3">IF((H12)=0,"",(M12/H12))</f>
        <v>5.040055175340806E-3</v>
      </c>
      <c r="O12" s="212"/>
      <c r="P12" s="16">
        <v>378.88</v>
      </c>
      <c r="Q12" s="18">
        <f t="shared" ref="Q12:Q27" si="4">$F12*P12</f>
        <v>378.88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378.49</v>
      </c>
      <c r="W12" s="18">
        <f t="shared" ref="W12:W27" si="6">$F12*V12</f>
        <v>378.49</v>
      </c>
      <c r="X12" s="19"/>
      <c r="Y12" s="21">
        <f>W12-Q12</f>
        <v>-0.38999999999998636</v>
      </c>
      <c r="Z12" s="22">
        <f t="shared" ref="Z12:Z34" si="7">IF((Q12)=0,"",(Y12/Q12))</f>
        <v>-1.0293496621621261E-3</v>
      </c>
      <c r="AA12" s="19"/>
      <c r="AB12" s="16">
        <v>387.53</v>
      </c>
      <c r="AC12" s="18">
        <f t="shared" ref="AC12:AC27" si="8">$F12*AB12</f>
        <v>387.53</v>
      </c>
      <c r="AD12" s="19"/>
      <c r="AE12" s="21">
        <f>AC12-W12</f>
        <v>9.0399999999999636</v>
      </c>
      <c r="AF12" s="22">
        <f t="shared" ref="AF12:AF34" si="9">IF((W12)=0,"",(AE12/W12))</f>
        <v>2.3884382678538305E-2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3.5</v>
      </c>
      <c r="H13" s="18">
        <f t="shared" si="0"/>
        <v>3.5</v>
      </c>
      <c r="I13" s="19"/>
      <c r="J13" s="209">
        <v>3.46</v>
      </c>
      <c r="K13" s="18">
        <f t="shared" si="1"/>
        <v>3.46</v>
      </c>
      <c r="L13" s="19"/>
      <c r="M13" s="21">
        <f t="shared" si="2"/>
        <v>-4.0000000000000036E-2</v>
      </c>
      <c r="N13" s="22">
        <f t="shared" si="3"/>
        <v>-1.1428571428571439E-2</v>
      </c>
      <c r="O13" s="212"/>
      <c r="P13" s="16">
        <v>3.46</v>
      </c>
      <c r="Q13" s="18">
        <f t="shared" si="4"/>
        <v>3.46</v>
      </c>
      <c r="R13" s="19"/>
      <c r="S13" s="21">
        <f t="shared" ref="S13:S42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42" si="11">W13-Q13</f>
        <v>-3.46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>$F14*G14</f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>$F14*AB14</f>
        <v>0</v>
      </c>
      <c r="AD14" s="19"/>
      <c r="AE14" s="21">
        <f t="shared" ref="AE14:AE60" si="13">AC14-W14</f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>$F15*G15</f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>$F15*AB15</f>
        <v>0</v>
      </c>
      <c r="AD15" s="19"/>
      <c r="AE15" s="21">
        <f t="shared" si="13"/>
        <v>0</v>
      </c>
      <c r="AF15" s="22" t="str">
        <f>IF((W15)=0,"",(AE15/W15))</f>
        <v/>
      </c>
    </row>
    <row r="16" spans="2:42" ht="13.15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3"/>
        <v>0</v>
      </c>
      <c r="AF16" s="22" t="str">
        <f t="shared" si="9"/>
        <v/>
      </c>
    </row>
    <row r="17" spans="2:32" ht="13.15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3"/>
        <v>0</v>
      </c>
      <c r="AF17" s="22" t="str">
        <f t="shared" si="9"/>
        <v/>
      </c>
    </row>
    <row r="18" spans="2:32" ht="13.15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3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4000</v>
      </c>
      <c r="G19" s="16">
        <v>2.5413000000000001</v>
      </c>
      <c r="H19" s="18">
        <f t="shared" si="0"/>
        <v>10165.200000000001</v>
      </c>
      <c r="I19" s="19"/>
      <c r="J19" s="16">
        <v>2.5526</v>
      </c>
      <c r="K19" s="18">
        <f t="shared" si="1"/>
        <v>10210.4</v>
      </c>
      <c r="L19" s="19"/>
      <c r="M19" s="21">
        <f t="shared" si="2"/>
        <v>45.199999999998909</v>
      </c>
      <c r="N19" s="22">
        <f t="shared" si="3"/>
        <v>4.4465431078580748E-3</v>
      </c>
      <c r="O19" s="212"/>
      <c r="P19" s="16">
        <v>2.5526</v>
      </c>
      <c r="Q19" s="18">
        <f t="shared" si="4"/>
        <v>10210.4</v>
      </c>
      <c r="R19" s="19"/>
      <c r="S19" s="21">
        <f t="shared" si="10"/>
        <v>0</v>
      </c>
      <c r="T19" s="22">
        <f t="shared" si="5"/>
        <v>0</v>
      </c>
      <c r="U19" s="19"/>
      <c r="V19" s="16">
        <v>2.5503</v>
      </c>
      <c r="W19" s="18">
        <f t="shared" si="6"/>
        <v>10201.200000000001</v>
      </c>
      <c r="X19" s="19"/>
      <c r="Y19" s="21">
        <f t="shared" si="11"/>
        <v>-9.1999999999989086</v>
      </c>
      <c r="Z19" s="22">
        <f t="shared" si="7"/>
        <v>-9.0104207474720963E-4</v>
      </c>
      <c r="AA19" s="19"/>
      <c r="AB19" s="16">
        <v>2.6040000000000001</v>
      </c>
      <c r="AC19" s="18">
        <f t="shared" si="8"/>
        <v>10416</v>
      </c>
      <c r="AD19" s="19"/>
      <c r="AE19" s="21">
        <f t="shared" si="13"/>
        <v>214.79999999999927</v>
      </c>
      <c r="AF19" s="22">
        <f t="shared" si="9"/>
        <v>2.1056346312198493E-2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4">$G$7</f>
        <v>4000</v>
      </c>
      <c r="G20" s="16"/>
      <c r="H20" s="18">
        <f t="shared" si="0"/>
        <v>0</v>
      </c>
      <c r="I20" s="19"/>
      <c r="J20" s="16">
        <v>1.8E-3</v>
      </c>
      <c r="K20" s="18">
        <f t="shared" si="1"/>
        <v>7.2</v>
      </c>
      <c r="L20" s="19"/>
      <c r="M20" s="21">
        <f t="shared" si="2"/>
        <v>7.2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-7.2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3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4000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3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5">$G$7</f>
        <v>4000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6">K24-H24</f>
        <v>0</v>
      </c>
      <c r="N24" s="22" t="str">
        <f t="shared" ref="N24:N29" si="17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3"/>
        <v>0</v>
      </c>
      <c r="AF24" s="22" t="str">
        <f t="shared" si="9"/>
        <v/>
      </c>
    </row>
    <row r="25" spans="2:32" ht="13.15" hidden="1" customHeight="1" x14ac:dyDescent="0.2">
      <c r="B25" s="24"/>
      <c r="C25" s="14"/>
      <c r="D25" s="15"/>
      <c r="E25" s="15"/>
      <c r="F25" s="17">
        <f t="shared" si="15"/>
        <v>4000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6"/>
        <v>0</v>
      </c>
      <c r="N25" s="22" t="str">
        <f t="shared" si="17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3"/>
        <v>0</v>
      </c>
      <c r="AF25" s="22" t="str">
        <f t="shared" si="9"/>
        <v/>
      </c>
    </row>
    <row r="26" spans="2:32" ht="13.15" hidden="1" customHeight="1" x14ac:dyDescent="0.2">
      <c r="B26" s="24"/>
      <c r="C26" s="14"/>
      <c r="D26" s="15"/>
      <c r="E26" s="15"/>
      <c r="F26" s="17">
        <f t="shared" si="15"/>
        <v>4000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6"/>
        <v>0</v>
      </c>
      <c r="N26" s="22" t="str">
        <f t="shared" si="17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3"/>
        <v>0</v>
      </c>
      <c r="AF26" s="22" t="str">
        <f t="shared" si="9"/>
        <v/>
      </c>
    </row>
    <row r="27" spans="2:32" ht="13.15" hidden="1" customHeight="1" x14ac:dyDescent="0.2">
      <c r="B27" s="24"/>
      <c r="C27" s="14"/>
      <c r="D27" s="15"/>
      <c r="E27" s="15"/>
      <c r="F27" s="17">
        <f t="shared" si="15"/>
        <v>4000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6"/>
        <v>0</v>
      </c>
      <c r="N27" s="22" t="str">
        <f t="shared" si="17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3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10545.68</v>
      </c>
      <c r="I28" s="31"/>
      <c r="J28" s="28"/>
      <c r="K28" s="30">
        <f>SUM(K12:K27)</f>
        <v>10599.94</v>
      </c>
      <c r="L28" s="31"/>
      <c r="M28" s="32">
        <f t="shared" si="16"/>
        <v>54.260000000000218</v>
      </c>
      <c r="N28" s="33">
        <f t="shared" si="17"/>
        <v>5.1452348260140847E-3</v>
      </c>
      <c r="O28" s="212"/>
      <c r="P28" s="28"/>
      <c r="Q28" s="30">
        <f>SUM(Q12:Q27)</f>
        <v>10592.74</v>
      </c>
      <c r="R28" s="31"/>
      <c r="S28" s="32">
        <f t="shared" si="10"/>
        <v>-7.2000000000007276</v>
      </c>
      <c r="T28" s="33">
        <f t="shared" si="5"/>
        <v>-6.7924912782532047E-4</v>
      </c>
      <c r="U28" s="31"/>
      <c r="V28" s="28"/>
      <c r="W28" s="30">
        <f>SUM(W12:W27)</f>
        <v>10579.69</v>
      </c>
      <c r="X28" s="31"/>
      <c r="Y28" s="32">
        <f t="shared" si="11"/>
        <v>-13.049999999999272</v>
      </c>
      <c r="Z28" s="33">
        <f t="shared" si="7"/>
        <v>-1.2319758627134501E-3</v>
      </c>
      <c r="AA28" s="31"/>
      <c r="AB28" s="28"/>
      <c r="AC28" s="30">
        <f>SUM(AC12:AC27)</f>
        <v>10803.53</v>
      </c>
      <c r="AD28" s="31"/>
      <c r="AE28" s="32">
        <f t="shared" si="13"/>
        <v>223.84000000000015</v>
      </c>
      <c r="AF28" s="33">
        <f t="shared" si="9"/>
        <v>2.1157519738291022E-2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4000</v>
      </c>
      <c r="G29" s="16">
        <v>0.43235768943166519</v>
      </c>
      <c r="H29" s="18">
        <f t="shared" ref="H29:H35" si="18">$F29*G29</f>
        <v>1729.4307577266609</v>
      </c>
      <c r="I29" s="19"/>
      <c r="J29" s="16">
        <v>-6.0299999999999999E-2</v>
      </c>
      <c r="K29" s="18">
        <f t="shared" ref="K29:K35" si="19">$F29*J29</f>
        <v>-241.2</v>
      </c>
      <c r="L29" s="19"/>
      <c r="M29" s="21">
        <f t="shared" si="16"/>
        <v>-1970.6307577266609</v>
      </c>
      <c r="N29" s="22">
        <f t="shared" si="17"/>
        <v>-1.1394678560690443</v>
      </c>
      <c r="O29" s="212"/>
      <c r="P29" s="16">
        <v>-6.0299999999999999E-2</v>
      </c>
      <c r="Q29" s="18">
        <f t="shared" ref="Q29:Q35" si="20">$F29*P29</f>
        <v>-241.2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1"/>
        <v>241.2</v>
      </c>
      <c r="Z29" s="22">
        <f t="shared" si="7"/>
        <v>-1</v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3"/>
        <v>0</v>
      </c>
      <c r="AF29" s="22" t="str">
        <f t="shared" si="9"/>
        <v/>
      </c>
    </row>
    <row r="30" spans="2:32" ht="13.15" customHeight="1" x14ac:dyDescent="0.2">
      <c r="B30" s="134" t="s">
        <v>17</v>
      </c>
      <c r="C30" s="14"/>
      <c r="D30" s="15" t="s">
        <v>65</v>
      </c>
      <c r="E30" s="15"/>
      <c r="F30" s="17">
        <f>$G$7</f>
        <v>4000</v>
      </c>
      <c r="G30" s="16">
        <v>-0.30893329370118028</v>
      </c>
      <c r="H30" s="18">
        <f t="shared" ref="H30" si="23">$F30*G30</f>
        <v>-1235.7331748047211</v>
      </c>
      <c r="I30" s="19"/>
      <c r="J30" s="16">
        <v>-0.86640000000000006</v>
      </c>
      <c r="K30" s="18">
        <f t="shared" ref="K30" si="24">$F30*J30</f>
        <v>-3465.6000000000004</v>
      </c>
      <c r="L30" s="19"/>
      <c r="M30" s="21">
        <f t="shared" ref="M30" si="25">K30-H30</f>
        <v>-2229.8668251952795</v>
      </c>
      <c r="N30" s="22">
        <f t="shared" ref="N30" si="26">IF((H30)=0,"",(M30/H30))</f>
        <v>1.8044889225763954</v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3.15" customHeight="1" x14ac:dyDescent="0.2">
      <c r="B31" s="132">
        <v>1575</v>
      </c>
      <c r="C31" s="14"/>
      <c r="D31" s="15" t="s">
        <v>65</v>
      </c>
      <c r="E31" s="15"/>
      <c r="F31" s="17">
        <f t="shared" ref="F31:F33" si="27">$G$7</f>
        <v>4000</v>
      </c>
      <c r="G31" s="16">
        <v>0</v>
      </c>
      <c r="H31" s="18">
        <f t="shared" si="18"/>
        <v>0</v>
      </c>
      <c r="I31" s="19"/>
      <c r="J31" s="16">
        <v>0</v>
      </c>
      <c r="K31" s="18">
        <f t="shared" si="19"/>
        <v>0</v>
      </c>
      <c r="L31" s="19"/>
      <c r="M31" s="21">
        <f t="shared" ref="M31:M42" si="28">K31-H31</f>
        <v>0</v>
      </c>
      <c r="N31" s="22" t="str">
        <f>IF((H31)=0,"",(M31/H31))</f>
        <v/>
      </c>
      <c r="O31" s="212"/>
      <c r="P31" s="16">
        <v>0</v>
      </c>
      <c r="Q31" s="18">
        <f t="shared" si="20"/>
        <v>0</v>
      </c>
      <c r="R31" s="19"/>
      <c r="S31" s="21">
        <f t="shared" ref="S31" si="29">Q31-K31</f>
        <v>0</v>
      </c>
      <c r="T31" s="22" t="str">
        <f t="shared" ref="T31" si="30">IF((K31)=0,"",(S31/K31))</f>
        <v/>
      </c>
      <c r="U31" s="19"/>
      <c r="V31" s="16">
        <v>0</v>
      </c>
      <c r="W31" s="18">
        <f t="shared" si="21"/>
        <v>0</v>
      </c>
      <c r="X31" s="19"/>
      <c r="Y31" s="21">
        <f t="shared" ref="Y31" si="31">W31-Q31</f>
        <v>0</v>
      </c>
      <c r="Z31" s="22" t="str">
        <f t="shared" ref="Z31" si="32">IF((Q31)=0,"",(Y31/Q31))</f>
        <v/>
      </c>
      <c r="AA31" s="19"/>
      <c r="AB31" s="16">
        <v>0</v>
      </c>
      <c r="AC31" s="18">
        <f t="shared" si="22"/>
        <v>0</v>
      </c>
      <c r="AD31" s="19"/>
      <c r="AE31" s="21">
        <f t="shared" si="13"/>
        <v>0</v>
      </c>
      <c r="AF31" s="22" t="str">
        <f t="shared" si="9"/>
        <v/>
      </c>
    </row>
    <row r="32" spans="2:32" ht="13.15" hidden="1" customHeight="1" x14ac:dyDescent="0.2">
      <c r="B32" s="35"/>
      <c r="C32" s="14"/>
      <c r="D32" s="15"/>
      <c r="E32" s="15"/>
      <c r="F32" s="17">
        <f t="shared" si="27"/>
        <v>4000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28"/>
        <v>0</v>
      </c>
      <c r="N32" s="22" t="str">
        <f>IF((H32)=0,"",(M32/H32))</f>
        <v/>
      </c>
      <c r="O32" s="212"/>
      <c r="P32" s="16"/>
      <c r="Q32" s="18">
        <f t="shared" si="2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2"/>
        <v>0</v>
      </c>
      <c r="AD32" s="36"/>
      <c r="AE32" s="21">
        <f t="shared" si="13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7"/>
        <v>4000</v>
      </c>
      <c r="G33" s="133">
        <v>2.1690000000000001E-2</v>
      </c>
      <c r="H33" s="18">
        <f t="shared" si="18"/>
        <v>86.76</v>
      </c>
      <c r="I33" s="19"/>
      <c r="J33" s="133">
        <v>2.1690000000000001E-2</v>
      </c>
      <c r="K33" s="18">
        <f t="shared" si="19"/>
        <v>86.76</v>
      </c>
      <c r="L33" s="19"/>
      <c r="M33" s="21">
        <f t="shared" si="28"/>
        <v>0</v>
      </c>
      <c r="N33" s="22">
        <f>IF((H33)=0,"",(M33/H33))</f>
        <v>0</v>
      </c>
      <c r="O33" s="212"/>
      <c r="P33" s="133">
        <v>2.1690000000000001E-2</v>
      </c>
      <c r="Q33" s="18">
        <f t="shared" si="20"/>
        <v>86.76</v>
      </c>
      <c r="R33" s="19"/>
      <c r="S33" s="21">
        <f t="shared" si="10"/>
        <v>0</v>
      </c>
      <c r="T33" s="22">
        <f t="shared" si="5"/>
        <v>0</v>
      </c>
      <c r="U33" s="19"/>
      <c r="V33" s="133">
        <v>2.1690000000000001E-2</v>
      </c>
      <c r="W33" s="18">
        <f t="shared" si="21"/>
        <v>86.76</v>
      </c>
      <c r="X33" s="19"/>
      <c r="Y33" s="21">
        <f t="shared" si="11"/>
        <v>0</v>
      </c>
      <c r="Z33" s="22">
        <f t="shared" si="7"/>
        <v>0</v>
      </c>
      <c r="AA33" s="19"/>
      <c r="AB33" s="133">
        <v>2.1690000000000001E-2</v>
      </c>
      <c r="AC33" s="18">
        <f t="shared" si="22"/>
        <v>86.76</v>
      </c>
      <c r="AD33" s="19"/>
      <c r="AE33" s="21">
        <f t="shared" si="13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66704</v>
      </c>
      <c r="G34" s="38">
        <f>IF(ISBLANK($D$5)=TRUE, 0, IF($D$5="TOU", 0.64*#REF!+0.18*#REF!+0.18*#REF!, IF(AND($D$5="non-TOU", $F$48&gt;0), G48,G47)))</f>
        <v>0.121</v>
      </c>
      <c r="H34" s="18">
        <f t="shared" si="18"/>
        <v>8071.1840000000002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19"/>
        <v>8071.1840000000002</v>
      </c>
      <c r="L34" s="19"/>
      <c r="M34" s="21">
        <f t="shared" si="28"/>
        <v>0</v>
      </c>
      <c r="N34" s="22">
        <f>IF((H34)=0,"",(M34/H34))</f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20"/>
        <v>7337.44</v>
      </c>
      <c r="R34" s="19"/>
      <c r="S34" s="21">
        <f t="shared" si="10"/>
        <v>-733.7440000000006</v>
      </c>
      <c r="T34" s="22">
        <f t="shared" si="5"/>
        <v>-9.0909090909090981E-2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1"/>
        <v>7337.44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2"/>
        <v>7337.44</v>
      </c>
      <c r="AD34" s="19"/>
      <c r="AE34" s="21">
        <f t="shared" si="13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28"/>
        <v>0</v>
      </c>
      <c r="N35" s="22"/>
      <c r="O35" s="212"/>
      <c r="P35" s="38"/>
      <c r="Q35" s="18">
        <f t="shared" si="20"/>
        <v>0</v>
      </c>
      <c r="R35" s="19"/>
      <c r="S35" s="21">
        <f t="shared" si="10"/>
        <v>0</v>
      </c>
      <c r="T35" s="22"/>
      <c r="U35" s="19"/>
      <c r="V35" s="38"/>
      <c r="W35" s="18">
        <f t="shared" si="21"/>
        <v>0</v>
      </c>
      <c r="X35" s="19"/>
      <c r="Y35" s="21">
        <f t="shared" si="11"/>
        <v>0</v>
      </c>
      <c r="Z35" s="22"/>
      <c r="AA35" s="19"/>
      <c r="AB35" s="38"/>
      <c r="AC35" s="18">
        <f t="shared" si="22"/>
        <v>0</v>
      </c>
      <c r="AD35" s="19"/>
      <c r="AE35" s="21">
        <f t="shared" si="13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19197.321582921941</v>
      </c>
      <c r="I36" s="31"/>
      <c r="J36" s="41"/>
      <c r="K36" s="43">
        <f>SUM(K29:K35)+K28</f>
        <v>15051.084000000001</v>
      </c>
      <c r="L36" s="31"/>
      <c r="M36" s="32">
        <f t="shared" si="28"/>
        <v>-4146.23758292194</v>
      </c>
      <c r="N36" s="33">
        <f t="shared" ref="N36:N42" si="33">IF((H36)=0,"",(M36/H36))</f>
        <v>-0.21598000351311816</v>
      </c>
      <c r="O36" s="212"/>
      <c r="P36" s="41"/>
      <c r="Q36" s="43">
        <f>SUM(Q29:Q35)+Q28</f>
        <v>17775.739999999998</v>
      </c>
      <c r="R36" s="31"/>
      <c r="S36" s="32">
        <f t="shared" si="10"/>
        <v>2724.6559999999972</v>
      </c>
      <c r="T36" s="33">
        <f t="shared" ref="T36:T42" si="34">IF((K36)=0,"",(S36/K36))</f>
        <v>0.18102722700903118</v>
      </c>
      <c r="U36" s="31"/>
      <c r="V36" s="41"/>
      <c r="W36" s="43">
        <f>SUM(W29:W35)+W28</f>
        <v>18003.89</v>
      </c>
      <c r="X36" s="31"/>
      <c r="Y36" s="32">
        <f t="shared" si="11"/>
        <v>228.15000000000146</v>
      </c>
      <c r="Z36" s="33">
        <f t="shared" ref="Z36:Z42" si="35">IF((Q36)=0,"",(Y36/Q36))</f>
        <v>1.2834908701409983E-2</v>
      </c>
      <c r="AA36" s="31"/>
      <c r="AB36" s="41"/>
      <c r="AC36" s="43">
        <f>SUM(AC29:AC35)+AC28</f>
        <v>18227.73</v>
      </c>
      <c r="AD36" s="31"/>
      <c r="AE36" s="32">
        <f t="shared" si="13"/>
        <v>223.84000000000015</v>
      </c>
      <c r="AF36" s="33">
        <f t="shared" ref="AF36:AF46" si="36">IF((W36)=0,"",(AE36/W36))</f>
        <v>1.2432868674492021E-2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4000</v>
      </c>
      <c r="G37" s="20">
        <v>2.7064544797271646</v>
      </c>
      <c r="H37" s="18">
        <f>$F37*G37</f>
        <v>10825.817918908659</v>
      </c>
      <c r="I37" s="19"/>
      <c r="J37" s="20">
        <v>2.5720999999999998</v>
      </c>
      <c r="K37" s="18">
        <f>$F37*J37</f>
        <v>10288.4</v>
      </c>
      <c r="L37" s="19"/>
      <c r="M37" s="21">
        <f t="shared" si="28"/>
        <v>-537.41791890865898</v>
      </c>
      <c r="N37" s="22">
        <f t="shared" si="33"/>
        <v>-4.9642246242659477E-2</v>
      </c>
      <c r="O37" s="212"/>
      <c r="P37" s="20">
        <v>2.5720999999999998</v>
      </c>
      <c r="Q37" s="18">
        <f>$F37*P37</f>
        <v>10288.4</v>
      </c>
      <c r="R37" s="19"/>
      <c r="S37" s="21">
        <f t="shared" si="10"/>
        <v>0</v>
      </c>
      <c r="T37" s="22">
        <f t="shared" si="34"/>
        <v>0</v>
      </c>
      <c r="U37" s="19"/>
      <c r="V37" s="20">
        <v>2.5720999999999998</v>
      </c>
      <c r="W37" s="18">
        <f>$F37*V37</f>
        <v>10288.4</v>
      </c>
      <c r="X37" s="19"/>
      <c r="Y37" s="21">
        <f t="shared" si="11"/>
        <v>0</v>
      </c>
      <c r="Z37" s="22">
        <f t="shared" si="35"/>
        <v>0</v>
      </c>
      <c r="AA37" s="19"/>
      <c r="AB37" s="20">
        <v>2.5720999999999998</v>
      </c>
      <c r="AC37" s="18">
        <f>$F37*AB37</f>
        <v>10288.4</v>
      </c>
      <c r="AD37" s="19"/>
      <c r="AE37" s="21">
        <f t="shared" si="13"/>
        <v>0</v>
      </c>
      <c r="AF37" s="22">
        <f t="shared" si="36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4000</v>
      </c>
      <c r="G38" s="20">
        <v>2.121465119800138</v>
      </c>
      <c r="H38" s="18">
        <f>$F38*G38</f>
        <v>8485.8604792005517</v>
      </c>
      <c r="I38" s="19"/>
      <c r="J38" s="20">
        <v>2.1213000000000002</v>
      </c>
      <c r="K38" s="18">
        <f>$F38*J38</f>
        <v>8485.2000000000007</v>
      </c>
      <c r="L38" s="19"/>
      <c r="M38" s="21">
        <f t="shared" si="28"/>
        <v>-0.66047920055098075</v>
      </c>
      <c r="N38" s="22">
        <f t="shared" si="33"/>
        <v>-7.7832908303154677E-5</v>
      </c>
      <c r="O38" s="212"/>
      <c r="P38" s="20">
        <v>2.1213000000000002</v>
      </c>
      <c r="Q38" s="18">
        <f>$F38*P38</f>
        <v>8485.2000000000007</v>
      </c>
      <c r="R38" s="19"/>
      <c r="S38" s="21">
        <f t="shared" si="10"/>
        <v>0</v>
      </c>
      <c r="T38" s="22">
        <f t="shared" si="34"/>
        <v>0</v>
      </c>
      <c r="U38" s="19"/>
      <c r="V38" s="20">
        <v>2.1213000000000002</v>
      </c>
      <c r="W38" s="18">
        <f>$F38*V38</f>
        <v>8485.2000000000007</v>
      </c>
      <c r="X38" s="19"/>
      <c r="Y38" s="21">
        <f t="shared" si="11"/>
        <v>0</v>
      </c>
      <c r="Z38" s="22">
        <f t="shared" si="35"/>
        <v>0</v>
      </c>
      <c r="AA38" s="19"/>
      <c r="AB38" s="20">
        <v>2.1213000000000002</v>
      </c>
      <c r="AC38" s="18">
        <f>$F38*AB38</f>
        <v>8485.2000000000007</v>
      </c>
      <c r="AD38" s="19"/>
      <c r="AE38" s="21">
        <f t="shared" si="13"/>
        <v>0</v>
      </c>
      <c r="AF38" s="22">
        <f t="shared" si="36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38508.999981031149</v>
      </c>
      <c r="I39" s="48"/>
      <c r="J39" s="47"/>
      <c r="K39" s="43">
        <f>SUM(K36:K38)</f>
        <v>33824.684000000001</v>
      </c>
      <c r="L39" s="48"/>
      <c r="M39" s="32">
        <f t="shared" si="28"/>
        <v>-4684.3159810311481</v>
      </c>
      <c r="N39" s="33">
        <f t="shared" si="33"/>
        <v>-0.12164210920404475</v>
      </c>
      <c r="O39" s="212"/>
      <c r="P39" s="47"/>
      <c r="Q39" s="43">
        <f>SUM(Q36:Q38)</f>
        <v>36549.339999999997</v>
      </c>
      <c r="R39" s="48"/>
      <c r="S39" s="32">
        <f t="shared" si="10"/>
        <v>2724.6559999999954</v>
      </c>
      <c r="T39" s="33">
        <f t="shared" si="34"/>
        <v>8.055229725132082E-2</v>
      </c>
      <c r="U39" s="48"/>
      <c r="V39" s="47"/>
      <c r="W39" s="43">
        <f>SUM(W36:W38)</f>
        <v>36777.490000000005</v>
      </c>
      <c r="X39" s="48"/>
      <c r="Y39" s="32">
        <f t="shared" si="11"/>
        <v>228.15000000000873</v>
      </c>
      <c r="Z39" s="33">
        <f t="shared" si="35"/>
        <v>6.2422467820214744E-3</v>
      </c>
      <c r="AA39" s="48"/>
      <c r="AB39" s="47"/>
      <c r="AC39" s="43">
        <f>SUM(AC36:AC38)</f>
        <v>37001.33</v>
      </c>
      <c r="AD39" s="48"/>
      <c r="AE39" s="32">
        <f t="shared" si="13"/>
        <v>223.83999999999651</v>
      </c>
      <c r="AF39" s="33">
        <f t="shared" si="36"/>
        <v>6.086331612081098E-3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1826703.9999999998</v>
      </c>
      <c r="G40" s="50">
        <v>4.7000000000000002E-3</v>
      </c>
      <c r="H40" s="152">
        <f t="shared" ref="H40:H42" si="37">$F40*G40</f>
        <v>8585.5087999999996</v>
      </c>
      <c r="I40" s="19"/>
      <c r="J40" s="50">
        <v>4.7000000000000002E-3</v>
      </c>
      <c r="K40" s="152">
        <f t="shared" ref="K40:K42" si="38">$F40*J40</f>
        <v>8585.5087999999996</v>
      </c>
      <c r="L40" s="19"/>
      <c r="M40" s="21">
        <f t="shared" si="28"/>
        <v>0</v>
      </c>
      <c r="N40" s="153">
        <f t="shared" si="33"/>
        <v>0</v>
      </c>
      <c r="O40" s="212"/>
      <c r="P40" s="50">
        <v>4.7000000000000002E-3</v>
      </c>
      <c r="Q40" s="152">
        <f t="shared" ref="Q40:Q42" si="39">$F40*P40</f>
        <v>8585.5087999999996</v>
      </c>
      <c r="R40" s="19"/>
      <c r="S40" s="21">
        <f t="shared" si="10"/>
        <v>0</v>
      </c>
      <c r="T40" s="153">
        <f t="shared" si="34"/>
        <v>0</v>
      </c>
      <c r="U40" s="19"/>
      <c r="V40" s="50">
        <v>4.7000000000000002E-3</v>
      </c>
      <c r="W40" s="152">
        <f t="shared" ref="W40:W42" si="40">$F40*V40</f>
        <v>8585.5087999999996</v>
      </c>
      <c r="X40" s="19"/>
      <c r="Y40" s="21">
        <f t="shared" si="11"/>
        <v>0</v>
      </c>
      <c r="Z40" s="153">
        <f t="shared" si="35"/>
        <v>0</v>
      </c>
      <c r="AA40" s="19"/>
      <c r="AB40" s="50">
        <v>4.7000000000000002E-3</v>
      </c>
      <c r="AC40" s="152">
        <f t="shared" ref="AC40:AC48" si="41">$F40*AB40</f>
        <v>8585.5087999999996</v>
      </c>
      <c r="AD40" s="19"/>
      <c r="AE40" s="21">
        <f t="shared" si="13"/>
        <v>0</v>
      </c>
      <c r="AF40" s="153">
        <f t="shared" si="36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1826703.9999999998</v>
      </c>
      <c r="G41" s="50">
        <v>1.2999999999999999E-3</v>
      </c>
      <c r="H41" s="152">
        <f t="shared" si="37"/>
        <v>2374.7151999999996</v>
      </c>
      <c r="I41" s="19"/>
      <c r="J41" s="50">
        <v>2.0999999999999999E-3</v>
      </c>
      <c r="K41" s="152">
        <f t="shared" si="38"/>
        <v>3836.0783999999994</v>
      </c>
      <c r="L41" s="19"/>
      <c r="M41" s="21">
        <f t="shared" si="28"/>
        <v>1461.3631999999998</v>
      </c>
      <c r="N41" s="153">
        <f t="shared" si="33"/>
        <v>0.61538461538461542</v>
      </c>
      <c r="O41" s="212"/>
      <c r="P41" s="50">
        <v>2.0999999999999999E-3</v>
      </c>
      <c r="Q41" s="152">
        <f t="shared" si="39"/>
        <v>3836.0783999999994</v>
      </c>
      <c r="R41" s="19"/>
      <c r="S41" s="21">
        <f t="shared" si="10"/>
        <v>0</v>
      </c>
      <c r="T41" s="153">
        <f t="shared" si="34"/>
        <v>0</v>
      </c>
      <c r="U41" s="19"/>
      <c r="V41" s="50">
        <v>2.0999999999999999E-3</v>
      </c>
      <c r="W41" s="152">
        <f t="shared" si="40"/>
        <v>3836.0783999999994</v>
      </c>
      <c r="X41" s="19"/>
      <c r="Y41" s="21">
        <f t="shared" si="11"/>
        <v>0</v>
      </c>
      <c r="Z41" s="153">
        <f t="shared" si="35"/>
        <v>0</v>
      </c>
      <c r="AA41" s="19"/>
      <c r="AB41" s="50">
        <v>2.0999999999999999E-3</v>
      </c>
      <c r="AC41" s="152">
        <f t="shared" si="41"/>
        <v>3836.0783999999994</v>
      </c>
      <c r="AD41" s="19"/>
      <c r="AE41" s="21">
        <f t="shared" si="13"/>
        <v>0</v>
      </c>
      <c r="AF41" s="153">
        <f t="shared" si="36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7"/>
        <v>0.25</v>
      </c>
      <c r="I42" s="19"/>
      <c r="J42" s="50">
        <v>0.25</v>
      </c>
      <c r="K42" s="152">
        <f t="shared" si="38"/>
        <v>0.25</v>
      </c>
      <c r="L42" s="19"/>
      <c r="M42" s="21">
        <f t="shared" si="28"/>
        <v>0</v>
      </c>
      <c r="N42" s="153">
        <f t="shared" si="33"/>
        <v>0</v>
      </c>
      <c r="O42" s="212"/>
      <c r="P42" s="50">
        <v>0.25</v>
      </c>
      <c r="Q42" s="152">
        <f t="shared" si="39"/>
        <v>0.25</v>
      </c>
      <c r="R42" s="19"/>
      <c r="S42" s="21">
        <f t="shared" si="10"/>
        <v>0</v>
      </c>
      <c r="T42" s="153">
        <f t="shared" si="34"/>
        <v>0</v>
      </c>
      <c r="U42" s="19"/>
      <c r="V42" s="50">
        <v>0.25</v>
      </c>
      <c r="W42" s="152">
        <f t="shared" si="40"/>
        <v>0.25</v>
      </c>
      <c r="X42" s="19"/>
      <c r="Y42" s="21">
        <f t="shared" si="11"/>
        <v>0</v>
      </c>
      <c r="Z42" s="153">
        <f t="shared" si="35"/>
        <v>0</v>
      </c>
      <c r="AA42" s="19"/>
      <c r="AB42" s="50">
        <v>0.25</v>
      </c>
      <c r="AC42" s="152">
        <f t="shared" si="41"/>
        <v>0.25</v>
      </c>
      <c r="AD42" s="19"/>
      <c r="AE42" s="21">
        <f t="shared" si="13"/>
        <v>0</v>
      </c>
      <c r="AF42" s="153">
        <f t="shared" si="36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1759999.9999999998</v>
      </c>
      <c r="G43" s="50">
        <v>7.0000000000000001E-3</v>
      </c>
      <c r="H43" s="152">
        <f t="shared" ref="H43:H48" si="42">$F43*G43</f>
        <v>12319.999999999998</v>
      </c>
      <c r="I43" s="19"/>
      <c r="J43" s="50">
        <v>7.0000000000000001E-3</v>
      </c>
      <c r="K43" s="152">
        <f t="shared" ref="K43:K48" si="43">$F43*J43</f>
        <v>12319.999999999998</v>
      </c>
      <c r="L43" s="19"/>
      <c r="M43" s="21">
        <f t="shared" ref="M43:M60" si="44">K43-H43</f>
        <v>0</v>
      </c>
      <c r="N43" s="153">
        <f t="shared" ref="N43:N46" si="45">IF((H43)=0,"",(M43/H43))</f>
        <v>0</v>
      </c>
      <c r="O43" s="212"/>
      <c r="P43" s="50">
        <v>7.0000000000000001E-3</v>
      </c>
      <c r="Q43" s="152">
        <f t="shared" ref="Q43:Q48" si="46">$F43*P43</f>
        <v>12319.999999999998</v>
      </c>
      <c r="R43" s="19"/>
      <c r="S43" s="21">
        <f t="shared" ref="S43:S60" si="47">Q43-K43</f>
        <v>0</v>
      </c>
      <c r="T43" s="153">
        <f t="shared" ref="T43:T46" si="48">IF((K43)=0,"",(S43/K43))</f>
        <v>0</v>
      </c>
      <c r="U43" s="19"/>
      <c r="V43" s="50">
        <v>7.0000000000000001E-3</v>
      </c>
      <c r="W43" s="152">
        <f t="shared" ref="W43:W48" si="49">$F43*V43</f>
        <v>12319.999999999998</v>
      </c>
      <c r="X43" s="19"/>
      <c r="Y43" s="21">
        <f t="shared" ref="Y43:Y60" si="50">W43-Q43</f>
        <v>0</v>
      </c>
      <c r="Z43" s="153">
        <f t="shared" ref="Z43:Z46" si="51">IF((Q43)=0,"",(Y43/Q43))</f>
        <v>0</v>
      </c>
      <c r="AA43" s="19"/>
      <c r="AB43" s="50">
        <v>7.0000000000000001E-3</v>
      </c>
      <c r="AC43" s="152">
        <f t="shared" si="41"/>
        <v>12319.999999999998</v>
      </c>
      <c r="AD43" s="19"/>
      <c r="AE43" s="21">
        <f t="shared" si="13"/>
        <v>0</v>
      </c>
      <c r="AF43" s="153">
        <f t="shared" si="36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1126399.9999999998</v>
      </c>
      <c r="G44" s="54">
        <v>8.6999999999999994E-2</v>
      </c>
      <c r="H44" s="152">
        <f t="shared" si="42"/>
        <v>97996.799999999974</v>
      </c>
      <c r="I44" s="19"/>
      <c r="J44" s="54">
        <f>+G44</f>
        <v>8.6999999999999994E-2</v>
      </c>
      <c r="K44" s="152">
        <f t="shared" si="43"/>
        <v>97996.799999999974</v>
      </c>
      <c r="L44" s="19"/>
      <c r="M44" s="21">
        <f t="shared" si="44"/>
        <v>0</v>
      </c>
      <c r="N44" s="153">
        <f t="shared" si="45"/>
        <v>0</v>
      </c>
      <c r="O44" s="212"/>
      <c r="P44" s="54">
        <v>0.08</v>
      </c>
      <c r="Q44" s="152">
        <f t="shared" si="46"/>
        <v>90111.999999999985</v>
      </c>
      <c r="R44" s="19"/>
      <c r="S44" s="21">
        <f t="shared" si="47"/>
        <v>-7884.7999999999884</v>
      </c>
      <c r="T44" s="153">
        <f t="shared" si="48"/>
        <v>-8.045977011494243E-2</v>
      </c>
      <c r="U44" s="19"/>
      <c r="V44" s="54">
        <v>0.08</v>
      </c>
      <c r="W44" s="152">
        <f t="shared" si="49"/>
        <v>90111.999999999985</v>
      </c>
      <c r="X44" s="19"/>
      <c r="Y44" s="21">
        <f t="shared" si="50"/>
        <v>0</v>
      </c>
      <c r="Z44" s="153">
        <f t="shared" si="51"/>
        <v>0</v>
      </c>
      <c r="AA44" s="19"/>
      <c r="AB44" s="54">
        <v>0.08</v>
      </c>
      <c r="AC44" s="152">
        <f t="shared" si="41"/>
        <v>90111.999999999985</v>
      </c>
      <c r="AD44" s="19"/>
      <c r="AE44" s="21">
        <f t="shared" si="13"/>
        <v>0</v>
      </c>
      <c r="AF44" s="153">
        <f t="shared" si="36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316799.99999999994</v>
      </c>
      <c r="G45" s="54">
        <v>0.13200000000000001</v>
      </c>
      <c r="H45" s="152">
        <f t="shared" si="42"/>
        <v>41817.599999999991</v>
      </c>
      <c r="I45" s="19"/>
      <c r="J45" s="54">
        <f>+G45</f>
        <v>0.13200000000000001</v>
      </c>
      <c r="K45" s="152">
        <f t="shared" si="43"/>
        <v>41817.599999999991</v>
      </c>
      <c r="L45" s="19"/>
      <c r="M45" s="21">
        <f t="shared" si="44"/>
        <v>0</v>
      </c>
      <c r="N45" s="153">
        <f t="shared" si="45"/>
        <v>0</v>
      </c>
      <c r="O45" s="212"/>
      <c r="P45" s="54">
        <v>0.122</v>
      </c>
      <c r="Q45" s="152">
        <f t="shared" si="46"/>
        <v>38649.599999999991</v>
      </c>
      <c r="R45" s="19"/>
      <c r="S45" s="21">
        <f t="shared" si="47"/>
        <v>-3168</v>
      </c>
      <c r="T45" s="153">
        <f t="shared" si="48"/>
        <v>-7.5757575757575774E-2</v>
      </c>
      <c r="U45" s="19"/>
      <c r="V45" s="54">
        <v>0.122</v>
      </c>
      <c r="W45" s="152">
        <f t="shared" si="49"/>
        <v>38649.599999999991</v>
      </c>
      <c r="X45" s="19"/>
      <c r="Y45" s="21">
        <f t="shared" si="50"/>
        <v>0</v>
      </c>
      <c r="Z45" s="153">
        <f t="shared" si="51"/>
        <v>0</v>
      </c>
      <c r="AA45" s="19"/>
      <c r="AB45" s="54">
        <v>0.122</v>
      </c>
      <c r="AC45" s="152">
        <f t="shared" si="41"/>
        <v>38649.599999999991</v>
      </c>
      <c r="AD45" s="19"/>
      <c r="AE45" s="21">
        <f t="shared" si="13"/>
        <v>0</v>
      </c>
      <c r="AF45" s="153">
        <f t="shared" si="36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316799.99999999994</v>
      </c>
      <c r="G46" s="54">
        <v>0.18</v>
      </c>
      <c r="H46" s="152">
        <f t="shared" si="42"/>
        <v>57023.999999999985</v>
      </c>
      <c r="I46" s="19"/>
      <c r="J46" s="54">
        <f>+G46</f>
        <v>0.18</v>
      </c>
      <c r="K46" s="152">
        <f t="shared" si="43"/>
        <v>57023.999999999985</v>
      </c>
      <c r="L46" s="19"/>
      <c r="M46" s="21">
        <f t="shared" si="44"/>
        <v>0</v>
      </c>
      <c r="N46" s="153">
        <f t="shared" si="45"/>
        <v>0</v>
      </c>
      <c r="O46" s="212"/>
      <c r="P46" s="54">
        <v>0.161</v>
      </c>
      <c r="Q46" s="152">
        <f t="shared" si="46"/>
        <v>51004.799999999988</v>
      </c>
      <c r="R46" s="19"/>
      <c r="S46" s="21">
        <f t="shared" si="47"/>
        <v>-6019.1999999999971</v>
      </c>
      <c r="T46" s="153">
        <f t="shared" si="48"/>
        <v>-0.10555555555555553</v>
      </c>
      <c r="U46" s="19"/>
      <c r="V46" s="54">
        <v>0.161</v>
      </c>
      <c r="W46" s="152">
        <f t="shared" si="49"/>
        <v>51004.799999999988</v>
      </c>
      <c r="X46" s="19"/>
      <c r="Y46" s="21">
        <f t="shared" si="50"/>
        <v>0</v>
      </c>
      <c r="Z46" s="153">
        <f t="shared" si="51"/>
        <v>0</v>
      </c>
      <c r="AA46" s="19"/>
      <c r="AB46" s="54">
        <v>0.161</v>
      </c>
      <c r="AC46" s="152">
        <f t="shared" si="41"/>
        <v>51004.799999999988</v>
      </c>
      <c r="AD46" s="19"/>
      <c r="AE46" s="21">
        <f t="shared" si="13"/>
        <v>0</v>
      </c>
      <c r="AF46" s="153">
        <f t="shared" si="36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42"/>
        <v>77.25</v>
      </c>
      <c r="I47" s="59"/>
      <c r="J47" s="54">
        <f>+G47</f>
        <v>0.10299999999999999</v>
      </c>
      <c r="K47" s="152">
        <f t="shared" si="43"/>
        <v>77.25</v>
      </c>
      <c r="L47" s="59"/>
      <c r="M47" s="60">
        <f t="shared" si="44"/>
        <v>0</v>
      </c>
      <c r="N47" s="153">
        <f>IF((H47)=FALSE,"",(M47/H47))</f>
        <v>0</v>
      </c>
      <c r="O47" s="212"/>
      <c r="P47" s="54">
        <v>9.4E-2</v>
      </c>
      <c r="Q47" s="152">
        <f t="shared" si="46"/>
        <v>70.5</v>
      </c>
      <c r="R47" s="59"/>
      <c r="S47" s="60">
        <f t="shared" si="47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9"/>
        <v>70.5</v>
      </c>
      <c r="X47" s="59"/>
      <c r="Y47" s="60">
        <f t="shared" si="50"/>
        <v>0</v>
      </c>
      <c r="Z47" s="153">
        <f>IF((Q47)=FALSE,"",(Y47/Q47))</f>
        <v>0</v>
      </c>
      <c r="AA47" s="59"/>
      <c r="AB47" s="54">
        <v>9.4E-2</v>
      </c>
      <c r="AC47" s="152">
        <f t="shared" si="41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1759249.9999999998</v>
      </c>
      <c r="G48" s="54">
        <v>0.121</v>
      </c>
      <c r="H48" s="152">
        <f t="shared" si="42"/>
        <v>212869.24999999997</v>
      </c>
      <c r="I48" s="59"/>
      <c r="J48" s="54">
        <f>+G48</f>
        <v>0.121</v>
      </c>
      <c r="K48" s="152">
        <f t="shared" si="43"/>
        <v>212869.24999999997</v>
      </c>
      <c r="L48" s="59"/>
      <c r="M48" s="60">
        <f t="shared" si="44"/>
        <v>0</v>
      </c>
      <c r="N48" s="153">
        <f>IF((H48)=FALSE,"",(M48/H48))</f>
        <v>0</v>
      </c>
      <c r="O48" s="212"/>
      <c r="P48" s="54">
        <v>0.11</v>
      </c>
      <c r="Q48" s="152">
        <f t="shared" si="46"/>
        <v>193517.49999999997</v>
      </c>
      <c r="R48" s="59"/>
      <c r="S48" s="60">
        <f t="shared" si="47"/>
        <v>-19351.75</v>
      </c>
      <c r="T48" s="153">
        <f>IF((K48)=FALSE,"",(S48/K48))</f>
        <v>-9.0909090909090925E-2</v>
      </c>
      <c r="U48" s="59"/>
      <c r="V48" s="54">
        <v>0.11</v>
      </c>
      <c r="W48" s="152">
        <f t="shared" si="49"/>
        <v>193517.49999999997</v>
      </c>
      <c r="X48" s="59"/>
      <c r="Y48" s="60">
        <f t="shared" si="50"/>
        <v>0</v>
      </c>
      <c r="Z48" s="153">
        <f>IF((Q48)=FALSE,"",(Y48/Q48))</f>
        <v>0</v>
      </c>
      <c r="AA48" s="59"/>
      <c r="AB48" s="54">
        <v>0.11</v>
      </c>
      <c r="AC48" s="152">
        <f t="shared" si="41"/>
        <v>193517.49999999997</v>
      </c>
      <c r="AD48" s="59"/>
      <c r="AE48" s="60">
        <f t="shared" si="13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4"/>
        <v>0</v>
      </c>
      <c r="N49" s="70"/>
      <c r="O49" s="212"/>
      <c r="P49" s="65"/>
      <c r="Q49" s="67"/>
      <c r="R49" s="68"/>
      <c r="S49" s="69">
        <f t="shared" si="47"/>
        <v>0</v>
      </c>
      <c r="T49" s="70"/>
      <c r="U49" s="68"/>
      <c r="V49" s="65"/>
      <c r="W49" s="67"/>
      <c r="X49" s="68"/>
      <c r="Y49" s="69">
        <f t="shared" si="50"/>
        <v>0</v>
      </c>
      <c r="Z49" s="70"/>
      <c r="AA49" s="68"/>
      <c r="AB49" s="65"/>
      <c r="AC49" s="67"/>
      <c r="AD49" s="68"/>
      <c r="AE49" s="69">
        <f t="shared" si="13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258627.87398103109</v>
      </c>
      <c r="I50" s="75"/>
      <c r="J50" s="72"/>
      <c r="K50" s="74">
        <f>SUM(K40:K46,K39)</f>
        <v>255404.92119999998</v>
      </c>
      <c r="L50" s="75"/>
      <c r="M50" s="76">
        <f t="shared" si="44"/>
        <v>-3222.952781031112</v>
      </c>
      <c r="N50" s="77">
        <f>IF((H50)=0,"",(M50/H50))</f>
        <v>-1.2461737907134857E-2</v>
      </c>
      <c r="O50" s="212"/>
      <c r="P50" s="72"/>
      <c r="Q50" s="74">
        <f>SUM(Q40:Q46,Q39)</f>
        <v>241057.57719999997</v>
      </c>
      <c r="R50" s="75"/>
      <c r="S50" s="76">
        <f t="shared" si="47"/>
        <v>-14347.344000000012</v>
      </c>
      <c r="T50" s="77">
        <f>IF((K50)=0,"",(S50/K50))</f>
        <v>-5.6174892529831225E-2</v>
      </c>
      <c r="U50" s="75"/>
      <c r="V50" s="72"/>
      <c r="W50" s="74">
        <f>SUM(W40:W46,W39)</f>
        <v>241285.72719999996</v>
      </c>
      <c r="X50" s="75"/>
      <c r="Y50" s="76">
        <f t="shared" si="50"/>
        <v>228.14999999999418</v>
      </c>
      <c r="Z50" s="77">
        <f>IF((Q50)=0,"",(Y50/Q50))</f>
        <v>9.4645438094112814E-4</v>
      </c>
      <c r="AA50" s="75"/>
      <c r="AB50" s="72"/>
      <c r="AC50" s="74">
        <f>SUM(AC40:AC46,AC39)</f>
        <v>241509.56719999999</v>
      </c>
      <c r="AD50" s="75"/>
      <c r="AE50" s="76">
        <f t="shared" si="13"/>
        <v>223.84000000002561</v>
      </c>
      <c r="AF50" s="77">
        <f>IF((W50)=0,"",(AE50/W50))</f>
        <v>9.2769681239572978E-4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33621.623617534045</v>
      </c>
      <c r="I51" s="81"/>
      <c r="J51" s="79">
        <v>0.13</v>
      </c>
      <c r="K51" s="82">
        <f>K50*J51</f>
        <v>33202.639755999997</v>
      </c>
      <c r="L51" s="81"/>
      <c r="M51" s="83">
        <f t="shared" si="44"/>
        <v>-418.98386153404863</v>
      </c>
      <c r="N51" s="84">
        <f>IF((H51)=0,"",(M51/H51))</f>
        <v>-1.2461737907134977E-2</v>
      </c>
      <c r="O51" s="212"/>
      <c r="P51" s="79">
        <v>0.13</v>
      </c>
      <c r="Q51" s="82">
        <f>Q50*P51</f>
        <v>31337.485035999998</v>
      </c>
      <c r="R51" s="81"/>
      <c r="S51" s="83">
        <f t="shared" si="47"/>
        <v>-1865.1547199999986</v>
      </c>
      <c r="T51" s="84">
        <f>IF((K51)=0,"",(S51/K51))</f>
        <v>-5.6174892529831141E-2</v>
      </c>
      <c r="U51" s="81"/>
      <c r="V51" s="79">
        <v>0.13</v>
      </c>
      <c r="W51" s="82">
        <f>W50*V51</f>
        <v>31367.144535999996</v>
      </c>
      <c r="X51" s="81"/>
      <c r="Y51" s="83">
        <f t="shared" si="50"/>
        <v>29.659499999997934</v>
      </c>
      <c r="Z51" s="84">
        <f>IF((Q51)=0,"",(Y51/Q51))</f>
        <v>9.4645438094108629E-4</v>
      </c>
      <c r="AA51" s="81"/>
      <c r="AB51" s="79">
        <v>0.13</v>
      </c>
      <c r="AC51" s="82">
        <f>AC50*AB51</f>
        <v>31396.243736</v>
      </c>
      <c r="AD51" s="81"/>
      <c r="AE51" s="83">
        <f t="shared" si="13"/>
        <v>29.099200000004203</v>
      </c>
      <c r="AF51" s="84">
        <f>IF((W51)=0,"",(AE51/W51))</f>
        <v>9.2769681239575764E-4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292249.49759856513</v>
      </c>
      <c r="I52" s="81"/>
      <c r="J52" s="86"/>
      <c r="K52" s="82">
        <f>K50+K51</f>
        <v>288607.560956</v>
      </c>
      <c r="L52" s="81"/>
      <c r="M52" s="83">
        <f t="shared" si="44"/>
        <v>-3641.9366425651242</v>
      </c>
      <c r="N52" s="84">
        <f>IF((H52)=0,"",(M52/H52))</f>
        <v>-1.2461737907134746E-2</v>
      </c>
      <c r="O52" s="212"/>
      <c r="P52" s="86"/>
      <c r="Q52" s="82">
        <f>Q50+Q51</f>
        <v>272395.06223599997</v>
      </c>
      <c r="R52" s="81"/>
      <c r="S52" s="83">
        <f t="shared" si="47"/>
        <v>-16212.498720000032</v>
      </c>
      <c r="T52" s="84">
        <f>IF((K52)=0,"",(S52/K52))</f>
        <v>-5.6174892529831287E-2</v>
      </c>
      <c r="U52" s="81"/>
      <c r="V52" s="86"/>
      <c r="W52" s="82">
        <f>W50+W51</f>
        <v>272652.87173599994</v>
      </c>
      <c r="X52" s="81"/>
      <c r="Y52" s="83">
        <f t="shared" si="50"/>
        <v>257.80949999997392</v>
      </c>
      <c r="Z52" s="84">
        <f>IF((Q52)=0,"",(Y52/Q52))</f>
        <v>9.4645438094105659E-4</v>
      </c>
      <c r="AA52" s="81"/>
      <c r="AB52" s="86"/>
      <c r="AC52" s="82">
        <f>AC50+AC51</f>
        <v>272905.81093599997</v>
      </c>
      <c r="AD52" s="81"/>
      <c r="AE52" s="83">
        <f t="shared" si="13"/>
        <v>252.93920000002254</v>
      </c>
      <c r="AF52" s="84">
        <f>IF((W52)=0,"",(AE52/W52))</f>
        <v>9.2769681239570636E-4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44"/>
        <v>0</v>
      </c>
      <c r="N53" s="89" t="str">
        <f>IF((H53)=0,"",(M53/H53))</f>
        <v/>
      </c>
      <c r="O53" s="212"/>
      <c r="P53" s="86"/>
      <c r="Q53" s="87">
        <f>ROUND(-Q52*10%,2)</f>
        <v>-27239.51</v>
      </c>
      <c r="R53" s="81"/>
      <c r="S53" s="88">
        <f t="shared" si="47"/>
        <v>-27239.51</v>
      </c>
      <c r="T53" s="89" t="str">
        <f>IF((K53)=0,"",(S53/K53))</f>
        <v/>
      </c>
      <c r="U53" s="81"/>
      <c r="V53" s="86"/>
      <c r="W53" s="87">
        <f>ROUND(-W52*10%,2)</f>
        <v>-27265.29</v>
      </c>
      <c r="X53" s="81"/>
      <c r="Y53" s="88">
        <f t="shared" si="50"/>
        <v>-25.780000000002474</v>
      </c>
      <c r="Z53" s="89">
        <f>IF((Q53)=0,"",(Y53/Q53))</f>
        <v>9.4641937391687575E-4</v>
      </c>
      <c r="AA53" s="81"/>
      <c r="AB53" s="86"/>
      <c r="AC53" s="87">
        <f>ROUND(-AC52*10%,2)</f>
        <v>-27290.58</v>
      </c>
      <c r="AD53" s="81"/>
      <c r="AE53" s="88">
        <f t="shared" si="13"/>
        <v>-25.290000000000873</v>
      </c>
      <c r="AF53" s="89">
        <f>IF((W53)=0,"",(AE53/W53))</f>
        <v>9.275529436877756E-4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292249.49759856513</v>
      </c>
      <c r="I54" s="92"/>
      <c r="J54" s="90"/>
      <c r="K54" s="93">
        <f>K52+K53</f>
        <v>288607.560956</v>
      </c>
      <c r="L54" s="92"/>
      <c r="M54" s="94">
        <f t="shared" si="44"/>
        <v>-3641.9366425651242</v>
      </c>
      <c r="N54" s="95">
        <f>IF((H54)=0,"",(M54/H54))</f>
        <v>-1.2461737907134746E-2</v>
      </c>
      <c r="O54" s="212"/>
      <c r="P54" s="90"/>
      <c r="Q54" s="93">
        <f>Q52+Q53</f>
        <v>245155.55223599996</v>
      </c>
      <c r="R54" s="92"/>
      <c r="S54" s="94">
        <f t="shared" si="47"/>
        <v>-43452.008720000042</v>
      </c>
      <c r="T54" s="95">
        <f>IF((K54)=0,"",(S54/K54))</f>
        <v>-0.15055741636174447</v>
      </c>
      <c r="U54" s="92"/>
      <c r="V54" s="90"/>
      <c r="W54" s="93">
        <f>W52+W53</f>
        <v>245387.58173599993</v>
      </c>
      <c r="X54" s="92"/>
      <c r="Y54" s="94">
        <f t="shared" si="50"/>
        <v>232.02949999997509</v>
      </c>
      <c r="Z54" s="95">
        <f>IF((Q54)=0,"",(Y54/Q54))</f>
        <v>9.46458270611024E-4</v>
      </c>
      <c r="AA54" s="92"/>
      <c r="AB54" s="90"/>
      <c r="AC54" s="93">
        <f>AC52+AC53</f>
        <v>245615.23093599995</v>
      </c>
      <c r="AD54" s="92"/>
      <c r="AE54" s="94">
        <f t="shared" si="13"/>
        <v>227.64920000001439</v>
      </c>
      <c r="AF54" s="95">
        <f>IF((W54)=0,"",(AE54/W54))</f>
        <v>9.2771279780951032E-4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4"/>
        <v>0</v>
      </c>
      <c r="N55" s="70"/>
      <c r="O55" s="212"/>
      <c r="P55" s="65"/>
      <c r="Q55" s="67"/>
      <c r="R55" s="100"/>
      <c r="S55" s="101">
        <f t="shared" si="47"/>
        <v>0</v>
      </c>
      <c r="T55" s="70"/>
      <c r="U55" s="100"/>
      <c r="V55" s="65"/>
      <c r="W55" s="67"/>
      <c r="X55" s="100"/>
      <c r="Y55" s="101">
        <f t="shared" si="50"/>
        <v>0</v>
      </c>
      <c r="Z55" s="70"/>
      <c r="AA55" s="100"/>
      <c r="AB55" s="65"/>
      <c r="AC55" s="67"/>
      <c r="AD55" s="100"/>
      <c r="AE55" s="101">
        <f t="shared" si="13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274735.9739810311</v>
      </c>
      <c r="I56" s="106"/>
      <c r="J56" s="103"/>
      <c r="K56" s="105">
        <f>SUM(K47:K48,K39,K40:K43)</f>
        <v>271513.02119999996</v>
      </c>
      <c r="L56" s="106"/>
      <c r="M56" s="107">
        <f t="shared" si="44"/>
        <v>-3222.9527810311411</v>
      </c>
      <c r="N56" s="77">
        <f>IF((H56)=0,"",(M56/H56))</f>
        <v>-1.1731091252191338E-2</v>
      </c>
      <c r="O56" s="212"/>
      <c r="P56" s="103"/>
      <c r="Q56" s="105">
        <f>SUM(Q47:Q48,Q39,Q40:Q43)</f>
        <v>254879.17719999998</v>
      </c>
      <c r="R56" s="106"/>
      <c r="S56" s="107">
        <f t="shared" si="47"/>
        <v>-16633.843999999983</v>
      </c>
      <c r="T56" s="77">
        <f>IF((K56)=0,"",(S56/K56))</f>
        <v>-6.1263522193093202E-2</v>
      </c>
      <c r="U56" s="106"/>
      <c r="V56" s="103"/>
      <c r="W56" s="105">
        <f>SUM(W47:W48,W39,W40:W43)</f>
        <v>255107.3272</v>
      </c>
      <c r="X56" s="106"/>
      <c r="Y56" s="107">
        <f t="shared" si="50"/>
        <v>228.15000000002328</v>
      </c>
      <c r="Z56" s="77">
        <f>IF((Q56)=0,"",(Y56/Q56))</f>
        <v>8.9513000829015269E-4</v>
      </c>
      <c r="AA56" s="106"/>
      <c r="AB56" s="103"/>
      <c r="AC56" s="105">
        <f>SUM(AC47:AC48,AC39,AC40:AC43)</f>
        <v>255331.16719999997</v>
      </c>
      <c r="AD56" s="106"/>
      <c r="AE56" s="107">
        <f t="shared" si="13"/>
        <v>223.8399999999674</v>
      </c>
      <c r="AF56" s="77">
        <f>IF((W56)=0,"",(AE56/W56))</f>
        <v>8.7743461725221436E-4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35715.676617534045</v>
      </c>
      <c r="I57" s="110"/>
      <c r="J57" s="109">
        <v>0.13</v>
      </c>
      <c r="K57" s="111">
        <f>K56*J57</f>
        <v>35296.692755999997</v>
      </c>
      <c r="L57" s="110"/>
      <c r="M57" s="112">
        <f t="shared" si="44"/>
        <v>-418.98386153404863</v>
      </c>
      <c r="N57" s="84">
        <f>IF((H57)=0,"",(M57/H57))</f>
        <v>-1.1731091252191345E-2</v>
      </c>
      <c r="O57" s="212"/>
      <c r="P57" s="109">
        <v>0.13</v>
      </c>
      <c r="Q57" s="111">
        <f>Q56*P57</f>
        <v>33134.293035999995</v>
      </c>
      <c r="R57" s="110"/>
      <c r="S57" s="112">
        <f t="shared" si="47"/>
        <v>-2162.3997200000013</v>
      </c>
      <c r="T57" s="84">
        <f>IF((K57)=0,"",(S57/K57))</f>
        <v>-6.1263522193093299E-2</v>
      </c>
      <c r="U57" s="110"/>
      <c r="V57" s="109">
        <v>0.13</v>
      </c>
      <c r="W57" s="111">
        <f>W56*V57</f>
        <v>33163.952536000004</v>
      </c>
      <c r="X57" s="110"/>
      <c r="Y57" s="112">
        <f t="shared" si="50"/>
        <v>29.659500000008848</v>
      </c>
      <c r="Z57" s="84">
        <f>IF((Q57)=0,"",(Y57/Q57))</f>
        <v>8.9513000829032844E-4</v>
      </c>
      <c r="AA57" s="110"/>
      <c r="AB57" s="109">
        <v>0.13</v>
      </c>
      <c r="AC57" s="111">
        <f>AC56*AB57</f>
        <v>33193.051735999994</v>
      </c>
      <c r="AD57" s="110"/>
      <c r="AE57" s="112">
        <f t="shared" si="13"/>
        <v>29.099199999989651</v>
      </c>
      <c r="AF57" s="84">
        <f>IF((W57)=0,"",(AE57/W57))</f>
        <v>8.7743461725202994E-4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310451.65059856512</v>
      </c>
      <c r="I58" s="110"/>
      <c r="J58" s="114"/>
      <c r="K58" s="111">
        <f>K56+K57</f>
        <v>306809.71395599993</v>
      </c>
      <c r="L58" s="110"/>
      <c r="M58" s="112">
        <f t="shared" si="44"/>
        <v>-3641.9366425651824</v>
      </c>
      <c r="N58" s="84">
        <f>IF((H58)=0,"",(M58/H58))</f>
        <v>-1.1731091252191317E-2</v>
      </c>
      <c r="O58" s="212"/>
      <c r="P58" s="114"/>
      <c r="Q58" s="111">
        <f>Q56+Q57</f>
        <v>288013.47023599996</v>
      </c>
      <c r="R58" s="110"/>
      <c r="S58" s="112">
        <f t="shared" si="47"/>
        <v>-18796.243719999969</v>
      </c>
      <c r="T58" s="84">
        <f>IF((K58)=0,"",(S58/K58))</f>
        <v>-6.1263522193093167E-2</v>
      </c>
      <c r="U58" s="110"/>
      <c r="V58" s="114"/>
      <c r="W58" s="111">
        <f>W56+W57</f>
        <v>288271.279736</v>
      </c>
      <c r="X58" s="110"/>
      <c r="Y58" s="112">
        <f t="shared" si="50"/>
        <v>257.80950000003213</v>
      </c>
      <c r="Z58" s="84">
        <f>IF((Q58)=0,"",(Y58/Q58))</f>
        <v>8.9513000829017297E-4</v>
      </c>
      <c r="AA58" s="110"/>
      <c r="AB58" s="114"/>
      <c r="AC58" s="111">
        <f>AC56+AC57</f>
        <v>288524.21893599996</v>
      </c>
      <c r="AD58" s="110"/>
      <c r="AE58" s="112">
        <f t="shared" si="13"/>
        <v>252.93919999996433</v>
      </c>
      <c r="AF58" s="84">
        <f>IF((W58)=0,"",(AE58/W58))</f>
        <v>8.7743461725221837E-4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44"/>
        <v>0</v>
      </c>
      <c r="N59" s="89" t="str">
        <f>IF((H59)=0,"",(M59/H59))</f>
        <v/>
      </c>
      <c r="O59" s="212"/>
      <c r="P59" s="114"/>
      <c r="Q59" s="116">
        <f>ROUND(-Q58*10%,2)</f>
        <v>-28801.35</v>
      </c>
      <c r="R59" s="110"/>
      <c r="S59" s="117">
        <f t="shared" si="47"/>
        <v>-28801.35</v>
      </c>
      <c r="T59" s="89" t="str">
        <f>IF((K59)=0,"",(S59/K59))</f>
        <v/>
      </c>
      <c r="U59" s="110"/>
      <c r="V59" s="114"/>
      <c r="W59" s="116">
        <f>ROUND(-W58*10%,2)</f>
        <v>-28827.13</v>
      </c>
      <c r="X59" s="110"/>
      <c r="Y59" s="117">
        <f t="shared" si="50"/>
        <v>-25.780000000002474</v>
      </c>
      <c r="Z59" s="89">
        <f>IF((Q59)=0,"",(Y59/Q59))</f>
        <v>8.950969312203239E-4</v>
      </c>
      <c r="AA59" s="110"/>
      <c r="AB59" s="114"/>
      <c r="AC59" s="116">
        <f>ROUND(-AC58*10%,2)</f>
        <v>-28852.42</v>
      </c>
      <c r="AD59" s="110"/>
      <c r="AE59" s="117">
        <f t="shared" si="13"/>
        <v>-25.289999999997235</v>
      </c>
      <c r="AF59" s="89">
        <f>IF((W59)=0,"",(AE59/W59))</f>
        <v>8.7729857255985021E-4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310451.65059856512</v>
      </c>
      <c r="I60" s="120"/>
      <c r="J60" s="118"/>
      <c r="K60" s="121">
        <f>SUM(K58:K59)</f>
        <v>306809.71395599993</v>
      </c>
      <c r="L60" s="120"/>
      <c r="M60" s="122">
        <f t="shared" si="44"/>
        <v>-3641.9366425651824</v>
      </c>
      <c r="N60" s="123">
        <f>IF((H60)=0,"",(M60/H60))</f>
        <v>-1.1731091252191317E-2</v>
      </c>
      <c r="O60" s="212"/>
      <c r="P60" s="118"/>
      <c r="Q60" s="121">
        <f>SUM(Q58:Q59)</f>
        <v>259212.12023599996</v>
      </c>
      <c r="R60" s="120"/>
      <c r="S60" s="122">
        <f t="shared" si="47"/>
        <v>-47597.593719999975</v>
      </c>
      <c r="T60" s="123">
        <f>IF((K60)=0,"",(S60/K60))</f>
        <v>-0.15513717967491089</v>
      </c>
      <c r="U60" s="120"/>
      <c r="V60" s="118"/>
      <c r="W60" s="121">
        <f>SUM(W58:W59)</f>
        <v>259444.14973599999</v>
      </c>
      <c r="X60" s="120"/>
      <c r="Y60" s="122">
        <f t="shared" si="50"/>
        <v>232.02950000003329</v>
      </c>
      <c r="Z60" s="123">
        <f>IF((Q60)=0,"",(Y60/Q60))</f>
        <v>8.9513368352059223E-4</v>
      </c>
      <c r="AA60" s="120"/>
      <c r="AB60" s="118"/>
      <c r="AC60" s="121">
        <f>SUM(AC58:AC59)</f>
        <v>259671.79893599998</v>
      </c>
      <c r="AD60" s="120"/>
      <c r="AE60" s="122">
        <f t="shared" si="13"/>
        <v>227.64919999998529</v>
      </c>
      <c r="AF60" s="123">
        <f>IF((W60)=0,"",(AE60/W60))</f>
        <v>8.7744973333039899E-4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7">
    <mergeCell ref="G9:H9"/>
    <mergeCell ref="J9:K9"/>
    <mergeCell ref="M9:N9"/>
    <mergeCell ref="B54:D54"/>
    <mergeCell ref="B60:D60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scale="50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742950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A37" zoomScale="65" zoomScaleNormal="65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1.42578125" style="1" bestFit="1" customWidth="1"/>
    <col min="7" max="7" width="13.28515625" style="1" customWidth="1"/>
    <col min="8" max="8" width="12.28515625" style="142" customWidth="1"/>
    <col min="9" max="9" width="1.7109375" style="1" customWidth="1"/>
    <col min="10" max="10" width="13.28515625" style="1" customWidth="1"/>
    <col min="11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.42578125" style="1" hidden="1" customWidth="1"/>
    <col min="26" max="26" width="7.5703125" style="1" hidden="1" customWidth="1"/>
    <col min="27" max="27" width="1.7109375" style="1" hidden="1" customWidth="1"/>
    <col min="28" max="28" width="13.5703125" style="1" hidden="1" customWidth="1"/>
    <col min="29" max="29" width="12.42578125" style="1" hidden="1" customWidth="1"/>
    <col min="30" max="30" width="1.7109375" style="1" hidden="1" customWidth="1"/>
    <col min="31" max="31" width="10.42578125" style="1" hidden="1" customWidth="1"/>
    <col min="32" max="32" width="7.5703125" style="1" hidden="1" customWidth="1"/>
    <col min="33" max="33" width="1.7109375" style="1" customWidth="1"/>
    <col min="34" max="34" width="13.5703125" style="1" bestFit="1" customWidth="1"/>
    <col min="35" max="35" width="12.42578125" style="1" bestFit="1" customWidth="1"/>
    <col min="36" max="36" width="1.7109375" style="1" customWidth="1"/>
    <col min="37" max="37" width="10.42578125" style="1" bestFit="1" customWidth="1"/>
    <col min="38" max="38" width="7.5703125" style="1" bestFit="1" customWidth="1"/>
    <col min="39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67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5000</v>
      </c>
      <c r="H7" s="9" t="s">
        <v>64</v>
      </c>
      <c r="J7" s="151"/>
      <c r="K7" s="151"/>
    </row>
    <row r="8" spans="2:42" x14ac:dyDescent="0.2">
      <c r="B8" s="6"/>
      <c r="G8" s="8">
        <v>2555000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23704.2</v>
      </c>
      <c r="H12" s="18">
        <f t="shared" ref="H12:H27" si="0">$F12*G12</f>
        <v>23704.2</v>
      </c>
      <c r="I12" s="19"/>
      <c r="J12" s="209">
        <v>23798.52</v>
      </c>
      <c r="K12" s="18">
        <f t="shared" ref="K12:K27" si="1">$F12*J12</f>
        <v>23798.52</v>
      </c>
      <c r="L12" s="19"/>
      <c r="M12" s="21">
        <f t="shared" ref="M12:M21" si="2">K12-H12</f>
        <v>94.319999999999709</v>
      </c>
      <c r="N12" s="22">
        <f t="shared" ref="N12:N21" si="3">IF((H12)=0,"",(M12/H12))</f>
        <v>3.9790416888146277E-3</v>
      </c>
      <c r="O12" s="212"/>
      <c r="P12" s="16">
        <v>23798.52</v>
      </c>
      <c r="Q12" s="18">
        <f t="shared" ref="Q12:Q27" si="4">$F12*P12</f>
        <v>23798.52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23892.82</v>
      </c>
      <c r="W12" s="18">
        <f t="shared" ref="W12:W27" si="6">$F12*V12</f>
        <v>23892.82</v>
      </c>
      <c r="X12" s="19"/>
      <c r="Y12" s="21">
        <f>W12-Q12</f>
        <v>94.299999999999272</v>
      </c>
      <c r="Z12" s="22">
        <f t="shared" ref="Z12:Z34" si="7">IF((Q12)=0,"",(Y12/Q12))</f>
        <v>3.9624312772390579E-3</v>
      </c>
      <c r="AA12" s="19"/>
      <c r="AB12" s="16">
        <v>24462.05</v>
      </c>
      <c r="AC12" s="18">
        <f t="shared" ref="AC12:AC27" si="8">$F12*AB12</f>
        <v>24462.05</v>
      </c>
      <c r="AD12" s="19"/>
      <c r="AE12" s="21">
        <f>AC12-W12</f>
        <v>569.22999999999956</v>
      </c>
      <c r="AF12" s="22">
        <f t="shared" ref="AF12:AF34" si="9">IF((W12)=0,"",(AE12/W12))</f>
        <v>2.3824312073668974E-2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5000</v>
      </c>
      <c r="G19" s="16">
        <v>1.3985000000000001</v>
      </c>
      <c r="H19" s="18">
        <f t="shared" si="0"/>
        <v>6992.5</v>
      </c>
      <c r="I19" s="19"/>
      <c r="J19" s="16">
        <v>1.4040999999999999</v>
      </c>
      <c r="K19" s="18">
        <f t="shared" si="1"/>
        <v>7020.4999999999991</v>
      </c>
      <c r="L19" s="19"/>
      <c r="M19" s="21">
        <f t="shared" si="2"/>
        <v>27.999999999999091</v>
      </c>
      <c r="N19" s="22">
        <f t="shared" si="3"/>
        <v>4.0042903110474211E-3</v>
      </c>
      <c r="O19" s="212"/>
      <c r="P19" s="16">
        <v>1.4040999999999999</v>
      </c>
      <c r="Q19" s="18">
        <f t="shared" si="4"/>
        <v>7020.4999999999991</v>
      </c>
      <c r="R19" s="19"/>
      <c r="S19" s="21">
        <f t="shared" si="10"/>
        <v>0</v>
      </c>
      <c r="T19" s="22">
        <f t="shared" si="5"/>
        <v>0</v>
      </c>
      <c r="U19" s="19"/>
      <c r="V19" s="16">
        <v>1.4097</v>
      </c>
      <c r="W19" s="18">
        <f t="shared" si="6"/>
        <v>7048.5</v>
      </c>
      <c r="X19" s="19"/>
      <c r="Y19" s="21">
        <f t="shared" si="11"/>
        <v>28.000000000000909</v>
      </c>
      <c r="Z19" s="22">
        <f t="shared" si="7"/>
        <v>3.9883199202337318E-3</v>
      </c>
      <c r="AA19" s="19"/>
      <c r="AB19" s="16">
        <v>1.4433</v>
      </c>
      <c r="AC19" s="18">
        <f t="shared" si="8"/>
        <v>7216.5</v>
      </c>
      <c r="AD19" s="19"/>
      <c r="AE19" s="21">
        <f t="shared" si="12"/>
        <v>168</v>
      </c>
      <c r="AF19" s="22">
        <f t="shared" si="9"/>
        <v>2.3834858480527771E-2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3">$G$7</f>
        <v>5000</v>
      </c>
      <c r="G20" s="16"/>
      <c r="H20" s="18">
        <f t="shared" si="0"/>
        <v>0</v>
      </c>
      <c r="I20" s="19"/>
      <c r="J20" s="16">
        <v>1.6000000000000001E-3</v>
      </c>
      <c r="K20" s="18">
        <f t="shared" si="1"/>
        <v>8</v>
      </c>
      <c r="L20" s="19"/>
      <c r="M20" s="21">
        <f t="shared" si="2"/>
        <v>8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-8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5000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4">$G$7</f>
        <v>5000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15">K24-H24</f>
        <v>0</v>
      </c>
      <c r="N24" s="22" t="str">
        <f t="shared" ref="N24:N34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30696.7</v>
      </c>
      <c r="I28" s="31"/>
      <c r="J28" s="28"/>
      <c r="K28" s="30">
        <f>SUM(K12:K27)</f>
        <v>30827.02</v>
      </c>
      <c r="L28" s="31"/>
      <c r="M28" s="32">
        <f t="shared" si="15"/>
        <v>130.31999999999971</v>
      </c>
      <c r="N28" s="33">
        <f t="shared" si="16"/>
        <v>4.2454074867982455E-3</v>
      </c>
      <c r="O28" s="212"/>
      <c r="P28" s="28"/>
      <c r="Q28" s="30">
        <f>SUM(Q12:Q27)</f>
        <v>30819.02</v>
      </c>
      <c r="R28" s="31"/>
      <c r="S28" s="32">
        <f t="shared" si="10"/>
        <v>-8</v>
      </c>
      <c r="T28" s="33">
        <f t="shared" si="5"/>
        <v>-2.5951259641703934E-4</v>
      </c>
      <c r="U28" s="31"/>
      <c r="V28" s="28"/>
      <c r="W28" s="30">
        <f>SUM(W12:W27)</f>
        <v>30941.32</v>
      </c>
      <c r="X28" s="31"/>
      <c r="Y28" s="32">
        <f t="shared" si="11"/>
        <v>122.29999999999927</v>
      </c>
      <c r="Z28" s="33">
        <f t="shared" si="7"/>
        <v>3.9683286489966023E-3</v>
      </c>
      <c r="AA28" s="31"/>
      <c r="AB28" s="28"/>
      <c r="AC28" s="30">
        <f>SUM(AC12:AC27)</f>
        <v>31678.55</v>
      </c>
      <c r="AD28" s="31"/>
      <c r="AE28" s="32">
        <f t="shared" si="12"/>
        <v>737.22999999999956</v>
      </c>
      <c r="AF28" s="33">
        <f t="shared" si="9"/>
        <v>2.3826714568092103E-2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5000</v>
      </c>
      <c r="G29" s="16">
        <v>0.59071404756783996</v>
      </c>
      <c r="H29" s="18">
        <f t="shared" ref="H29:H35" si="17">$F29*G29</f>
        <v>2953.5702378391998</v>
      </c>
      <c r="I29" s="19"/>
      <c r="J29" s="16">
        <v>-7.9200000000000007E-2</v>
      </c>
      <c r="K29" s="18">
        <f t="shared" ref="K29:K35" si="18">$F29*J29</f>
        <v>-396.00000000000006</v>
      </c>
      <c r="L29" s="19"/>
      <c r="M29" s="21">
        <f t="shared" si="15"/>
        <v>-3349.5702378391998</v>
      </c>
      <c r="N29" s="22">
        <f t="shared" si="16"/>
        <v>-1.1340750238225956</v>
      </c>
      <c r="O29" s="212"/>
      <c r="P29" s="16">
        <v>-7.9200000000000007E-2</v>
      </c>
      <c r="Q29" s="18">
        <f t="shared" ref="Q29:Q35" si="19">$F29*P29</f>
        <v>-396.00000000000006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396.00000000000006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1" si="22">$G$7</f>
        <v>5000</v>
      </c>
      <c r="G30" s="16"/>
      <c r="H30" s="18">
        <f t="shared" si="17"/>
        <v>0</v>
      </c>
      <c r="I30" s="19"/>
      <c r="J30" s="16"/>
      <c r="K30" s="18">
        <f t="shared" si="18"/>
        <v>0</v>
      </c>
      <c r="L30" s="19"/>
      <c r="M30" s="21">
        <f t="shared" si="15"/>
        <v>0</v>
      </c>
      <c r="N30" s="22" t="str">
        <f t="shared" si="16"/>
        <v/>
      </c>
      <c r="O30" s="212"/>
      <c r="P30" s="16">
        <v>1.6000000000000001E-3</v>
      </c>
      <c r="Q30" s="18">
        <f t="shared" si="19"/>
        <v>8</v>
      </c>
      <c r="R30" s="19"/>
      <c r="S30" s="21">
        <f t="shared" si="10"/>
        <v>8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-8</v>
      </c>
      <c r="Z30" s="22">
        <f t="shared" si="7"/>
        <v>-1</v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22"/>
        <v>5000</v>
      </c>
      <c r="G31" s="16">
        <v>0</v>
      </c>
      <c r="H31" s="18">
        <f>$F31*G31</f>
        <v>0</v>
      </c>
      <c r="I31" s="19"/>
      <c r="J31" s="16">
        <v>0</v>
      </c>
      <c r="K31" s="18">
        <f t="shared" si="18"/>
        <v>0</v>
      </c>
      <c r="L31" s="19"/>
      <c r="M31" s="21">
        <f t="shared" si="15"/>
        <v>0</v>
      </c>
      <c r="N31" s="22" t="str">
        <f t="shared" si="16"/>
        <v/>
      </c>
      <c r="O31" s="212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5000</v>
      </c>
      <c r="G32" s="16">
        <v>-0.44949300279836379</v>
      </c>
      <c r="H32" s="18">
        <f t="shared" ref="H32" si="23">$F32*G32</f>
        <v>-2247.465013991819</v>
      </c>
      <c r="I32" s="19"/>
      <c r="J32" s="16">
        <v>-1.4433</v>
      </c>
      <c r="K32" s="18">
        <f t="shared" si="18"/>
        <v>-7216.5</v>
      </c>
      <c r="L32" s="19"/>
      <c r="M32" s="21">
        <f t="shared" si="15"/>
        <v>-4969.0349860081806</v>
      </c>
      <c r="N32" s="22">
        <f t="shared" si="16"/>
        <v>2.2109509848086422</v>
      </c>
      <c r="O32" s="212"/>
      <c r="P32" s="16"/>
      <c r="Q32" s="18">
        <f t="shared" si="19"/>
        <v>0</v>
      </c>
      <c r="R32" s="36"/>
      <c r="S32" s="21">
        <f t="shared" si="10"/>
        <v>7216.5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ref="F33" si="24">$G$7</f>
        <v>5000</v>
      </c>
      <c r="G33" s="133">
        <v>2.4920000000000001E-2</v>
      </c>
      <c r="H33" s="18">
        <f t="shared" si="17"/>
        <v>124.60000000000001</v>
      </c>
      <c r="I33" s="19"/>
      <c r="J33" s="133">
        <v>2.4920000000000001E-2</v>
      </c>
      <c r="K33" s="18">
        <f t="shared" si="18"/>
        <v>124.60000000000001</v>
      </c>
      <c r="L33" s="19"/>
      <c r="M33" s="21">
        <f t="shared" si="15"/>
        <v>0</v>
      </c>
      <c r="N33" s="22">
        <f t="shared" si="16"/>
        <v>0</v>
      </c>
      <c r="O33" s="212"/>
      <c r="P33" s="133">
        <v>2.4920000000000001E-2</v>
      </c>
      <c r="Q33" s="18">
        <f t="shared" si="19"/>
        <v>124.60000000000001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124.60000000000001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124.60000000000001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15330</v>
      </c>
      <c r="G34" s="38">
        <f>IF(ISBLANK($D$5)=TRUE, 0, IF($D$5="TOU", 0.64*#REF!+0.18*#REF!+0.18*#REF!, IF(AND($D$5="non-TOU", $F$48&gt;0), G48,G47)))</f>
        <v>0.121</v>
      </c>
      <c r="H34" s="18">
        <f t="shared" si="17"/>
        <v>1854.9299999999998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18"/>
        <v>1854.9299999999998</v>
      </c>
      <c r="L34" s="19"/>
      <c r="M34" s="21">
        <f t="shared" si="15"/>
        <v>0</v>
      </c>
      <c r="N34" s="22">
        <f t="shared" si="16"/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19"/>
        <v>1686.3</v>
      </c>
      <c r="R34" s="19"/>
      <c r="S34" s="21">
        <f t="shared" si="10"/>
        <v>-168.62999999999988</v>
      </c>
      <c r="T34" s="22">
        <f t="shared" si="5"/>
        <v>-9.0909090909090856E-2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1686.3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1686.3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212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33382.335223847382</v>
      </c>
      <c r="I36" s="31"/>
      <c r="J36" s="41"/>
      <c r="K36" s="43">
        <f>SUM(K29:K35)+K28</f>
        <v>25194.050000000003</v>
      </c>
      <c r="L36" s="31"/>
      <c r="M36" s="32">
        <f t="shared" si="15"/>
        <v>-8188.2852238473788</v>
      </c>
      <c r="N36" s="33">
        <f t="shared" ref="N36:N46" si="25">IF((H36)=0,"",(M36/H36))</f>
        <v>-0.24528796948866247</v>
      </c>
      <c r="O36" s="212"/>
      <c r="P36" s="41"/>
      <c r="Q36" s="43">
        <f>SUM(Q29:Q35)+Q28</f>
        <v>32241.920000000002</v>
      </c>
      <c r="R36" s="31"/>
      <c r="S36" s="32">
        <f t="shared" si="10"/>
        <v>7047.869999999999</v>
      </c>
      <c r="T36" s="33">
        <f t="shared" ref="T36:T46" si="26">IF((K36)=0,"",(S36/K36))</f>
        <v>0.27974343148481479</v>
      </c>
      <c r="U36" s="31"/>
      <c r="V36" s="41"/>
      <c r="W36" s="43">
        <f>SUM(W29:W35)+W28</f>
        <v>32752.22</v>
      </c>
      <c r="X36" s="31"/>
      <c r="Y36" s="32">
        <f t="shared" si="11"/>
        <v>510.29999999999927</v>
      </c>
      <c r="Z36" s="33">
        <f t="shared" ref="Z36:Z46" si="27">IF((Q36)=0,"",(Y36/Q36))</f>
        <v>1.5827221207669991E-2</v>
      </c>
      <c r="AA36" s="31"/>
      <c r="AB36" s="41"/>
      <c r="AC36" s="43">
        <f>SUM(AC29:AC35)+AC28</f>
        <v>33489.449999999997</v>
      </c>
      <c r="AD36" s="31"/>
      <c r="AE36" s="32">
        <f t="shared" si="12"/>
        <v>737.22999999999593</v>
      </c>
      <c r="AF36" s="33">
        <f t="shared" ref="AF36:AF46" si="28">IF((W36)=0,"",(AE36/W36))</f>
        <v>2.2509313872464094E-2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5000</v>
      </c>
      <c r="G37" s="20">
        <v>3.0917337281873873</v>
      </c>
      <c r="H37" s="18">
        <f>$F37*G37</f>
        <v>15458.668640936936</v>
      </c>
      <c r="I37" s="19"/>
      <c r="J37" s="20">
        <v>2.9382000000000001</v>
      </c>
      <c r="K37" s="18">
        <f>$F37*J37</f>
        <v>14691</v>
      </c>
      <c r="L37" s="19"/>
      <c r="M37" s="21">
        <f t="shared" si="15"/>
        <v>-767.66864093693584</v>
      </c>
      <c r="N37" s="22">
        <f t="shared" si="25"/>
        <v>-4.9659427908560705E-2</v>
      </c>
      <c r="O37" s="212"/>
      <c r="P37" s="20">
        <v>2.9382000000000001</v>
      </c>
      <c r="Q37" s="18">
        <f>$F37*P37</f>
        <v>14691</v>
      </c>
      <c r="R37" s="19"/>
      <c r="S37" s="21">
        <f t="shared" si="10"/>
        <v>0</v>
      </c>
      <c r="T37" s="22">
        <f t="shared" si="26"/>
        <v>0</v>
      </c>
      <c r="U37" s="19"/>
      <c r="V37" s="20">
        <v>2.9382000000000001</v>
      </c>
      <c r="W37" s="18">
        <f>$F37*V37</f>
        <v>14691</v>
      </c>
      <c r="X37" s="19"/>
      <c r="Y37" s="21">
        <f t="shared" si="11"/>
        <v>0</v>
      </c>
      <c r="Z37" s="22">
        <f t="shared" si="27"/>
        <v>0</v>
      </c>
      <c r="AA37" s="19"/>
      <c r="AB37" s="20">
        <v>2.9382000000000001</v>
      </c>
      <c r="AC37" s="18">
        <f>$F37*AB37</f>
        <v>14691</v>
      </c>
      <c r="AD37" s="19"/>
      <c r="AE37" s="21">
        <f t="shared" si="12"/>
        <v>0</v>
      </c>
      <c r="AF37" s="22">
        <f t="shared" si="28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5000</v>
      </c>
      <c r="G38" s="20">
        <v>2.4378617006009056</v>
      </c>
      <c r="H38" s="18">
        <f>$F38*G38</f>
        <v>12189.308503004528</v>
      </c>
      <c r="I38" s="19"/>
      <c r="J38" s="20">
        <v>2.4376000000000002</v>
      </c>
      <c r="K38" s="18">
        <f>$F38*J38</f>
        <v>12188.000000000002</v>
      </c>
      <c r="L38" s="19"/>
      <c r="M38" s="21">
        <f t="shared" si="15"/>
        <v>-1.3085030045258463</v>
      </c>
      <c r="N38" s="22">
        <f t="shared" si="25"/>
        <v>-1.0734841965836824E-4</v>
      </c>
      <c r="O38" s="212"/>
      <c r="P38" s="20">
        <v>2.4376000000000002</v>
      </c>
      <c r="Q38" s="18">
        <f>$F38*P38</f>
        <v>12188.000000000002</v>
      </c>
      <c r="R38" s="19"/>
      <c r="S38" s="21">
        <f t="shared" si="10"/>
        <v>0</v>
      </c>
      <c r="T38" s="22">
        <f t="shared" si="26"/>
        <v>0</v>
      </c>
      <c r="U38" s="19"/>
      <c r="V38" s="20">
        <v>2.4376000000000002</v>
      </c>
      <c r="W38" s="18">
        <f>$F38*V38</f>
        <v>12188.000000000002</v>
      </c>
      <c r="X38" s="19"/>
      <c r="Y38" s="21">
        <f t="shared" si="11"/>
        <v>0</v>
      </c>
      <c r="Z38" s="22">
        <f t="shared" si="27"/>
        <v>0</v>
      </c>
      <c r="AA38" s="19"/>
      <c r="AB38" s="20">
        <v>2.4376000000000002</v>
      </c>
      <c r="AC38" s="18">
        <f>$F38*AB38</f>
        <v>12188.000000000002</v>
      </c>
      <c r="AD38" s="19"/>
      <c r="AE38" s="21">
        <f t="shared" si="12"/>
        <v>0</v>
      </c>
      <c r="AF38" s="22">
        <f t="shared" si="28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61030.312367788843</v>
      </c>
      <c r="I39" s="48"/>
      <c r="J39" s="47"/>
      <c r="K39" s="43">
        <f>SUM(K36:K38)</f>
        <v>52073.05</v>
      </c>
      <c r="L39" s="48"/>
      <c r="M39" s="32">
        <f t="shared" si="15"/>
        <v>-8957.2623677888405</v>
      </c>
      <c r="N39" s="33">
        <f t="shared" si="25"/>
        <v>-0.14676743441536749</v>
      </c>
      <c r="O39" s="212"/>
      <c r="P39" s="47"/>
      <c r="Q39" s="43">
        <f>SUM(Q36:Q38)</f>
        <v>59120.92</v>
      </c>
      <c r="R39" s="48"/>
      <c r="S39" s="32">
        <f t="shared" si="10"/>
        <v>7047.8699999999953</v>
      </c>
      <c r="T39" s="33">
        <f t="shared" si="26"/>
        <v>0.1353458266800196</v>
      </c>
      <c r="U39" s="48"/>
      <c r="V39" s="47"/>
      <c r="W39" s="43">
        <f>SUM(W36:W38)</f>
        <v>59631.22</v>
      </c>
      <c r="X39" s="48"/>
      <c r="Y39" s="32">
        <f t="shared" si="11"/>
        <v>510.30000000000291</v>
      </c>
      <c r="Z39" s="33">
        <f t="shared" si="27"/>
        <v>8.6314624332639433E-3</v>
      </c>
      <c r="AA39" s="48"/>
      <c r="AB39" s="47"/>
      <c r="AC39" s="43">
        <f>SUM(AC36:AC38)</f>
        <v>60368.45</v>
      </c>
      <c r="AD39" s="48"/>
      <c r="AE39" s="32">
        <f t="shared" si="12"/>
        <v>737.22999999999593</v>
      </c>
      <c r="AF39" s="33">
        <f t="shared" si="28"/>
        <v>1.2363154736730121E-2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2570330</v>
      </c>
      <c r="G40" s="50">
        <v>4.7000000000000002E-3</v>
      </c>
      <c r="H40" s="152">
        <f t="shared" ref="H40:H48" si="29">$F40*G40</f>
        <v>12080.551000000001</v>
      </c>
      <c r="I40" s="19"/>
      <c r="J40" s="50">
        <v>4.7000000000000002E-3</v>
      </c>
      <c r="K40" s="152">
        <f t="shared" ref="K40:K48" si="30">$F40*J40</f>
        <v>12080.551000000001</v>
      </c>
      <c r="L40" s="19"/>
      <c r="M40" s="21">
        <f t="shared" si="15"/>
        <v>0</v>
      </c>
      <c r="N40" s="153">
        <f t="shared" si="25"/>
        <v>0</v>
      </c>
      <c r="O40" s="212"/>
      <c r="P40" s="50">
        <v>4.7000000000000002E-3</v>
      </c>
      <c r="Q40" s="152">
        <f t="shared" ref="Q40:Q48" si="31">$F40*P40</f>
        <v>12080.551000000001</v>
      </c>
      <c r="R40" s="19"/>
      <c r="S40" s="21">
        <f t="shared" si="10"/>
        <v>0</v>
      </c>
      <c r="T40" s="153">
        <f t="shared" si="26"/>
        <v>0</v>
      </c>
      <c r="U40" s="19"/>
      <c r="V40" s="50">
        <v>4.7000000000000002E-3</v>
      </c>
      <c r="W40" s="152">
        <f t="shared" ref="W40:W48" si="32">$F40*V40</f>
        <v>12080.551000000001</v>
      </c>
      <c r="X40" s="19"/>
      <c r="Y40" s="21">
        <f t="shared" si="11"/>
        <v>0</v>
      </c>
      <c r="Z40" s="153">
        <f t="shared" si="27"/>
        <v>0</v>
      </c>
      <c r="AA40" s="19"/>
      <c r="AB40" s="50">
        <v>4.7000000000000002E-3</v>
      </c>
      <c r="AC40" s="152">
        <f t="shared" ref="AC40:AC48" si="33">$F40*AB40</f>
        <v>12080.551000000001</v>
      </c>
      <c r="AD40" s="19"/>
      <c r="AE40" s="21">
        <f t="shared" si="12"/>
        <v>0</v>
      </c>
      <c r="AF40" s="153">
        <f t="shared" si="28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2570330</v>
      </c>
      <c r="G41" s="50">
        <v>1.2999999999999999E-3</v>
      </c>
      <c r="H41" s="152">
        <f t="shared" si="29"/>
        <v>3341.4289999999996</v>
      </c>
      <c r="I41" s="19"/>
      <c r="J41" s="50">
        <v>2.0999999999999999E-3</v>
      </c>
      <c r="K41" s="152">
        <f t="shared" si="30"/>
        <v>5397.6929999999993</v>
      </c>
      <c r="L41" s="19"/>
      <c r="M41" s="21">
        <f t="shared" si="15"/>
        <v>2056.2639999999997</v>
      </c>
      <c r="N41" s="153">
        <f t="shared" si="25"/>
        <v>0.61538461538461531</v>
      </c>
      <c r="O41" s="212"/>
      <c r="P41" s="50">
        <v>2.0999999999999999E-3</v>
      </c>
      <c r="Q41" s="152">
        <f t="shared" si="31"/>
        <v>5397.6929999999993</v>
      </c>
      <c r="R41" s="19"/>
      <c r="S41" s="21">
        <f t="shared" si="10"/>
        <v>0</v>
      </c>
      <c r="T41" s="153">
        <f t="shared" si="26"/>
        <v>0</v>
      </c>
      <c r="U41" s="19"/>
      <c r="V41" s="50">
        <v>2.0999999999999999E-3</v>
      </c>
      <c r="W41" s="152">
        <f t="shared" si="32"/>
        <v>5397.6929999999993</v>
      </c>
      <c r="X41" s="19"/>
      <c r="Y41" s="21">
        <f t="shared" si="11"/>
        <v>0</v>
      </c>
      <c r="Z41" s="153">
        <f t="shared" si="27"/>
        <v>0</v>
      </c>
      <c r="AA41" s="19"/>
      <c r="AB41" s="50">
        <v>2.0999999999999999E-3</v>
      </c>
      <c r="AC41" s="152">
        <f t="shared" si="33"/>
        <v>5397.6929999999993</v>
      </c>
      <c r="AD41" s="19"/>
      <c r="AE41" s="21">
        <f t="shared" si="12"/>
        <v>0</v>
      </c>
      <c r="AF41" s="153">
        <f t="shared" si="28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29"/>
        <v>0.25</v>
      </c>
      <c r="I42" s="19"/>
      <c r="J42" s="50">
        <v>0.25</v>
      </c>
      <c r="K42" s="152">
        <f t="shared" si="30"/>
        <v>0.25</v>
      </c>
      <c r="L42" s="19"/>
      <c r="M42" s="21">
        <f t="shared" si="15"/>
        <v>0</v>
      </c>
      <c r="N42" s="153">
        <f t="shared" si="25"/>
        <v>0</v>
      </c>
      <c r="O42" s="212"/>
      <c r="P42" s="50">
        <v>0.25</v>
      </c>
      <c r="Q42" s="152">
        <f t="shared" si="31"/>
        <v>0.25</v>
      </c>
      <c r="R42" s="19"/>
      <c r="S42" s="21">
        <f t="shared" si="10"/>
        <v>0</v>
      </c>
      <c r="T42" s="153">
        <f t="shared" si="26"/>
        <v>0</v>
      </c>
      <c r="U42" s="19"/>
      <c r="V42" s="50">
        <v>0.25</v>
      </c>
      <c r="W42" s="152">
        <f t="shared" si="32"/>
        <v>0.25</v>
      </c>
      <c r="X42" s="19"/>
      <c r="Y42" s="21">
        <f t="shared" si="11"/>
        <v>0</v>
      </c>
      <c r="Z42" s="153">
        <f t="shared" si="27"/>
        <v>0</v>
      </c>
      <c r="AA42" s="19"/>
      <c r="AB42" s="50">
        <v>0.25</v>
      </c>
      <c r="AC42" s="152">
        <f t="shared" si="33"/>
        <v>0.25</v>
      </c>
      <c r="AD42" s="19"/>
      <c r="AE42" s="21">
        <f t="shared" si="12"/>
        <v>0</v>
      </c>
      <c r="AF42" s="153">
        <f t="shared" si="28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2555000</v>
      </c>
      <c r="G43" s="50">
        <v>7.0000000000000001E-3</v>
      </c>
      <c r="H43" s="152">
        <f t="shared" si="29"/>
        <v>17885</v>
      </c>
      <c r="I43" s="19"/>
      <c r="J43" s="50">
        <v>7.0000000000000001E-3</v>
      </c>
      <c r="K43" s="152">
        <f t="shared" si="30"/>
        <v>17885</v>
      </c>
      <c r="L43" s="19"/>
      <c r="M43" s="21">
        <f t="shared" si="15"/>
        <v>0</v>
      </c>
      <c r="N43" s="153">
        <f t="shared" si="25"/>
        <v>0</v>
      </c>
      <c r="O43" s="212"/>
      <c r="P43" s="50">
        <v>7.0000000000000001E-3</v>
      </c>
      <c r="Q43" s="152">
        <f t="shared" si="31"/>
        <v>17885</v>
      </c>
      <c r="R43" s="19"/>
      <c r="S43" s="21">
        <f t="shared" si="10"/>
        <v>0</v>
      </c>
      <c r="T43" s="153">
        <f t="shared" si="26"/>
        <v>0</v>
      </c>
      <c r="U43" s="19"/>
      <c r="V43" s="50">
        <v>7.0000000000000001E-3</v>
      </c>
      <c r="W43" s="152">
        <f t="shared" si="32"/>
        <v>17885</v>
      </c>
      <c r="X43" s="19"/>
      <c r="Y43" s="21">
        <f t="shared" si="11"/>
        <v>0</v>
      </c>
      <c r="Z43" s="153">
        <f t="shared" si="27"/>
        <v>0</v>
      </c>
      <c r="AA43" s="19"/>
      <c r="AB43" s="50">
        <v>7.0000000000000001E-3</v>
      </c>
      <c r="AC43" s="152">
        <f t="shared" si="33"/>
        <v>17885</v>
      </c>
      <c r="AD43" s="19"/>
      <c r="AE43" s="21">
        <f t="shared" si="12"/>
        <v>0</v>
      </c>
      <c r="AF43" s="153">
        <f t="shared" si="28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1635200</v>
      </c>
      <c r="G44" s="54">
        <v>8.6999999999999994E-2</v>
      </c>
      <c r="H44" s="152">
        <f t="shared" si="29"/>
        <v>142262.39999999999</v>
      </c>
      <c r="I44" s="19"/>
      <c r="J44" s="54">
        <f>+G44</f>
        <v>8.6999999999999994E-2</v>
      </c>
      <c r="K44" s="152">
        <f t="shared" si="30"/>
        <v>142262.39999999999</v>
      </c>
      <c r="L44" s="19"/>
      <c r="M44" s="21">
        <f t="shared" si="15"/>
        <v>0</v>
      </c>
      <c r="N44" s="153">
        <f t="shared" si="25"/>
        <v>0</v>
      </c>
      <c r="O44" s="212"/>
      <c r="P44" s="54">
        <v>0.08</v>
      </c>
      <c r="Q44" s="152">
        <f t="shared" si="31"/>
        <v>130816</v>
      </c>
      <c r="R44" s="19"/>
      <c r="S44" s="21">
        <f t="shared" si="10"/>
        <v>-11446.399999999994</v>
      </c>
      <c r="T44" s="153">
        <f t="shared" si="26"/>
        <v>-8.0459770114942486E-2</v>
      </c>
      <c r="U44" s="19"/>
      <c r="V44" s="54">
        <v>0.08</v>
      </c>
      <c r="W44" s="152">
        <f t="shared" si="32"/>
        <v>130816</v>
      </c>
      <c r="X44" s="19"/>
      <c r="Y44" s="21">
        <f t="shared" si="11"/>
        <v>0</v>
      </c>
      <c r="Z44" s="153">
        <f t="shared" si="27"/>
        <v>0</v>
      </c>
      <c r="AA44" s="19"/>
      <c r="AB44" s="54">
        <v>0.08</v>
      </c>
      <c r="AC44" s="152">
        <f t="shared" si="33"/>
        <v>130816</v>
      </c>
      <c r="AD44" s="19"/>
      <c r="AE44" s="21">
        <f t="shared" si="12"/>
        <v>0</v>
      </c>
      <c r="AF44" s="153">
        <f t="shared" si="28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459900</v>
      </c>
      <c r="G45" s="54">
        <v>0.13200000000000001</v>
      </c>
      <c r="H45" s="152">
        <f t="shared" si="29"/>
        <v>60706.8</v>
      </c>
      <c r="I45" s="19"/>
      <c r="J45" s="54">
        <f>+G45</f>
        <v>0.13200000000000001</v>
      </c>
      <c r="K45" s="152">
        <f t="shared" si="30"/>
        <v>60706.8</v>
      </c>
      <c r="L45" s="19"/>
      <c r="M45" s="21">
        <f t="shared" si="15"/>
        <v>0</v>
      </c>
      <c r="N45" s="153">
        <f t="shared" si="25"/>
        <v>0</v>
      </c>
      <c r="O45" s="212"/>
      <c r="P45" s="54">
        <v>0.122</v>
      </c>
      <c r="Q45" s="152">
        <f t="shared" si="31"/>
        <v>56107.799999999996</v>
      </c>
      <c r="R45" s="19"/>
      <c r="S45" s="21">
        <f t="shared" si="10"/>
        <v>-4599.0000000000073</v>
      </c>
      <c r="T45" s="153">
        <f t="shared" si="26"/>
        <v>-7.5757575757575871E-2</v>
      </c>
      <c r="U45" s="19"/>
      <c r="V45" s="54">
        <v>0.122</v>
      </c>
      <c r="W45" s="152">
        <f t="shared" si="32"/>
        <v>56107.799999999996</v>
      </c>
      <c r="X45" s="19"/>
      <c r="Y45" s="21">
        <f t="shared" si="11"/>
        <v>0</v>
      </c>
      <c r="Z45" s="153">
        <f t="shared" si="27"/>
        <v>0</v>
      </c>
      <c r="AA45" s="19"/>
      <c r="AB45" s="54">
        <v>0.122</v>
      </c>
      <c r="AC45" s="152">
        <f t="shared" si="33"/>
        <v>56107.799999999996</v>
      </c>
      <c r="AD45" s="19"/>
      <c r="AE45" s="21">
        <f t="shared" si="12"/>
        <v>0</v>
      </c>
      <c r="AF45" s="153">
        <f t="shared" si="28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459900</v>
      </c>
      <c r="G46" s="54">
        <v>0.18</v>
      </c>
      <c r="H46" s="152">
        <f t="shared" si="29"/>
        <v>82782</v>
      </c>
      <c r="I46" s="19"/>
      <c r="J46" s="54">
        <f>+G46</f>
        <v>0.18</v>
      </c>
      <c r="K46" s="152">
        <f t="shared" si="30"/>
        <v>82782</v>
      </c>
      <c r="L46" s="19"/>
      <c r="M46" s="21">
        <f t="shared" si="15"/>
        <v>0</v>
      </c>
      <c r="N46" s="153">
        <f t="shared" si="25"/>
        <v>0</v>
      </c>
      <c r="O46" s="212"/>
      <c r="P46" s="54">
        <v>0.161</v>
      </c>
      <c r="Q46" s="152">
        <f t="shared" si="31"/>
        <v>74043.900000000009</v>
      </c>
      <c r="R46" s="19"/>
      <c r="S46" s="21">
        <f t="shared" si="10"/>
        <v>-8738.0999999999913</v>
      </c>
      <c r="T46" s="153">
        <f t="shared" si="26"/>
        <v>-0.10555555555555544</v>
      </c>
      <c r="U46" s="19"/>
      <c r="V46" s="54">
        <v>0.161</v>
      </c>
      <c r="W46" s="152">
        <f t="shared" si="32"/>
        <v>74043.900000000009</v>
      </c>
      <c r="X46" s="19"/>
      <c r="Y46" s="21">
        <f t="shared" si="11"/>
        <v>0</v>
      </c>
      <c r="Z46" s="153">
        <f t="shared" si="27"/>
        <v>0</v>
      </c>
      <c r="AA46" s="19"/>
      <c r="AB46" s="54">
        <v>0.161</v>
      </c>
      <c r="AC46" s="152">
        <f t="shared" si="33"/>
        <v>74043.900000000009</v>
      </c>
      <c r="AD46" s="19"/>
      <c r="AE46" s="21">
        <f t="shared" si="12"/>
        <v>0</v>
      </c>
      <c r="AF46" s="153">
        <f t="shared" si="28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29"/>
        <v>77.25</v>
      </c>
      <c r="I47" s="59"/>
      <c r="J47" s="54">
        <f>+G47</f>
        <v>0.10299999999999999</v>
      </c>
      <c r="K47" s="152">
        <f t="shared" si="30"/>
        <v>77.25</v>
      </c>
      <c r="L47" s="59"/>
      <c r="M47" s="60">
        <f t="shared" si="15"/>
        <v>0</v>
      </c>
      <c r="N47" s="153">
        <f>IF((H47)=FALSE,"",(M47/H47))</f>
        <v>0</v>
      </c>
      <c r="O47" s="212"/>
      <c r="P47" s="54">
        <v>9.4E-2</v>
      </c>
      <c r="Q47" s="152">
        <f t="shared" si="31"/>
        <v>70.5</v>
      </c>
      <c r="R47" s="59"/>
      <c r="S47" s="60">
        <f t="shared" si="10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32"/>
        <v>70.5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33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2554250</v>
      </c>
      <c r="G48" s="54">
        <v>0.121</v>
      </c>
      <c r="H48" s="152">
        <f t="shared" si="29"/>
        <v>309064.25</v>
      </c>
      <c r="I48" s="59"/>
      <c r="J48" s="54">
        <f>+G48</f>
        <v>0.121</v>
      </c>
      <c r="K48" s="152">
        <f t="shared" si="30"/>
        <v>309064.25</v>
      </c>
      <c r="L48" s="59"/>
      <c r="M48" s="60">
        <f t="shared" si="15"/>
        <v>0</v>
      </c>
      <c r="N48" s="153">
        <f>IF((H48)=FALSE,"",(M48/H48))</f>
        <v>0</v>
      </c>
      <c r="O48" s="212"/>
      <c r="P48" s="54">
        <v>0.11</v>
      </c>
      <c r="Q48" s="152">
        <f t="shared" si="31"/>
        <v>280967.5</v>
      </c>
      <c r="R48" s="59"/>
      <c r="S48" s="60">
        <f t="shared" si="10"/>
        <v>-28096.75</v>
      </c>
      <c r="T48" s="153">
        <f>IF((K48)=FALSE,"",(S48/K48))</f>
        <v>-9.0909090909090912E-2</v>
      </c>
      <c r="U48" s="59"/>
      <c r="V48" s="54">
        <v>0.11</v>
      </c>
      <c r="W48" s="152">
        <f t="shared" si="32"/>
        <v>280967.5</v>
      </c>
      <c r="X48" s="59"/>
      <c r="Y48" s="60">
        <f t="shared" si="11"/>
        <v>0</v>
      </c>
      <c r="Z48" s="153">
        <f>IF((Q48)=FALSE,"",(Y48/Q48))</f>
        <v>0</v>
      </c>
      <c r="AA48" s="59"/>
      <c r="AB48" s="54">
        <v>0.11</v>
      </c>
      <c r="AC48" s="152">
        <f t="shared" si="33"/>
        <v>280967.5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15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380088.74236778886</v>
      </c>
      <c r="I50" s="75"/>
      <c r="J50" s="72"/>
      <c r="K50" s="74">
        <f>SUM(K40:K46,K39)</f>
        <v>373187.74400000001</v>
      </c>
      <c r="L50" s="75"/>
      <c r="M50" s="76">
        <f t="shared" si="15"/>
        <v>-6900.9983677888522</v>
      </c>
      <c r="N50" s="77">
        <f>IF((H50)=0,"",(M50/H50))</f>
        <v>-1.815628193773541E-2</v>
      </c>
      <c r="O50" s="212"/>
      <c r="P50" s="72"/>
      <c r="Q50" s="74">
        <f>SUM(Q40:Q46,Q39)</f>
        <v>355452.114</v>
      </c>
      <c r="R50" s="75"/>
      <c r="S50" s="76">
        <f t="shared" si="10"/>
        <v>-17735.630000000005</v>
      </c>
      <c r="T50" s="77">
        <f>IF((K50)=0,"",(S50/K50))</f>
        <v>-4.7524685055037617E-2</v>
      </c>
      <c r="U50" s="75"/>
      <c r="V50" s="72"/>
      <c r="W50" s="74">
        <f>SUM(W40:W46,W39)</f>
        <v>355962.41399999999</v>
      </c>
      <c r="X50" s="75"/>
      <c r="Y50" s="76">
        <f t="shared" si="11"/>
        <v>510.29999999998836</v>
      </c>
      <c r="Z50" s="77">
        <f>IF((Q50)=0,"",(Y50/Q50))</f>
        <v>1.4356364188060178E-3</v>
      </c>
      <c r="AA50" s="75"/>
      <c r="AB50" s="72"/>
      <c r="AC50" s="74">
        <f>SUM(AC40:AC46,AC39)</f>
        <v>356699.64400000003</v>
      </c>
      <c r="AD50" s="75"/>
      <c r="AE50" s="76">
        <f t="shared" si="12"/>
        <v>737.23000000003958</v>
      </c>
      <c r="AF50" s="77">
        <f>IF((W50)=0,"",(AE50/W50))</f>
        <v>2.0710894493485474E-3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49411.536507812554</v>
      </c>
      <c r="I51" s="81"/>
      <c r="J51" s="79">
        <v>0.13</v>
      </c>
      <c r="K51" s="82">
        <f>K50*J51</f>
        <v>48514.406719999999</v>
      </c>
      <c r="L51" s="81"/>
      <c r="M51" s="83">
        <f t="shared" si="15"/>
        <v>-897.12978781255515</v>
      </c>
      <c r="N51" s="84">
        <f>IF((H51)=0,"",(M51/H51))</f>
        <v>-1.8156281937735497E-2</v>
      </c>
      <c r="O51" s="212"/>
      <c r="P51" s="79">
        <v>0.13</v>
      </c>
      <c r="Q51" s="82">
        <f>Q50*P51</f>
        <v>46208.774819999999</v>
      </c>
      <c r="R51" s="81"/>
      <c r="S51" s="83">
        <f t="shared" si="10"/>
        <v>-2305.6319000000003</v>
      </c>
      <c r="T51" s="84">
        <f>IF((K51)=0,"",(S51/K51))</f>
        <v>-4.752468505503761E-2</v>
      </c>
      <c r="U51" s="81"/>
      <c r="V51" s="79">
        <v>0.13</v>
      </c>
      <c r="W51" s="82">
        <f>W50*V51</f>
        <v>46275.113819999999</v>
      </c>
      <c r="X51" s="81"/>
      <c r="Y51" s="83">
        <f t="shared" si="11"/>
        <v>66.338999999999942</v>
      </c>
      <c r="Z51" s="84">
        <f>IF((Q51)=0,"",(Y51/Q51))</f>
        <v>1.4356364188060492E-3</v>
      </c>
      <c r="AA51" s="81"/>
      <c r="AB51" s="79">
        <v>0.13</v>
      </c>
      <c r="AC51" s="82">
        <f>AC50*AB51</f>
        <v>46370.953720000005</v>
      </c>
      <c r="AD51" s="81"/>
      <c r="AE51" s="83">
        <f t="shared" si="12"/>
        <v>95.83990000000631</v>
      </c>
      <c r="AF51" s="84">
        <f>IF((W51)=0,"",(AE51/W51))</f>
        <v>2.0710894493485726E-3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429500.27887560142</v>
      </c>
      <c r="I52" s="81"/>
      <c r="J52" s="86"/>
      <c r="K52" s="82">
        <f>K50+K51</f>
        <v>421702.15072000003</v>
      </c>
      <c r="L52" s="81"/>
      <c r="M52" s="83">
        <f t="shared" si="15"/>
        <v>-7798.1281556013855</v>
      </c>
      <c r="N52" s="84">
        <f>IF((H52)=0,"",(M52/H52))</f>
        <v>-1.8156281937735368E-2</v>
      </c>
      <c r="O52" s="212"/>
      <c r="P52" s="86"/>
      <c r="Q52" s="82">
        <f>Q50+Q51</f>
        <v>401660.88881999999</v>
      </c>
      <c r="R52" s="81"/>
      <c r="S52" s="83">
        <f t="shared" si="10"/>
        <v>-20041.261900000041</v>
      </c>
      <c r="T52" s="84">
        <f>IF((K52)=0,"",(S52/K52))</f>
        <v>-4.7524685055037701E-2</v>
      </c>
      <c r="U52" s="81"/>
      <c r="V52" s="86"/>
      <c r="W52" s="82">
        <f>W50+W51</f>
        <v>402237.52781999996</v>
      </c>
      <c r="X52" s="81"/>
      <c r="Y52" s="83">
        <f t="shared" si="11"/>
        <v>576.63899999996647</v>
      </c>
      <c r="Z52" s="84">
        <f>IF((Q52)=0,"",(Y52/Q52))</f>
        <v>1.435636418805967E-3</v>
      </c>
      <c r="AA52" s="81"/>
      <c r="AB52" s="86"/>
      <c r="AC52" s="82">
        <f>AC50+AC51</f>
        <v>403070.59772000002</v>
      </c>
      <c r="AD52" s="81"/>
      <c r="AE52" s="83">
        <f t="shared" si="12"/>
        <v>833.06990000006044</v>
      </c>
      <c r="AF52" s="84">
        <f>IF((W52)=0,"",(AE52/W52))</f>
        <v>2.0710894493485865E-3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15"/>
        <v>0</v>
      </c>
      <c r="N53" s="89" t="str">
        <f>IF((H53)=0,"",(M53/H53))</f>
        <v/>
      </c>
      <c r="O53" s="212"/>
      <c r="P53" s="86"/>
      <c r="Q53" s="87">
        <f>ROUND(-Q52*10%,2)</f>
        <v>-40166.089999999997</v>
      </c>
      <c r="R53" s="81"/>
      <c r="S53" s="88">
        <f t="shared" si="10"/>
        <v>-40166.089999999997</v>
      </c>
      <c r="T53" s="89" t="str">
        <f>IF((K53)=0,"",(S53/K53))</f>
        <v/>
      </c>
      <c r="U53" s="81"/>
      <c r="V53" s="86"/>
      <c r="W53" s="87">
        <f>ROUND(-W52*10%,2)</f>
        <v>-40223.75</v>
      </c>
      <c r="X53" s="81"/>
      <c r="Y53" s="88">
        <f t="shared" si="11"/>
        <v>-57.660000000003492</v>
      </c>
      <c r="Z53" s="89">
        <f>IF((Q53)=0,"",(Y53/Q53))</f>
        <v>1.4355392820163352E-3</v>
      </c>
      <c r="AA53" s="81"/>
      <c r="AB53" s="86"/>
      <c r="AC53" s="87">
        <f>ROUND(-AC52*10%,2)</f>
        <v>-40307.06</v>
      </c>
      <c r="AD53" s="81"/>
      <c r="AE53" s="88">
        <f t="shared" si="12"/>
        <v>-83.309999999997672</v>
      </c>
      <c r="AF53" s="89">
        <f>IF((W53)=0,"",(AE53/W53))</f>
        <v>2.0711644240031741E-3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429500.27887560142</v>
      </c>
      <c r="I54" s="92"/>
      <c r="J54" s="90"/>
      <c r="K54" s="93">
        <f>K52+K53</f>
        <v>421702.15072000003</v>
      </c>
      <c r="L54" s="92"/>
      <c r="M54" s="94">
        <f t="shared" si="15"/>
        <v>-7798.1281556013855</v>
      </c>
      <c r="N54" s="95">
        <f>IF((H54)=0,"",(M54/H54))</f>
        <v>-1.8156281937735368E-2</v>
      </c>
      <c r="O54" s="212"/>
      <c r="P54" s="90"/>
      <c r="Q54" s="93">
        <f>Q52+Q53</f>
        <v>361494.79882000003</v>
      </c>
      <c r="R54" s="92"/>
      <c r="S54" s="94">
        <f t="shared" si="10"/>
        <v>-60207.351900000009</v>
      </c>
      <c r="T54" s="95">
        <f>IF((K54)=0,"",(S54/K54))</f>
        <v>-0.14277221920069416</v>
      </c>
      <c r="U54" s="92"/>
      <c r="V54" s="90"/>
      <c r="W54" s="93">
        <f>W52+W53</f>
        <v>362013.77781999996</v>
      </c>
      <c r="X54" s="92"/>
      <c r="Y54" s="94">
        <f t="shared" si="11"/>
        <v>518.97899999993388</v>
      </c>
      <c r="Z54" s="95">
        <f>IF((Q54)=0,"",(Y54/Q54))</f>
        <v>1.435647211782846E-3</v>
      </c>
      <c r="AA54" s="92"/>
      <c r="AB54" s="90"/>
      <c r="AC54" s="93">
        <f>AC52+AC53</f>
        <v>362763.53772000002</v>
      </c>
      <c r="AD54" s="92"/>
      <c r="AE54" s="94">
        <f t="shared" si="12"/>
        <v>749.75990000006277</v>
      </c>
      <c r="AF54" s="95">
        <f>IF((W54)=0,"",(AE54/W54))</f>
        <v>2.0710811188320503E-3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15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403479.04236778885</v>
      </c>
      <c r="I56" s="106"/>
      <c r="J56" s="103"/>
      <c r="K56" s="105">
        <f>SUM(K47:K48,K39,K40:K43)</f>
        <v>396578.04399999999</v>
      </c>
      <c r="L56" s="106"/>
      <c r="M56" s="107">
        <f t="shared" si="15"/>
        <v>-6900.9983677888522</v>
      </c>
      <c r="N56" s="77">
        <f>IF((H56)=0,"",(M56/H56))</f>
        <v>-1.7103734378100088E-2</v>
      </c>
      <c r="O56" s="212"/>
      <c r="P56" s="103"/>
      <c r="Q56" s="105">
        <f>SUM(Q47:Q48,Q39,Q40:Q43)</f>
        <v>375522.41399999999</v>
      </c>
      <c r="R56" s="106"/>
      <c r="S56" s="107">
        <f t="shared" si="10"/>
        <v>-21055.630000000005</v>
      </c>
      <c r="T56" s="77">
        <f>IF((K56)=0,"",(S56/K56))</f>
        <v>-5.3093282188864707E-2</v>
      </c>
      <c r="U56" s="106"/>
      <c r="V56" s="103"/>
      <c r="W56" s="105">
        <f>SUM(W47:W48,W39,W40:W43)</f>
        <v>376032.71399999992</v>
      </c>
      <c r="X56" s="106"/>
      <c r="Y56" s="107">
        <f t="shared" si="11"/>
        <v>510.29999999993015</v>
      </c>
      <c r="Z56" s="77">
        <f>IF((Q56)=0,"",(Y56/Q56))</f>
        <v>1.3589069013599017E-3</v>
      </c>
      <c r="AA56" s="106"/>
      <c r="AB56" s="103"/>
      <c r="AC56" s="105">
        <f>SUM(AC47:AC48,AC39,AC40:AC43)</f>
        <v>376769.94400000002</v>
      </c>
      <c r="AD56" s="106"/>
      <c r="AE56" s="107">
        <f t="shared" si="12"/>
        <v>737.23000000009779</v>
      </c>
      <c r="AF56" s="77">
        <f>IF((W56)=0,"",(AE56/W56))</f>
        <v>1.9605475070450865E-3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52452.275507812548</v>
      </c>
      <c r="I57" s="110"/>
      <c r="J57" s="109">
        <v>0.13</v>
      </c>
      <c r="K57" s="111">
        <f>K56*J57</f>
        <v>51555.14572</v>
      </c>
      <c r="L57" s="110"/>
      <c r="M57" s="112">
        <f t="shared" si="15"/>
        <v>-897.12978781254787</v>
      </c>
      <c r="N57" s="84">
        <f>IF((H57)=0,"",(M57/H57))</f>
        <v>-1.7103734378100033E-2</v>
      </c>
      <c r="O57" s="212"/>
      <c r="P57" s="109">
        <v>0.13</v>
      </c>
      <c r="Q57" s="111">
        <f>Q56*P57</f>
        <v>48817.913820000002</v>
      </c>
      <c r="R57" s="110"/>
      <c r="S57" s="112">
        <f t="shared" si="10"/>
        <v>-2737.2318999999989</v>
      </c>
      <c r="T57" s="84">
        <f>IF((K57)=0,"",(S57/K57))</f>
        <v>-5.3093282188864672E-2</v>
      </c>
      <c r="U57" s="110"/>
      <c r="V57" s="109">
        <v>0.13</v>
      </c>
      <c r="W57" s="111">
        <f>W56*V57</f>
        <v>48884.252819999994</v>
      </c>
      <c r="X57" s="110"/>
      <c r="Y57" s="112">
        <f t="shared" si="11"/>
        <v>66.338999999992666</v>
      </c>
      <c r="Z57" s="84">
        <f>IF((Q57)=0,"",(Y57/Q57))</f>
        <v>1.3589069013599374E-3</v>
      </c>
      <c r="AA57" s="110"/>
      <c r="AB57" s="109">
        <v>0.13</v>
      </c>
      <c r="AC57" s="111">
        <f>AC56*AB57</f>
        <v>48980.092720000001</v>
      </c>
      <c r="AD57" s="110"/>
      <c r="AE57" s="112">
        <f t="shared" si="12"/>
        <v>95.83990000000631</v>
      </c>
      <c r="AF57" s="84">
        <f>IF((W57)=0,"",(AE57/W57))</f>
        <v>1.9605475070449551E-3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455931.31787560141</v>
      </c>
      <c r="I58" s="110"/>
      <c r="J58" s="114"/>
      <c r="K58" s="111">
        <f>K56+K57</f>
        <v>448133.18972000002</v>
      </c>
      <c r="L58" s="110"/>
      <c r="M58" s="112">
        <f t="shared" si="15"/>
        <v>-7798.1281556013855</v>
      </c>
      <c r="N58" s="84">
        <f>IF((H58)=0,"",(M58/H58))</f>
        <v>-1.710373437810005E-2</v>
      </c>
      <c r="O58" s="212"/>
      <c r="P58" s="114"/>
      <c r="Q58" s="111">
        <f>Q56+Q57</f>
        <v>424340.32782000001</v>
      </c>
      <c r="R58" s="110"/>
      <c r="S58" s="112">
        <f t="shared" si="10"/>
        <v>-23792.861900000018</v>
      </c>
      <c r="T58" s="84">
        <f>IF((K58)=0,"",(S58/K58))</f>
        <v>-5.3093282188864735E-2</v>
      </c>
      <c r="U58" s="110"/>
      <c r="V58" s="114"/>
      <c r="W58" s="111">
        <f>W56+W57</f>
        <v>424916.96681999991</v>
      </c>
      <c r="X58" s="110"/>
      <c r="Y58" s="112">
        <f t="shared" si="11"/>
        <v>576.63899999990826</v>
      </c>
      <c r="Z58" s="84">
        <f>IF((Q58)=0,"",(Y58/Q58))</f>
        <v>1.3589069013598715E-3</v>
      </c>
      <c r="AA58" s="110"/>
      <c r="AB58" s="114"/>
      <c r="AC58" s="111">
        <f>AC56+AC57</f>
        <v>425750.03672000003</v>
      </c>
      <c r="AD58" s="110"/>
      <c r="AE58" s="112">
        <f t="shared" si="12"/>
        <v>833.06990000011865</v>
      </c>
      <c r="AF58" s="84">
        <f>IF((W58)=0,"",(AE58/W58))</f>
        <v>1.9605475070451055E-3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15"/>
        <v>0</v>
      </c>
      <c r="N59" s="89" t="str">
        <f>IF((H59)=0,"",(M59/H59))</f>
        <v/>
      </c>
      <c r="O59" s="212"/>
      <c r="P59" s="114"/>
      <c r="Q59" s="116">
        <f>ROUND(-Q58*10%,2)</f>
        <v>-42434.03</v>
      </c>
      <c r="R59" s="110"/>
      <c r="S59" s="117">
        <f t="shared" si="10"/>
        <v>-42434.03</v>
      </c>
      <c r="T59" s="89" t="str">
        <f>IF((K59)=0,"",(S59/K59))</f>
        <v/>
      </c>
      <c r="U59" s="110"/>
      <c r="V59" s="114"/>
      <c r="W59" s="116">
        <f>ROUND(-W58*10%,2)</f>
        <v>-42491.7</v>
      </c>
      <c r="X59" s="110"/>
      <c r="Y59" s="117">
        <f t="shared" si="11"/>
        <v>-57.669999999998254</v>
      </c>
      <c r="Z59" s="89">
        <f>IF((Q59)=0,"",(Y59/Q59))</f>
        <v>1.3590507430003291E-3</v>
      </c>
      <c r="AA59" s="110"/>
      <c r="AB59" s="114"/>
      <c r="AC59" s="116">
        <f>ROUND(-AC58*10%,2)</f>
        <v>-42575</v>
      </c>
      <c r="AD59" s="110"/>
      <c r="AE59" s="117">
        <f t="shared" si="12"/>
        <v>-83.30000000000291</v>
      </c>
      <c r="AF59" s="89">
        <f>IF((W59)=0,"",(AE59/W59))</f>
        <v>1.9603828512392519E-3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455931.31787560141</v>
      </c>
      <c r="I60" s="120"/>
      <c r="J60" s="118"/>
      <c r="K60" s="121">
        <f>SUM(K58:K59)</f>
        <v>448133.18972000002</v>
      </c>
      <c r="L60" s="120"/>
      <c r="M60" s="122">
        <f t="shared" si="15"/>
        <v>-7798.1281556013855</v>
      </c>
      <c r="N60" s="123">
        <f>IF((H60)=0,"",(M60/H60))</f>
        <v>-1.710373437810005E-2</v>
      </c>
      <c r="O60" s="212"/>
      <c r="P60" s="118"/>
      <c r="Q60" s="121">
        <f>SUM(Q58:Q59)</f>
        <v>381906.29781999998</v>
      </c>
      <c r="R60" s="120"/>
      <c r="S60" s="122">
        <f t="shared" si="10"/>
        <v>-66226.891900000046</v>
      </c>
      <c r="T60" s="123">
        <f>IF((K60)=0,"",(S60/K60))</f>
        <v>-0.14778394776200252</v>
      </c>
      <c r="U60" s="120"/>
      <c r="V60" s="118"/>
      <c r="W60" s="121">
        <f>SUM(W58:W59)</f>
        <v>382425.2668199999</v>
      </c>
      <c r="X60" s="120"/>
      <c r="Y60" s="122">
        <f t="shared" si="11"/>
        <v>518.96899999992456</v>
      </c>
      <c r="Z60" s="123">
        <f>IF((Q60)=0,"",(Y60/Q60))</f>
        <v>1.3588909189565786E-3</v>
      </c>
      <c r="AA60" s="120"/>
      <c r="AB60" s="118"/>
      <c r="AC60" s="121">
        <f>SUM(AC58:AC59)</f>
        <v>383175.03672000003</v>
      </c>
      <c r="AD60" s="120"/>
      <c r="AE60" s="122">
        <f t="shared" si="12"/>
        <v>749.76990000013029</v>
      </c>
      <c r="AF60" s="123">
        <f>IF((W60)=0,"",(AE60/W60))</f>
        <v>1.9605658021362702E-3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80">
        <v>6.0000000000000001E-3</v>
      </c>
      <c r="I63" s="142"/>
      <c r="J63" s="180">
        <v>6.0000000000000001E-3</v>
      </c>
      <c r="K63" s="142"/>
      <c r="L63" s="142"/>
      <c r="M63" s="142"/>
      <c r="N63" s="142"/>
      <c r="O63" s="142"/>
      <c r="P63" s="180">
        <v>6.0000000000000001E-3</v>
      </c>
      <c r="Q63" s="142"/>
      <c r="R63" s="142"/>
      <c r="S63" s="142"/>
      <c r="T63" s="142"/>
      <c r="U63" s="142"/>
      <c r="V63" s="180">
        <v>6.0000000000000001E-3</v>
      </c>
      <c r="W63" s="142"/>
      <c r="X63" s="142"/>
      <c r="Y63" s="142"/>
      <c r="Z63" s="142"/>
      <c r="AA63" s="142"/>
      <c r="AB63" s="180">
        <v>6.0000000000000001E-3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Y9:Z9"/>
    <mergeCell ref="AB9:AC9"/>
    <mergeCell ref="AE9:AF9"/>
    <mergeCell ref="B54:D54"/>
    <mergeCell ref="B60:D60"/>
    <mergeCell ref="G9:H9"/>
    <mergeCell ref="J9:K9"/>
    <mergeCell ref="M9:N9"/>
    <mergeCell ref="P9:Q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49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FFC000"/>
    <pageSetUpPr fitToPage="1"/>
  </sheetPr>
  <dimension ref="A1:AP79"/>
  <sheetViews>
    <sheetView showGridLines="0" topLeftCell="A28" zoomScaleNormal="100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1.42578125" style="1" bestFit="1" customWidth="1"/>
    <col min="7" max="7" width="13.28515625" style="1" customWidth="1"/>
    <col min="8" max="8" width="12.28515625" style="142" customWidth="1"/>
    <col min="9" max="9" width="1.7109375" style="1" customWidth="1"/>
    <col min="10" max="10" width="13.28515625" style="1" customWidth="1"/>
    <col min="11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.42578125" style="1" hidden="1" customWidth="1"/>
    <col min="26" max="26" width="7.5703125" style="1" hidden="1" customWidth="1"/>
    <col min="27" max="27" width="1.7109375" style="1" hidden="1" customWidth="1"/>
    <col min="28" max="28" width="13.5703125" style="1" hidden="1" customWidth="1"/>
    <col min="29" max="29" width="12.42578125" style="1" hidden="1" customWidth="1"/>
    <col min="30" max="30" width="1.7109375" style="1" hidden="1" customWidth="1"/>
    <col min="31" max="31" width="10.42578125" style="1" hidden="1" customWidth="1"/>
    <col min="32" max="32" width="7.5703125" style="1" hidden="1" customWidth="1"/>
    <col min="33" max="33" width="1.7109375" style="1" customWidth="1"/>
    <col min="34" max="34" width="13.5703125" style="1" bestFit="1" customWidth="1"/>
    <col min="35" max="35" width="12.42578125" style="1" bestFit="1" customWidth="1"/>
    <col min="36" max="36" width="1.7109375" style="1" customWidth="1"/>
    <col min="37" max="37" width="10.42578125" style="1" bestFit="1" customWidth="1"/>
    <col min="38" max="38" width="7.5703125" style="1" bestFit="1" customWidth="1"/>
    <col min="39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67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f>+'Summary (1)'!D20</f>
        <v>6500</v>
      </c>
      <c r="H7" s="9" t="s">
        <v>64</v>
      </c>
      <c r="J7" s="151"/>
      <c r="K7" s="151"/>
    </row>
    <row r="8" spans="2:42" x14ac:dyDescent="0.2">
      <c r="B8" s="6"/>
      <c r="G8" s="8">
        <f>+'Summary (1)'!C20</f>
        <v>3321500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23704.2</v>
      </c>
      <c r="H12" s="18">
        <f t="shared" ref="H12:H27" si="0">$F12*G12</f>
        <v>23704.2</v>
      </c>
      <c r="I12" s="19"/>
      <c r="J12" s="209">
        <v>23798.52</v>
      </c>
      <c r="K12" s="18">
        <f t="shared" ref="K12:K27" si="1">$F12*J12</f>
        <v>23798.52</v>
      </c>
      <c r="L12" s="19"/>
      <c r="M12" s="21">
        <f t="shared" ref="M12:M21" si="2">K12-H12</f>
        <v>94.319999999999709</v>
      </c>
      <c r="N12" s="22">
        <f t="shared" ref="N12:N21" si="3">IF((H12)=0,"",(M12/H12))</f>
        <v>3.9790416888146277E-3</v>
      </c>
      <c r="O12" s="212"/>
      <c r="P12" s="16">
        <v>23798.52</v>
      </c>
      <c r="Q12" s="18">
        <f t="shared" ref="Q12:Q27" si="4">$F12*P12</f>
        <v>23798.52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23892.82</v>
      </c>
      <c r="W12" s="18">
        <f t="shared" ref="W12:W27" si="6">$F12*V12</f>
        <v>23892.82</v>
      </c>
      <c r="X12" s="19"/>
      <c r="Y12" s="21">
        <f>W12-Q12</f>
        <v>94.299999999999272</v>
      </c>
      <c r="Z12" s="22">
        <f t="shared" ref="Z12:Z34" si="7">IF((Q12)=0,"",(Y12/Q12))</f>
        <v>3.9624312772390579E-3</v>
      </c>
      <c r="AA12" s="19"/>
      <c r="AB12" s="16">
        <v>24462.05</v>
      </c>
      <c r="AC12" s="18">
        <f t="shared" ref="AC12:AC27" si="8">$F12*AB12</f>
        <v>24462.05</v>
      </c>
      <c r="AD12" s="19"/>
      <c r="AE12" s="21">
        <f>AC12-W12</f>
        <v>569.22999999999956</v>
      </c>
      <c r="AF12" s="22">
        <f t="shared" ref="AF12:AF34" si="9">IF((W12)=0,"",(AE12/W12))</f>
        <v>2.3824312073668974E-2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6500</v>
      </c>
      <c r="G19" s="16">
        <v>1.3985000000000001</v>
      </c>
      <c r="H19" s="18">
        <f t="shared" si="0"/>
        <v>9090.25</v>
      </c>
      <c r="I19" s="19"/>
      <c r="J19" s="16">
        <v>1.4040999999999999</v>
      </c>
      <c r="K19" s="18">
        <f t="shared" si="1"/>
        <v>9126.65</v>
      </c>
      <c r="L19" s="19"/>
      <c r="M19" s="21">
        <f t="shared" si="2"/>
        <v>36.399999999999636</v>
      </c>
      <c r="N19" s="22">
        <f t="shared" si="3"/>
        <v>4.0042903110475113E-3</v>
      </c>
      <c r="O19" s="212"/>
      <c r="P19" s="16">
        <v>1.4040999999999999</v>
      </c>
      <c r="Q19" s="18">
        <f t="shared" si="4"/>
        <v>9126.65</v>
      </c>
      <c r="R19" s="19"/>
      <c r="S19" s="21">
        <f t="shared" si="10"/>
        <v>0</v>
      </c>
      <c r="T19" s="22">
        <f t="shared" si="5"/>
        <v>0</v>
      </c>
      <c r="U19" s="19"/>
      <c r="V19" s="16">
        <v>1.4097</v>
      </c>
      <c r="W19" s="18">
        <f t="shared" si="6"/>
        <v>9163.0499999999993</v>
      </c>
      <c r="X19" s="19"/>
      <c r="Y19" s="21">
        <f t="shared" si="11"/>
        <v>36.399999999999636</v>
      </c>
      <c r="Z19" s="22">
        <f t="shared" si="7"/>
        <v>3.9883199202335618E-3</v>
      </c>
      <c r="AA19" s="19"/>
      <c r="AB19" s="16">
        <v>1.4433</v>
      </c>
      <c r="AC19" s="18">
        <f t="shared" si="8"/>
        <v>9381.4500000000007</v>
      </c>
      <c r="AD19" s="19"/>
      <c r="AE19" s="21">
        <f t="shared" si="12"/>
        <v>218.40000000000146</v>
      </c>
      <c r="AF19" s="22">
        <f t="shared" si="9"/>
        <v>2.3834858480527934E-2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23">$G$7</f>
        <v>6500</v>
      </c>
      <c r="G20" s="16"/>
      <c r="H20" s="18">
        <f t="shared" si="0"/>
        <v>0</v>
      </c>
      <c r="I20" s="19"/>
      <c r="J20" s="16">
        <v>1.6000000000000001E-3</v>
      </c>
      <c r="K20" s="18">
        <f t="shared" si="1"/>
        <v>10.4</v>
      </c>
      <c r="L20" s="19"/>
      <c r="M20" s="21">
        <f t="shared" si="2"/>
        <v>10.4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-10.4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6500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24">$G$7</f>
        <v>6500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5">K24-H24</f>
        <v>0</v>
      </c>
      <c r="N24" s="22" t="str">
        <f t="shared" ref="N24:N34" si="2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24"/>
        <v>6500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5"/>
        <v>0</v>
      </c>
      <c r="N25" s="22" t="str">
        <f t="shared" si="2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24"/>
        <v>6500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5"/>
        <v>0</v>
      </c>
      <c r="N26" s="22" t="str">
        <f t="shared" si="2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24"/>
        <v>6500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5"/>
        <v>0</v>
      </c>
      <c r="N27" s="22" t="str">
        <f t="shared" si="2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32794.449999999997</v>
      </c>
      <c r="I28" s="31"/>
      <c r="J28" s="28"/>
      <c r="K28" s="30">
        <f>SUM(K12:K27)</f>
        <v>32935.57</v>
      </c>
      <c r="L28" s="31"/>
      <c r="M28" s="32">
        <f t="shared" si="25"/>
        <v>141.12000000000262</v>
      </c>
      <c r="N28" s="33">
        <f t="shared" si="26"/>
        <v>4.3031671517589909E-3</v>
      </c>
      <c r="O28" s="212"/>
      <c r="P28" s="28"/>
      <c r="Q28" s="30">
        <f>SUM(Q12:Q27)</f>
        <v>32925.17</v>
      </c>
      <c r="R28" s="31"/>
      <c r="S28" s="32">
        <f t="shared" si="10"/>
        <v>-10.400000000001455</v>
      </c>
      <c r="T28" s="33">
        <f t="shared" si="5"/>
        <v>-3.1576802830500446E-4</v>
      </c>
      <c r="U28" s="31"/>
      <c r="V28" s="28"/>
      <c r="W28" s="30">
        <f>SUM(W12:W27)</f>
        <v>33055.869999999995</v>
      </c>
      <c r="X28" s="31"/>
      <c r="Y28" s="32">
        <f t="shared" si="11"/>
        <v>130.69999999999709</v>
      </c>
      <c r="Z28" s="33">
        <f t="shared" si="7"/>
        <v>3.9696074462181093E-3</v>
      </c>
      <c r="AA28" s="31"/>
      <c r="AB28" s="28"/>
      <c r="AC28" s="30">
        <f>SUM(AC12:AC27)</f>
        <v>33843.5</v>
      </c>
      <c r="AD28" s="31"/>
      <c r="AE28" s="32">
        <f t="shared" si="12"/>
        <v>787.63000000000466</v>
      </c>
      <c r="AF28" s="33">
        <f t="shared" si="9"/>
        <v>2.3827235525793293E-2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6500</v>
      </c>
      <c r="G29" s="16">
        <v>0.59071404756783996</v>
      </c>
      <c r="H29" s="18">
        <f t="shared" ref="H29:H35" si="27">$F29*G29</f>
        <v>3839.6413091909599</v>
      </c>
      <c r="I29" s="19"/>
      <c r="J29" s="16">
        <v>-7.9200000000000007E-2</v>
      </c>
      <c r="K29" s="18">
        <f t="shared" ref="K29:K35" si="28">$F29*J29</f>
        <v>-514.80000000000007</v>
      </c>
      <c r="L29" s="19"/>
      <c r="M29" s="21">
        <f t="shared" si="25"/>
        <v>-4354.4413091909601</v>
      </c>
      <c r="N29" s="22">
        <f t="shared" si="26"/>
        <v>-1.1340750238225956</v>
      </c>
      <c r="O29" s="212"/>
      <c r="P29" s="16">
        <v>-7.9200000000000007E-2</v>
      </c>
      <c r="Q29" s="18">
        <f t="shared" ref="Q29:Q35" si="29">$F29*P29</f>
        <v>-514.80000000000007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30">$F29*V29</f>
        <v>0</v>
      </c>
      <c r="X29" s="19"/>
      <c r="Y29" s="21">
        <f t="shared" si="11"/>
        <v>514.80000000000007</v>
      </c>
      <c r="Z29" s="22">
        <f t="shared" si="7"/>
        <v>-1</v>
      </c>
      <c r="AA29" s="19"/>
      <c r="AB29" s="16">
        <v>0</v>
      </c>
      <c r="AC29" s="18">
        <f t="shared" ref="AC29:AC35" si="3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1" si="32">$G$7</f>
        <v>6500</v>
      </c>
      <c r="G30" s="16"/>
      <c r="H30" s="18">
        <f t="shared" si="27"/>
        <v>0</v>
      </c>
      <c r="I30" s="19"/>
      <c r="J30" s="16"/>
      <c r="K30" s="18">
        <f t="shared" si="28"/>
        <v>0</v>
      </c>
      <c r="L30" s="19"/>
      <c r="M30" s="21">
        <f t="shared" si="25"/>
        <v>0</v>
      </c>
      <c r="N30" s="22" t="str">
        <f t="shared" si="26"/>
        <v/>
      </c>
      <c r="O30" s="212"/>
      <c r="P30" s="16">
        <v>1.6000000000000001E-3</v>
      </c>
      <c r="Q30" s="18">
        <f t="shared" si="29"/>
        <v>10.4</v>
      </c>
      <c r="R30" s="19"/>
      <c r="S30" s="21">
        <f t="shared" ref="S30:S31" si="33">Q30-K30</f>
        <v>10.4</v>
      </c>
      <c r="T30" s="22" t="str">
        <f t="shared" ref="T30:T31" si="34">IF((K30)=0,"",(S30/K30))</f>
        <v/>
      </c>
      <c r="U30" s="19"/>
      <c r="V30" s="16">
        <v>0</v>
      </c>
      <c r="W30" s="18">
        <f t="shared" si="30"/>
        <v>0</v>
      </c>
      <c r="X30" s="19"/>
      <c r="Y30" s="21">
        <f t="shared" ref="Y30:Y31" si="35">W30-Q30</f>
        <v>-10.4</v>
      </c>
      <c r="Z30" s="22">
        <f t="shared" ref="Z30:Z31" si="36">IF((Q30)=0,"",(Y30/Q30))</f>
        <v>-1</v>
      </c>
      <c r="AA30" s="19"/>
      <c r="AB30" s="16">
        <v>0</v>
      </c>
      <c r="AC30" s="18">
        <f t="shared" si="31"/>
        <v>0</v>
      </c>
      <c r="AD30" s="19"/>
      <c r="AE30" s="21">
        <f t="shared" ref="AE30:AE31" si="37">AC30-W30</f>
        <v>0</v>
      </c>
      <c r="AF30" s="22" t="str">
        <f t="shared" ref="AF30:AF31" si="38">IF((W30)=0,"",(AE30/W30))</f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32"/>
        <v>6500</v>
      </c>
      <c r="G31" s="16">
        <v>0</v>
      </c>
      <c r="H31" s="18">
        <f>$F31*G31</f>
        <v>0</v>
      </c>
      <c r="I31" s="19"/>
      <c r="J31" s="16">
        <v>0</v>
      </c>
      <c r="K31" s="18">
        <f t="shared" si="28"/>
        <v>0</v>
      </c>
      <c r="L31" s="19"/>
      <c r="M31" s="21">
        <f t="shared" si="25"/>
        <v>0</v>
      </c>
      <c r="N31" s="22" t="str">
        <f t="shared" si="26"/>
        <v/>
      </c>
      <c r="O31" s="212"/>
      <c r="P31" s="16">
        <v>0</v>
      </c>
      <c r="Q31" s="18">
        <f t="shared" si="29"/>
        <v>0</v>
      </c>
      <c r="R31" s="19"/>
      <c r="S31" s="21">
        <f t="shared" si="33"/>
        <v>0</v>
      </c>
      <c r="T31" s="22" t="str">
        <f t="shared" si="34"/>
        <v/>
      </c>
      <c r="U31" s="19"/>
      <c r="V31" s="16">
        <v>0</v>
      </c>
      <c r="W31" s="18">
        <f t="shared" si="30"/>
        <v>0</v>
      </c>
      <c r="X31" s="19"/>
      <c r="Y31" s="21">
        <f t="shared" si="35"/>
        <v>0</v>
      </c>
      <c r="Z31" s="22" t="str">
        <f t="shared" si="36"/>
        <v/>
      </c>
      <c r="AA31" s="19"/>
      <c r="AB31" s="16">
        <v>0</v>
      </c>
      <c r="AC31" s="18">
        <f t="shared" si="31"/>
        <v>0</v>
      </c>
      <c r="AD31" s="19"/>
      <c r="AE31" s="21">
        <f t="shared" si="37"/>
        <v>0</v>
      </c>
      <c r="AF31" s="22" t="str">
        <f t="shared" si="38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6500</v>
      </c>
      <c r="G32" s="16">
        <v>-0.44949300279836379</v>
      </c>
      <c r="H32" s="18">
        <f t="shared" ref="H32" si="39">$F32*G32</f>
        <v>-2921.7045181893645</v>
      </c>
      <c r="I32" s="19"/>
      <c r="J32" s="16">
        <v>-1.4433</v>
      </c>
      <c r="K32" s="18">
        <f t="shared" ref="K32" si="40">$F32*J32</f>
        <v>-9381.4500000000007</v>
      </c>
      <c r="L32" s="19"/>
      <c r="M32" s="21">
        <f t="shared" ref="M32" si="41">K32-H32</f>
        <v>-6459.7454818106362</v>
      </c>
      <c r="N32" s="22">
        <f t="shared" ref="N32" si="42">IF((H32)=0,"",(M32/H32))</f>
        <v>2.2109509848086426</v>
      </c>
      <c r="O32" s="212"/>
      <c r="P32" s="16"/>
      <c r="Q32" s="18">
        <f t="shared" si="29"/>
        <v>0</v>
      </c>
      <c r="R32" s="36"/>
      <c r="S32" s="21">
        <f t="shared" si="10"/>
        <v>9381.4500000000007</v>
      </c>
      <c r="T32" s="22">
        <f t="shared" si="5"/>
        <v>-1</v>
      </c>
      <c r="U32" s="36"/>
      <c r="V32" s="16"/>
      <c r="W32" s="18">
        <f t="shared" si="3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ref="F33" si="43">$G$7</f>
        <v>6500</v>
      </c>
      <c r="G33" s="133">
        <v>2.4920000000000001E-2</v>
      </c>
      <c r="H33" s="18">
        <f t="shared" si="27"/>
        <v>161.98000000000002</v>
      </c>
      <c r="I33" s="19"/>
      <c r="J33" s="133">
        <v>2.4920000000000001E-2</v>
      </c>
      <c r="K33" s="18">
        <f t="shared" si="28"/>
        <v>161.98000000000002</v>
      </c>
      <c r="L33" s="19"/>
      <c r="M33" s="21">
        <f t="shared" si="25"/>
        <v>0</v>
      </c>
      <c r="N33" s="22">
        <f t="shared" si="26"/>
        <v>0</v>
      </c>
      <c r="O33" s="212"/>
      <c r="P33" s="133">
        <v>2.4920000000000001E-2</v>
      </c>
      <c r="Q33" s="18">
        <f t="shared" si="29"/>
        <v>161.98000000000002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30"/>
        <v>161.98000000000002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31"/>
        <v>161.98000000000002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19929</v>
      </c>
      <c r="G34" s="38">
        <f>IF(ISBLANK($D$5)=TRUE, 0, IF($D$5="TOU", 0.64*#REF!+0.18*#REF!+0.18*#REF!, IF(AND($D$5="non-TOU", $F$48&gt;0), G48,G47)))</f>
        <v>0.121</v>
      </c>
      <c r="H34" s="18">
        <f t="shared" si="27"/>
        <v>2411.4090000000001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28"/>
        <v>2411.4090000000001</v>
      </c>
      <c r="L34" s="19"/>
      <c r="M34" s="21">
        <f t="shared" si="25"/>
        <v>0</v>
      </c>
      <c r="N34" s="22">
        <f t="shared" si="26"/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29"/>
        <v>2192.19</v>
      </c>
      <c r="R34" s="19"/>
      <c r="S34" s="21">
        <f t="shared" si="10"/>
        <v>-219.21900000000005</v>
      </c>
      <c r="T34" s="22">
        <f t="shared" si="5"/>
        <v>-9.0909090909090925E-2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30"/>
        <v>2192.19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31"/>
        <v>2192.19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27"/>
        <v>0</v>
      </c>
      <c r="I35" s="19"/>
      <c r="J35" s="38"/>
      <c r="K35" s="18">
        <f t="shared" si="28"/>
        <v>0</v>
      </c>
      <c r="L35" s="19"/>
      <c r="M35" s="21">
        <f t="shared" si="25"/>
        <v>0</v>
      </c>
      <c r="N35" s="22"/>
      <c r="O35" s="212"/>
      <c r="P35" s="38"/>
      <c r="Q35" s="18">
        <f t="shared" si="29"/>
        <v>0</v>
      </c>
      <c r="R35" s="19"/>
      <c r="S35" s="21">
        <f t="shared" si="10"/>
        <v>0</v>
      </c>
      <c r="T35" s="22"/>
      <c r="U35" s="19"/>
      <c r="V35" s="38"/>
      <c r="W35" s="18">
        <f t="shared" si="30"/>
        <v>0</v>
      </c>
      <c r="X35" s="19"/>
      <c r="Y35" s="21">
        <f t="shared" si="11"/>
        <v>0</v>
      </c>
      <c r="Z35" s="22"/>
      <c r="AA35" s="19"/>
      <c r="AB35" s="38"/>
      <c r="AC35" s="18">
        <f t="shared" si="3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36285.775791001593</v>
      </c>
      <c r="I36" s="31"/>
      <c r="J36" s="41"/>
      <c r="K36" s="43">
        <f>SUM(K29:K35)+K28</f>
        <v>25612.708999999999</v>
      </c>
      <c r="L36" s="31"/>
      <c r="M36" s="32">
        <f t="shared" si="25"/>
        <v>-10673.066791001595</v>
      </c>
      <c r="N36" s="33">
        <f t="shared" ref="N36:N46" si="44">IF((H36)=0,"",(M36/H36))</f>
        <v>-0.29413913739852787</v>
      </c>
      <c r="O36" s="212"/>
      <c r="P36" s="41"/>
      <c r="Q36" s="43">
        <f>SUM(Q29:Q35)+Q28</f>
        <v>34774.939999999995</v>
      </c>
      <c r="R36" s="31"/>
      <c r="S36" s="32">
        <f t="shared" si="10"/>
        <v>9162.2309999999961</v>
      </c>
      <c r="T36" s="33">
        <f t="shared" ref="T36:T46" si="45">IF((K36)=0,"",(S36/K36))</f>
        <v>0.35772205899813242</v>
      </c>
      <c r="U36" s="31"/>
      <c r="V36" s="41"/>
      <c r="W36" s="43">
        <f>SUM(W29:W35)+W28</f>
        <v>35410.039999999994</v>
      </c>
      <c r="X36" s="31"/>
      <c r="Y36" s="32">
        <f t="shared" si="11"/>
        <v>635.09999999999854</v>
      </c>
      <c r="Z36" s="33">
        <f t="shared" ref="Z36:Z46" si="46">IF((Q36)=0,"",(Y36/Q36))</f>
        <v>1.826315156834199E-2</v>
      </c>
      <c r="AA36" s="31"/>
      <c r="AB36" s="41"/>
      <c r="AC36" s="43">
        <f>SUM(AC29:AC35)+AC28</f>
        <v>36197.67</v>
      </c>
      <c r="AD36" s="31"/>
      <c r="AE36" s="32">
        <f t="shared" si="12"/>
        <v>787.63000000000466</v>
      </c>
      <c r="AF36" s="33">
        <f t="shared" ref="AF36:AF46" si="47">IF((W36)=0,"",(AE36/W36))</f>
        <v>2.2243126525697366E-2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6500</v>
      </c>
      <c r="G37" s="20">
        <v>3.0917337281873873</v>
      </c>
      <c r="H37" s="18">
        <f>$F37*G37</f>
        <v>20096.26923321802</v>
      </c>
      <c r="I37" s="19"/>
      <c r="J37" s="20">
        <v>2.9382000000000001</v>
      </c>
      <c r="K37" s="18">
        <f>$F37*J37</f>
        <v>19098.3</v>
      </c>
      <c r="L37" s="19"/>
      <c r="M37" s="21">
        <f t="shared" si="25"/>
        <v>-997.96923321802024</v>
      </c>
      <c r="N37" s="22">
        <f t="shared" si="44"/>
        <v>-4.9659427908560878E-2</v>
      </c>
      <c r="O37" s="212"/>
      <c r="P37" s="20">
        <v>2.9382000000000001</v>
      </c>
      <c r="Q37" s="18">
        <f>$F37*P37</f>
        <v>19098.3</v>
      </c>
      <c r="R37" s="19"/>
      <c r="S37" s="21">
        <f t="shared" si="10"/>
        <v>0</v>
      </c>
      <c r="T37" s="22">
        <f t="shared" si="45"/>
        <v>0</v>
      </c>
      <c r="U37" s="19"/>
      <c r="V37" s="20">
        <v>2.9382000000000001</v>
      </c>
      <c r="W37" s="18">
        <f>$F37*V37</f>
        <v>19098.3</v>
      </c>
      <c r="X37" s="19"/>
      <c r="Y37" s="21">
        <f t="shared" si="11"/>
        <v>0</v>
      </c>
      <c r="Z37" s="22">
        <f t="shared" si="46"/>
        <v>0</v>
      </c>
      <c r="AA37" s="19"/>
      <c r="AB37" s="20">
        <v>2.9382000000000001</v>
      </c>
      <c r="AC37" s="18">
        <f>$F37*AB37</f>
        <v>19098.3</v>
      </c>
      <c r="AD37" s="19"/>
      <c r="AE37" s="21">
        <f t="shared" si="12"/>
        <v>0</v>
      </c>
      <c r="AF37" s="22">
        <f t="shared" si="47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6500</v>
      </c>
      <c r="G38" s="20">
        <v>2.4378617006009056</v>
      </c>
      <c r="H38" s="18">
        <f>$F38*G38</f>
        <v>15846.101053905886</v>
      </c>
      <c r="I38" s="19"/>
      <c r="J38" s="20">
        <v>2.4376000000000002</v>
      </c>
      <c r="K38" s="18">
        <f>$F38*J38</f>
        <v>15844.400000000001</v>
      </c>
      <c r="L38" s="19"/>
      <c r="M38" s="21">
        <f t="shared" si="25"/>
        <v>-1.7010539058846916</v>
      </c>
      <c r="N38" s="22">
        <f t="shared" si="44"/>
        <v>-1.0734841965843711E-4</v>
      </c>
      <c r="O38" s="212"/>
      <c r="P38" s="20">
        <v>2.4376000000000002</v>
      </c>
      <c r="Q38" s="18">
        <f>$F38*P38</f>
        <v>15844.400000000001</v>
      </c>
      <c r="R38" s="19"/>
      <c r="S38" s="21">
        <f t="shared" si="10"/>
        <v>0</v>
      </c>
      <c r="T38" s="22">
        <f t="shared" si="45"/>
        <v>0</v>
      </c>
      <c r="U38" s="19"/>
      <c r="V38" s="20">
        <v>2.4376000000000002</v>
      </c>
      <c r="W38" s="18">
        <f>$F38*V38</f>
        <v>15844.400000000001</v>
      </c>
      <c r="X38" s="19"/>
      <c r="Y38" s="21">
        <f t="shared" si="11"/>
        <v>0</v>
      </c>
      <c r="Z38" s="22">
        <f t="shared" si="46"/>
        <v>0</v>
      </c>
      <c r="AA38" s="19"/>
      <c r="AB38" s="20">
        <v>2.4376000000000002</v>
      </c>
      <c r="AC38" s="18">
        <f>$F38*AB38</f>
        <v>15844.400000000001</v>
      </c>
      <c r="AD38" s="19"/>
      <c r="AE38" s="21">
        <f t="shared" si="12"/>
        <v>0</v>
      </c>
      <c r="AF38" s="22">
        <f t="shared" si="47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72228.146078125501</v>
      </c>
      <c r="I39" s="48"/>
      <c r="J39" s="47"/>
      <c r="K39" s="43">
        <f>SUM(K36:K38)</f>
        <v>60555.409</v>
      </c>
      <c r="L39" s="48"/>
      <c r="M39" s="32">
        <f t="shared" si="25"/>
        <v>-11672.737078125501</v>
      </c>
      <c r="N39" s="33">
        <f t="shared" si="44"/>
        <v>-0.1616092577746589</v>
      </c>
      <c r="O39" s="212"/>
      <c r="P39" s="47"/>
      <c r="Q39" s="43">
        <f>SUM(Q36:Q38)</f>
        <v>69717.639999999985</v>
      </c>
      <c r="R39" s="48"/>
      <c r="S39" s="32">
        <f t="shared" si="10"/>
        <v>9162.2309999999852</v>
      </c>
      <c r="T39" s="33">
        <f t="shared" si="45"/>
        <v>0.15130326342936573</v>
      </c>
      <c r="U39" s="48"/>
      <c r="V39" s="47"/>
      <c r="W39" s="43">
        <f>SUM(W36:W38)</f>
        <v>70352.739999999991</v>
      </c>
      <c r="X39" s="48"/>
      <c r="Y39" s="32">
        <f t="shared" si="11"/>
        <v>635.10000000000582</v>
      </c>
      <c r="Z39" s="33">
        <f t="shared" si="46"/>
        <v>9.1096026773138904E-3</v>
      </c>
      <c r="AA39" s="48"/>
      <c r="AB39" s="47"/>
      <c r="AC39" s="43">
        <f>SUM(AC36:AC38)</f>
        <v>71140.37</v>
      </c>
      <c r="AD39" s="48"/>
      <c r="AE39" s="32">
        <f t="shared" si="12"/>
        <v>787.63000000000466</v>
      </c>
      <c r="AF39" s="33">
        <f t="shared" si="47"/>
        <v>1.1195441712718008E-2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3341429</v>
      </c>
      <c r="G40" s="50">
        <v>4.7000000000000002E-3</v>
      </c>
      <c r="H40" s="152">
        <f t="shared" ref="H40:H48" si="48">$F40*G40</f>
        <v>15704.7163</v>
      </c>
      <c r="I40" s="19"/>
      <c r="J40" s="50">
        <v>4.7000000000000002E-3</v>
      </c>
      <c r="K40" s="152">
        <f t="shared" ref="K40:K48" si="49">$F40*J40</f>
        <v>15704.7163</v>
      </c>
      <c r="L40" s="19"/>
      <c r="M40" s="21">
        <f t="shared" si="25"/>
        <v>0</v>
      </c>
      <c r="N40" s="153">
        <f t="shared" si="44"/>
        <v>0</v>
      </c>
      <c r="O40" s="212"/>
      <c r="P40" s="50">
        <v>4.7000000000000002E-3</v>
      </c>
      <c r="Q40" s="152">
        <f t="shared" ref="Q40:Q48" si="50">$F40*P40</f>
        <v>15704.7163</v>
      </c>
      <c r="R40" s="19"/>
      <c r="S40" s="21">
        <f t="shared" si="10"/>
        <v>0</v>
      </c>
      <c r="T40" s="153">
        <f t="shared" si="45"/>
        <v>0</v>
      </c>
      <c r="U40" s="19"/>
      <c r="V40" s="50">
        <v>4.7000000000000002E-3</v>
      </c>
      <c r="W40" s="152">
        <f t="shared" ref="W40:W48" si="51">$F40*V40</f>
        <v>15704.7163</v>
      </c>
      <c r="X40" s="19"/>
      <c r="Y40" s="21">
        <f t="shared" si="11"/>
        <v>0</v>
      </c>
      <c r="Z40" s="153">
        <f t="shared" si="46"/>
        <v>0</v>
      </c>
      <c r="AA40" s="19"/>
      <c r="AB40" s="50">
        <v>4.7000000000000002E-3</v>
      </c>
      <c r="AC40" s="152">
        <f t="shared" ref="AC40:AC48" si="52">$F40*AB40</f>
        <v>15704.7163</v>
      </c>
      <c r="AD40" s="19"/>
      <c r="AE40" s="21">
        <f t="shared" si="12"/>
        <v>0</v>
      </c>
      <c r="AF40" s="153">
        <f t="shared" si="47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3341429</v>
      </c>
      <c r="G41" s="50">
        <v>1.2999999999999999E-3</v>
      </c>
      <c r="H41" s="152">
        <f t="shared" si="48"/>
        <v>4343.8576999999996</v>
      </c>
      <c r="I41" s="19"/>
      <c r="J41" s="50">
        <v>2.0999999999999999E-3</v>
      </c>
      <c r="K41" s="152">
        <f t="shared" si="49"/>
        <v>7017.0009</v>
      </c>
      <c r="L41" s="19"/>
      <c r="M41" s="21">
        <f t="shared" si="25"/>
        <v>2673.1432000000004</v>
      </c>
      <c r="N41" s="153">
        <f t="shared" si="44"/>
        <v>0.61538461538461553</v>
      </c>
      <c r="O41" s="212"/>
      <c r="P41" s="50">
        <v>2.0999999999999999E-3</v>
      </c>
      <c r="Q41" s="152">
        <f t="shared" si="50"/>
        <v>7017.0009</v>
      </c>
      <c r="R41" s="19"/>
      <c r="S41" s="21">
        <f t="shared" si="10"/>
        <v>0</v>
      </c>
      <c r="T41" s="153">
        <f t="shared" si="45"/>
        <v>0</v>
      </c>
      <c r="U41" s="19"/>
      <c r="V41" s="50">
        <v>2.0999999999999999E-3</v>
      </c>
      <c r="W41" s="152">
        <f t="shared" si="51"/>
        <v>7017.0009</v>
      </c>
      <c r="X41" s="19"/>
      <c r="Y41" s="21">
        <f t="shared" si="11"/>
        <v>0</v>
      </c>
      <c r="Z41" s="153">
        <f t="shared" si="46"/>
        <v>0</v>
      </c>
      <c r="AA41" s="19"/>
      <c r="AB41" s="50">
        <v>2.0999999999999999E-3</v>
      </c>
      <c r="AC41" s="152">
        <f t="shared" si="52"/>
        <v>7017.0009</v>
      </c>
      <c r="AD41" s="19"/>
      <c r="AE41" s="21">
        <f t="shared" si="12"/>
        <v>0</v>
      </c>
      <c r="AF41" s="153">
        <f t="shared" si="47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48"/>
        <v>0.25</v>
      </c>
      <c r="I42" s="19"/>
      <c r="J42" s="50">
        <v>0.25</v>
      </c>
      <c r="K42" s="152">
        <f t="shared" si="49"/>
        <v>0.25</v>
      </c>
      <c r="L42" s="19"/>
      <c r="M42" s="21">
        <f t="shared" si="25"/>
        <v>0</v>
      </c>
      <c r="N42" s="153">
        <f t="shared" si="44"/>
        <v>0</v>
      </c>
      <c r="O42" s="212"/>
      <c r="P42" s="50">
        <v>0.25</v>
      </c>
      <c r="Q42" s="152">
        <f t="shared" si="50"/>
        <v>0.25</v>
      </c>
      <c r="R42" s="19"/>
      <c r="S42" s="21">
        <f t="shared" si="10"/>
        <v>0</v>
      </c>
      <c r="T42" s="153">
        <f t="shared" si="45"/>
        <v>0</v>
      </c>
      <c r="U42" s="19"/>
      <c r="V42" s="50">
        <v>0.25</v>
      </c>
      <c r="W42" s="152">
        <f t="shared" si="51"/>
        <v>0.25</v>
      </c>
      <c r="X42" s="19"/>
      <c r="Y42" s="21">
        <f t="shared" si="11"/>
        <v>0</v>
      </c>
      <c r="Z42" s="153">
        <f t="shared" si="46"/>
        <v>0</v>
      </c>
      <c r="AA42" s="19"/>
      <c r="AB42" s="50">
        <v>0.25</v>
      </c>
      <c r="AC42" s="152">
        <f t="shared" si="52"/>
        <v>0.25</v>
      </c>
      <c r="AD42" s="19"/>
      <c r="AE42" s="21">
        <f t="shared" si="12"/>
        <v>0</v>
      </c>
      <c r="AF42" s="153">
        <f t="shared" si="47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3321500</v>
      </c>
      <c r="G43" s="50">
        <v>7.0000000000000001E-3</v>
      </c>
      <c r="H43" s="152">
        <f t="shared" si="48"/>
        <v>23250.5</v>
      </c>
      <c r="I43" s="19"/>
      <c r="J43" s="50">
        <v>7.0000000000000001E-3</v>
      </c>
      <c r="K43" s="152">
        <f t="shared" si="49"/>
        <v>23250.5</v>
      </c>
      <c r="L43" s="19"/>
      <c r="M43" s="21">
        <f t="shared" si="25"/>
        <v>0</v>
      </c>
      <c r="N43" s="153">
        <f t="shared" si="44"/>
        <v>0</v>
      </c>
      <c r="O43" s="212"/>
      <c r="P43" s="50">
        <v>7.0000000000000001E-3</v>
      </c>
      <c r="Q43" s="152">
        <f t="shared" si="50"/>
        <v>23250.5</v>
      </c>
      <c r="R43" s="19"/>
      <c r="S43" s="21">
        <f t="shared" si="10"/>
        <v>0</v>
      </c>
      <c r="T43" s="153">
        <f t="shared" si="45"/>
        <v>0</v>
      </c>
      <c r="U43" s="19"/>
      <c r="V43" s="50">
        <v>7.0000000000000001E-3</v>
      </c>
      <c r="W43" s="152">
        <f t="shared" si="51"/>
        <v>23250.5</v>
      </c>
      <c r="X43" s="19"/>
      <c r="Y43" s="21">
        <f t="shared" si="11"/>
        <v>0</v>
      </c>
      <c r="Z43" s="153">
        <f t="shared" si="46"/>
        <v>0</v>
      </c>
      <c r="AA43" s="19"/>
      <c r="AB43" s="50">
        <v>7.0000000000000001E-3</v>
      </c>
      <c r="AC43" s="152">
        <f t="shared" si="52"/>
        <v>23250.5</v>
      </c>
      <c r="AD43" s="19"/>
      <c r="AE43" s="21">
        <f t="shared" si="12"/>
        <v>0</v>
      </c>
      <c r="AF43" s="153">
        <f t="shared" si="47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2125760</v>
      </c>
      <c r="G44" s="54">
        <v>8.6999999999999994E-2</v>
      </c>
      <c r="H44" s="152">
        <f t="shared" si="48"/>
        <v>184941.12</v>
      </c>
      <c r="I44" s="19"/>
      <c r="J44" s="54">
        <f>+G44</f>
        <v>8.6999999999999994E-2</v>
      </c>
      <c r="K44" s="152">
        <f t="shared" si="49"/>
        <v>184941.12</v>
      </c>
      <c r="L44" s="19"/>
      <c r="M44" s="21">
        <f t="shared" si="25"/>
        <v>0</v>
      </c>
      <c r="N44" s="153">
        <f t="shared" si="44"/>
        <v>0</v>
      </c>
      <c r="O44" s="212"/>
      <c r="P44" s="54">
        <v>0.08</v>
      </c>
      <c r="Q44" s="152">
        <f t="shared" si="50"/>
        <v>170060.80000000002</v>
      </c>
      <c r="R44" s="19"/>
      <c r="S44" s="21">
        <f t="shared" si="10"/>
        <v>-14880.319999999978</v>
      </c>
      <c r="T44" s="153">
        <f t="shared" si="45"/>
        <v>-8.0459770114942417E-2</v>
      </c>
      <c r="U44" s="19"/>
      <c r="V44" s="54">
        <v>0.08</v>
      </c>
      <c r="W44" s="152">
        <f t="shared" si="51"/>
        <v>170060.80000000002</v>
      </c>
      <c r="X44" s="19"/>
      <c r="Y44" s="21">
        <f t="shared" si="11"/>
        <v>0</v>
      </c>
      <c r="Z44" s="153">
        <f t="shared" si="46"/>
        <v>0</v>
      </c>
      <c r="AA44" s="19"/>
      <c r="AB44" s="54">
        <v>0.08</v>
      </c>
      <c r="AC44" s="152">
        <f t="shared" si="52"/>
        <v>170060.80000000002</v>
      </c>
      <c r="AD44" s="19"/>
      <c r="AE44" s="21">
        <f t="shared" si="12"/>
        <v>0</v>
      </c>
      <c r="AF44" s="153">
        <f t="shared" si="47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597870</v>
      </c>
      <c r="G45" s="54">
        <v>0.13200000000000001</v>
      </c>
      <c r="H45" s="152">
        <f t="shared" si="48"/>
        <v>78918.84</v>
      </c>
      <c r="I45" s="19"/>
      <c r="J45" s="54">
        <f>+G45</f>
        <v>0.13200000000000001</v>
      </c>
      <c r="K45" s="152">
        <f t="shared" si="49"/>
        <v>78918.84</v>
      </c>
      <c r="L45" s="19"/>
      <c r="M45" s="21">
        <f t="shared" si="25"/>
        <v>0</v>
      </c>
      <c r="N45" s="153">
        <f t="shared" si="44"/>
        <v>0</v>
      </c>
      <c r="O45" s="212"/>
      <c r="P45" s="54">
        <v>0.122</v>
      </c>
      <c r="Q45" s="152">
        <f t="shared" si="50"/>
        <v>72940.14</v>
      </c>
      <c r="R45" s="19"/>
      <c r="S45" s="21">
        <f t="shared" si="10"/>
        <v>-5978.6999999999971</v>
      </c>
      <c r="T45" s="153">
        <f t="shared" si="45"/>
        <v>-7.5757575757575718E-2</v>
      </c>
      <c r="U45" s="19"/>
      <c r="V45" s="54">
        <v>0.122</v>
      </c>
      <c r="W45" s="152">
        <f t="shared" si="51"/>
        <v>72940.14</v>
      </c>
      <c r="X45" s="19"/>
      <c r="Y45" s="21">
        <f t="shared" si="11"/>
        <v>0</v>
      </c>
      <c r="Z45" s="153">
        <f t="shared" si="46"/>
        <v>0</v>
      </c>
      <c r="AA45" s="19"/>
      <c r="AB45" s="54">
        <v>0.122</v>
      </c>
      <c r="AC45" s="152">
        <f t="shared" si="52"/>
        <v>72940.14</v>
      </c>
      <c r="AD45" s="19"/>
      <c r="AE45" s="21">
        <f t="shared" si="12"/>
        <v>0</v>
      </c>
      <c r="AF45" s="153">
        <f t="shared" si="47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597870</v>
      </c>
      <c r="G46" s="54">
        <v>0.18</v>
      </c>
      <c r="H46" s="152">
        <f t="shared" si="48"/>
        <v>107616.59999999999</v>
      </c>
      <c r="I46" s="19"/>
      <c r="J46" s="54">
        <f>+G46</f>
        <v>0.18</v>
      </c>
      <c r="K46" s="152">
        <f t="shared" si="49"/>
        <v>107616.59999999999</v>
      </c>
      <c r="L46" s="19"/>
      <c r="M46" s="21">
        <f t="shared" si="25"/>
        <v>0</v>
      </c>
      <c r="N46" s="153">
        <f t="shared" si="44"/>
        <v>0</v>
      </c>
      <c r="O46" s="212"/>
      <c r="P46" s="54">
        <v>0.161</v>
      </c>
      <c r="Q46" s="152">
        <f t="shared" si="50"/>
        <v>96257.07</v>
      </c>
      <c r="R46" s="19"/>
      <c r="S46" s="21">
        <f t="shared" si="10"/>
        <v>-11359.529999999984</v>
      </c>
      <c r="T46" s="153">
        <f t="shared" si="45"/>
        <v>-0.10555555555555542</v>
      </c>
      <c r="U46" s="19"/>
      <c r="V46" s="54">
        <v>0.161</v>
      </c>
      <c r="W46" s="152">
        <f t="shared" si="51"/>
        <v>96257.07</v>
      </c>
      <c r="X46" s="19"/>
      <c r="Y46" s="21">
        <f t="shared" si="11"/>
        <v>0</v>
      </c>
      <c r="Z46" s="153">
        <f t="shared" si="46"/>
        <v>0</v>
      </c>
      <c r="AA46" s="19"/>
      <c r="AB46" s="54">
        <v>0.161</v>
      </c>
      <c r="AC46" s="152">
        <f t="shared" si="52"/>
        <v>96257.07</v>
      </c>
      <c r="AD46" s="19"/>
      <c r="AE46" s="21">
        <f t="shared" si="12"/>
        <v>0</v>
      </c>
      <c r="AF46" s="153">
        <f t="shared" si="47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48"/>
        <v>77.25</v>
      </c>
      <c r="I47" s="59"/>
      <c r="J47" s="54">
        <f>+G47</f>
        <v>0.10299999999999999</v>
      </c>
      <c r="K47" s="152">
        <f t="shared" si="49"/>
        <v>77.25</v>
      </c>
      <c r="L47" s="59"/>
      <c r="M47" s="60">
        <f t="shared" si="25"/>
        <v>0</v>
      </c>
      <c r="N47" s="153">
        <f>IF((H47)=FALSE,"",(M47/H47))</f>
        <v>0</v>
      </c>
      <c r="O47" s="212"/>
      <c r="P47" s="54">
        <v>9.4E-2</v>
      </c>
      <c r="Q47" s="152">
        <f t="shared" si="50"/>
        <v>70.5</v>
      </c>
      <c r="R47" s="59"/>
      <c r="S47" s="60">
        <f t="shared" si="10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51"/>
        <v>70.5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52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3320750</v>
      </c>
      <c r="G48" s="54">
        <v>0.121</v>
      </c>
      <c r="H48" s="152">
        <f t="shared" si="48"/>
        <v>401810.75</v>
      </c>
      <c r="I48" s="59"/>
      <c r="J48" s="54">
        <f>+G48</f>
        <v>0.121</v>
      </c>
      <c r="K48" s="152">
        <f t="shared" si="49"/>
        <v>401810.75</v>
      </c>
      <c r="L48" s="59"/>
      <c r="M48" s="60">
        <f t="shared" si="25"/>
        <v>0</v>
      </c>
      <c r="N48" s="153">
        <f>IF((H48)=FALSE,"",(M48/H48))</f>
        <v>0</v>
      </c>
      <c r="O48" s="212"/>
      <c r="P48" s="54">
        <v>0.11</v>
      </c>
      <c r="Q48" s="152">
        <f t="shared" si="50"/>
        <v>365282.5</v>
      </c>
      <c r="R48" s="59"/>
      <c r="S48" s="60">
        <f t="shared" si="10"/>
        <v>-36528.25</v>
      </c>
      <c r="T48" s="153">
        <f>IF((K48)=FALSE,"",(S48/K48))</f>
        <v>-9.0909090909090912E-2</v>
      </c>
      <c r="U48" s="59"/>
      <c r="V48" s="54">
        <v>0.11</v>
      </c>
      <c r="W48" s="152">
        <f t="shared" si="51"/>
        <v>365282.5</v>
      </c>
      <c r="X48" s="59"/>
      <c r="Y48" s="60">
        <f t="shared" si="11"/>
        <v>0</v>
      </c>
      <c r="Z48" s="153">
        <f>IF((Q48)=FALSE,"",(Y48/Q48))</f>
        <v>0</v>
      </c>
      <c r="AA48" s="59"/>
      <c r="AB48" s="54">
        <v>0.11</v>
      </c>
      <c r="AC48" s="152">
        <f t="shared" si="52"/>
        <v>365282.5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5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487004.03007812548</v>
      </c>
      <c r="I50" s="75"/>
      <c r="J50" s="72"/>
      <c r="K50" s="74">
        <f>SUM(K40:K46,K39)</f>
        <v>478004.4362</v>
      </c>
      <c r="L50" s="75"/>
      <c r="M50" s="76">
        <f t="shared" si="25"/>
        <v>-8999.5938781254808</v>
      </c>
      <c r="N50" s="77">
        <f>IF((H50)=0,"",(M50/H50))</f>
        <v>-1.8479505963599031E-2</v>
      </c>
      <c r="O50" s="212"/>
      <c r="P50" s="72"/>
      <c r="Q50" s="74">
        <f>SUM(Q40:Q46,Q39)</f>
        <v>454948.11719999998</v>
      </c>
      <c r="R50" s="75"/>
      <c r="S50" s="76">
        <f t="shared" si="10"/>
        <v>-23056.319000000018</v>
      </c>
      <c r="T50" s="77">
        <f>IF((K50)=0,"",(S50/K50))</f>
        <v>-4.8234529334688248E-2</v>
      </c>
      <c r="U50" s="75"/>
      <c r="V50" s="72"/>
      <c r="W50" s="74">
        <f>SUM(W40:W46,W39)</f>
        <v>455583.21720000001</v>
      </c>
      <c r="X50" s="75"/>
      <c r="Y50" s="76">
        <f t="shared" si="11"/>
        <v>635.10000000003492</v>
      </c>
      <c r="Z50" s="77">
        <f>IF((Q50)=0,"",(Y50/Q50))</f>
        <v>1.3959833571985929E-3</v>
      </c>
      <c r="AA50" s="75"/>
      <c r="AB50" s="72"/>
      <c r="AC50" s="74">
        <f>SUM(AC40:AC46,AC39)</f>
        <v>456370.84720000002</v>
      </c>
      <c r="AD50" s="75"/>
      <c r="AE50" s="76">
        <f t="shared" si="12"/>
        <v>787.63000000000466</v>
      </c>
      <c r="AF50" s="77">
        <f>IF((W50)=0,"",(AE50/W50))</f>
        <v>1.7288389261587676E-3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63310.523910156313</v>
      </c>
      <c r="I51" s="81"/>
      <c r="J51" s="79">
        <v>0.13</v>
      </c>
      <c r="K51" s="82">
        <f>K50*J51</f>
        <v>62140.576706</v>
      </c>
      <c r="L51" s="81"/>
      <c r="M51" s="83">
        <f t="shared" si="25"/>
        <v>-1169.9472041563131</v>
      </c>
      <c r="N51" s="84">
        <f>IF((H51)=0,"",(M51/H51))</f>
        <v>-1.8479505963599038E-2</v>
      </c>
      <c r="O51" s="212"/>
      <c r="P51" s="79">
        <v>0.13</v>
      </c>
      <c r="Q51" s="82">
        <f>Q50*P51</f>
        <v>59143.255235999997</v>
      </c>
      <c r="R51" s="81"/>
      <c r="S51" s="83">
        <f t="shared" si="10"/>
        <v>-2997.3214700000026</v>
      </c>
      <c r="T51" s="84">
        <f>IF((K51)=0,"",(S51/K51))</f>
        <v>-4.8234529334688254E-2</v>
      </c>
      <c r="U51" s="81"/>
      <c r="V51" s="79">
        <v>0.13</v>
      </c>
      <c r="W51" s="82">
        <f>W50*V51</f>
        <v>59225.818236000006</v>
      </c>
      <c r="X51" s="81"/>
      <c r="Y51" s="83">
        <f t="shared" si="11"/>
        <v>82.563000000009197</v>
      </c>
      <c r="Z51" s="84">
        <f>IF((Q51)=0,"",(Y51/Q51))</f>
        <v>1.3959833571986718E-3</v>
      </c>
      <c r="AA51" s="81"/>
      <c r="AB51" s="79">
        <v>0.13</v>
      </c>
      <c r="AC51" s="82">
        <f>AC50*AB51</f>
        <v>59328.210136000002</v>
      </c>
      <c r="AD51" s="81"/>
      <c r="AE51" s="83">
        <f t="shared" si="12"/>
        <v>102.39189999999508</v>
      </c>
      <c r="AF51" s="84">
        <f>IF((W51)=0,"",(AE51/W51))</f>
        <v>1.7288389261586742E-3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550314.55398828175</v>
      </c>
      <c r="I52" s="81"/>
      <c r="J52" s="86"/>
      <c r="K52" s="82">
        <f>K50+K51</f>
        <v>540145.01290600002</v>
      </c>
      <c r="L52" s="81"/>
      <c r="M52" s="83">
        <f t="shared" si="25"/>
        <v>-10169.541082281736</v>
      </c>
      <c r="N52" s="84">
        <f>IF((H52)=0,"",(M52/H52))</f>
        <v>-1.8479505963598927E-2</v>
      </c>
      <c r="O52" s="212"/>
      <c r="P52" s="86"/>
      <c r="Q52" s="82">
        <f>Q50+Q51</f>
        <v>514091.37243599998</v>
      </c>
      <c r="R52" s="81"/>
      <c r="S52" s="83">
        <f t="shared" si="10"/>
        <v>-26053.640470000042</v>
      </c>
      <c r="T52" s="84">
        <f>IF((K52)=0,"",(S52/K52))</f>
        <v>-4.8234529334688289E-2</v>
      </c>
      <c r="U52" s="81"/>
      <c r="V52" s="86"/>
      <c r="W52" s="82">
        <f>W50+W51</f>
        <v>514809.03543600003</v>
      </c>
      <c r="X52" s="81"/>
      <c r="Y52" s="83">
        <f t="shared" si="11"/>
        <v>717.66300000005867</v>
      </c>
      <c r="Z52" s="84">
        <f>IF((Q52)=0,"",(Y52/Q52))</f>
        <v>1.3959833571986304E-3</v>
      </c>
      <c r="AA52" s="81"/>
      <c r="AB52" s="86"/>
      <c r="AC52" s="82">
        <f>AC50+AC51</f>
        <v>515699.05733600003</v>
      </c>
      <c r="AD52" s="81"/>
      <c r="AE52" s="83">
        <f t="shared" si="12"/>
        <v>890.02189999999246</v>
      </c>
      <c r="AF52" s="84">
        <f>IF((W52)=0,"",(AE52/W52))</f>
        <v>1.7288389261587427E-3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25"/>
        <v>0</v>
      </c>
      <c r="N53" s="89" t="str">
        <f>IF((H53)=0,"",(M53/H53))</f>
        <v/>
      </c>
      <c r="O53" s="212"/>
      <c r="P53" s="86"/>
      <c r="Q53" s="87">
        <f>ROUND(-Q52*10%,2)</f>
        <v>-51409.14</v>
      </c>
      <c r="R53" s="81"/>
      <c r="S53" s="88">
        <f t="shared" si="10"/>
        <v>-51409.14</v>
      </c>
      <c r="T53" s="89" t="str">
        <f>IF((K53)=0,"",(S53/K53))</f>
        <v/>
      </c>
      <c r="U53" s="81"/>
      <c r="V53" s="86"/>
      <c r="W53" s="87">
        <f>ROUND(-W52*10%,2)</f>
        <v>-51480.9</v>
      </c>
      <c r="X53" s="81"/>
      <c r="Y53" s="88">
        <f t="shared" si="11"/>
        <v>-71.760000000002037</v>
      </c>
      <c r="Z53" s="89">
        <f>IF((Q53)=0,"",(Y53/Q53))</f>
        <v>1.3958607360481431E-3</v>
      </c>
      <c r="AA53" s="81"/>
      <c r="AB53" s="86"/>
      <c r="AC53" s="87">
        <f>ROUND(-AC52*10%,2)</f>
        <v>-51569.91</v>
      </c>
      <c r="AD53" s="81"/>
      <c r="AE53" s="88">
        <f t="shared" si="12"/>
        <v>-89.010000000002037</v>
      </c>
      <c r="AF53" s="89">
        <f>IF((W53)=0,"",(AE53/W53))</f>
        <v>1.7289907519099713E-3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550314.55398828175</v>
      </c>
      <c r="I54" s="92"/>
      <c r="J54" s="90"/>
      <c r="K54" s="93">
        <f>K52+K53</f>
        <v>540145.01290600002</v>
      </c>
      <c r="L54" s="92"/>
      <c r="M54" s="94">
        <f t="shared" si="25"/>
        <v>-10169.541082281736</v>
      </c>
      <c r="N54" s="95">
        <f>IF((H54)=0,"",(M54/H54))</f>
        <v>-1.8479505963598927E-2</v>
      </c>
      <c r="O54" s="212"/>
      <c r="P54" s="90"/>
      <c r="Q54" s="93">
        <f>Q52+Q53</f>
        <v>462682.23243599996</v>
      </c>
      <c r="R54" s="92"/>
      <c r="S54" s="94">
        <f t="shared" si="10"/>
        <v>-77462.780470000056</v>
      </c>
      <c r="T54" s="95">
        <f>IF((K54)=0,"",(S54/K54))</f>
        <v>-0.14341108150429355</v>
      </c>
      <c r="U54" s="92"/>
      <c r="V54" s="90"/>
      <c r="W54" s="93">
        <f>W52+W53</f>
        <v>463328.13543600001</v>
      </c>
      <c r="X54" s="92"/>
      <c r="Y54" s="94">
        <f t="shared" si="11"/>
        <v>645.90300000004936</v>
      </c>
      <c r="Z54" s="95">
        <f>IF((Q54)=0,"",(Y54/Q54))</f>
        <v>1.3959969817717028E-3</v>
      </c>
      <c r="AA54" s="92"/>
      <c r="AB54" s="90"/>
      <c r="AC54" s="93">
        <f>AC52+AC53</f>
        <v>464129.14733599999</v>
      </c>
      <c r="AD54" s="92"/>
      <c r="AE54" s="94">
        <f t="shared" si="12"/>
        <v>801.01189999998314</v>
      </c>
      <c r="AF54" s="95">
        <f>IF((W54)=0,"",(AE54/W54))</f>
        <v>1.7288220566321032E-3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5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517415.47007812554</v>
      </c>
      <c r="I56" s="106"/>
      <c r="J56" s="103"/>
      <c r="K56" s="105">
        <f>SUM(K47:K48,K39,K40:K43)</f>
        <v>508415.87619999994</v>
      </c>
      <c r="L56" s="106"/>
      <c r="M56" s="107">
        <f t="shared" si="25"/>
        <v>-8999.5938781255973</v>
      </c>
      <c r="N56" s="77">
        <f>IF((H56)=0,"",(M56/H56))</f>
        <v>-1.739336065225636E-2</v>
      </c>
      <c r="O56" s="212"/>
      <c r="P56" s="103"/>
      <c r="Q56" s="105">
        <f>SUM(Q47:Q48,Q39,Q40:Q43)</f>
        <v>481043.10719999997</v>
      </c>
      <c r="R56" s="106"/>
      <c r="S56" s="107">
        <f t="shared" si="10"/>
        <v>-27372.768999999971</v>
      </c>
      <c r="T56" s="77">
        <f>IF((K56)=0,"",(S56/K56))</f>
        <v>-5.3839327765665815E-2</v>
      </c>
      <c r="U56" s="106"/>
      <c r="V56" s="103"/>
      <c r="W56" s="105">
        <f>SUM(W47:W48,W39,W40:W43)</f>
        <v>481678.20719999995</v>
      </c>
      <c r="X56" s="106"/>
      <c r="Y56" s="107">
        <f t="shared" si="11"/>
        <v>635.09999999997672</v>
      </c>
      <c r="Z56" s="77">
        <f>IF((Q56)=0,"",(Y56/Q56))</f>
        <v>1.3202558990953915E-3</v>
      </c>
      <c r="AA56" s="106"/>
      <c r="AB56" s="103"/>
      <c r="AC56" s="105">
        <f>SUM(AC47:AC48,AC39,AC40:AC43)</f>
        <v>482465.83719999995</v>
      </c>
      <c r="AD56" s="106"/>
      <c r="AE56" s="107">
        <f t="shared" si="12"/>
        <v>787.63000000000466</v>
      </c>
      <c r="AF56" s="77">
        <f>IF((W56)=0,"",(AE56/W56))</f>
        <v>1.6351788148741572E-3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67264.011110156323</v>
      </c>
      <c r="I57" s="110"/>
      <c r="J57" s="109">
        <v>0.13</v>
      </c>
      <c r="K57" s="111">
        <f>K56*J57</f>
        <v>66094.063905999996</v>
      </c>
      <c r="L57" s="110"/>
      <c r="M57" s="112">
        <f t="shared" si="25"/>
        <v>-1169.9472041563276</v>
      </c>
      <c r="N57" s="84">
        <f>IF((H57)=0,"",(M57/H57))</f>
        <v>-1.739336065225636E-2</v>
      </c>
      <c r="O57" s="212"/>
      <c r="P57" s="109">
        <v>0.13</v>
      </c>
      <c r="Q57" s="111">
        <f>Q56*P57</f>
        <v>62535.603936</v>
      </c>
      <c r="R57" s="110"/>
      <c r="S57" s="112">
        <f t="shared" si="10"/>
        <v>-3558.4599699999962</v>
      </c>
      <c r="T57" s="84">
        <f>IF((K57)=0,"",(S57/K57))</f>
        <v>-5.3839327765665815E-2</v>
      </c>
      <c r="U57" s="110"/>
      <c r="V57" s="109">
        <v>0.13</v>
      </c>
      <c r="W57" s="111">
        <f>W56*V57</f>
        <v>62618.166935999994</v>
      </c>
      <c r="X57" s="110"/>
      <c r="Y57" s="112">
        <f t="shared" si="11"/>
        <v>82.562999999994645</v>
      </c>
      <c r="Z57" s="84">
        <f>IF((Q57)=0,"",(Y57/Q57))</f>
        <v>1.3202558990953542E-3</v>
      </c>
      <c r="AA57" s="110"/>
      <c r="AB57" s="109">
        <v>0.13</v>
      </c>
      <c r="AC57" s="111">
        <f>AC56*AB57</f>
        <v>62720.558835999997</v>
      </c>
      <c r="AD57" s="110"/>
      <c r="AE57" s="112">
        <f t="shared" si="12"/>
        <v>102.39190000000235</v>
      </c>
      <c r="AF57" s="84">
        <f>IF((W57)=0,"",(AE57/W57))</f>
        <v>1.635178814874185E-3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584679.4811882819</v>
      </c>
      <c r="I58" s="110"/>
      <c r="J58" s="114"/>
      <c r="K58" s="111">
        <f>K56+K57</f>
        <v>574509.94010599994</v>
      </c>
      <c r="L58" s="110"/>
      <c r="M58" s="112">
        <f t="shared" si="25"/>
        <v>-10169.541082281969</v>
      </c>
      <c r="N58" s="84">
        <f>IF((H58)=0,"",(M58/H58))</f>
        <v>-1.7393360652256433E-2</v>
      </c>
      <c r="O58" s="212"/>
      <c r="P58" s="114"/>
      <c r="Q58" s="111">
        <f>Q56+Q57</f>
        <v>543578.711136</v>
      </c>
      <c r="R58" s="110"/>
      <c r="S58" s="112">
        <f t="shared" si="10"/>
        <v>-30931.228969999938</v>
      </c>
      <c r="T58" s="84">
        <f>IF((K58)=0,"",(S58/K58))</f>
        <v>-5.3839327765665766E-2</v>
      </c>
      <c r="U58" s="110"/>
      <c r="V58" s="114"/>
      <c r="W58" s="111">
        <f>W56+W57</f>
        <v>544296.37413599994</v>
      </c>
      <c r="X58" s="110"/>
      <c r="Y58" s="112">
        <f t="shared" si="11"/>
        <v>717.66299999994226</v>
      </c>
      <c r="Z58" s="84">
        <f>IF((Q58)=0,"",(Y58/Q58))</f>
        <v>1.3202558990953336E-3</v>
      </c>
      <c r="AA58" s="110"/>
      <c r="AB58" s="114"/>
      <c r="AC58" s="111">
        <f>AC56+AC57</f>
        <v>545186.39603599999</v>
      </c>
      <c r="AD58" s="110"/>
      <c r="AE58" s="112">
        <f t="shared" si="12"/>
        <v>890.02190000005066</v>
      </c>
      <c r="AF58" s="84">
        <f>IF((W58)=0,"",(AE58/W58))</f>
        <v>1.6351788148742407E-3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25"/>
        <v>0</v>
      </c>
      <c r="N59" s="89" t="str">
        <f>IF((H59)=0,"",(M59/H59))</f>
        <v/>
      </c>
      <c r="O59" s="212"/>
      <c r="P59" s="114"/>
      <c r="Q59" s="116">
        <f>ROUND(-Q58*10%,2)</f>
        <v>-54357.87</v>
      </c>
      <c r="R59" s="110"/>
      <c r="S59" s="117">
        <f t="shared" si="10"/>
        <v>-54357.87</v>
      </c>
      <c r="T59" s="89" t="str">
        <f>IF((K59)=0,"",(S59/K59))</f>
        <v/>
      </c>
      <c r="U59" s="110"/>
      <c r="V59" s="114"/>
      <c r="W59" s="116">
        <f>ROUND(-W58*10%,2)</f>
        <v>-54429.64</v>
      </c>
      <c r="X59" s="110"/>
      <c r="Y59" s="117">
        <f t="shared" si="11"/>
        <v>-71.769999999996799</v>
      </c>
      <c r="Z59" s="89">
        <f>IF((Q59)=0,"",(Y59/Q59))</f>
        <v>1.3203239935633386E-3</v>
      </c>
      <c r="AA59" s="110"/>
      <c r="AB59" s="114"/>
      <c r="AC59" s="116">
        <f>ROUND(-AC58*10%,2)</f>
        <v>-54518.64</v>
      </c>
      <c r="AD59" s="110"/>
      <c r="AE59" s="117">
        <f t="shared" si="12"/>
        <v>-89</v>
      </c>
      <c r="AF59" s="89">
        <f>IF((W59)=0,"",(AE59/W59))</f>
        <v>1.6351385017428005E-3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584679.4811882819</v>
      </c>
      <c r="I60" s="120"/>
      <c r="J60" s="118"/>
      <c r="K60" s="121">
        <f>SUM(K58:K59)</f>
        <v>574509.94010599994</v>
      </c>
      <c r="L60" s="120"/>
      <c r="M60" s="122">
        <f t="shared" si="25"/>
        <v>-10169.541082281969</v>
      </c>
      <c r="N60" s="123">
        <f>IF((H60)=0,"",(M60/H60))</f>
        <v>-1.7393360652256433E-2</v>
      </c>
      <c r="O60" s="212"/>
      <c r="P60" s="118"/>
      <c r="Q60" s="121">
        <f>SUM(Q58:Q59)</f>
        <v>489220.841136</v>
      </c>
      <c r="R60" s="120"/>
      <c r="S60" s="122">
        <f t="shared" si="10"/>
        <v>-85289.098969999934</v>
      </c>
      <c r="T60" s="123">
        <f>IF((K60)=0,"",(S60/K60))</f>
        <v>-0.14845539305075151</v>
      </c>
      <c r="U60" s="120"/>
      <c r="V60" s="118"/>
      <c r="W60" s="121">
        <f>SUM(W58:W59)</f>
        <v>489866.73413599993</v>
      </c>
      <c r="X60" s="120"/>
      <c r="Y60" s="122">
        <f t="shared" si="11"/>
        <v>645.89299999992363</v>
      </c>
      <c r="Z60" s="123">
        <f>IF((Q60)=0,"",(Y60/Q60))</f>
        <v>1.3202483330434606E-3</v>
      </c>
      <c r="AA60" s="120"/>
      <c r="AB60" s="118"/>
      <c r="AC60" s="121">
        <f>SUM(AC58:AC59)</f>
        <v>490667.75603599998</v>
      </c>
      <c r="AD60" s="120"/>
      <c r="AE60" s="122">
        <f t="shared" si="12"/>
        <v>801.02190000005066</v>
      </c>
      <c r="AF60" s="123">
        <f>IF((W60)=0,"",(AE60/W60))</f>
        <v>1.6351832941113038E-3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80">
        <v>6.0000000000000001E-3</v>
      </c>
      <c r="I63" s="142"/>
      <c r="J63" s="180">
        <v>6.0000000000000001E-3</v>
      </c>
      <c r="K63" s="142"/>
      <c r="L63" s="142"/>
      <c r="M63" s="142"/>
      <c r="N63" s="142"/>
      <c r="O63" s="142"/>
      <c r="P63" s="180">
        <v>6.0000000000000001E-3</v>
      </c>
      <c r="Q63" s="142"/>
      <c r="R63" s="142"/>
      <c r="S63" s="142"/>
      <c r="T63" s="142"/>
      <c r="U63" s="142"/>
      <c r="V63" s="180">
        <v>6.0000000000000001E-3</v>
      </c>
      <c r="W63" s="142"/>
      <c r="X63" s="142"/>
      <c r="Y63" s="142"/>
      <c r="Z63" s="142"/>
      <c r="AA63" s="142"/>
      <c r="AB63" s="180">
        <v>6.0000000000000001E-3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</dataValidations>
  <pageMargins left="0.75" right="0.75" top="1" bottom="1" header="0.5" footer="0.5"/>
  <pageSetup scale="49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FFC000"/>
    <pageSetUpPr fitToPage="1"/>
  </sheetPr>
  <dimension ref="A1:AP79"/>
  <sheetViews>
    <sheetView showGridLines="0" zoomScaleNormal="100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1.42578125" style="1" bestFit="1" customWidth="1"/>
    <col min="7" max="7" width="13.28515625" style="1" customWidth="1"/>
    <col min="8" max="8" width="12.28515625" style="142" customWidth="1"/>
    <col min="9" max="9" width="1.7109375" style="1" customWidth="1"/>
    <col min="10" max="10" width="13.28515625" style="1" customWidth="1"/>
    <col min="11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.42578125" style="1" hidden="1" customWidth="1"/>
    <col min="26" max="26" width="7.5703125" style="1" hidden="1" customWidth="1"/>
    <col min="27" max="27" width="1.7109375" style="1" hidden="1" customWidth="1"/>
    <col min="28" max="28" width="13.5703125" style="1" hidden="1" customWidth="1"/>
    <col min="29" max="29" width="12.42578125" style="1" hidden="1" customWidth="1"/>
    <col min="30" max="30" width="1.7109375" style="1" hidden="1" customWidth="1"/>
    <col min="31" max="31" width="10.42578125" style="1" hidden="1" customWidth="1"/>
    <col min="32" max="32" width="7.5703125" style="1" hidden="1" customWidth="1"/>
    <col min="33" max="33" width="1.7109375" style="1" hidden="1" customWidth="1"/>
    <col min="34" max="34" width="13.5703125" style="1" hidden="1" customWidth="1"/>
    <col min="35" max="35" width="12.42578125" style="1" bestFit="1" customWidth="1"/>
    <col min="36" max="36" width="1.7109375" style="1" customWidth="1"/>
    <col min="37" max="37" width="10.42578125" style="1" bestFit="1" customWidth="1"/>
    <col min="38" max="38" width="7.5703125" style="1" bestFit="1" customWidth="1"/>
    <col min="39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67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f>+'Summary (1)'!D21</f>
        <v>7500</v>
      </c>
      <c r="H7" s="9" t="s">
        <v>64</v>
      </c>
      <c r="J7" s="151"/>
      <c r="K7" s="151"/>
    </row>
    <row r="8" spans="2:42" x14ac:dyDescent="0.2">
      <c r="B8" s="6"/>
      <c r="G8" s="8">
        <f>+'Summary (1)'!C21</f>
        <v>3832500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23704.2</v>
      </c>
      <c r="H12" s="18">
        <f t="shared" ref="H12:H27" si="0">$F12*G12</f>
        <v>23704.2</v>
      </c>
      <c r="I12" s="19"/>
      <c r="J12" s="209">
        <v>23798.52</v>
      </c>
      <c r="K12" s="18">
        <f t="shared" ref="K12:K27" si="1">$F12*J12</f>
        <v>23798.52</v>
      </c>
      <c r="L12" s="19"/>
      <c r="M12" s="21">
        <f t="shared" ref="M12:M21" si="2">K12-H12</f>
        <v>94.319999999999709</v>
      </c>
      <c r="N12" s="22">
        <f t="shared" ref="N12:N21" si="3">IF((H12)=0,"",(M12/H12))</f>
        <v>3.9790416888146277E-3</v>
      </c>
      <c r="O12" s="212"/>
      <c r="P12" s="16">
        <v>23798.52</v>
      </c>
      <c r="Q12" s="18">
        <f t="shared" ref="Q12:Q27" si="4">$F12*P12</f>
        <v>23798.52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23892.82</v>
      </c>
      <c r="W12" s="18">
        <f t="shared" ref="W12:W27" si="6">$F12*V12</f>
        <v>23892.82</v>
      </c>
      <c r="X12" s="19"/>
      <c r="Y12" s="21">
        <f>W12-Q12</f>
        <v>94.299999999999272</v>
      </c>
      <c r="Z12" s="22">
        <f t="shared" ref="Z12:Z34" si="7">IF((Q12)=0,"",(Y12/Q12))</f>
        <v>3.9624312772390579E-3</v>
      </c>
      <c r="AA12" s="19"/>
      <c r="AB12" s="16">
        <v>24462.05</v>
      </c>
      <c r="AC12" s="18">
        <f t="shared" ref="AC12:AC27" si="8">$F12*AB12</f>
        <v>24462.05</v>
      </c>
      <c r="AD12" s="19"/>
      <c r="AE12" s="21">
        <f>AC12-W12</f>
        <v>569.22999999999956</v>
      </c>
      <c r="AF12" s="22">
        <f t="shared" ref="AF12:AF34" si="9">IF((W12)=0,"",(AE12/W12))</f>
        <v>2.3824312073668974E-2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7500</v>
      </c>
      <c r="G19" s="16">
        <v>1.3985000000000001</v>
      </c>
      <c r="H19" s="18">
        <f t="shared" si="0"/>
        <v>10488.75</v>
      </c>
      <c r="I19" s="19"/>
      <c r="J19" s="16">
        <v>1.4040999999999999</v>
      </c>
      <c r="K19" s="18">
        <f t="shared" si="1"/>
        <v>10530.75</v>
      </c>
      <c r="L19" s="19"/>
      <c r="M19" s="21">
        <f t="shared" si="2"/>
        <v>42</v>
      </c>
      <c r="N19" s="22">
        <f t="shared" si="3"/>
        <v>4.0042903110475512E-3</v>
      </c>
      <c r="O19" s="212"/>
      <c r="P19" s="16">
        <v>1.4040999999999999</v>
      </c>
      <c r="Q19" s="18">
        <f t="shared" si="4"/>
        <v>10530.75</v>
      </c>
      <c r="R19" s="19"/>
      <c r="S19" s="21">
        <f t="shared" si="10"/>
        <v>0</v>
      </c>
      <c r="T19" s="22">
        <f t="shared" si="5"/>
        <v>0</v>
      </c>
      <c r="U19" s="19"/>
      <c r="V19" s="16">
        <v>1.4097</v>
      </c>
      <c r="W19" s="18">
        <f t="shared" si="6"/>
        <v>10572.75</v>
      </c>
      <c r="X19" s="19"/>
      <c r="Y19" s="21">
        <f t="shared" si="11"/>
        <v>42</v>
      </c>
      <c r="Z19" s="22">
        <f t="shared" si="7"/>
        <v>3.9883199202336017E-3</v>
      </c>
      <c r="AA19" s="19"/>
      <c r="AB19" s="16">
        <v>1.4433</v>
      </c>
      <c r="AC19" s="18">
        <f t="shared" si="8"/>
        <v>10824.75</v>
      </c>
      <c r="AD19" s="19"/>
      <c r="AE19" s="21">
        <f t="shared" si="12"/>
        <v>252</v>
      </c>
      <c r="AF19" s="22">
        <f t="shared" si="9"/>
        <v>2.3834858480527771E-2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3">$G$7</f>
        <v>7500</v>
      </c>
      <c r="G20" s="16"/>
      <c r="H20" s="18">
        <f t="shared" si="0"/>
        <v>0</v>
      </c>
      <c r="I20" s="19"/>
      <c r="J20" s="16">
        <v>1.6000000000000001E-3</v>
      </c>
      <c r="K20" s="18">
        <f t="shared" si="1"/>
        <v>12</v>
      </c>
      <c r="L20" s="19"/>
      <c r="M20" s="21">
        <f t="shared" si="2"/>
        <v>12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-12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7500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4">$G$7</f>
        <v>7500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7500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7500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7500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34192.949999999997</v>
      </c>
      <c r="I28" s="31"/>
      <c r="J28" s="28"/>
      <c r="K28" s="30">
        <f>SUM(K12:K27)</f>
        <v>34341.270000000004</v>
      </c>
      <c r="L28" s="31"/>
      <c r="M28" s="32">
        <f t="shared" si="15"/>
        <v>148.32000000000698</v>
      </c>
      <c r="N28" s="33">
        <f t="shared" si="16"/>
        <v>4.3377362877437308E-3</v>
      </c>
      <c r="O28" s="212"/>
      <c r="P28" s="28"/>
      <c r="Q28" s="30">
        <f>SUM(Q12:Q27)</f>
        <v>34329.270000000004</v>
      </c>
      <c r="R28" s="31"/>
      <c r="S28" s="32">
        <f t="shared" si="10"/>
        <v>-12</v>
      </c>
      <c r="T28" s="33">
        <f t="shared" si="5"/>
        <v>-3.4943378622863972E-4</v>
      </c>
      <c r="U28" s="31"/>
      <c r="V28" s="28"/>
      <c r="W28" s="30">
        <f>SUM(W12:W27)</f>
        <v>34465.57</v>
      </c>
      <c r="X28" s="31"/>
      <c r="Y28" s="32">
        <f t="shared" si="11"/>
        <v>136.29999999999563</v>
      </c>
      <c r="Z28" s="33">
        <f t="shared" si="7"/>
        <v>3.9703728043152565E-3</v>
      </c>
      <c r="AA28" s="31"/>
      <c r="AB28" s="28"/>
      <c r="AC28" s="30">
        <f>SUM(AC12:AC27)</f>
        <v>35286.800000000003</v>
      </c>
      <c r="AD28" s="31"/>
      <c r="AE28" s="32">
        <f t="shared" si="12"/>
        <v>821.2300000000032</v>
      </c>
      <c r="AF28" s="33">
        <f t="shared" si="9"/>
        <v>2.3827547317511452E-2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7500</v>
      </c>
      <c r="G29" s="16">
        <v>0.59071404756783996</v>
      </c>
      <c r="H29" s="18">
        <f t="shared" ref="H29:H35" si="17">$F29*G29</f>
        <v>4430.3553567587996</v>
      </c>
      <c r="I29" s="19"/>
      <c r="J29" s="16">
        <v>-7.9200000000000007E-2</v>
      </c>
      <c r="K29" s="18">
        <f t="shared" ref="K29:K35" si="18">$F29*J29</f>
        <v>-594</v>
      </c>
      <c r="L29" s="19"/>
      <c r="M29" s="21">
        <f t="shared" si="15"/>
        <v>-5024.3553567587996</v>
      </c>
      <c r="N29" s="22">
        <f t="shared" si="16"/>
        <v>-1.1340750238225956</v>
      </c>
      <c r="O29" s="212"/>
      <c r="P29" s="16">
        <v>-7.9200000000000007E-2</v>
      </c>
      <c r="Q29" s="18">
        <f t="shared" ref="Q29:Q35" si="19">$F29*P29</f>
        <v>-594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594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3" si="22">$G$7</f>
        <v>7500</v>
      </c>
      <c r="G30" s="16"/>
      <c r="H30" s="18">
        <f t="shared" si="17"/>
        <v>0</v>
      </c>
      <c r="I30" s="19"/>
      <c r="J30" s="16"/>
      <c r="K30" s="18">
        <f t="shared" si="18"/>
        <v>0</v>
      </c>
      <c r="L30" s="19"/>
      <c r="M30" s="21">
        <f t="shared" si="15"/>
        <v>0</v>
      </c>
      <c r="N30" s="22" t="str">
        <f t="shared" si="16"/>
        <v/>
      </c>
      <c r="O30" s="212"/>
      <c r="P30" s="16">
        <v>1.6000000000000001E-3</v>
      </c>
      <c r="Q30" s="18">
        <f t="shared" si="19"/>
        <v>12</v>
      </c>
      <c r="R30" s="19"/>
      <c r="S30" s="21">
        <f t="shared" si="10"/>
        <v>12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-12</v>
      </c>
      <c r="Z30" s="22">
        <f t="shared" si="7"/>
        <v>-1</v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22"/>
        <v>7500</v>
      </c>
      <c r="G31" s="16">
        <v>0</v>
      </c>
      <c r="H31" s="18">
        <f>$F31*G31</f>
        <v>0</v>
      </c>
      <c r="I31" s="19"/>
      <c r="J31" s="16">
        <v>0</v>
      </c>
      <c r="K31" s="18">
        <f t="shared" si="18"/>
        <v>0</v>
      </c>
      <c r="L31" s="19"/>
      <c r="M31" s="21">
        <f t="shared" si="15"/>
        <v>0</v>
      </c>
      <c r="N31" s="22" t="str">
        <f t="shared" si="16"/>
        <v/>
      </c>
      <c r="O31" s="212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7500</v>
      </c>
      <c r="G32" s="16">
        <v>-0.44949300279836379</v>
      </c>
      <c r="H32" s="18">
        <f t="shared" ref="H32" si="23">$F32*G32</f>
        <v>-3371.1975209877282</v>
      </c>
      <c r="I32" s="19"/>
      <c r="J32" s="16">
        <v>-1.4433</v>
      </c>
      <c r="K32" s="18">
        <f t="shared" ref="K32" si="24">$F32*J32</f>
        <v>-10824.75</v>
      </c>
      <c r="L32" s="19"/>
      <c r="M32" s="21">
        <f t="shared" ref="M32" si="25">K32-H32</f>
        <v>-7453.5524790122718</v>
      </c>
      <c r="N32" s="22">
        <f t="shared" ref="N32" si="26">IF((H32)=0,"",(M32/H32))</f>
        <v>2.2109509848086426</v>
      </c>
      <c r="O32" s="212"/>
      <c r="P32" s="16"/>
      <c r="Q32" s="18">
        <f t="shared" si="19"/>
        <v>0</v>
      </c>
      <c r="R32" s="36"/>
      <c r="S32" s="21">
        <f t="shared" si="10"/>
        <v>10824.75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2"/>
        <v>7500</v>
      </c>
      <c r="G33" s="133">
        <v>2.4920000000000001E-2</v>
      </c>
      <c r="H33" s="18">
        <f t="shared" si="17"/>
        <v>186.9</v>
      </c>
      <c r="I33" s="19"/>
      <c r="J33" s="133">
        <v>2.4920000000000001E-2</v>
      </c>
      <c r="K33" s="18">
        <f t="shared" si="18"/>
        <v>186.9</v>
      </c>
      <c r="L33" s="19"/>
      <c r="M33" s="21">
        <f t="shared" si="15"/>
        <v>0</v>
      </c>
      <c r="N33" s="22">
        <f t="shared" si="16"/>
        <v>0</v>
      </c>
      <c r="O33" s="212"/>
      <c r="P33" s="133">
        <v>2.4920000000000001E-2</v>
      </c>
      <c r="Q33" s="18">
        <f t="shared" si="19"/>
        <v>186.9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186.9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186.9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22995</v>
      </c>
      <c r="G34" s="38">
        <f>IF(ISBLANK($D$5)=TRUE, 0, IF($D$5="TOU", 0.64*#REF!+0.18*#REF!+0.18*#REF!, IF(AND($D$5="non-TOU", $F$48&gt;0), G48,G47)))</f>
        <v>0.121</v>
      </c>
      <c r="H34" s="18">
        <f t="shared" si="17"/>
        <v>2782.395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18"/>
        <v>2782.395</v>
      </c>
      <c r="L34" s="19"/>
      <c r="M34" s="21">
        <f t="shared" si="15"/>
        <v>0</v>
      </c>
      <c r="N34" s="22">
        <f t="shared" si="16"/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19"/>
        <v>2529.4499999999998</v>
      </c>
      <c r="R34" s="19"/>
      <c r="S34" s="21">
        <f t="shared" si="10"/>
        <v>-252.94500000000016</v>
      </c>
      <c r="T34" s="22">
        <f t="shared" si="5"/>
        <v>-9.0909090909090967E-2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2529.4499999999998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2529.4499999999998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212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38221.40283577107</v>
      </c>
      <c r="I36" s="31"/>
      <c r="J36" s="41"/>
      <c r="K36" s="43">
        <f>SUM(K29:K35)+K28</f>
        <v>25891.815000000002</v>
      </c>
      <c r="L36" s="31"/>
      <c r="M36" s="32">
        <f t="shared" si="15"/>
        <v>-12329.587835771068</v>
      </c>
      <c r="N36" s="33">
        <f t="shared" ref="N36:N43" si="27">IF((H36)=0,"",(M36/H36))</f>
        <v>-0.32258334129567628</v>
      </c>
      <c r="O36" s="212"/>
      <c r="P36" s="41"/>
      <c r="Q36" s="43">
        <f>SUM(Q29:Q35)+Q28</f>
        <v>36463.620000000003</v>
      </c>
      <c r="R36" s="31"/>
      <c r="S36" s="32">
        <f t="shared" si="10"/>
        <v>10571.805</v>
      </c>
      <c r="T36" s="33">
        <f t="shared" ref="T36:T43" si="28">IF((K36)=0,"",(S36/K36))</f>
        <v>0.40830683364607695</v>
      </c>
      <c r="U36" s="31"/>
      <c r="V36" s="41"/>
      <c r="W36" s="43">
        <f>SUM(W29:W35)+W28</f>
        <v>37181.919999999998</v>
      </c>
      <c r="X36" s="31"/>
      <c r="Y36" s="32">
        <f t="shared" si="11"/>
        <v>718.29999999999563</v>
      </c>
      <c r="Z36" s="33">
        <f t="shared" ref="Z36:Z43" si="29">IF((Q36)=0,"",(Y36/Q36))</f>
        <v>1.9699086377051856E-2</v>
      </c>
      <c r="AA36" s="31"/>
      <c r="AB36" s="41"/>
      <c r="AC36" s="43">
        <f>SUM(AC29:AC35)+AC28</f>
        <v>38003.15</v>
      </c>
      <c r="AD36" s="31"/>
      <c r="AE36" s="32">
        <f t="shared" si="12"/>
        <v>821.2300000000032</v>
      </c>
      <c r="AF36" s="33">
        <f t="shared" ref="AF36:AF46" si="30">IF((W36)=0,"",(AE36/W36))</f>
        <v>2.2086809933430099E-2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7500</v>
      </c>
      <c r="G37" s="20">
        <v>3.0917337281873873</v>
      </c>
      <c r="H37" s="18">
        <f>$F37*G37</f>
        <v>23188.002961405404</v>
      </c>
      <c r="I37" s="19"/>
      <c r="J37" s="20">
        <v>2.9382000000000001</v>
      </c>
      <c r="K37" s="18">
        <f>$F37*J37</f>
        <v>22036.5</v>
      </c>
      <c r="L37" s="19"/>
      <c r="M37" s="21">
        <f t="shared" si="15"/>
        <v>-1151.5029614054038</v>
      </c>
      <c r="N37" s="22">
        <f t="shared" si="27"/>
        <v>-4.9659427908560705E-2</v>
      </c>
      <c r="O37" s="212"/>
      <c r="P37" s="20">
        <v>2.9382000000000001</v>
      </c>
      <c r="Q37" s="18">
        <f>$F37*P37</f>
        <v>22036.5</v>
      </c>
      <c r="R37" s="19"/>
      <c r="S37" s="21">
        <f t="shared" si="10"/>
        <v>0</v>
      </c>
      <c r="T37" s="22">
        <f t="shared" si="28"/>
        <v>0</v>
      </c>
      <c r="U37" s="19"/>
      <c r="V37" s="20">
        <v>2.9382000000000001</v>
      </c>
      <c r="W37" s="18">
        <f>$F37*V37</f>
        <v>22036.5</v>
      </c>
      <c r="X37" s="19"/>
      <c r="Y37" s="21">
        <f t="shared" si="11"/>
        <v>0</v>
      </c>
      <c r="Z37" s="22">
        <f t="shared" si="29"/>
        <v>0</v>
      </c>
      <c r="AA37" s="19"/>
      <c r="AB37" s="20">
        <v>2.9382000000000001</v>
      </c>
      <c r="AC37" s="18">
        <f>$F37*AB37</f>
        <v>22036.5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7500</v>
      </c>
      <c r="G38" s="20">
        <v>2.4378617006009056</v>
      </c>
      <c r="H38" s="18">
        <f>$F38*G38</f>
        <v>18283.962754506792</v>
      </c>
      <c r="I38" s="19"/>
      <c r="J38" s="20">
        <v>2.4376000000000002</v>
      </c>
      <c r="K38" s="18">
        <f>$F38*J38</f>
        <v>18282</v>
      </c>
      <c r="L38" s="19"/>
      <c r="M38" s="21">
        <f t="shared" si="15"/>
        <v>-1.9627545067924075</v>
      </c>
      <c r="N38" s="22">
        <f t="shared" si="27"/>
        <v>-1.073484196585672E-4</v>
      </c>
      <c r="O38" s="212"/>
      <c r="P38" s="20">
        <v>2.4376000000000002</v>
      </c>
      <c r="Q38" s="18">
        <f>$F38*P38</f>
        <v>18282</v>
      </c>
      <c r="R38" s="19"/>
      <c r="S38" s="21">
        <f t="shared" si="10"/>
        <v>0</v>
      </c>
      <c r="T38" s="22">
        <f t="shared" si="28"/>
        <v>0</v>
      </c>
      <c r="U38" s="19"/>
      <c r="V38" s="20">
        <v>2.4376000000000002</v>
      </c>
      <c r="W38" s="18">
        <f>$F38*V38</f>
        <v>18282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2.4376000000000002</v>
      </c>
      <c r="AC38" s="18">
        <f>$F38*AB38</f>
        <v>18282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79693.368551683263</v>
      </c>
      <c r="I39" s="48"/>
      <c r="J39" s="47"/>
      <c r="K39" s="43">
        <f>SUM(K36:K38)</f>
        <v>66210.315000000002</v>
      </c>
      <c r="L39" s="48"/>
      <c r="M39" s="32">
        <f t="shared" si="15"/>
        <v>-13483.053551683261</v>
      </c>
      <c r="N39" s="33">
        <f t="shared" si="27"/>
        <v>-0.16918664371602191</v>
      </c>
      <c r="O39" s="212"/>
      <c r="P39" s="47"/>
      <c r="Q39" s="43">
        <f>SUM(Q36:Q38)</f>
        <v>76782.12</v>
      </c>
      <c r="R39" s="48"/>
      <c r="S39" s="32">
        <f t="shared" si="10"/>
        <v>10571.804999999993</v>
      </c>
      <c r="T39" s="33">
        <f t="shared" si="28"/>
        <v>0.15967006047320562</v>
      </c>
      <c r="U39" s="48"/>
      <c r="V39" s="47"/>
      <c r="W39" s="43">
        <f>SUM(W36:W38)</f>
        <v>77500.42</v>
      </c>
      <c r="X39" s="48"/>
      <c r="Y39" s="32">
        <f t="shared" si="11"/>
        <v>718.30000000000291</v>
      </c>
      <c r="Z39" s="33">
        <f t="shared" si="29"/>
        <v>9.3550425541780169E-3</v>
      </c>
      <c r="AA39" s="48"/>
      <c r="AB39" s="47"/>
      <c r="AC39" s="43">
        <f>SUM(AC36:AC38)</f>
        <v>78321.649999999994</v>
      </c>
      <c r="AD39" s="48"/>
      <c r="AE39" s="32">
        <f t="shared" si="12"/>
        <v>821.22999999999593</v>
      </c>
      <c r="AF39" s="33">
        <f t="shared" si="30"/>
        <v>1.059645870306246E-2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3855495</v>
      </c>
      <c r="G40" s="50">
        <v>4.7000000000000002E-3</v>
      </c>
      <c r="H40" s="152">
        <f t="shared" ref="H40:H43" si="31">$F40*G40</f>
        <v>18120.826499999999</v>
      </c>
      <c r="I40" s="19"/>
      <c r="J40" s="50">
        <v>4.7000000000000002E-3</v>
      </c>
      <c r="K40" s="152">
        <f t="shared" ref="K40:K43" si="32">$F40*J40</f>
        <v>18120.826499999999</v>
      </c>
      <c r="L40" s="19"/>
      <c r="M40" s="21">
        <f t="shared" si="15"/>
        <v>0</v>
      </c>
      <c r="N40" s="153">
        <f t="shared" si="27"/>
        <v>0</v>
      </c>
      <c r="O40" s="212"/>
      <c r="P40" s="50">
        <v>4.7000000000000002E-3</v>
      </c>
      <c r="Q40" s="152">
        <f t="shared" ref="Q40:Q43" si="33">$F40*P40</f>
        <v>18120.826499999999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3" si="34">$F40*V40</f>
        <v>18120.826499999999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18120.826499999999</v>
      </c>
      <c r="AD40" s="19"/>
      <c r="AE40" s="21">
        <f t="shared" si="12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3855495</v>
      </c>
      <c r="G41" s="50">
        <v>1.2999999999999999E-3</v>
      </c>
      <c r="H41" s="152">
        <f t="shared" si="31"/>
        <v>5012.1435000000001</v>
      </c>
      <c r="I41" s="19"/>
      <c r="J41" s="50">
        <v>2.0999999999999999E-3</v>
      </c>
      <c r="K41" s="152">
        <f t="shared" si="32"/>
        <v>8096.5394999999999</v>
      </c>
      <c r="L41" s="19"/>
      <c r="M41" s="21">
        <f t="shared" si="15"/>
        <v>3084.3959999999997</v>
      </c>
      <c r="N41" s="153">
        <f t="shared" si="27"/>
        <v>0.61538461538461531</v>
      </c>
      <c r="O41" s="212"/>
      <c r="P41" s="50">
        <v>2.0999999999999999E-3</v>
      </c>
      <c r="Q41" s="152">
        <f t="shared" si="33"/>
        <v>8096.5394999999999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8096.5394999999999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8096.5394999999999</v>
      </c>
      <c r="AD41" s="19"/>
      <c r="AE41" s="21">
        <f t="shared" si="12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15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2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3832500</v>
      </c>
      <c r="G43" s="50">
        <v>7.0000000000000001E-3</v>
      </c>
      <c r="H43" s="152">
        <f t="shared" si="31"/>
        <v>26827.5</v>
      </c>
      <c r="I43" s="19"/>
      <c r="J43" s="50">
        <v>7.0000000000000001E-3</v>
      </c>
      <c r="K43" s="152">
        <f t="shared" si="32"/>
        <v>26827.5</v>
      </c>
      <c r="L43" s="19"/>
      <c r="M43" s="21">
        <f t="shared" si="15"/>
        <v>0</v>
      </c>
      <c r="N43" s="153">
        <f t="shared" si="27"/>
        <v>0</v>
      </c>
      <c r="O43" s="212"/>
      <c r="P43" s="50">
        <v>7.0000000000000001E-3</v>
      </c>
      <c r="Q43" s="152">
        <f t="shared" si="33"/>
        <v>26827.5</v>
      </c>
      <c r="R43" s="19"/>
      <c r="S43" s="21">
        <f t="shared" si="10"/>
        <v>0</v>
      </c>
      <c r="T43" s="153">
        <f t="shared" si="28"/>
        <v>0</v>
      </c>
      <c r="U43" s="19"/>
      <c r="V43" s="50">
        <v>7.0000000000000001E-3</v>
      </c>
      <c r="W43" s="152">
        <f t="shared" si="34"/>
        <v>26827.5</v>
      </c>
      <c r="X43" s="19"/>
      <c r="Y43" s="21">
        <f t="shared" si="11"/>
        <v>0</v>
      </c>
      <c r="Z43" s="153">
        <f t="shared" si="29"/>
        <v>0</v>
      </c>
      <c r="AA43" s="19"/>
      <c r="AB43" s="50">
        <v>7.0000000000000001E-3</v>
      </c>
      <c r="AC43" s="152">
        <f t="shared" si="35"/>
        <v>26827.5</v>
      </c>
      <c r="AD43" s="19"/>
      <c r="AE43" s="21">
        <f t="shared" si="12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2452800</v>
      </c>
      <c r="G44" s="54">
        <v>8.6999999999999994E-2</v>
      </c>
      <c r="H44" s="152">
        <f t="shared" ref="H44:H48" si="36">$F44*G44</f>
        <v>213393.59999999998</v>
      </c>
      <c r="I44" s="19"/>
      <c r="J44" s="54">
        <f>+G44</f>
        <v>8.6999999999999994E-2</v>
      </c>
      <c r="K44" s="152">
        <f t="shared" ref="K44:K48" si="37">$F44*J44</f>
        <v>213393.59999999998</v>
      </c>
      <c r="L44" s="19"/>
      <c r="M44" s="21">
        <f t="shared" ref="M44:M60" si="38">K44-H44</f>
        <v>0</v>
      </c>
      <c r="N44" s="153">
        <f t="shared" ref="N44:N46" si="39">IF((H44)=0,"",(M44/H44))</f>
        <v>0</v>
      </c>
      <c r="O44" s="212"/>
      <c r="P44" s="54">
        <v>0.08</v>
      </c>
      <c r="Q44" s="152">
        <f t="shared" ref="Q44:Q48" si="40">$F44*P44</f>
        <v>196224</v>
      </c>
      <c r="R44" s="19"/>
      <c r="S44" s="21">
        <f t="shared" ref="S44:S60" si="41">Q44-K44</f>
        <v>-17169.599999999977</v>
      </c>
      <c r="T44" s="153">
        <f t="shared" ref="T44:T46" si="42">IF((K44)=0,"",(S44/K44))</f>
        <v>-8.045977011494243E-2</v>
      </c>
      <c r="U44" s="19"/>
      <c r="V44" s="54">
        <v>0.08</v>
      </c>
      <c r="W44" s="152">
        <f t="shared" ref="W44:W48" si="43">$F44*V44</f>
        <v>196224</v>
      </c>
      <c r="X44" s="19"/>
      <c r="Y44" s="21">
        <f t="shared" ref="Y44:Y60" si="44">W44-Q44</f>
        <v>0</v>
      </c>
      <c r="Z44" s="153">
        <f t="shared" ref="Z44:Z46" si="45">IF((Q44)=0,"",(Y44/Q44))</f>
        <v>0</v>
      </c>
      <c r="AA44" s="19"/>
      <c r="AB44" s="54">
        <v>0.08</v>
      </c>
      <c r="AC44" s="152">
        <f t="shared" si="35"/>
        <v>196224</v>
      </c>
      <c r="AD44" s="19"/>
      <c r="AE44" s="21">
        <f t="shared" si="12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689850</v>
      </c>
      <c r="G45" s="54">
        <v>0.13200000000000001</v>
      </c>
      <c r="H45" s="152">
        <f t="shared" si="36"/>
        <v>91060.2</v>
      </c>
      <c r="I45" s="19"/>
      <c r="J45" s="54">
        <f>+G45</f>
        <v>0.13200000000000001</v>
      </c>
      <c r="K45" s="152">
        <f t="shared" si="37"/>
        <v>91060.2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84161.7</v>
      </c>
      <c r="R45" s="19"/>
      <c r="S45" s="21">
        <f t="shared" si="41"/>
        <v>-6898.5</v>
      </c>
      <c r="T45" s="153">
        <f t="shared" si="42"/>
        <v>-7.575757575757576E-2</v>
      </c>
      <c r="U45" s="19"/>
      <c r="V45" s="54">
        <v>0.122</v>
      </c>
      <c r="W45" s="152">
        <f t="shared" si="43"/>
        <v>84161.7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84161.7</v>
      </c>
      <c r="AD45" s="19"/>
      <c r="AE45" s="21">
        <f t="shared" si="12"/>
        <v>0</v>
      </c>
      <c r="AF45" s="153">
        <f t="shared" si="30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689850</v>
      </c>
      <c r="G46" s="54">
        <v>0.18</v>
      </c>
      <c r="H46" s="152">
        <f t="shared" si="36"/>
        <v>124173</v>
      </c>
      <c r="I46" s="19"/>
      <c r="J46" s="54">
        <f>+G46</f>
        <v>0.18</v>
      </c>
      <c r="K46" s="152">
        <f t="shared" si="37"/>
        <v>124173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111065.85</v>
      </c>
      <c r="R46" s="19"/>
      <c r="S46" s="21">
        <f t="shared" si="41"/>
        <v>-13107.149999999994</v>
      </c>
      <c r="T46" s="153">
        <f t="shared" si="42"/>
        <v>-0.10555555555555551</v>
      </c>
      <c r="U46" s="19"/>
      <c r="V46" s="54">
        <v>0.161</v>
      </c>
      <c r="W46" s="152">
        <f t="shared" si="43"/>
        <v>111065.85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111065.85</v>
      </c>
      <c r="AD46" s="19"/>
      <c r="AE46" s="21">
        <f t="shared" si="12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3831750</v>
      </c>
      <c r="G48" s="54">
        <v>0.121</v>
      </c>
      <c r="H48" s="152">
        <f t="shared" si="36"/>
        <v>463641.75</v>
      </c>
      <c r="I48" s="59"/>
      <c r="J48" s="54">
        <f>+G48</f>
        <v>0.121</v>
      </c>
      <c r="K48" s="152">
        <f t="shared" si="37"/>
        <v>463641.75</v>
      </c>
      <c r="L48" s="59"/>
      <c r="M48" s="60">
        <f t="shared" si="38"/>
        <v>0</v>
      </c>
      <c r="N48" s="153">
        <f>IF((H48)=FALSE,"",(M48/H48))</f>
        <v>0</v>
      </c>
      <c r="O48" s="212"/>
      <c r="P48" s="54">
        <v>0.11</v>
      </c>
      <c r="Q48" s="152">
        <f t="shared" si="40"/>
        <v>421492.5</v>
      </c>
      <c r="R48" s="59"/>
      <c r="S48" s="60">
        <f t="shared" si="41"/>
        <v>-42149.25</v>
      </c>
      <c r="T48" s="153">
        <f>IF((K48)=FALSE,"",(S48/K48))</f>
        <v>-9.0909090909090912E-2</v>
      </c>
      <c r="U48" s="59"/>
      <c r="V48" s="54">
        <v>0.11</v>
      </c>
      <c r="W48" s="152">
        <f t="shared" si="43"/>
        <v>421492.5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421492.5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558280.88855168317</v>
      </c>
      <c r="I50" s="75"/>
      <c r="J50" s="72"/>
      <c r="K50" s="74">
        <f>SUM(K40:K46,K39)</f>
        <v>547882.23099999991</v>
      </c>
      <c r="L50" s="75"/>
      <c r="M50" s="76">
        <f t="shared" si="38"/>
        <v>-10398.657551683253</v>
      </c>
      <c r="N50" s="77">
        <f>IF((H50)=0,"",(M50/H50))</f>
        <v>-1.8626210864319405E-2</v>
      </c>
      <c r="O50" s="212"/>
      <c r="P50" s="72"/>
      <c r="Q50" s="74">
        <f>SUM(Q40:Q46,Q39)</f>
        <v>521278.78599999996</v>
      </c>
      <c r="R50" s="75"/>
      <c r="S50" s="76">
        <f t="shared" si="41"/>
        <v>-26603.444999999949</v>
      </c>
      <c r="T50" s="77">
        <f>IF((K50)=0,"",(S50/K50))</f>
        <v>-4.8556867689326384E-2</v>
      </c>
      <c r="U50" s="75"/>
      <c r="V50" s="72"/>
      <c r="W50" s="74">
        <f>SUM(W40:W46,W39)</f>
        <v>521997.08599999995</v>
      </c>
      <c r="X50" s="75"/>
      <c r="Y50" s="76">
        <f t="shared" si="44"/>
        <v>718.29999999998836</v>
      </c>
      <c r="Z50" s="77">
        <f>IF((Q50)=0,"",(Y50/Q50))</f>
        <v>1.3779574755224903E-3</v>
      </c>
      <c r="AA50" s="75"/>
      <c r="AB50" s="72"/>
      <c r="AC50" s="74">
        <f>SUM(AC40:AC46,AC39)</f>
        <v>522818.31599999999</v>
      </c>
      <c r="AD50" s="75"/>
      <c r="AE50" s="76">
        <f t="shared" si="12"/>
        <v>821.23000000003958</v>
      </c>
      <c r="AF50" s="77">
        <f>IF((W50)=0,"",(AE50/W50))</f>
        <v>1.5732463303445331E-3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72576.515511718811</v>
      </c>
      <c r="I51" s="81"/>
      <c r="J51" s="79">
        <v>0.13</v>
      </c>
      <c r="K51" s="82">
        <f>K50*J51</f>
        <v>71224.690029999998</v>
      </c>
      <c r="L51" s="81"/>
      <c r="M51" s="83">
        <f t="shared" si="38"/>
        <v>-1351.8254817188135</v>
      </c>
      <c r="N51" s="84">
        <f>IF((H51)=0,"",(M51/H51))</f>
        <v>-1.8626210864319277E-2</v>
      </c>
      <c r="O51" s="212"/>
      <c r="P51" s="79">
        <v>0.13</v>
      </c>
      <c r="Q51" s="82">
        <f>Q50*P51</f>
        <v>67766.242180000001</v>
      </c>
      <c r="R51" s="81"/>
      <c r="S51" s="83">
        <f t="shared" si="41"/>
        <v>-3458.4478499999968</v>
      </c>
      <c r="T51" s="84">
        <f>IF((K51)=0,"",(S51/K51))</f>
        <v>-4.8556867689326426E-2</v>
      </c>
      <c r="U51" s="81"/>
      <c r="V51" s="79">
        <v>0.13</v>
      </c>
      <c r="W51" s="82">
        <f>W50*V51</f>
        <v>67859.621180000002</v>
      </c>
      <c r="X51" s="81"/>
      <c r="Y51" s="83">
        <f t="shared" si="44"/>
        <v>93.379000000000815</v>
      </c>
      <c r="Z51" s="84">
        <f>IF((Q51)=0,"",(Y51/Q51))</f>
        <v>1.3779574755225245E-3</v>
      </c>
      <c r="AA51" s="81"/>
      <c r="AB51" s="79">
        <v>0.13</v>
      </c>
      <c r="AC51" s="82">
        <f>AC50*AB51</f>
        <v>67966.381080000006</v>
      </c>
      <c r="AD51" s="81"/>
      <c r="AE51" s="83">
        <f t="shared" si="12"/>
        <v>106.75990000000456</v>
      </c>
      <c r="AF51" s="84">
        <f>IF((W51)=0,"",(AE51/W51))</f>
        <v>1.5732463303445242E-3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630857.40406340198</v>
      </c>
      <c r="I52" s="81"/>
      <c r="J52" s="86"/>
      <c r="K52" s="82">
        <f>K50+K51</f>
        <v>619106.92102999985</v>
      </c>
      <c r="L52" s="81"/>
      <c r="M52" s="83">
        <f t="shared" si="38"/>
        <v>-11750.483033402124</v>
      </c>
      <c r="N52" s="84">
        <f>IF((H52)=0,"",(M52/H52))</f>
        <v>-1.8626210864319485E-2</v>
      </c>
      <c r="O52" s="212"/>
      <c r="P52" s="86"/>
      <c r="Q52" s="82">
        <f>Q50+Q51</f>
        <v>589045.02817999991</v>
      </c>
      <c r="R52" s="81"/>
      <c r="S52" s="83">
        <f t="shared" si="41"/>
        <v>-30061.892849999946</v>
      </c>
      <c r="T52" s="84">
        <f>IF((K52)=0,"",(S52/K52))</f>
        <v>-4.8556867689326391E-2</v>
      </c>
      <c r="U52" s="81"/>
      <c r="V52" s="86"/>
      <c r="W52" s="82">
        <f>W50+W51</f>
        <v>589856.70717999991</v>
      </c>
      <c r="X52" s="81"/>
      <c r="Y52" s="83">
        <f t="shared" si="44"/>
        <v>811.67900000000373</v>
      </c>
      <c r="Z52" s="84">
        <f>IF((Q52)=0,"",(Y52/Q52))</f>
        <v>1.3779574755225189E-3</v>
      </c>
      <c r="AA52" s="81"/>
      <c r="AB52" s="86"/>
      <c r="AC52" s="82">
        <f>AC50+AC51</f>
        <v>590784.69707999995</v>
      </c>
      <c r="AD52" s="81"/>
      <c r="AE52" s="83">
        <f t="shared" si="12"/>
        <v>927.98990000004414</v>
      </c>
      <c r="AF52" s="84">
        <f>IF((W52)=0,"",(AE52/W52))</f>
        <v>1.5732463303445323E-3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38"/>
        <v>0</v>
      </c>
      <c r="N53" s="89" t="str">
        <f>IF((H53)=0,"",(M53/H53))</f>
        <v/>
      </c>
      <c r="O53" s="212"/>
      <c r="P53" s="86"/>
      <c r="Q53" s="87">
        <f>ROUND(-Q52*10%,2)</f>
        <v>-58904.5</v>
      </c>
      <c r="R53" s="81"/>
      <c r="S53" s="88">
        <f t="shared" si="41"/>
        <v>-58904.5</v>
      </c>
      <c r="T53" s="89" t="str">
        <f>IF((K53)=0,"",(S53/K53))</f>
        <v/>
      </c>
      <c r="U53" s="81"/>
      <c r="V53" s="86"/>
      <c r="W53" s="87">
        <f>ROUND(-W52*10%,2)</f>
        <v>-58985.67</v>
      </c>
      <c r="X53" s="81"/>
      <c r="Y53" s="88">
        <f t="shared" si="44"/>
        <v>-81.169999999998254</v>
      </c>
      <c r="Z53" s="89">
        <f>IF((Q53)=0,"",(Y53/Q53))</f>
        <v>1.377993192370672E-3</v>
      </c>
      <c r="AA53" s="81"/>
      <c r="AB53" s="86"/>
      <c r="AC53" s="87">
        <f>ROUND(-AC52*10%,2)</f>
        <v>-59078.47</v>
      </c>
      <c r="AD53" s="81"/>
      <c r="AE53" s="88">
        <f t="shared" si="12"/>
        <v>-92.80000000000291</v>
      </c>
      <c r="AF53" s="89">
        <f>IF((W53)=0,"",(AE53/W53))</f>
        <v>1.5732634722976429E-3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630857.40406340198</v>
      </c>
      <c r="I54" s="92"/>
      <c r="J54" s="90"/>
      <c r="K54" s="93">
        <f>K52+K53</f>
        <v>619106.92102999985</v>
      </c>
      <c r="L54" s="92"/>
      <c r="M54" s="94">
        <f t="shared" si="38"/>
        <v>-11750.483033402124</v>
      </c>
      <c r="N54" s="95">
        <f>IF((H54)=0,"",(M54/H54))</f>
        <v>-1.8626210864319485E-2</v>
      </c>
      <c r="O54" s="212"/>
      <c r="P54" s="90"/>
      <c r="Q54" s="93">
        <f>Q52+Q53</f>
        <v>530140.52817999991</v>
      </c>
      <c r="R54" s="92"/>
      <c r="S54" s="94">
        <f t="shared" si="41"/>
        <v>-88966.392849999946</v>
      </c>
      <c r="T54" s="95">
        <f>IF((K54)=0,"",(S54/K54))</f>
        <v>-0.14370117636867596</v>
      </c>
      <c r="U54" s="92"/>
      <c r="V54" s="90"/>
      <c r="W54" s="93">
        <f>W52+W53</f>
        <v>530871.03717999987</v>
      </c>
      <c r="X54" s="92"/>
      <c r="Y54" s="94">
        <f t="shared" si="44"/>
        <v>730.50899999996182</v>
      </c>
      <c r="Z54" s="95">
        <f>IF((Q54)=0,"",(Y54/Q54))</f>
        <v>1.3779535069839638E-3</v>
      </c>
      <c r="AA54" s="92"/>
      <c r="AB54" s="90"/>
      <c r="AC54" s="93">
        <f>AC52+AC53</f>
        <v>531706.22707999998</v>
      </c>
      <c r="AD54" s="92"/>
      <c r="AE54" s="94">
        <f t="shared" si="12"/>
        <v>835.18990000011399</v>
      </c>
      <c r="AF54" s="95">
        <f>IF((W54)=0,"",(AE54/W54))</f>
        <v>1.5732444256832383E-3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593373.08855168323</v>
      </c>
      <c r="I56" s="106"/>
      <c r="J56" s="103"/>
      <c r="K56" s="105">
        <f>SUM(K47:K48,K39,K40:K43)</f>
        <v>582974.43099999987</v>
      </c>
      <c r="L56" s="106"/>
      <c r="M56" s="107">
        <f t="shared" si="38"/>
        <v>-10398.657551683369</v>
      </c>
      <c r="N56" s="77">
        <f>IF((H56)=0,"",(M56/H56))</f>
        <v>-1.7524653126862591E-2</v>
      </c>
      <c r="O56" s="212"/>
      <c r="P56" s="103"/>
      <c r="Q56" s="105">
        <f>SUM(Q47:Q48,Q39,Q40:Q43)</f>
        <v>551390.23600000003</v>
      </c>
      <c r="R56" s="106"/>
      <c r="S56" s="107">
        <f t="shared" si="41"/>
        <v>-31584.194999999832</v>
      </c>
      <c r="T56" s="77">
        <f>IF((K56)=0,"",(S56/K56))</f>
        <v>-5.4177667699460114E-2</v>
      </c>
      <c r="U56" s="106"/>
      <c r="V56" s="103"/>
      <c r="W56" s="105">
        <f>SUM(W47:W48,W39,W40:W43)</f>
        <v>552108.53599999996</v>
      </c>
      <c r="X56" s="106"/>
      <c r="Y56" s="107">
        <f t="shared" si="44"/>
        <v>718.29999999993015</v>
      </c>
      <c r="Z56" s="77">
        <f>IF((Q56)=0,"",(Y56/Q56))</f>
        <v>1.3027071447814505E-3</v>
      </c>
      <c r="AA56" s="106"/>
      <c r="AB56" s="103"/>
      <c r="AC56" s="105">
        <f>SUM(AC47:AC48,AC39,AC40:AC43)</f>
        <v>552929.76600000006</v>
      </c>
      <c r="AD56" s="106"/>
      <c r="AE56" s="107">
        <f t="shared" si="12"/>
        <v>821.23000000009779</v>
      </c>
      <c r="AF56" s="77">
        <f>IF((W56)=0,"",(AE56/W56))</f>
        <v>1.4874430414531716E-3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77138.50151171883</v>
      </c>
      <c r="I57" s="110"/>
      <c r="J57" s="109">
        <v>0.13</v>
      </c>
      <c r="K57" s="111">
        <f>K56*J57</f>
        <v>75786.676029999988</v>
      </c>
      <c r="L57" s="110"/>
      <c r="M57" s="112">
        <f t="shared" si="38"/>
        <v>-1351.8254817188426</v>
      </c>
      <c r="N57" s="84">
        <f>IF((H57)=0,"",(M57/H57))</f>
        <v>-1.752465312686265E-2</v>
      </c>
      <c r="O57" s="212"/>
      <c r="P57" s="109">
        <v>0.13</v>
      </c>
      <c r="Q57" s="111">
        <f>Q56*P57</f>
        <v>71680.730680000008</v>
      </c>
      <c r="R57" s="110"/>
      <c r="S57" s="112">
        <f t="shared" si="41"/>
        <v>-4105.94534999998</v>
      </c>
      <c r="T57" s="84">
        <f>IF((K57)=0,"",(S57/K57))</f>
        <v>-5.4177667699460134E-2</v>
      </c>
      <c r="U57" s="110"/>
      <c r="V57" s="109">
        <v>0.13</v>
      </c>
      <c r="W57" s="111">
        <f>W56*V57</f>
        <v>71774.109679999994</v>
      </c>
      <c r="X57" s="110"/>
      <c r="Y57" s="112">
        <f t="shared" si="44"/>
        <v>93.378999999986263</v>
      </c>
      <c r="Z57" s="84">
        <f>IF((Q57)=0,"",(Y57/Q57))</f>
        <v>1.3027071447813854E-3</v>
      </c>
      <c r="AA57" s="110"/>
      <c r="AB57" s="109">
        <v>0.13</v>
      </c>
      <c r="AC57" s="111">
        <f>AC56*AB57</f>
        <v>71880.869580000013</v>
      </c>
      <c r="AD57" s="110"/>
      <c r="AE57" s="112">
        <f t="shared" si="12"/>
        <v>106.75990000001912</v>
      </c>
      <c r="AF57" s="84">
        <f>IF((W57)=0,"",(AE57/W57))</f>
        <v>1.4874430414532607E-3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670511.59006340208</v>
      </c>
      <c r="I58" s="110"/>
      <c r="J58" s="114"/>
      <c r="K58" s="111">
        <f>K56+K57</f>
        <v>658761.10702999984</v>
      </c>
      <c r="L58" s="110"/>
      <c r="M58" s="112">
        <f t="shared" si="38"/>
        <v>-11750.483033402241</v>
      </c>
      <c r="N58" s="84">
        <f>IF((H58)=0,"",(M58/H58))</f>
        <v>-1.7524653126862643E-2</v>
      </c>
      <c r="O58" s="212"/>
      <c r="P58" s="114"/>
      <c r="Q58" s="111">
        <f>Q56+Q57</f>
        <v>623070.96668000007</v>
      </c>
      <c r="R58" s="110"/>
      <c r="S58" s="112">
        <f t="shared" si="41"/>
        <v>-35690.140349999769</v>
      </c>
      <c r="T58" s="84">
        <f>IF((K58)=0,"",(S58/K58))</f>
        <v>-5.4177667699460051E-2</v>
      </c>
      <c r="U58" s="110"/>
      <c r="V58" s="114"/>
      <c r="W58" s="111">
        <f>W56+W57</f>
        <v>623882.64567999996</v>
      </c>
      <c r="X58" s="110"/>
      <c r="Y58" s="112">
        <f t="shared" si="44"/>
        <v>811.67899999988731</v>
      </c>
      <c r="Z58" s="84">
        <f>IF((Q58)=0,"",(Y58/Q58))</f>
        <v>1.3027071447813962E-3</v>
      </c>
      <c r="AA58" s="110"/>
      <c r="AB58" s="114"/>
      <c r="AC58" s="111">
        <f>AC56+AC57</f>
        <v>624810.63558000012</v>
      </c>
      <c r="AD58" s="110"/>
      <c r="AE58" s="112">
        <f t="shared" si="12"/>
        <v>927.98990000016056</v>
      </c>
      <c r="AF58" s="84">
        <f>IF((W58)=0,"",(AE58/W58))</f>
        <v>1.4874430414532518E-3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38"/>
        <v>0</v>
      </c>
      <c r="N59" s="89" t="str">
        <f>IF((H59)=0,"",(M59/H59))</f>
        <v/>
      </c>
      <c r="O59" s="212"/>
      <c r="P59" s="114"/>
      <c r="Q59" s="116">
        <f>ROUND(-Q58*10%,2)</f>
        <v>-62307.1</v>
      </c>
      <c r="R59" s="110"/>
      <c r="S59" s="117">
        <f t="shared" si="41"/>
        <v>-62307.1</v>
      </c>
      <c r="T59" s="89" t="str">
        <f>IF((K59)=0,"",(S59/K59))</f>
        <v/>
      </c>
      <c r="U59" s="110"/>
      <c r="V59" s="114"/>
      <c r="W59" s="116">
        <f>ROUND(-W58*10%,2)</f>
        <v>-62388.26</v>
      </c>
      <c r="X59" s="110"/>
      <c r="Y59" s="117">
        <f t="shared" si="44"/>
        <v>-81.160000000003492</v>
      </c>
      <c r="Z59" s="89">
        <f>IF((Q59)=0,"",(Y59/Q59))</f>
        <v>1.3025802837879389E-3</v>
      </c>
      <c r="AA59" s="110"/>
      <c r="AB59" s="114"/>
      <c r="AC59" s="116">
        <f>ROUND(-AC58*10%,2)</f>
        <v>-62481.06</v>
      </c>
      <c r="AD59" s="110"/>
      <c r="AE59" s="117">
        <f t="shared" si="12"/>
        <v>-92.799999999995634</v>
      </c>
      <c r="AF59" s="89">
        <f>IF((W59)=0,"",(AE59/W59))</f>
        <v>1.4874593393051133E-3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670511.59006340208</v>
      </c>
      <c r="I60" s="120"/>
      <c r="J60" s="118"/>
      <c r="K60" s="121">
        <f>SUM(K58:K59)</f>
        <v>658761.10702999984</v>
      </c>
      <c r="L60" s="120"/>
      <c r="M60" s="122">
        <f t="shared" si="38"/>
        <v>-11750.483033402241</v>
      </c>
      <c r="N60" s="123">
        <f>IF((H60)=0,"",(M60/H60))</f>
        <v>-1.7524653126862643E-2</v>
      </c>
      <c r="O60" s="212"/>
      <c r="P60" s="118"/>
      <c r="Q60" s="121">
        <f>SUM(Q58:Q59)</f>
        <v>560763.86668000009</v>
      </c>
      <c r="R60" s="120"/>
      <c r="S60" s="122">
        <f t="shared" si="41"/>
        <v>-97997.240349999745</v>
      </c>
      <c r="T60" s="123">
        <f>IF((K60)=0,"",(S60/K60))</f>
        <v>-0.14875990598749322</v>
      </c>
      <c r="U60" s="120"/>
      <c r="V60" s="118"/>
      <c r="W60" s="121">
        <f>SUM(W58:W59)</f>
        <v>561494.38567999995</v>
      </c>
      <c r="X60" s="120"/>
      <c r="Y60" s="122">
        <f t="shared" si="44"/>
        <v>730.51899999985471</v>
      </c>
      <c r="Z60" s="123">
        <f>IF((Q60)=0,"",(Y60/Q60))</f>
        <v>1.3027212404481214E-3</v>
      </c>
      <c r="AA60" s="120"/>
      <c r="AB60" s="118"/>
      <c r="AC60" s="121">
        <f>SUM(AC58:AC59)</f>
        <v>562329.57558000018</v>
      </c>
      <c r="AD60" s="120"/>
      <c r="AE60" s="122">
        <f t="shared" si="12"/>
        <v>835.18990000023041</v>
      </c>
      <c r="AF60" s="123">
        <f>IF((W60)=0,"",(AE60/W60))</f>
        <v>1.4874412305810867E-3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80">
        <v>6.0000000000000001E-3</v>
      </c>
      <c r="I63" s="142"/>
      <c r="J63" s="180">
        <v>6.0000000000000001E-3</v>
      </c>
      <c r="K63" s="142"/>
      <c r="L63" s="142"/>
      <c r="M63" s="142"/>
      <c r="N63" s="142"/>
      <c r="O63" s="142"/>
      <c r="P63" s="180">
        <v>6.0000000000000001E-3</v>
      </c>
      <c r="Q63" s="142"/>
      <c r="R63" s="142"/>
      <c r="S63" s="142"/>
      <c r="T63" s="142"/>
      <c r="U63" s="142"/>
      <c r="V63" s="180">
        <v>6.0000000000000001E-3</v>
      </c>
      <c r="W63" s="142"/>
      <c r="X63" s="142"/>
      <c r="Y63" s="142"/>
      <c r="Z63" s="142"/>
      <c r="AA63" s="142"/>
      <c r="AB63" s="180">
        <v>6.0000000000000001E-3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4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P79"/>
  <sheetViews>
    <sheetView showGridLines="0" zoomScaleNormal="100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1.42578125" style="1" bestFit="1" customWidth="1"/>
    <col min="7" max="7" width="13.28515625" style="1" customWidth="1"/>
    <col min="8" max="8" width="12.28515625" style="142" customWidth="1"/>
    <col min="9" max="9" width="1.7109375" style="1" customWidth="1"/>
    <col min="10" max="10" width="13.28515625" style="1" customWidth="1"/>
    <col min="11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.42578125" style="1" hidden="1" customWidth="1"/>
    <col min="26" max="26" width="7.5703125" style="1" hidden="1" customWidth="1"/>
    <col min="27" max="27" width="1.7109375" style="1" hidden="1" customWidth="1"/>
    <col min="28" max="28" width="13.5703125" style="1" hidden="1" customWidth="1"/>
    <col min="29" max="29" width="12.42578125" style="1" hidden="1" customWidth="1"/>
    <col min="30" max="30" width="1.7109375" style="1" hidden="1" customWidth="1"/>
    <col min="31" max="31" width="10.42578125" style="1" hidden="1" customWidth="1"/>
    <col min="32" max="32" width="7.5703125" style="1" hidden="1" customWidth="1"/>
    <col min="33" max="33" width="1.7109375" style="1" customWidth="1"/>
    <col min="34" max="34" width="13.5703125" style="1" bestFit="1" customWidth="1"/>
    <col min="35" max="35" width="12.42578125" style="1" bestFit="1" customWidth="1"/>
    <col min="36" max="36" width="1.7109375" style="1" customWidth="1"/>
    <col min="37" max="37" width="10.42578125" style="1" bestFit="1" customWidth="1"/>
    <col min="38" max="38" width="7.5703125" style="1" bestFit="1" customWidth="1"/>
    <col min="39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67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f>+'Summary (1)'!D22</f>
        <v>10000</v>
      </c>
      <c r="H7" s="9" t="s">
        <v>64</v>
      </c>
      <c r="J7" s="151"/>
      <c r="K7" s="151"/>
    </row>
    <row r="8" spans="2:42" x14ac:dyDescent="0.2">
      <c r="B8" s="6"/>
      <c r="G8" s="8">
        <f>+'Summary (1)'!C22</f>
        <v>5110000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23704.2</v>
      </c>
      <c r="H12" s="18">
        <f t="shared" ref="H12:H27" si="0">$F12*G12</f>
        <v>23704.2</v>
      </c>
      <c r="I12" s="19"/>
      <c r="J12" s="209">
        <v>23798.52</v>
      </c>
      <c r="K12" s="18">
        <f t="shared" ref="K12:K27" si="1">$F12*J12</f>
        <v>23798.52</v>
      </c>
      <c r="L12" s="19"/>
      <c r="M12" s="21">
        <f t="shared" ref="M12:M21" si="2">K12-H12</f>
        <v>94.319999999999709</v>
      </c>
      <c r="N12" s="22">
        <f t="shared" ref="N12:N21" si="3">IF((H12)=0,"",(M12/H12))</f>
        <v>3.9790416888146277E-3</v>
      </c>
      <c r="O12" s="212"/>
      <c r="P12" s="16">
        <v>23798.52</v>
      </c>
      <c r="Q12" s="18">
        <f t="shared" ref="Q12:Q27" si="4">$F12*P12</f>
        <v>23798.52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23892.82</v>
      </c>
      <c r="W12" s="18">
        <f t="shared" ref="W12:W27" si="6">$F12*V12</f>
        <v>23892.82</v>
      </c>
      <c r="X12" s="19"/>
      <c r="Y12" s="21">
        <f>W12-Q12</f>
        <v>94.299999999999272</v>
      </c>
      <c r="Z12" s="22">
        <f t="shared" ref="Z12:Z34" si="7">IF((Q12)=0,"",(Y12/Q12))</f>
        <v>3.9624312772390579E-3</v>
      </c>
      <c r="AA12" s="19"/>
      <c r="AB12" s="16">
        <v>24462.05</v>
      </c>
      <c r="AC12" s="18">
        <f t="shared" ref="AC12:AC27" si="8">$F12*AB12</f>
        <v>24462.05</v>
      </c>
      <c r="AD12" s="19"/>
      <c r="AE12" s="21">
        <f>AC12-W12</f>
        <v>569.22999999999956</v>
      </c>
      <c r="AF12" s="22">
        <f t="shared" ref="AF12:AF34" si="9">IF((W12)=0,"",(AE12/W12))</f>
        <v>2.3824312073668974E-2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10000</v>
      </c>
      <c r="G19" s="16">
        <v>1.3985000000000001</v>
      </c>
      <c r="H19" s="18">
        <f t="shared" si="0"/>
        <v>13985</v>
      </c>
      <c r="I19" s="19"/>
      <c r="J19" s="16">
        <v>1.4040999999999999</v>
      </c>
      <c r="K19" s="18">
        <f t="shared" si="1"/>
        <v>14040.999999999998</v>
      </c>
      <c r="L19" s="19"/>
      <c r="M19" s="21">
        <f t="shared" si="2"/>
        <v>55.999999999998181</v>
      </c>
      <c r="N19" s="22">
        <f t="shared" si="3"/>
        <v>4.0042903110474211E-3</v>
      </c>
      <c r="O19" s="212"/>
      <c r="P19" s="16">
        <v>1.4040999999999999</v>
      </c>
      <c r="Q19" s="18">
        <f t="shared" si="4"/>
        <v>14040.999999999998</v>
      </c>
      <c r="R19" s="19"/>
      <c r="S19" s="21">
        <f t="shared" si="10"/>
        <v>0</v>
      </c>
      <c r="T19" s="22">
        <f t="shared" si="5"/>
        <v>0</v>
      </c>
      <c r="U19" s="19"/>
      <c r="V19" s="16">
        <v>1.4097</v>
      </c>
      <c r="W19" s="18">
        <f t="shared" si="6"/>
        <v>14097</v>
      </c>
      <c r="X19" s="19"/>
      <c r="Y19" s="21">
        <f t="shared" si="11"/>
        <v>56.000000000001819</v>
      </c>
      <c r="Z19" s="22">
        <f t="shared" si="7"/>
        <v>3.9883199202337318E-3</v>
      </c>
      <c r="AA19" s="19"/>
      <c r="AB19" s="16">
        <v>1.4433</v>
      </c>
      <c r="AC19" s="18">
        <f t="shared" si="8"/>
        <v>14433</v>
      </c>
      <c r="AD19" s="19"/>
      <c r="AE19" s="21">
        <f t="shared" si="12"/>
        <v>336</v>
      </c>
      <c r="AF19" s="22">
        <f t="shared" si="9"/>
        <v>2.3834858480527771E-2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3">$G$7</f>
        <v>10000</v>
      </c>
      <c r="G20" s="16"/>
      <c r="H20" s="18">
        <f t="shared" si="0"/>
        <v>0</v>
      </c>
      <c r="I20" s="19"/>
      <c r="J20" s="16">
        <v>1.6000000000000001E-3</v>
      </c>
      <c r="K20" s="18">
        <f t="shared" si="1"/>
        <v>16</v>
      </c>
      <c r="L20" s="19"/>
      <c r="M20" s="21">
        <f t="shared" si="2"/>
        <v>16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-16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10000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4">$G$7</f>
        <v>10000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37689.199999999997</v>
      </c>
      <c r="I28" s="31"/>
      <c r="J28" s="28"/>
      <c r="K28" s="30">
        <f>SUM(K12:K27)</f>
        <v>37855.519999999997</v>
      </c>
      <c r="L28" s="31"/>
      <c r="M28" s="32">
        <f t="shared" si="15"/>
        <v>166.31999999999971</v>
      </c>
      <c r="N28" s="33">
        <f t="shared" si="16"/>
        <v>4.4129352705814858E-3</v>
      </c>
      <c r="O28" s="212"/>
      <c r="P28" s="28"/>
      <c r="Q28" s="30">
        <f>SUM(Q12:Q27)</f>
        <v>37839.519999999997</v>
      </c>
      <c r="R28" s="31"/>
      <c r="S28" s="32">
        <f t="shared" si="10"/>
        <v>-16</v>
      </c>
      <c r="T28" s="33">
        <f t="shared" si="5"/>
        <v>-4.226596279749955E-4</v>
      </c>
      <c r="U28" s="31"/>
      <c r="V28" s="28"/>
      <c r="W28" s="30">
        <f>SUM(W12:W27)</f>
        <v>37989.82</v>
      </c>
      <c r="X28" s="31"/>
      <c r="Y28" s="32">
        <f t="shared" si="11"/>
        <v>150.30000000000291</v>
      </c>
      <c r="Z28" s="33">
        <f t="shared" si="7"/>
        <v>3.9720377002668882E-3</v>
      </c>
      <c r="AA28" s="31"/>
      <c r="AB28" s="28"/>
      <c r="AC28" s="30">
        <f>SUM(AC12:AC27)</f>
        <v>38895.050000000003</v>
      </c>
      <c r="AD28" s="31"/>
      <c r="AE28" s="32">
        <f t="shared" si="12"/>
        <v>905.2300000000032</v>
      </c>
      <c r="AF28" s="33">
        <f t="shared" si="9"/>
        <v>2.3828225561479448E-2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10000</v>
      </c>
      <c r="G29" s="16">
        <v>0.59071404756783996</v>
      </c>
      <c r="H29" s="18">
        <f t="shared" ref="H29:H35" si="17">$F29*G29</f>
        <v>5907.1404756783995</v>
      </c>
      <c r="I29" s="19"/>
      <c r="J29" s="16">
        <v>-7.9200000000000007E-2</v>
      </c>
      <c r="K29" s="18">
        <f t="shared" ref="K29:K35" si="18">$F29*J29</f>
        <v>-792.00000000000011</v>
      </c>
      <c r="L29" s="19"/>
      <c r="M29" s="21">
        <f t="shared" si="15"/>
        <v>-6699.1404756783995</v>
      </c>
      <c r="N29" s="22">
        <f t="shared" si="16"/>
        <v>-1.1340750238225956</v>
      </c>
      <c r="O29" s="212"/>
      <c r="P29" s="16">
        <v>-7.9200000000000007E-2</v>
      </c>
      <c r="Q29" s="18">
        <f t="shared" ref="Q29:Q35" si="19">$F29*P29</f>
        <v>-792.00000000000011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792.00000000000011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3" si="22">$G$7</f>
        <v>10000</v>
      </c>
      <c r="G30" s="16"/>
      <c r="H30" s="18">
        <f t="shared" si="17"/>
        <v>0</v>
      </c>
      <c r="I30" s="19"/>
      <c r="J30" s="16"/>
      <c r="K30" s="18">
        <f t="shared" si="18"/>
        <v>0</v>
      </c>
      <c r="L30" s="19"/>
      <c r="M30" s="21">
        <f t="shared" si="15"/>
        <v>0</v>
      </c>
      <c r="N30" s="22" t="str">
        <f t="shared" si="16"/>
        <v/>
      </c>
      <c r="O30" s="212"/>
      <c r="P30" s="16">
        <v>1.6000000000000001E-3</v>
      </c>
      <c r="Q30" s="18">
        <f t="shared" si="19"/>
        <v>16</v>
      </c>
      <c r="R30" s="19"/>
      <c r="S30" s="21">
        <f t="shared" si="10"/>
        <v>16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-16</v>
      </c>
      <c r="Z30" s="22">
        <f t="shared" si="7"/>
        <v>-1</v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22"/>
        <v>10000</v>
      </c>
      <c r="G31" s="16">
        <v>0</v>
      </c>
      <c r="H31" s="18">
        <f>$F31*G31</f>
        <v>0</v>
      </c>
      <c r="I31" s="19"/>
      <c r="J31" s="16">
        <v>0</v>
      </c>
      <c r="K31" s="18">
        <f t="shared" si="18"/>
        <v>0</v>
      </c>
      <c r="L31" s="19"/>
      <c r="M31" s="21">
        <f t="shared" si="15"/>
        <v>0</v>
      </c>
      <c r="N31" s="22" t="str">
        <f t="shared" si="16"/>
        <v/>
      </c>
      <c r="O31" s="212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10000</v>
      </c>
      <c r="G32" s="16">
        <v>-0.44949300279836379</v>
      </c>
      <c r="H32" s="18">
        <f t="shared" ref="H32" si="23">$F32*G32</f>
        <v>-4494.930027983638</v>
      </c>
      <c r="I32" s="19"/>
      <c r="J32" s="16">
        <v>-1.4433</v>
      </c>
      <c r="K32" s="18">
        <f t="shared" ref="K32" si="24">$F32*J32</f>
        <v>-14433</v>
      </c>
      <c r="L32" s="19"/>
      <c r="M32" s="21">
        <f t="shared" ref="M32" si="25">K32-H32</f>
        <v>-9938.0699720163611</v>
      </c>
      <c r="N32" s="22">
        <f t="shared" ref="N32" si="26">IF((H32)=0,"",(M32/H32))</f>
        <v>2.2109509848086422</v>
      </c>
      <c r="O32" s="212"/>
      <c r="P32" s="16"/>
      <c r="Q32" s="18">
        <f t="shared" si="19"/>
        <v>0</v>
      </c>
      <c r="R32" s="36"/>
      <c r="S32" s="21">
        <f t="shared" si="10"/>
        <v>14433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2"/>
        <v>10000</v>
      </c>
      <c r="G33" s="133">
        <v>2.4920000000000001E-2</v>
      </c>
      <c r="H33" s="18">
        <f t="shared" si="17"/>
        <v>249.20000000000002</v>
      </c>
      <c r="I33" s="19"/>
      <c r="J33" s="133">
        <v>2.4920000000000001E-2</v>
      </c>
      <c r="K33" s="18">
        <f t="shared" si="18"/>
        <v>249.20000000000002</v>
      </c>
      <c r="L33" s="19"/>
      <c r="M33" s="21">
        <f t="shared" si="15"/>
        <v>0</v>
      </c>
      <c r="N33" s="22">
        <f t="shared" si="16"/>
        <v>0</v>
      </c>
      <c r="O33" s="212"/>
      <c r="P33" s="133">
        <v>2.4920000000000001E-2</v>
      </c>
      <c r="Q33" s="18">
        <f t="shared" si="19"/>
        <v>249.20000000000002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249.20000000000002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249.20000000000002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30660</v>
      </c>
      <c r="G34" s="38">
        <f>IF(ISBLANK($D$5)=TRUE, 0, IF($D$5="TOU", 0.64*#REF!+0.18*#REF!+0.18*#REF!, IF(AND($D$5="non-TOU", $F$48&gt;0), G48,G47)))</f>
        <v>0.121</v>
      </c>
      <c r="H34" s="18">
        <f t="shared" si="17"/>
        <v>3709.8599999999997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18"/>
        <v>3709.8599999999997</v>
      </c>
      <c r="L34" s="19"/>
      <c r="M34" s="21">
        <f t="shared" si="15"/>
        <v>0</v>
      </c>
      <c r="N34" s="22">
        <f t="shared" si="16"/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19"/>
        <v>3372.6</v>
      </c>
      <c r="R34" s="19"/>
      <c r="S34" s="21">
        <f t="shared" si="10"/>
        <v>-337.25999999999976</v>
      </c>
      <c r="T34" s="22">
        <f t="shared" si="5"/>
        <v>-9.0909090909090856E-2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3372.6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3372.6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212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43060.470447694759</v>
      </c>
      <c r="I36" s="31"/>
      <c r="J36" s="41"/>
      <c r="K36" s="43">
        <f>SUM(K29:K35)+K28</f>
        <v>26589.579999999998</v>
      </c>
      <c r="L36" s="31"/>
      <c r="M36" s="32">
        <f t="shared" si="15"/>
        <v>-16470.890447694761</v>
      </c>
      <c r="N36" s="33">
        <f t="shared" ref="N36:N43" si="27">IF((H36)=0,"",(M36/H36))</f>
        <v>-0.38250604966570984</v>
      </c>
      <c r="O36" s="212"/>
      <c r="P36" s="41"/>
      <c r="Q36" s="43">
        <f>SUM(Q29:Q35)+Q28</f>
        <v>40685.32</v>
      </c>
      <c r="R36" s="31"/>
      <c r="S36" s="32">
        <f t="shared" si="10"/>
        <v>14095.740000000002</v>
      </c>
      <c r="T36" s="33">
        <f t="shared" ref="T36:T43" si="28">IF((K36)=0,"",(S36/K36))</f>
        <v>0.5301227022013888</v>
      </c>
      <c r="U36" s="31"/>
      <c r="V36" s="41"/>
      <c r="W36" s="43">
        <f>SUM(W29:W35)+W28</f>
        <v>41611.620000000003</v>
      </c>
      <c r="X36" s="31"/>
      <c r="Y36" s="32">
        <f t="shared" si="11"/>
        <v>926.30000000000291</v>
      </c>
      <c r="Z36" s="33">
        <f t="shared" ref="Z36:Z43" si="29">IF((Q36)=0,"",(Y36/Q36))</f>
        <v>2.2767425695558077E-2</v>
      </c>
      <c r="AA36" s="31"/>
      <c r="AB36" s="41"/>
      <c r="AC36" s="43">
        <f>SUM(AC29:AC35)+AC28</f>
        <v>42516.850000000006</v>
      </c>
      <c r="AD36" s="31"/>
      <c r="AE36" s="32">
        <f t="shared" si="12"/>
        <v>905.2300000000032</v>
      </c>
      <c r="AF36" s="33">
        <f t="shared" ref="AF36:AF46" si="30">IF((W36)=0,"",(AE36/W36))</f>
        <v>2.1754259987955361E-2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10000</v>
      </c>
      <c r="G37" s="20">
        <v>3.0917337281873873</v>
      </c>
      <c r="H37" s="18">
        <f>$F37*G37</f>
        <v>30917.337281873872</v>
      </c>
      <c r="I37" s="19"/>
      <c r="J37" s="20">
        <v>2.9382000000000001</v>
      </c>
      <c r="K37" s="18">
        <f>$F37*J37</f>
        <v>29382</v>
      </c>
      <c r="L37" s="19"/>
      <c r="M37" s="21">
        <f t="shared" si="15"/>
        <v>-1535.3372818738717</v>
      </c>
      <c r="N37" s="22">
        <f t="shared" si="27"/>
        <v>-4.9659427908560705E-2</v>
      </c>
      <c r="O37" s="212"/>
      <c r="P37" s="20">
        <v>2.9382000000000001</v>
      </c>
      <c r="Q37" s="18">
        <f>$F37*P37</f>
        <v>29382</v>
      </c>
      <c r="R37" s="19"/>
      <c r="S37" s="21">
        <f t="shared" si="10"/>
        <v>0</v>
      </c>
      <c r="T37" s="22">
        <f t="shared" si="28"/>
        <v>0</v>
      </c>
      <c r="U37" s="19"/>
      <c r="V37" s="20">
        <v>2.9382000000000001</v>
      </c>
      <c r="W37" s="18">
        <f>$F37*V37</f>
        <v>29382</v>
      </c>
      <c r="X37" s="19"/>
      <c r="Y37" s="21">
        <f t="shared" si="11"/>
        <v>0</v>
      </c>
      <c r="Z37" s="22">
        <f t="shared" si="29"/>
        <v>0</v>
      </c>
      <c r="AA37" s="19"/>
      <c r="AB37" s="20">
        <v>2.9382000000000001</v>
      </c>
      <c r="AC37" s="18">
        <f>$F37*AB37</f>
        <v>29382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10000</v>
      </c>
      <c r="G38" s="20">
        <v>2.4378617006009056</v>
      </c>
      <c r="H38" s="18">
        <f>$F38*G38</f>
        <v>24378.617006009055</v>
      </c>
      <c r="I38" s="19"/>
      <c r="J38" s="20">
        <v>2.4376000000000002</v>
      </c>
      <c r="K38" s="18">
        <f>$F38*J38</f>
        <v>24376.000000000004</v>
      </c>
      <c r="L38" s="19"/>
      <c r="M38" s="21">
        <f t="shared" si="15"/>
        <v>-2.6170060090516927</v>
      </c>
      <c r="N38" s="22">
        <f t="shared" si="27"/>
        <v>-1.0734841965836824E-4</v>
      </c>
      <c r="O38" s="212"/>
      <c r="P38" s="20">
        <v>2.4376000000000002</v>
      </c>
      <c r="Q38" s="18">
        <f>$F38*P38</f>
        <v>24376.000000000004</v>
      </c>
      <c r="R38" s="19"/>
      <c r="S38" s="21">
        <f t="shared" si="10"/>
        <v>0</v>
      </c>
      <c r="T38" s="22">
        <f t="shared" si="28"/>
        <v>0</v>
      </c>
      <c r="U38" s="19"/>
      <c r="V38" s="20">
        <v>2.4376000000000002</v>
      </c>
      <c r="W38" s="18">
        <f>$F38*V38</f>
        <v>24376.000000000004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2.4376000000000002</v>
      </c>
      <c r="AC38" s="18">
        <f>$F38*AB38</f>
        <v>24376.000000000004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98356.424735577675</v>
      </c>
      <c r="I39" s="48"/>
      <c r="J39" s="47"/>
      <c r="K39" s="43">
        <f>SUM(K36:K38)</f>
        <v>80347.58</v>
      </c>
      <c r="L39" s="48"/>
      <c r="M39" s="32">
        <f t="shared" si="15"/>
        <v>-18008.844735577673</v>
      </c>
      <c r="N39" s="33">
        <f t="shared" si="27"/>
        <v>-0.18309779746460711</v>
      </c>
      <c r="O39" s="212"/>
      <c r="P39" s="47"/>
      <c r="Q39" s="43">
        <f>SUM(Q36:Q38)</f>
        <v>94443.32</v>
      </c>
      <c r="R39" s="48"/>
      <c r="S39" s="32">
        <f t="shared" si="10"/>
        <v>14095.740000000005</v>
      </c>
      <c r="T39" s="33">
        <f t="shared" si="28"/>
        <v>0.17543453082221028</v>
      </c>
      <c r="U39" s="48"/>
      <c r="V39" s="47"/>
      <c r="W39" s="43">
        <f>SUM(W36:W38)</f>
        <v>95369.62</v>
      </c>
      <c r="X39" s="48"/>
      <c r="Y39" s="32">
        <f t="shared" si="11"/>
        <v>926.29999999998836</v>
      </c>
      <c r="Z39" s="33">
        <f t="shared" si="29"/>
        <v>9.8079991258247616E-3</v>
      </c>
      <c r="AA39" s="48"/>
      <c r="AB39" s="47"/>
      <c r="AC39" s="43">
        <f>SUM(AC36:AC38)</f>
        <v>96274.85</v>
      </c>
      <c r="AD39" s="48"/>
      <c r="AE39" s="32">
        <f t="shared" si="12"/>
        <v>905.23000000001048</v>
      </c>
      <c r="AF39" s="33">
        <f t="shared" si="30"/>
        <v>9.4918067200017216E-3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5140660</v>
      </c>
      <c r="G40" s="50">
        <v>4.7000000000000002E-3</v>
      </c>
      <c r="H40" s="152">
        <f t="shared" ref="H40:H43" si="31">$F40*G40</f>
        <v>24161.102000000003</v>
      </c>
      <c r="I40" s="19"/>
      <c r="J40" s="50">
        <v>4.7000000000000002E-3</v>
      </c>
      <c r="K40" s="152">
        <f t="shared" ref="K40:K43" si="32">$F40*J40</f>
        <v>24161.102000000003</v>
      </c>
      <c r="L40" s="19"/>
      <c r="M40" s="21">
        <f t="shared" si="15"/>
        <v>0</v>
      </c>
      <c r="N40" s="153">
        <f t="shared" si="27"/>
        <v>0</v>
      </c>
      <c r="O40" s="212"/>
      <c r="P40" s="50">
        <v>4.7000000000000002E-3</v>
      </c>
      <c r="Q40" s="152">
        <f t="shared" ref="Q40:Q43" si="33">$F40*P40</f>
        <v>24161.102000000003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3" si="34">$F40*V40</f>
        <v>24161.102000000003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24161.102000000003</v>
      </c>
      <c r="AD40" s="19"/>
      <c r="AE40" s="21">
        <f t="shared" si="12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5140660</v>
      </c>
      <c r="G41" s="50">
        <v>1.2999999999999999E-3</v>
      </c>
      <c r="H41" s="152">
        <f t="shared" si="31"/>
        <v>6682.8579999999993</v>
      </c>
      <c r="I41" s="19"/>
      <c r="J41" s="50">
        <v>2.0999999999999999E-3</v>
      </c>
      <c r="K41" s="152">
        <f t="shared" si="32"/>
        <v>10795.385999999999</v>
      </c>
      <c r="L41" s="19"/>
      <c r="M41" s="21">
        <f t="shared" si="15"/>
        <v>4112.5279999999993</v>
      </c>
      <c r="N41" s="153">
        <f t="shared" si="27"/>
        <v>0.61538461538461531</v>
      </c>
      <c r="O41" s="212"/>
      <c r="P41" s="50">
        <v>2.0999999999999999E-3</v>
      </c>
      <c r="Q41" s="152">
        <f t="shared" si="33"/>
        <v>10795.385999999999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10795.385999999999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10795.385999999999</v>
      </c>
      <c r="AD41" s="19"/>
      <c r="AE41" s="21">
        <f t="shared" si="12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15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2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5110000</v>
      </c>
      <c r="G43" s="50">
        <v>7.0000000000000001E-3</v>
      </c>
      <c r="H43" s="152">
        <f t="shared" si="31"/>
        <v>35770</v>
      </c>
      <c r="I43" s="19"/>
      <c r="J43" s="50">
        <v>7.0000000000000001E-3</v>
      </c>
      <c r="K43" s="152">
        <f t="shared" si="32"/>
        <v>35770</v>
      </c>
      <c r="L43" s="19"/>
      <c r="M43" s="21">
        <f t="shared" si="15"/>
        <v>0</v>
      </c>
      <c r="N43" s="153">
        <f t="shared" si="27"/>
        <v>0</v>
      </c>
      <c r="O43" s="212"/>
      <c r="P43" s="50">
        <v>7.0000000000000001E-3</v>
      </c>
      <c r="Q43" s="152">
        <f t="shared" si="33"/>
        <v>35770</v>
      </c>
      <c r="R43" s="19"/>
      <c r="S43" s="21">
        <f t="shared" si="10"/>
        <v>0</v>
      </c>
      <c r="T43" s="153">
        <f t="shared" si="28"/>
        <v>0</v>
      </c>
      <c r="U43" s="19"/>
      <c r="V43" s="50">
        <v>7.0000000000000001E-3</v>
      </c>
      <c r="W43" s="152">
        <f t="shared" si="34"/>
        <v>35770</v>
      </c>
      <c r="X43" s="19"/>
      <c r="Y43" s="21">
        <f t="shared" si="11"/>
        <v>0</v>
      </c>
      <c r="Z43" s="153">
        <f t="shared" si="29"/>
        <v>0</v>
      </c>
      <c r="AA43" s="19"/>
      <c r="AB43" s="50">
        <v>7.0000000000000001E-3</v>
      </c>
      <c r="AC43" s="152">
        <f t="shared" si="35"/>
        <v>35770</v>
      </c>
      <c r="AD43" s="19"/>
      <c r="AE43" s="21">
        <f t="shared" si="12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3270400</v>
      </c>
      <c r="G44" s="54">
        <v>8.6999999999999994E-2</v>
      </c>
      <c r="H44" s="152">
        <f t="shared" ref="H44:H48" si="36">$F44*G44</f>
        <v>284524.79999999999</v>
      </c>
      <c r="I44" s="19"/>
      <c r="J44" s="54">
        <f>+G44</f>
        <v>8.6999999999999994E-2</v>
      </c>
      <c r="K44" s="152">
        <f t="shared" ref="K44:K48" si="37">$F44*J44</f>
        <v>284524.79999999999</v>
      </c>
      <c r="L44" s="19"/>
      <c r="M44" s="21">
        <f t="shared" ref="M44:M60" si="38">K44-H44</f>
        <v>0</v>
      </c>
      <c r="N44" s="153">
        <f t="shared" ref="N44:N46" si="39">IF((H44)=0,"",(M44/H44))</f>
        <v>0</v>
      </c>
      <c r="O44" s="212"/>
      <c r="P44" s="54">
        <v>0.08</v>
      </c>
      <c r="Q44" s="152">
        <f t="shared" ref="Q44:Q48" si="40">$F44*P44</f>
        <v>261632</v>
      </c>
      <c r="R44" s="19"/>
      <c r="S44" s="21">
        <f t="shared" ref="S44:S60" si="41">Q44-K44</f>
        <v>-22892.799999999988</v>
      </c>
      <c r="T44" s="153">
        <f t="shared" ref="T44:T46" si="42">IF((K44)=0,"",(S44/K44))</f>
        <v>-8.0459770114942486E-2</v>
      </c>
      <c r="U44" s="19"/>
      <c r="V44" s="54">
        <v>0.08</v>
      </c>
      <c r="W44" s="152">
        <f t="shared" ref="W44:W48" si="43">$F44*V44</f>
        <v>261632</v>
      </c>
      <c r="X44" s="19"/>
      <c r="Y44" s="21">
        <f t="shared" ref="Y44:Y60" si="44">W44-Q44</f>
        <v>0</v>
      </c>
      <c r="Z44" s="153">
        <f t="shared" ref="Z44:Z46" si="45">IF((Q44)=0,"",(Y44/Q44))</f>
        <v>0</v>
      </c>
      <c r="AA44" s="19"/>
      <c r="AB44" s="54">
        <v>0.08</v>
      </c>
      <c r="AC44" s="152">
        <f t="shared" si="35"/>
        <v>261632</v>
      </c>
      <c r="AD44" s="19"/>
      <c r="AE44" s="21">
        <f t="shared" si="12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919800</v>
      </c>
      <c r="G45" s="54">
        <v>0.13200000000000001</v>
      </c>
      <c r="H45" s="152">
        <f t="shared" si="36"/>
        <v>121413.6</v>
      </c>
      <c r="I45" s="19"/>
      <c r="J45" s="54">
        <f>+G45</f>
        <v>0.13200000000000001</v>
      </c>
      <c r="K45" s="152">
        <f t="shared" si="37"/>
        <v>121413.6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112215.59999999999</v>
      </c>
      <c r="R45" s="19"/>
      <c r="S45" s="21">
        <f t="shared" si="41"/>
        <v>-9198.0000000000146</v>
      </c>
      <c r="T45" s="153">
        <f t="shared" si="42"/>
        <v>-7.5757575757575871E-2</v>
      </c>
      <c r="U45" s="19"/>
      <c r="V45" s="54">
        <v>0.122</v>
      </c>
      <c r="W45" s="152">
        <f t="shared" si="43"/>
        <v>112215.59999999999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112215.59999999999</v>
      </c>
      <c r="AD45" s="19"/>
      <c r="AE45" s="21">
        <f t="shared" si="12"/>
        <v>0</v>
      </c>
      <c r="AF45" s="153">
        <f t="shared" si="30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919800</v>
      </c>
      <c r="G46" s="54">
        <v>0.18</v>
      </c>
      <c r="H46" s="152">
        <f t="shared" si="36"/>
        <v>165564</v>
      </c>
      <c r="I46" s="19"/>
      <c r="J46" s="54">
        <f>+G46</f>
        <v>0.18</v>
      </c>
      <c r="K46" s="152">
        <f t="shared" si="37"/>
        <v>165564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148087.80000000002</v>
      </c>
      <c r="R46" s="19"/>
      <c r="S46" s="21">
        <f t="shared" si="41"/>
        <v>-17476.199999999983</v>
      </c>
      <c r="T46" s="153">
        <f t="shared" si="42"/>
        <v>-0.10555555555555544</v>
      </c>
      <c r="U46" s="19"/>
      <c r="V46" s="54">
        <v>0.161</v>
      </c>
      <c r="W46" s="152">
        <f t="shared" si="43"/>
        <v>148087.80000000002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148087.80000000002</v>
      </c>
      <c r="AD46" s="19"/>
      <c r="AE46" s="21">
        <f t="shared" si="12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5109250</v>
      </c>
      <c r="G48" s="54">
        <v>0.121</v>
      </c>
      <c r="H48" s="152">
        <f t="shared" si="36"/>
        <v>618219.25</v>
      </c>
      <c r="I48" s="59"/>
      <c r="J48" s="54">
        <f>+G48</f>
        <v>0.121</v>
      </c>
      <c r="K48" s="152">
        <f t="shared" si="37"/>
        <v>618219.25</v>
      </c>
      <c r="L48" s="59"/>
      <c r="M48" s="60">
        <f t="shared" si="38"/>
        <v>0</v>
      </c>
      <c r="N48" s="153">
        <f>IF((H48)=FALSE,"",(M48/H48))</f>
        <v>0</v>
      </c>
      <c r="O48" s="212"/>
      <c r="P48" s="54">
        <v>0.11</v>
      </c>
      <c r="Q48" s="152">
        <f t="shared" si="40"/>
        <v>562017.5</v>
      </c>
      <c r="R48" s="59"/>
      <c r="S48" s="60">
        <f t="shared" si="41"/>
        <v>-56201.75</v>
      </c>
      <c r="T48" s="153">
        <f>IF((K48)=FALSE,"",(S48/K48))</f>
        <v>-9.0909090909090912E-2</v>
      </c>
      <c r="U48" s="59"/>
      <c r="V48" s="54">
        <v>0.11</v>
      </c>
      <c r="W48" s="152">
        <f t="shared" si="43"/>
        <v>562017.5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562017.5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736473.03473557765</v>
      </c>
      <c r="I50" s="75"/>
      <c r="J50" s="72"/>
      <c r="K50" s="74">
        <f>SUM(K40:K46,K39)</f>
        <v>722576.71799999999</v>
      </c>
      <c r="L50" s="75"/>
      <c r="M50" s="76">
        <f t="shared" si="38"/>
        <v>-13896.316735577653</v>
      </c>
      <c r="N50" s="77">
        <f>IF((H50)=0,"",(M50/H50))</f>
        <v>-1.8868737998760498E-2</v>
      </c>
      <c r="O50" s="212"/>
      <c r="P50" s="72"/>
      <c r="Q50" s="74">
        <f>SUM(Q40:Q46,Q39)</f>
        <v>687105.4580000001</v>
      </c>
      <c r="R50" s="75"/>
      <c r="S50" s="76">
        <f t="shared" si="41"/>
        <v>-35471.259999999893</v>
      </c>
      <c r="T50" s="77">
        <f>IF((K50)=0,"",(S50/K50))</f>
        <v>-4.9089956978104428E-2</v>
      </c>
      <c r="U50" s="75"/>
      <c r="V50" s="72"/>
      <c r="W50" s="74">
        <f>SUM(W40:W46,W39)</f>
        <v>688031.75800000003</v>
      </c>
      <c r="X50" s="75"/>
      <c r="Y50" s="76">
        <f t="shared" si="44"/>
        <v>926.29999999993015</v>
      </c>
      <c r="Z50" s="77">
        <f>IF((Q50)=0,"",(Y50/Q50))</f>
        <v>1.3481191121609895E-3</v>
      </c>
      <c r="AA50" s="75"/>
      <c r="AB50" s="72"/>
      <c r="AC50" s="74">
        <f>SUM(AC40:AC46,AC39)</f>
        <v>688936.98800000001</v>
      </c>
      <c r="AD50" s="75"/>
      <c r="AE50" s="76">
        <f t="shared" si="12"/>
        <v>905.22999999998137</v>
      </c>
      <c r="AF50" s="77">
        <f>IF((W50)=0,"",(AE50/W50))</f>
        <v>1.315680547408658E-3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95741.494515625091</v>
      </c>
      <c r="I51" s="81"/>
      <c r="J51" s="79">
        <v>0.13</v>
      </c>
      <c r="K51" s="82">
        <f>K50*J51</f>
        <v>93934.973339999997</v>
      </c>
      <c r="L51" s="81"/>
      <c r="M51" s="83">
        <f t="shared" si="38"/>
        <v>-1806.5211756250937</v>
      </c>
      <c r="N51" s="84">
        <f>IF((H51)=0,"",(M51/H51))</f>
        <v>-1.8868737998760484E-2</v>
      </c>
      <c r="O51" s="212"/>
      <c r="P51" s="79">
        <v>0.13</v>
      </c>
      <c r="Q51" s="82">
        <f>Q50*P51</f>
        <v>89323.709540000011</v>
      </c>
      <c r="R51" s="81"/>
      <c r="S51" s="83">
        <f t="shared" si="41"/>
        <v>-4611.2637999999861</v>
      </c>
      <c r="T51" s="84">
        <f>IF((K51)=0,"",(S51/K51))</f>
        <v>-4.9089956978104428E-2</v>
      </c>
      <c r="U51" s="81"/>
      <c r="V51" s="79">
        <v>0.13</v>
      </c>
      <c r="W51" s="82">
        <f>W50*V51</f>
        <v>89444.128540000005</v>
      </c>
      <c r="X51" s="81"/>
      <c r="Y51" s="83">
        <f t="shared" si="44"/>
        <v>120.41899999999441</v>
      </c>
      <c r="Z51" s="84">
        <f>IF((Q51)=0,"",(Y51/Q51))</f>
        <v>1.3481191121610286E-3</v>
      </c>
      <c r="AA51" s="81"/>
      <c r="AB51" s="79">
        <v>0.13</v>
      </c>
      <c r="AC51" s="82">
        <f>AC50*AB51</f>
        <v>89561.808440000008</v>
      </c>
      <c r="AD51" s="81"/>
      <c r="AE51" s="83">
        <f t="shared" si="12"/>
        <v>117.67990000000282</v>
      </c>
      <c r="AF51" s="84">
        <f>IF((W51)=0,"",(AE51/W51))</f>
        <v>1.3156805474087165E-3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832214.52925120271</v>
      </c>
      <c r="I52" s="81"/>
      <c r="J52" s="86"/>
      <c r="K52" s="82">
        <f>K50+K51</f>
        <v>816511.69134000002</v>
      </c>
      <c r="L52" s="81"/>
      <c r="M52" s="83">
        <f t="shared" si="38"/>
        <v>-15702.837911202689</v>
      </c>
      <c r="N52" s="84">
        <f>IF((H52)=0,"",(M52/H52))</f>
        <v>-1.8868737998760425E-2</v>
      </c>
      <c r="O52" s="212"/>
      <c r="P52" s="86"/>
      <c r="Q52" s="82">
        <f>Q50+Q51</f>
        <v>776429.16754000005</v>
      </c>
      <c r="R52" s="81"/>
      <c r="S52" s="83">
        <f t="shared" si="41"/>
        <v>-40082.523799999966</v>
      </c>
      <c r="T52" s="84">
        <f>IF((K52)=0,"",(S52/K52))</f>
        <v>-4.9089956978104532E-2</v>
      </c>
      <c r="U52" s="81"/>
      <c r="V52" s="86"/>
      <c r="W52" s="82">
        <f>W50+W51</f>
        <v>777475.88654000009</v>
      </c>
      <c r="X52" s="81"/>
      <c r="Y52" s="83">
        <f t="shared" si="44"/>
        <v>1046.719000000041</v>
      </c>
      <c r="Z52" s="84">
        <f>IF((Q52)=0,"",(Y52/Q52))</f>
        <v>1.3481191121611439E-3</v>
      </c>
      <c r="AA52" s="81"/>
      <c r="AB52" s="86"/>
      <c r="AC52" s="82">
        <f>AC50+AC51</f>
        <v>778498.79644000006</v>
      </c>
      <c r="AD52" s="81"/>
      <c r="AE52" s="83">
        <f t="shared" si="12"/>
        <v>1022.9098999999696</v>
      </c>
      <c r="AF52" s="84">
        <f>IF((W52)=0,"",(AE52/W52))</f>
        <v>1.315680547408646E-3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38"/>
        <v>0</v>
      </c>
      <c r="N53" s="89" t="str">
        <f>IF((H53)=0,"",(M53/H53))</f>
        <v/>
      </c>
      <c r="O53" s="212"/>
      <c r="P53" s="86"/>
      <c r="Q53" s="87">
        <f>ROUND(-Q52*10%,2)</f>
        <v>-77642.92</v>
      </c>
      <c r="R53" s="81"/>
      <c r="S53" s="88">
        <f t="shared" si="41"/>
        <v>-77642.92</v>
      </c>
      <c r="T53" s="89" t="str">
        <f>IF((K53)=0,"",(S53/K53))</f>
        <v/>
      </c>
      <c r="U53" s="81"/>
      <c r="V53" s="86"/>
      <c r="W53" s="87">
        <f>ROUND(-W52*10%,2)</f>
        <v>-77747.59</v>
      </c>
      <c r="X53" s="81"/>
      <c r="Y53" s="88">
        <f t="shared" si="44"/>
        <v>-104.66999999999825</v>
      </c>
      <c r="Z53" s="89">
        <f>IF((Q53)=0,"",(Y53/Q53))</f>
        <v>1.3480945847992097E-3</v>
      </c>
      <c r="AA53" s="81"/>
      <c r="AB53" s="86"/>
      <c r="AC53" s="87">
        <f>ROUND(-AC52*10%,2)</f>
        <v>-77849.88</v>
      </c>
      <c r="AD53" s="81"/>
      <c r="AE53" s="88">
        <f t="shared" si="12"/>
        <v>-102.29000000000815</v>
      </c>
      <c r="AF53" s="89">
        <f>IF((W53)=0,"",(AE53/W53))</f>
        <v>1.3156677911174888E-3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832214.52925120271</v>
      </c>
      <c r="I54" s="92"/>
      <c r="J54" s="90"/>
      <c r="K54" s="93">
        <f>K52+K53</f>
        <v>816511.69134000002</v>
      </c>
      <c r="L54" s="92"/>
      <c r="M54" s="94">
        <f t="shared" si="38"/>
        <v>-15702.837911202689</v>
      </c>
      <c r="N54" s="95">
        <f>IF((H54)=0,"",(M54/H54))</f>
        <v>-1.8868737998760425E-2</v>
      </c>
      <c r="O54" s="212"/>
      <c r="P54" s="90"/>
      <c r="Q54" s="93">
        <f>Q52+Q53</f>
        <v>698786.24754000001</v>
      </c>
      <c r="R54" s="92"/>
      <c r="S54" s="94">
        <f t="shared" si="41"/>
        <v>-117725.44380000001</v>
      </c>
      <c r="T54" s="95">
        <f>IF((K54)=0,"",(S54/K54))</f>
        <v>-0.14418096525574239</v>
      </c>
      <c r="U54" s="92"/>
      <c r="V54" s="90"/>
      <c r="W54" s="93">
        <f>W52+W53</f>
        <v>699728.29654000013</v>
      </c>
      <c r="X54" s="92"/>
      <c r="Y54" s="94">
        <f t="shared" si="44"/>
        <v>942.04900000011548</v>
      </c>
      <c r="Z54" s="95">
        <f>IF((Q54)=0,"",(Y54/Q54))</f>
        <v>1.348121837423812E-3</v>
      </c>
      <c r="AA54" s="92"/>
      <c r="AB54" s="90"/>
      <c r="AC54" s="93">
        <f>AC52+AC53</f>
        <v>700648.91644000006</v>
      </c>
      <c r="AD54" s="92"/>
      <c r="AE54" s="94">
        <f t="shared" si="12"/>
        <v>920.61989999993239</v>
      </c>
      <c r="AF54" s="95">
        <f>IF((W54)=0,"",(AE54/W54))</f>
        <v>1.3156819647743157E-3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783267.13473557762</v>
      </c>
      <c r="I56" s="106"/>
      <c r="J56" s="103"/>
      <c r="K56" s="105">
        <f>SUM(K47:K48,K39,K40:K43)</f>
        <v>769370.81799999997</v>
      </c>
      <c r="L56" s="106"/>
      <c r="M56" s="107">
        <f t="shared" si="38"/>
        <v>-13896.316735577653</v>
      </c>
      <c r="N56" s="77">
        <f>IF((H56)=0,"",(M56/H56))</f>
        <v>-1.7741478123257267E-2</v>
      </c>
      <c r="O56" s="212"/>
      <c r="P56" s="103"/>
      <c r="Q56" s="105">
        <f>SUM(Q47:Q48,Q39,Q40:Q43)</f>
        <v>727258.05799999996</v>
      </c>
      <c r="R56" s="106"/>
      <c r="S56" s="107">
        <f t="shared" si="41"/>
        <v>-42112.760000000009</v>
      </c>
      <c r="T56" s="77">
        <f>IF((K56)=0,"",(S56/K56))</f>
        <v>-5.4736622464409627E-2</v>
      </c>
      <c r="U56" s="106"/>
      <c r="V56" s="103"/>
      <c r="W56" s="105">
        <f>SUM(W47:W48,W39,W40:W43)</f>
        <v>728184.35800000001</v>
      </c>
      <c r="X56" s="106"/>
      <c r="Y56" s="107">
        <f t="shared" si="44"/>
        <v>926.30000000004657</v>
      </c>
      <c r="Z56" s="77">
        <f>IF((Q56)=0,"",(Y56/Q56))</f>
        <v>1.2736881906092908E-3</v>
      </c>
      <c r="AA56" s="106"/>
      <c r="AB56" s="103"/>
      <c r="AC56" s="105">
        <f>SUM(AC47:AC48,AC39,AC40:AC43)</f>
        <v>729089.58799999999</v>
      </c>
      <c r="AD56" s="106"/>
      <c r="AE56" s="107">
        <f t="shared" si="12"/>
        <v>905.22999999998137</v>
      </c>
      <c r="AF56" s="77">
        <f>IF((W56)=0,"",(AE56/W56))</f>
        <v>1.2431329924282462E-3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101824.7275156251</v>
      </c>
      <c r="I57" s="110"/>
      <c r="J57" s="109">
        <v>0.13</v>
      </c>
      <c r="K57" s="111">
        <f>K56*J57</f>
        <v>100018.20634</v>
      </c>
      <c r="L57" s="110"/>
      <c r="M57" s="112">
        <f t="shared" si="38"/>
        <v>-1806.5211756250937</v>
      </c>
      <c r="N57" s="84">
        <f>IF((H57)=0,"",(M57/H57))</f>
        <v>-1.7741478123257257E-2</v>
      </c>
      <c r="O57" s="212"/>
      <c r="P57" s="109">
        <v>0.13</v>
      </c>
      <c r="Q57" s="111">
        <f>Q56*P57</f>
        <v>94543.54754</v>
      </c>
      <c r="R57" s="110"/>
      <c r="S57" s="112">
        <f t="shared" si="41"/>
        <v>-5474.6588000000047</v>
      </c>
      <c r="T57" s="84">
        <f>IF((K57)=0,"",(S57/K57))</f>
        <v>-5.4736622464409655E-2</v>
      </c>
      <c r="U57" s="110"/>
      <c r="V57" s="109">
        <v>0.13</v>
      </c>
      <c r="W57" s="111">
        <f>W56*V57</f>
        <v>94663.966540000009</v>
      </c>
      <c r="X57" s="110"/>
      <c r="Y57" s="112">
        <f t="shared" si="44"/>
        <v>120.41900000000896</v>
      </c>
      <c r="Z57" s="84">
        <f>IF((Q57)=0,"",(Y57/Q57))</f>
        <v>1.2736881906093215E-3</v>
      </c>
      <c r="AA57" s="110"/>
      <c r="AB57" s="109">
        <v>0.13</v>
      </c>
      <c r="AC57" s="111">
        <f>AC56*AB57</f>
        <v>94781.646439999997</v>
      </c>
      <c r="AD57" s="110"/>
      <c r="AE57" s="112">
        <f t="shared" si="12"/>
        <v>117.67989999998827</v>
      </c>
      <c r="AF57" s="84">
        <f>IF((W57)=0,"",(AE57/W57))</f>
        <v>1.2431329924281478E-3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885091.86225120269</v>
      </c>
      <c r="I58" s="110"/>
      <c r="J58" s="114"/>
      <c r="K58" s="111">
        <f>K56+K57</f>
        <v>869389.02434</v>
      </c>
      <c r="L58" s="110"/>
      <c r="M58" s="112">
        <f t="shared" si="38"/>
        <v>-15702.837911202689</v>
      </c>
      <c r="N58" s="84">
        <f>IF((H58)=0,"",(M58/H58))</f>
        <v>-1.7741478123257201E-2</v>
      </c>
      <c r="O58" s="212"/>
      <c r="P58" s="114"/>
      <c r="Q58" s="111">
        <f>Q56+Q57</f>
        <v>821801.6055399999</v>
      </c>
      <c r="R58" s="110"/>
      <c r="S58" s="112">
        <f t="shared" si="41"/>
        <v>-47587.418800000101</v>
      </c>
      <c r="T58" s="84">
        <f>IF((K58)=0,"",(S58/K58))</f>
        <v>-5.4736622464409732E-2</v>
      </c>
      <c r="U58" s="110"/>
      <c r="V58" s="114"/>
      <c r="W58" s="111">
        <f>W56+W57</f>
        <v>822848.32454000006</v>
      </c>
      <c r="X58" s="110"/>
      <c r="Y58" s="112">
        <f t="shared" si="44"/>
        <v>1046.7190000001574</v>
      </c>
      <c r="Z58" s="84">
        <f>IF((Q58)=0,"",(Y58/Q58))</f>
        <v>1.2736881906094183E-3</v>
      </c>
      <c r="AA58" s="110"/>
      <c r="AB58" s="114"/>
      <c r="AC58" s="111">
        <f>AC56+AC57</f>
        <v>823871.23444000003</v>
      </c>
      <c r="AD58" s="110"/>
      <c r="AE58" s="112">
        <f t="shared" si="12"/>
        <v>1022.9098999999696</v>
      </c>
      <c r="AF58" s="84">
        <f>IF((W58)=0,"",(AE58/W58))</f>
        <v>1.243132992428235E-3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38"/>
        <v>0</v>
      </c>
      <c r="N59" s="89" t="str">
        <f>IF((H59)=0,"",(M59/H59))</f>
        <v/>
      </c>
      <c r="O59" s="212"/>
      <c r="P59" s="114"/>
      <c r="Q59" s="116">
        <f>ROUND(-Q58*10%,2)</f>
        <v>-82180.160000000003</v>
      </c>
      <c r="R59" s="110"/>
      <c r="S59" s="117">
        <f t="shared" si="41"/>
        <v>-82180.160000000003</v>
      </c>
      <c r="T59" s="89" t="str">
        <f>IF((K59)=0,"",(S59/K59))</f>
        <v/>
      </c>
      <c r="U59" s="110"/>
      <c r="V59" s="114"/>
      <c r="W59" s="116">
        <f>ROUND(-W58*10%,2)</f>
        <v>-82284.83</v>
      </c>
      <c r="X59" s="110"/>
      <c r="Y59" s="117">
        <f t="shared" si="44"/>
        <v>-104.66999999999825</v>
      </c>
      <c r="Z59" s="89">
        <f>IF((Q59)=0,"",(Y59/Q59))</f>
        <v>1.2736650792599851E-3</v>
      </c>
      <c r="AA59" s="110"/>
      <c r="AB59" s="114"/>
      <c r="AC59" s="116">
        <f>ROUND(-AC58*10%,2)</f>
        <v>-82387.12</v>
      </c>
      <c r="AD59" s="110"/>
      <c r="AE59" s="117">
        <f t="shared" si="12"/>
        <v>-102.2899999999936</v>
      </c>
      <c r="AF59" s="89">
        <f>IF((W59)=0,"",(AE59/W59))</f>
        <v>1.2431209981231485E-3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885091.86225120269</v>
      </c>
      <c r="I60" s="120"/>
      <c r="J60" s="118"/>
      <c r="K60" s="121">
        <f>SUM(K58:K59)</f>
        <v>869389.02434</v>
      </c>
      <c r="L60" s="120"/>
      <c r="M60" s="122">
        <f t="shared" si="38"/>
        <v>-15702.837911202689</v>
      </c>
      <c r="N60" s="123">
        <f>IF((H60)=0,"",(M60/H60))</f>
        <v>-1.7741478123257201E-2</v>
      </c>
      <c r="O60" s="212"/>
      <c r="P60" s="118"/>
      <c r="Q60" s="121">
        <f>SUM(Q58:Q59)</f>
        <v>739621.44553999987</v>
      </c>
      <c r="R60" s="120"/>
      <c r="S60" s="122">
        <f t="shared" si="41"/>
        <v>-129767.57880000013</v>
      </c>
      <c r="T60" s="123">
        <f>IF((K60)=0,"",(S60/K60))</f>
        <v>-0.14926295958073968</v>
      </c>
      <c r="U60" s="120"/>
      <c r="V60" s="118"/>
      <c r="W60" s="121">
        <f>SUM(W58:W59)</f>
        <v>740563.4945400001</v>
      </c>
      <c r="X60" s="120"/>
      <c r="Y60" s="122">
        <f t="shared" si="44"/>
        <v>942.0490000002319</v>
      </c>
      <c r="Z60" s="123">
        <f>IF((Q60)=0,"",(Y60/Q60))</f>
        <v>1.2736907585372123E-3</v>
      </c>
      <c r="AA60" s="120"/>
      <c r="AB60" s="118"/>
      <c r="AC60" s="121">
        <f>SUM(AC58:AC59)</f>
        <v>741484.11444000003</v>
      </c>
      <c r="AD60" s="120"/>
      <c r="AE60" s="122">
        <f t="shared" si="12"/>
        <v>920.61989999993239</v>
      </c>
      <c r="AF60" s="123">
        <f>IF((W60)=0,"",(AE60/W60))</f>
        <v>1.2431343251286969E-3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80">
        <v>6.0000000000000001E-3</v>
      </c>
      <c r="I63" s="142"/>
      <c r="J63" s="180">
        <v>6.0000000000000001E-3</v>
      </c>
      <c r="K63" s="142"/>
      <c r="L63" s="142"/>
      <c r="M63" s="142"/>
      <c r="N63" s="142"/>
      <c r="O63" s="142"/>
      <c r="P63" s="180">
        <v>6.0000000000000001E-3</v>
      </c>
      <c r="Q63" s="142"/>
      <c r="R63" s="142"/>
      <c r="S63" s="142"/>
      <c r="T63" s="142"/>
      <c r="U63" s="142"/>
      <c r="V63" s="180">
        <v>6.0000000000000001E-3</v>
      </c>
      <c r="W63" s="142"/>
      <c r="X63" s="142"/>
      <c r="Y63" s="142"/>
      <c r="Z63" s="142"/>
      <c r="AA63" s="142"/>
      <c r="AB63" s="180">
        <v>6.0000000000000001E-3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49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rgb="FFFFC000"/>
    <pageSetUpPr fitToPage="1"/>
  </sheetPr>
  <dimension ref="A1:AP79"/>
  <sheetViews>
    <sheetView showGridLines="0" zoomScaleNormal="100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1.42578125" style="1" bestFit="1" customWidth="1"/>
    <col min="7" max="7" width="13.28515625" style="1" customWidth="1"/>
    <col min="8" max="8" width="13.85546875" style="142" bestFit="1" customWidth="1"/>
    <col min="9" max="9" width="1.7109375" style="1" customWidth="1"/>
    <col min="10" max="10" width="13.28515625" style="1" customWidth="1"/>
    <col min="11" max="11" width="13.85546875" style="1" bestFit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.42578125" style="1" hidden="1" customWidth="1"/>
    <col min="26" max="26" width="7.5703125" style="1" hidden="1" customWidth="1"/>
    <col min="27" max="27" width="1.7109375" style="1" hidden="1" customWidth="1"/>
    <col min="28" max="28" width="13.5703125" style="1" hidden="1" customWidth="1"/>
    <col min="29" max="29" width="12.42578125" style="1" hidden="1" customWidth="1"/>
    <col min="30" max="30" width="1.7109375" style="1" hidden="1" customWidth="1"/>
    <col min="31" max="31" width="10.42578125" style="1" hidden="1" customWidth="1"/>
    <col min="32" max="32" width="7.5703125" style="1" hidden="1" customWidth="1"/>
    <col min="33" max="33" width="1.7109375" style="1" customWidth="1"/>
    <col min="34" max="34" width="13.5703125" style="1" bestFit="1" customWidth="1"/>
    <col min="35" max="35" width="12.42578125" style="1" bestFit="1" customWidth="1"/>
    <col min="36" max="36" width="1.7109375" style="1" customWidth="1"/>
    <col min="37" max="37" width="10.42578125" style="1" bestFit="1" customWidth="1"/>
    <col min="38" max="38" width="7.5703125" style="1" bestFit="1" customWidth="1"/>
    <col min="39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67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f>+'Summary (1)'!D23</f>
        <v>12500</v>
      </c>
      <c r="H7" s="9" t="s">
        <v>64</v>
      </c>
      <c r="J7" s="151"/>
      <c r="K7" s="151"/>
    </row>
    <row r="8" spans="2:42" x14ac:dyDescent="0.2">
      <c r="B8" s="6"/>
      <c r="G8" s="8">
        <f>+'Summary (1)'!C23</f>
        <v>6387500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23704.2</v>
      </c>
      <c r="H12" s="18">
        <f t="shared" ref="H12:H27" si="0">$F12*G12</f>
        <v>23704.2</v>
      </c>
      <c r="I12" s="19"/>
      <c r="J12" s="209">
        <v>23798.52</v>
      </c>
      <c r="K12" s="18">
        <f t="shared" ref="K12:K27" si="1">$F12*J12</f>
        <v>23798.52</v>
      </c>
      <c r="L12" s="19"/>
      <c r="M12" s="21">
        <f t="shared" ref="M12:M21" si="2">K12-H12</f>
        <v>94.319999999999709</v>
      </c>
      <c r="N12" s="22">
        <f t="shared" ref="N12:N21" si="3">IF((H12)=0,"",(M12/H12))</f>
        <v>3.9790416888146277E-3</v>
      </c>
      <c r="O12" s="212"/>
      <c r="P12" s="16">
        <v>23798.52</v>
      </c>
      <c r="Q12" s="18">
        <f t="shared" ref="Q12:Q27" si="4">$F12*P12</f>
        <v>23798.52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23892.82</v>
      </c>
      <c r="W12" s="18">
        <f t="shared" ref="W12:W27" si="6">$F12*V12</f>
        <v>23892.82</v>
      </c>
      <c r="X12" s="19"/>
      <c r="Y12" s="21">
        <f>W12-Q12</f>
        <v>94.299999999999272</v>
      </c>
      <c r="Z12" s="22">
        <f t="shared" ref="Z12:Z34" si="7">IF((Q12)=0,"",(Y12/Q12))</f>
        <v>3.9624312772390579E-3</v>
      </c>
      <c r="AA12" s="19"/>
      <c r="AB12" s="16">
        <v>24462.05</v>
      </c>
      <c r="AC12" s="18">
        <f t="shared" ref="AC12:AC27" si="8">$F12*AB12</f>
        <v>24462.05</v>
      </c>
      <c r="AD12" s="19"/>
      <c r="AE12" s="21">
        <f>AC12-W12</f>
        <v>569.22999999999956</v>
      </c>
      <c r="AF12" s="22">
        <f t="shared" ref="AF12:AF34" si="9">IF((W12)=0,"",(AE12/W12))</f>
        <v>2.3824312073668974E-2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43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3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12500</v>
      </c>
      <c r="G19" s="16">
        <v>1.3985000000000001</v>
      </c>
      <c r="H19" s="18">
        <f t="shared" si="0"/>
        <v>17481.25</v>
      </c>
      <c r="I19" s="19"/>
      <c r="J19" s="16">
        <v>1.4040999999999999</v>
      </c>
      <c r="K19" s="18">
        <f t="shared" si="1"/>
        <v>17551.25</v>
      </c>
      <c r="L19" s="19"/>
      <c r="M19" s="21">
        <f t="shared" si="2"/>
        <v>70</v>
      </c>
      <c r="N19" s="22">
        <f t="shared" si="3"/>
        <v>4.0042903110475512E-3</v>
      </c>
      <c r="O19" s="212"/>
      <c r="P19" s="16">
        <v>1.4040999999999999</v>
      </c>
      <c r="Q19" s="18">
        <f t="shared" si="4"/>
        <v>17551.25</v>
      </c>
      <c r="R19" s="19"/>
      <c r="S19" s="21">
        <f t="shared" si="10"/>
        <v>0</v>
      </c>
      <c r="T19" s="22">
        <f t="shared" si="5"/>
        <v>0</v>
      </c>
      <c r="U19" s="19"/>
      <c r="V19" s="16">
        <v>1.4097</v>
      </c>
      <c r="W19" s="18">
        <f t="shared" si="6"/>
        <v>17621.25</v>
      </c>
      <c r="X19" s="19"/>
      <c r="Y19" s="21">
        <f t="shared" si="11"/>
        <v>70</v>
      </c>
      <c r="Z19" s="22">
        <f t="shared" si="7"/>
        <v>3.9883199202336017E-3</v>
      </c>
      <c r="AA19" s="19"/>
      <c r="AB19" s="16">
        <v>1.4433</v>
      </c>
      <c r="AC19" s="18">
        <f t="shared" si="8"/>
        <v>18041.25</v>
      </c>
      <c r="AD19" s="19"/>
      <c r="AE19" s="21">
        <f t="shared" si="12"/>
        <v>420</v>
      </c>
      <c r="AF19" s="22">
        <f t="shared" si="9"/>
        <v>2.3834858480527771E-2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3">$G$7</f>
        <v>12500</v>
      </c>
      <c r="G20" s="16"/>
      <c r="H20" s="18">
        <f t="shared" si="0"/>
        <v>0</v>
      </c>
      <c r="I20" s="19"/>
      <c r="J20" s="16">
        <v>1.6000000000000001E-3</v>
      </c>
      <c r="K20" s="18">
        <f t="shared" si="1"/>
        <v>20</v>
      </c>
      <c r="L20" s="19"/>
      <c r="M20" s="21">
        <f t="shared" si="2"/>
        <v>20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-20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12500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4">$G$7</f>
        <v>12500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3" si="15">K24-H24</f>
        <v>0</v>
      </c>
      <c r="N24" s="22" t="str">
        <f t="shared" ref="N24:N34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12500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12500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12500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41185.449999999997</v>
      </c>
      <c r="I28" s="31"/>
      <c r="J28" s="28"/>
      <c r="K28" s="30">
        <f>SUM(K12:K27)</f>
        <v>41369.770000000004</v>
      </c>
      <c r="L28" s="31"/>
      <c r="M28" s="32">
        <f t="shared" si="15"/>
        <v>184.32000000000698</v>
      </c>
      <c r="N28" s="33">
        <f t="shared" si="16"/>
        <v>4.4753669074881295E-3</v>
      </c>
      <c r="O28" s="212"/>
      <c r="P28" s="28"/>
      <c r="Q28" s="30">
        <f>SUM(Q12:Q27)</f>
        <v>41349.770000000004</v>
      </c>
      <c r="R28" s="31"/>
      <c r="S28" s="32">
        <f t="shared" si="10"/>
        <v>-20</v>
      </c>
      <c r="T28" s="33">
        <f t="shared" si="5"/>
        <v>-4.8344479555965621E-4</v>
      </c>
      <c r="U28" s="31"/>
      <c r="V28" s="28"/>
      <c r="W28" s="30">
        <f>SUM(W12:W27)</f>
        <v>41514.07</v>
      </c>
      <c r="X28" s="31"/>
      <c r="Y28" s="32">
        <f t="shared" si="11"/>
        <v>164.29999999999563</v>
      </c>
      <c r="Z28" s="33">
        <f t="shared" si="7"/>
        <v>3.9734199247056425E-3</v>
      </c>
      <c r="AA28" s="31"/>
      <c r="AB28" s="28"/>
      <c r="AC28" s="30">
        <f>SUM(AC12:AC27)</f>
        <v>42503.3</v>
      </c>
      <c r="AD28" s="31"/>
      <c r="AE28" s="32">
        <f t="shared" si="12"/>
        <v>989.2300000000032</v>
      </c>
      <c r="AF28" s="33">
        <f t="shared" si="9"/>
        <v>2.3828788649245983E-2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12500</v>
      </c>
      <c r="G29" s="16">
        <v>0.59071404756783996</v>
      </c>
      <c r="H29" s="18">
        <f t="shared" ref="H29:H35" si="17">$F29*G29</f>
        <v>7383.9255945979994</v>
      </c>
      <c r="I29" s="19"/>
      <c r="J29" s="16">
        <v>-7.9200000000000007E-2</v>
      </c>
      <c r="K29" s="18">
        <f t="shared" ref="K29:K35" si="18">$F29*J29</f>
        <v>-990.00000000000011</v>
      </c>
      <c r="L29" s="19"/>
      <c r="M29" s="21">
        <f t="shared" si="15"/>
        <v>-8373.9255945980003</v>
      </c>
      <c r="N29" s="22">
        <f t="shared" si="16"/>
        <v>-1.1340750238225956</v>
      </c>
      <c r="O29" s="212"/>
      <c r="P29" s="16">
        <v>-7.9200000000000007E-2</v>
      </c>
      <c r="Q29" s="18">
        <f t="shared" ref="Q29:Q35" si="19">$F29*P29</f>
        <v>-990.00000000000011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990.00000000000011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3" si="22">$G$7</f>
        <v>12500</v>
      </c>
      <c r="G30" s="16"/>
      <c r="H30" s="18">
        <f t="shared" si="17"/>
        <v>0</v>
      </c>
      <c r="I30" s="19"/>
      <c r="J30" s="16"/>
      <c r="K30" s="18">
        <f t="shared" si="18"/>
        <v>0</v>
      </c>
      <c r="L30" s="19"/>
      <c r="M30" s="21">
        <f t="shared" si="15"/>
        <v>0</v>
      </c>
      <c r="N30" s="22" t="str">
        <f t="shared" si="16"/>
        <v/>
      </c>
      <c r="O30" s="212"/>
      <c r="P30" s="16">
        <v>1.6000000000000001E-3</v>
      </c>
      <c r="Q30" s="18">
        <f t="shared" si="19"/>
        <v>20</v>
      </c>
      <c r="R30" s="19"/>
      <c r="S30" s="21">
        <f t="shared" si="10"/>
        <v>20</v>
      </c>
      <c r="T30" s="22" t="str">
        <f t="shared" si="5"/>
        <v/>
      </c>
      <c r="U30" s="19"/>
      <c r="V30" s="16">
        <v>0</v>
      </c>
      <c r="W30" s="18">
        <f t="shared" si="20"/>
        <v>0</v>
      </c>
      <c r="X30" s="19"/>
      <c r="Y30" s="21">
        <f t="shared" si="11"/>
        <v>-20</v>
      </c>
      <c r="Z30" s="22">
        <f t="shared" si="7"/>
        <v>-1</v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22"/>
        <v>12500</v>
      </c>
      <c r="G31" s="16">
        <v>0</v>
      </c>
      <c r="H31" s="18">
        <f>$F31*G31</f>
        <v>0</v>
      </c>
      <c r="I31" s="19"/>
      <c r="J31" s="16">
        <v>0</v>
      </c>
      <c r="K31" s="18">
        <f t="shared" si="18"/>
        <v>0</v>
      </c>
      <c r="L31" s="19"/>
      <c r="M31" s="21">
        <f t="shared" si="15"/>
        <v>0</v>
      </c>
      <c r="N31" s="22" t="str">
        <f t="shared" si="16"/>
        <v/>
      </c>
      <c r="O31" s="212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12500</v>
      </c>
      <c r="G32" s="16">
        <v>-0.44949300279836379</v>
      </c>
      <c r="H32" s="18">
        <f t="shared" ref="H32" si="23">$F32*G32</f>
        <v>-5618.6625349795477</v>
      </c>
      <c r="I32" s="19"/>
      <c r="J32" s="16">
        <v>-1.4433</v>
      </c>
      <c r="K32" s="18">
        <f t="shared" ref="K32" si="24">$F32*J32</f>
        <v>-18041.25</v>
      </c>
      <c r="L32" s="19"/>
      <c r="M32" s="21">
        <f t="shared" ref="M32" si="25">K32-H32</f>
        <v>-12422.587465020453</v>
      </c>
      <c r="N32" s="22">
        <f t="shared" ref="N32" si="26">IF((H32)=0,"",(M32/H32))</f>
        <v>2.2109509848086422</v>
      </c>
      <c r="O32" s="212"/>
      <c r="P32" s="16"/>
      <c r="Q32" s="18">
        <f t="shared" si="19"/>
        <v>0</v>
      </c>
      <c r="R32" s="36"/>
      <c r="S32" s="21">
        <f t="shared" si="10"/>
        <v>18041.25</v>
      </c>
      <c r="T32" s="22">
        <f t="shared" si="5"/>
        <v>-1</v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2"/>
        <v>12500</v>
      </c>
      <c r="G33" s="133">
        <v>2.4920000000000001E-2</v>
      </c>
      <c r="H33" s="18">
        <f t="shared" si="17"/>
        <v>311.5</v>
      </c>
      <c r="I33" s="19"/>
      <c r="J33" s="133">
        <v>2.4920000000000001E-2</v>
      </c>
      <c r="K33" s="18">
        <f t="shared" si="18"/>
        <v>311.5</v>
      </c>
      <c r="L33" s="19"/>
      <c r="M33" s="21">
        <f t="shared" si="15"/>
        <v>0</v>
      </c>
      <c r="N33" s="22">
        <f t="shared" si="16"/>
        <v>0</v>
      </c>
      <c r="O33" s="212"/>
      <c r="P33" s="133">
        <v>2.4920000000000001E-2</v>
      </c>
      <c r="Q33" s="18">
        <f t="shared" si="19"/>
        <v>311.5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0"/>
        <v>311.5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1"/>
        <v>311.5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38325</v>
      </c>
      <c r="G34" s="38">
        <f>IF(ISBLANK($D$5)=TRUE, 0, IF($D$5="TOU", 0.64*#REF!+0.18*#REF!+0.18*#REF!, IF(AND($D$5="non-TOU", $F$48&gt;0), G48,G47)))</f>
        <v>0.121</v>
      </c>
      <c r="H34" s="18">
        <f t="shared" si="17"/>
        <v>4637.3249999999998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18"/>
        <v>4637.3249999999998</v>
      </c>
      <c r="L34" s="19"/>
      <c r="M34" s="21">
        <f t="shared" si="15"/>
        <v>0</v>
      </c>
      <c r="N34" s="22">
        <f t="shared" si="16"/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19"/>
        <v>4215.75</v>
      </c>
      <c r="R34" s="19"/>
      <c r="S34" s="21">
        <f t="shared" si="10"/>
        <v>-421.57499999999982</v>
      </c>
      <c r="T34" s="22">
        <f t="shared" si="5"/>
        <v>-9.090909090909087E-2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0"/>
        <v>4215.75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1"/>
        <v>4215.75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212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47899.538059618448</v>
      </c>
      <c r="I36" s="31"/>
      <c r="J36" s="41"/>
      <c r="K36" s="43">
        <f>SUM(K29:K35)+K28</f>
        <v>27287.345000000005</v>
      </c>
      <c r="L36" s="31"/>
      <c r="M36" s="32">
        <f t="shared" si="15"/>
        <v>-20612.193059618443</v>
      </c>
      <c r="N36" s="33">
        <f t="shared" ref="N36:N43" si="27">IF((H36)=0,"",(M36/H36))</f>
        <v>-0.43032133282712148</v>
      </c>
      <c r="O36" s="212"/>
      <c r="P36" s="41"/>
      <c r="Q36" s="43">
        <f>SUM(Q29:Q35)+Q28</f>
        <v>44907.020000000004</v>
      </c>
      <c r="R36" s="31"/>
      <c r="S36" s="32">
        <f t="shared" si="10"/>
        <v>17619.674999999999</v>
      </c>
      <c r="T36" s="33">
        <f t="shared" ref="T36:T43" si="28">IF((K36)=0,"",(S36/K36))</f>
        <v>0.64570866091955803</v>
      </c>
      <c r="U36" s="31"/>
      <c r="V36" s="41"/>
      <c r="W36" s="43">
        <f>SUM(W29:W35)+W28</f>
        <v>46041.32</v>
      </c>
      <c r="X36" s="31"/>
      <c r="Y36" s="32">
        <f t="shared" si="11"/>
        <v>1134.2999999999956</v>
      </c>
      <c r="Z36" s="33">
        <f t="shared" ref="Z36:Z43" si="29">IF((Q36)=0,"",(Y36/Q36))</f>
        <v>2.5258857078470039E-2</v>
      </c>
      <c r="AA36" s="31"/>
      <c r="AB36" s="41"/>
      <c r="AC36" s="43">
        <f>SUM(AC29:AC35)+AC28</f>
        <v>47030.55</v>
      </c>
      <c r="AD36" s="31"/>
      <c r="AE36" s="32">
        <f t="shared" si="12"/>
        <v>989.2300000000032</v>
      </c>
      <c r="AF36" s="33">
        <f t="shared" ref="AF36:AF46" si="30">IF((W36)=0,"",(AE36/W36))</f>
        <v>2.1485700236222663E-2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12500</v>
      </c>
      <c r="G37" s="20">
        <v>3.0917337281873873</v>
      </c>
      <c r="H37" s="18">
        <f>$F37*G37</f>
        <v>38646.671602342343</v>
      </c>
      <c r="I37" s="19"/>
      <c r="J37" s="20">
        <v>2.9382000000000001</v>
      </c>
      <c r="K37" s="18">
        <f>$F37*J37</f>
        <v>36727.5</v>
      </c>
      <c r="L37" s="19"/>
      <c r="M37" s="21">
        <f t="shared" si="15"/>
        <v>-1919.1716023423432</v>
      </c>
      <c r="N37" s="22">
        <f t="shared" si="27"/>
        <v>-4.9659427908560795E-2</v>
      </c>
      <c r="O37" s="212"/>
      <c r="P37" s="20">
        <v>2.9382000000000001</v>
      </c>
      <c r="Q37" s="18">
        <f>$F37*P37</f>
        <v>36727.5</v>
      </c>
      <c r="R37" s="19"/>
      <c r="S37" s="21">
        <f t="shared" si="10"/>
        <v>0</v>
      </c>
      <c r="T37" s="22">
        <f t="shared" si="28"/>
        <v>0</v>
      </c>
      <c r="U37" s="19"/>
      <c r="V37" s="20">
        <v>2.9382000000000001</v>
      </c>
      <c r="W37" s="18">
        <f>$F37*V37</f>
        <v>36727.5</v>
      </c>
      <c r="X37" s="19"/>
      <c r="Y37" s="21">
        <f t="shared" si="11"/>
        <v>0</v>
      </c>
      <c r="Z37" s="22">
        <f t="shared" si="29"/>
        <v>0</v>
      </c>
      <c r="AA37" s="19"/>
      <c r="AB37" s="20">
        <v>2.9382000000000001</v>
      </c>
      <c r="AC37" s="18">
        <f>$F37*AB37</f>
        <v>36727.5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12500</v>
      </c>
      <c r="G38" s="20">
        <v>2.4378617006009056</v>
      </c>
      <c r="H38" s="18">
        <f>$F38*G38</f>
        <v>30473.271257511318</v>
      </c>
      <c r="I38" s="19"/>
      <c r="J38" s="20">
        <v>2.4376000000000002</v>
      </c>
      <c r="K38" s="18">
        <f>$F38*J38</f>
        <v>30470.000000000004</v>
      </c>
      <c r="L38" s="19"/>
      <c r="M38" s="21">
        <f t="shared" si="15"/>
        <v>-3.2712575113146158</v>
      </c>
      <c r="N38" s="22">
        <f t="shared" si="27"/>
        <v>-1.0734841965836824E-4</v>
      </c>
      <c r="O38" s="212"/>
      <c r="P38" s="20">
        <v>2.4376000000000002</v>
      </c>
      <c r="Q38" s="18">
        <f>$F38*P38</f>
        <v>30470.000000000004</v>
      </c>
      <c r="R38" s="19"/>
      <c r="S38" s="21">
        <f t="shared" si="10"/>
        <v>0</v>
      </c>
      <c r="T38" s="22">
        <f t="shared" si="28"/>
        <v>0</v>
      </c>
      <c r="U38" s="19"/>
      <c r="V38" s="20">
        <v>2.4376000000000002</v>
      </c>
      <c r="W38" s="18">
        <f>$F38*V38</f>
        <v>30470.000000000004</v>
      </c>
      <c r="X38" s="19"/>
      <c r="Y38" s="21">
        <f t="shared" si="11"/>
        <v>0</v>
      </c>
      <c r="Z38" s="22">
        <f t="shared" si="29"/>
        <v>0</v>
      </c>
      <c r="AA38" s="19"/>
      <c r="AB38" s="20">
        <v>2.4376000000000002</v>
      </c>
      <c r="AC38" s="18">
        <f>$F38*AB38</f>
        <v>30470.000000000004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117019.48091947212</v>
      </c>
      <c r="I39" s="48"/>
      <c r="J39" s="47"/>
      <c r="K39" s="43">
        <f>SUM(K36:K38)</f>
        <v>94484.845000000001</v>
      </c>
      <c r="L39" s="48"/>
      <c r="M39" s="32">
        <f t="shared" si="15"/>
        <v>-22534.635919472115</v>
      </c>
      <c r="N39" s="33">
        <f t="shared" si="27"/>
        <v>-0.19257166193532771</v>
      </c>
      <c r="O39" s="212"/>
      <c r="P39" s="47"/>
      <c r="Q39" s="43">
        <f>SUM(Q36:Q38)</f>
        <v>112104.52</v>
      </c>
      <c r="R39" s="48"/>
      <c r="S39" s="32">
        <f t="shared" si="10"/>
        <v>17619.675000000003</v>
      </c>
      <c r="T39" s="33">
        <f t="shared" si="28"/>
        <v>0.18648149340775236</v>
      </c>
      <c r="U39" s="48"/>
      <c r="V39" s="47"/>
      <c r="W39" s="43">
        <f>SUM(W36:W38)</f>
        <v>113238.82</v>
      </c>
      <c r="X39" s="48"/>
      <c r="Y39" s="32">
        <f t="shared" si="11"/>
        <v>1134.3000000000029</v>
      </c>
      <c r="Z39" s="33">
        <f t="shared" si="29"/>
        <v>1.0118236088964146E-2</v>
      </c>
      <c r="AA39" s="48"/>
      <c r="AB39" s="47"/>
      <c r="AC39" s="43">
        <f>SUM(AC36:AC38)</f>
        <v>114228.05</v>
      </c>
      <c r="AD39" s="48"/>
      <c r="AE39" s="32">
        <f t="shared" si="12"/>
        <v>989.22999999999593</v>
      </c>
      <c r="AF39" s="33">
        <f t="shared" si="30"/>
        <v>8.7357851309294455E-3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6425825</v>
      </c>
      <c r="G40" s="50">
        <v>4.7000000000000002E-3</v>
      </c>
      <c r="H40" s="152">
        <f t="shared" ref="H40:H43" si="31">$F40*G40</f>
        <v>30201.377500000002</v>
      </c>
      <c r="I40" s="19"/>
      <c r="J40" s="50">
        <v>4.7000000000000002E-3</v>
      </c>
      <c r="K40" s="152">
        <f t="shared" ref="K40:K43" si="32">$F40*J40</f>
        <v>30201.377500000002</v>
      </c>
      <c r="L40" s="19"/>
      <c r="M40" s="21">
        <f t="shared" si="15"/>
        <v>0</v>
      </c>
      <c r="N40" s="153">
        <f t="shared" si="27"/>
        <v>0</v>
      </c>
      <c r="O40" s="212"/>
      <c r="P40" s="50">
        <v>4.7000000000000002E-3</v>
      </c>
      <c r="Q40" s="152">
        <f t="shared" ref="Q40:Q43" si="33">$F40*P40</f>
        <v>30201.377500000002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3" si="34">$F40*V40</f>
        <v>30201.377500000002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30201.377500000002</v>
      </c>
      <c r="AD40" s="19"/>
      <c r="AE40" s="21">
        <f t="shared" si="12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6425825</v>
      </c>
      <c r="G41" s="50">
        <v>1.2999999999999999E-3</v>
      </c>
      <c r="H41" s="152">
        <f t="shared" si="31"/>
        <v>8353.5725000000002</v>
      </c>
      <c r="I41" s="19"/>
      <c r="J41" s="50">
        <v>2.0999999999999999E-3</v>
      </c>
      <c r="K41" s="152">
        <f t="shared" si="32"/>
        <v>13494.2325</v>
      </c>
      <c r="L41" s="19"/>
      <c r="M41" s="21">
        <f t="shared" si="15"/>
        <v>5140.66</v>
      </c>
      <c r="N41" s="153">
        <f t="shared" si="27"/>
        <v>0.61538461538461531</v>
      </c>
      <c r="O41" s="212"/>
      <c r="P41" s="50">
        <v>2.0999999999999999E-3</v>
      </c>
      <c r="Q41" s="152">
        <f t="shared" si="33"/>
        <v>13494.2325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13494.2325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13494.2325</v>
      </c>
      <c r="AD41" s="19"/>
      <c r="AE41" s="21">
        <f t="shared" si="12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15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2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6387500</v>
      </c>
      <c r="G43" s="50">
        <v>7.0000000000000001E-3</v>
      </c>
      <c r="H43" s="152">
        <f t="shared" si="31"/>
        <v>44712.5</v>
      </c>
      <c r="I43" s="19"/>
      <c r="J43" s="50">
        <v>7.0000000000000001E-3</v>
      </c>
      <c r="K43" s="152">
        <f t="shared" si="32"/>
        <v>44712.5</v>
      </c>
      <c r="L43" s="19"/>
      <c r="M43" s="21">
        <f t="shared" si="15"/>
        <v>0</v>
      </c>
      <c r="N43" s="153">
        <f t="shared" si="27"/>
        <v>0</v>
      </c>
      <c r="O43" s="212"/>
      <c r="P43" s="50">
        <v>7.0000000000000001E-3</v>
      </c>
      <c r="Q43" s="152">
        <f t="shared" si="33"/>
        <v>44712.5</v>
      </c>
      <c r="R43" s="19"/>
      <c r="S43" s="21">
        <f t="shared" si="10"/>
        <v>0</v>
      </c>
      <c r="T43" s="153">
        <f t="shared" si="28"/>
        <v>0</v>
      </c>
      <c r="U43" s="19"/>
      <c r="V43" s="50">
        <v>7.0000000000000001E-3</v>
      </c>
      <c r="W43" s="152">
        <f t="shared" si="34"/>
        <v>44712.5</v>
      </c>
      <c r="X43" s="19"/>
      <c r="Y43" s="21">
        <f t="shared" si="11"/>
        <v>0</v>
      </c>
      <c r="Z43" s="153">
        <f t="shared" si="29"/>
        <v>0</v>
      </c>
      <c r="AA43" s="19"/>
      <c r="AB43" s="50">
        <v>7.0000000000000001E-3</v>
      </c>
      <c r="AC43" s="152">
        <f t="shared" si="35"/>
        <v>44712.5</v>
      </c>
      <c r="AD43" s="19"/>
      <c r="AE43" s="21">
        <f t="shared" si="12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4088000</v>
      </c>
      <c r="G44" s="54">
        <v>8.6999999999999994E-2</v>
      </c>
      <c r="H44" s="152">
        <f t="shared" ref="H44:H48" si="36">$F44*G44</f>
        <v>355656</v>
      </c>
      <c r="I44" s="19"/>
      <c r="J44" s="54">
        <f>+G44</f>
        <v>8.6999999999999994E-2</v>
      </c>
      <c r="K44" s="152">
        <f t="shared" ref="K44:K48" si="37">$F44*J44</f>
        <v>355656</v>
      </c>
      <c r="L44" s="19"/>
      <c r="M44" s="21">
        <f t="shared" ref="M44:M60" si="38">K44-H44</f>
        <v>0</v>
      </c>
      <c r="N44" s="153">
        <f t="shared" ref="N44:N46" si="39">IF((H44)=0,"",(M44/H44))</f>
        <v>0</v>
      </c>
      <c r="O44" s="212"/>
      <c r="P44" s="54">
        <v>0.08</v>
      </c>
      <c r="Q44" s="152">
        <f t="shared" ref="Q44:Q48" si="40">$F44*P44</f>
        <v>327040</v>
      </c>
      <c r="R44" s="19"/>
      <c r="S44" s="21">
        <f t="shared" ref="S44:S60" si="41">Q44-K44</f>
        <v>-28616</v>
      </c>
      <c r="T44" s="153">
        <f t="shared" ref="T44:T46" si="42">IF((K44)=0,"",(S44/K44))</f>
        <v>-8.0459770114942528E-2</v>
      </c>
      <c r="U44" s="19"/>
      <c r="V44" s="54">
        <v>0.08</v>
      </c>
      <c r="W44" s="152">
        <f t="shared" ref="W44:W48" si="43">$F44*V44</f>
        <v>327040</v>
      </c>
      <c r="X44" s="19"/>
      <c r="Y44" s="21">
        <f t="shared" ref="Y44:Y60" si="44">W44-Q44</f>
        <v>0</v>
      </c>
      <c r="Z44" s="153">
        <f t="shared" ref="Z44:Z46" si="45">IF((Q44)=0,"",(Y44/Q44))</f>
        <v>0</v>
      </c>
      <c r="AA44" s="19"/>
      <c r="AB44" s="54">
        <v>0.08</v>
      </c>
      <c r="AC44" s="152">
        <f t="shared" si="35"/>
        <v>327040</v>
      </c>
      <c r="AD44" s="19"/>
      <c r="AE44" s="21">
        <f t="shared" si="12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1149750</v>
      </c>
      <c r="G45" s="54">
        <v>0.13200000000000001</v>
      </c>
      <c r="H45" s="152">
        <f t="shared" si="36"/>
        <v>151767</v>
      </c>
      <c r="I45" s="19"/>
      <c r="J45" s="54">
        <f>+G45</f>
        <v>0.13200000000000001</v>
      </c>
      <c r="K45" s="152">
        <f t="shared" si="37"/>
        <v>151767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140269.5</v>
      </c>
      <c r="R45" s="19"/>
      <c r="S45" s="21">
        <f t="shared" si="41"/>
        <v>-11497.5</v>
      </c>
      <c r="T45" s="153">
        <f t="shared" si="42"/>
        <v>-7.575757575757576E-2</v>
      </c>
      <c r="U45" s="19"/>
      <c r="V45" s="54">
        <v>0.122</v>
      </c>
      <c r="W45" s="152">
        <f t="shared" si="43"/>
        <v>140269.5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140269.5</v>
      </c>
      <c r="AD45" s="19"/>
      <c r="AE45" s="21">
        <f t="shared" si="12"/>
        <v>0</v>
      </c>
      <c r="AF45" s="153">
        <f t="shared" si="30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1149750</v>
      </c>
      <c r="G46" s="54">
        <v>0.18</v>
      </c>
      <c r="H46" s="152">
        <f t="shared" si="36"/>
        <v>206955</v>
      </c>
      <c r="I46" s="19"/>
      <c r="J46" s="54">
        <f>+G46</f>
        <v>0.18</v>
      </c>
      <c r="K46" s="152">
        <f t="shared" si="37"/>
        <v>206955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185109.75</v>
      </c>
      <c r="R46" s="19"/>
      <c r="S46" s="21">
        <f t="shared" si="41"/>
        <v>-21845.25</v>
      </c>
      <c r="T46" s="153">
        <f t="shared" si="42"/>
        <v>-0.10555555555555556</v>
      </c>
      <c r="U46" s="19"/>
      <c r="V46" s="54">
        <v>0.161</v>
      </c>
      <c r="W46" s="152">
        <f t="shared" si="43"/>
        <v>185109.75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185109.75</v>
      </c>
      <c r="AD46" s="19"/>
      <c r="AE46" s="21">
        <f t="shared" si="12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6386750</v>
      </c>
      <c r="G48" s="54">
        <v>0.121</v>
      </c>
      <c r="H48" s="152">
        <f t="shared" si="36"/>
        <v>772796.75</v>
      </c>
      <c r="I48" s="59"/>
      <c r="J48" s="54">
        <f>+G48</f>
        <v>0.121</v>
      </c>
      <c r="K48" s="152">
        <f t="shared" si="37"/>
        <v>772796.75</v>
      </c>
      <c r="L48" s="59"/>
      <c r="M48" s="60">
        <f t="shared" si="38"/>
        <v>0</v>
      </c>
      <c r="N48" s="153">
        <f>IF((H48)=FALSE,"",(M48/H48))</f>
        <v>0</v>
      </c>
      <c r="O48" s="212"/>
      <c r="P48" s="54">
        <v>0.11</v>
      </c>
      <c r="Q48" s="152">
        <f t="shared" si="40"/>
        <v>702542.5</v>
      </c>
      <c r="R48" s="59"/>
      <c r="S48" s="60">
        <f t="shared" si="41"/>
        <v>-70254.25</v>
      </c>
      <c r="T48" s="153">
        <f>IF((K48)=FALSE,"",(S48/K48))</f>
        <v>-9.0909090909090912E-2</v>
      </c>
      <c r="U48" s="59"/>
      <c r="V48" s="54">
        <v>0.11</v>
      </c>
      <c r="W48" s="152">
        <f t="shared" si="43"/>
        <v>702542.5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702542.5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914665.18091947213</v>
      </c>
      <c r="I50" s="75"/>
      <c r="J50" s="72"/>
      <c r="K50" s="74">
        <f>SUM(K40:K46,K39)</f>
        <v>897271.20499999996</v>
      </c>
      <c r="L50" s="75"/>
      <c r="M50" s="76">
        <f t="shared" si="38"/>
        <v>-17393.97591947217</v>
      </c>
      <c r="N50" s="77">
        <f>IF((H50)=0,"",(M50/H50))</f>
        <v>-1.9016768411351116E-2</v>
      </c>
      <c r="O50" s="212"/>
      <c r="P50" s="72"/>
      <c r="Q50" s="74">
        <f>SUM(Q40:Q46,Q39)</f>
        <v>852932.13</v>
      </c>
      <c r="R50" s="75"/>
      <c r="S50" s="76">
        <f t="shared" si="41"/>
        <v>-44339.074999999953</v>
      </c>
      <c r="T50" s="77">
        <f>IF((K50)=0,"",(S50/K50))</f>
        <v>-4.9415466308204946E-2</v>
      </c>
      <c r="U50" s="75"/>
      <c r="V50" s="72"/>
      <c r="W50" s="74">
        <f>SUM(W40:W46,W39)</f>
        <v>854066.42999999993</v>
      </c>
      <c r="X50" s="75"/>
      <c r="Y50" s="76">
        <f t="shared" si="44"/>
        <v>1134.2999999999302</v>
      </c>
      <c r="Z50" s="77">
        <f>IF((Q50)=0,"",(Y50/Q50))</f>
        <v>1.3298830705321537E-3</v>
      </c>
      <c r="AA50" s="75"/>
      <c r="AB50" s="72"/>
      <c r="AC50" s="74">
        <f>SUM(AC40:AC46,AC39)</f>
        <v>855055.66</v>
      </c>
      <c r="AD50" s="75"/>
      <c r="AE50" s="76">
        <f t="shared" si="12"/>
        <v>989.23000000009779</v>
      </c>
      <c r="AF50" s="77">
        <f>IF((W50)=0,"",(AE50/W50))</f>
        <v>1.1582588487877902E-3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118906.47351953138</v>
      </c>
      <c r="I51" s="81"/>
      <c r="J51" s="79">
        <v>0.13</v>
      </c>
      <c r="K51" s="82">
        <f>K50*J51</f>
        <v>116645.25665</v>
      </c>
      <c r="L51" s="81"/>
      <c r="M51" s="83">
        <f t="shared" si="38"/>
        <v>-2261.2168695313885</v>
      </c>
      <c r="N51" s="84">
        <f>IF((H51)=0,"",(M51/H51))</f>
        <v>-1.9016768411351168E-2</v>
      </c>
      <c r="O51" s="212"/>
      <c r="P51" s="79">
        <v>0.13</v>
      </c>
      <c r="Q51" s="82">
        <f>Q50*P51</f>
        <v>110881.17690000001</v>
      </c>
      <c r="R51" s="81"/>
      <c r="S51" s="83">
        <f t="shared" si="41"/>
        <v>-5764.0797499999899</v>
      </c>
      <c r="T51" s="84">
        <f>IF((K51)=0,"",(S51/K51))</f>
        <v>-4.9415466308204911E-2</v>
      </c>
      <c r="U51" s="81"/>
      <c r="V51" s="79">
        <v>0.13</v>
      </c>
      <c r="W51" s="82">
        <f>W50*V51</f>
        <v>111028.63589999999</v>
      </c>
      <c r="X51" s="81"/>
      <c r="Y51" s="83">
        <f t="shared" si="44"/>
        <v>147.45899999998801</v>
      </c>
      <c r="Z51" s="84">
        <f>IF((Q51)=0,"",(Y51/Q51))</f>
        <v>1.3298830705321275E-3</v>
      </c>
      <c r="AA51" s="81"/>
      <c r="AB51" s="79">
        <v>0.13</v>
      </c>
      <c r="AC51" s="82">
        <f>AC50*AB51</f>
        <v>111157.23580000001</v>
      </c>
      <c r="AD51" s="81"/>
      <c r="AE51" s="83">
        <f t="shared" si="12"/>
        <v>128.59990000001562</v>
      </c>
      <c r="AF51" s="84">
        <f>IF((W51)=0,"",(AE51/W51))</f>
        <v>1.1582588487878164E-3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1033571.6544390036</v>
      </c>
      <c r="I52" s="81"/>
      <c r="J52" s="86"/>
      <c r="K52" s="82">
        <f>K50+K51</f>
        <v>1013916.46165</v>
      </c>
      <c r="L52" s="81"/>
      <c r="M52" s="83">
        <f t="shared" si="38"/>
        <v>-19655.192789003602</v>
      </c>
      <c r="N52" s="84">
        <f>IF((H52)=0,"",(M52/H52))</f>
        <v>-1.9016768411351161E-2</v>
      </c>
      <c r="O52" s="212"/>
      <c r="P52" s="86"/>
      <c r="Q52" s="82">
        <f>Q50+Q51</f>
        <v>963813.30689999997</v>
      </c>
      <c r="R52" s="81"/>
      <c r="S52" s="83">
        <f t="shared" si="41"/>
        <v>-50103.154749999987</v>
      </c>
      <c r="T52" s="84">
        <f>IF((K52)=0,"",(S52/K52))</f>
        <v>-4.9415466308204987E-2</v>
      </c>
      <c r="U52" s="81"/>
      <c r="V52" s="86"/>
      <c r="W52" s="82">
        <f>W50+W51</f>
        <v>965095.06589999993</v>
      </c>
      <c r="X52" s="81"/>
      <c r="Y52" s="83">
        <f t="shared" si="44"/>
        <v>1281.7589999999618</v>
      </c>
      <c r="Z52" s="84">
        <f>IF((Q52)=0,"",(Y52/Q52))</f>
        <v>1.329883070532196E-3</v>
      </c>
      <c r="AA52" s="81"/>
      <c r="AB52" s="86"/>
      <c r="AC52" s="82">
        <f>AC50+AC51</f>
        <v>966212.89580000006</v>
      </c>
      <c r="AD52" s="81"/>
      <c r="AE52" s="83">
        <f t="shared" si="12"/>
        <v>1117.829900000128</v>
      </c>
      <c r="AF52" s="84">
        <f>IF((W52)=0,"",(AE52/W52))</f>
        <v>1.1582588487878084E-3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38"/>
        <v>0</v>
      </c>
      <c r="N53" s="89" t="str">
        <f>IF((H53)=0,"",(M53/H53))</f>
        <v/>
      </c>
      <c r="O53" s="212"/>
      <c r="P53" s="86"/>
      <c r="Q53" s="87">
        <f>ROUND(-Q52*10%,2)</f>
        <v>-96381.33</v>
      </c>
      <c r="R53" s="81"/>
      <c r="S53" s="88">
        <f t="shared" si="41"/>
        <v>-96381.33</v>
      </c>
      <c r="T53" s="89" t="str">
        <f>IF((K53)=0,"",(S53/K53))</f>
        <v/>
      </c>
      <c r="U53" s="81"/>
      <c r="V53" s="86"/>
      <c r="W53" s="87">
        <f>ROUND(-W52*10%,2)</f>
        <v>-96509.51</v>
      </c>
      <c r="X53" s="81"/>
      <c r="Y53" s="88">
        <f t="shared" si="44"/>
        <v>-128.17999999999302</v>
      </c>
      <c r="Z53" s="89">
        <f>IF((Q53)=0,"",(Y53/Q53))</f>
        <v>1.3299256194119029E-3</v>
      </c>
      <c r="AA53" s="81"/>
      <c r="AB53" s="86"/>
      <c r="AC53" s="87">
        <f>ROUND(-AC52*10%,2)</f>
        <v>-96621.29</v>
      </c>
      <c r="AD53" s="81"/>
      <c r="AE53" s="88">
        <f t="shared" si="12"/>
        <v>-111.77999999999884</v>
      </c>
      <c r="AF53" s="89">
        <f>IF((W53)=0,"",(AE53/W53))</f>
        <v>1.1582278264597845E-3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1033571.6544390036</v>
      </c>
      <c r="I54" s="92"/>
      <c r="J54" s="90"/>
      <c r="K54" s="93">
        <f>K52+K53</f>
        <v>1013916.46165</v>
      </c>
      <c r="L54" s="92"/>
      <c r="M54" s="94">
        <f t="shared" si="38"/>
        <v>-19655.192789003602</v>
      </c>
      <c r="N54" s="95">
        <f>IF((H54)=0,"",(M54/H54))</f>
        <v>-1.9016768411351161E-2</v>
      </c>
      <c r="O54" s="212"/>
      <c r="P54" s="90"/>
      <c r="Q54" s="93">
        <f>Q52+Q53</f>
        <v>867431.97690000001</v>
      </c>
      <c r="R54" s="92"/>
      <c r="S54" s="94">
        <f t="shared" si="41"/>
        <v>-146484.48474999995</v>
      </c>
      <c r="T54" s="95">
        <f>IF((K54)=0,"",(S54/K54))</f>
        <v>-0.14447391899685502</v>
      </c>
      <c r="U54" s="92"/>
      <c r="V54" s="90"/>
      <c r="W54" s="93">
        <f>W52+W53</f>
        <v>868585.55589999992</v>
      </c>
      <c r="X54" s="92"/>
      <c r="Y54" s="94">
        <f t="shared" si="44"/>
        <v>1153.5789999999106</v>
      </c>
      <c r="Z54" s="95">
        <f>IF((Q54)=0,"",(Y54/Q54))</f>
        <v>1.3298783428788658E-3</v>
      </c>
      <c r="AA54" s="92"/>
      <c r="AB54" s="90"/>
      <c r="AC54" s="93">
        <f>AC52+AC53</f>
        <v>869591.60580000002</v>
      </c>
      <c r="AD54" s="92"/>
      <c r="AE54" s="94">
        <f t="shared" si="12"/>
        <v>1006.0499000001</v>
      </c>
      <c r="AF54" s="95">
        <f>IF((W54)=0,"",(AE54/W54))</f>
        <v>1.1582622957132462E-3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973161.18091947213</v>
      </c>
      <c r="I56" s="106"/>
      <c r="J56" s="103"/>
      <c r="K56" s="105">
        <f>SUM(K47:K48,K39,K40:K43)</f>
        <v>955767.20499999996</v>
      </c>
      <c r="L56" s="106"/>
      <c r="M56" s="107">
        <f t="shared" si="38"/>
        <v>-17393.97591947217</v>
      </c>
      <c r="N56" s="77">
        <f>IF((H56)=0,"",(M56/H56))</f>
        <v>-1.7873684504182356E-2</v>
      </c>
      <c r="O56" s="212"/>
      <c r="P56" s="103"/>
      <c r="Q56" s="105">
        <f>SUM(Q47:Q48,Q39,Q40:Q43)</f>
        <v>903125.88</v>
      </c>
      <c r="R56" s="106"/>
      <c r="S56" s="107">
        <f t="shared" si="41"/>
        <v>-52641.324999999953</v>
      </c>
      <c r="T56" s="77">
        <f>IF((K56)=0,"",(S56/K56))</f>
        <v>-5.5077559393764672E-2</v>
      </c>
      <c r="U56" s="106"/>
      <c r="V56" s="103"/>
      <c r="W56" s="105">
        <f>SUM(W47:W48,W39,W40:W43)</f>
        <v>904260.18</v>
      </c>
      <c r="X56" s="106"/>
      <c r="Y56" s="107">
        <f t="shared" si="44"/>
        <v>1134.3000000000466</v>
      </c>
      <c r="Z56" s="77">
        <f>IF((Q56)=0,"",(Y56/Q56))</f>
        <v>1.2559710945278708E-3</v>
      </c>
      <c r="AA56" s="106"/>
      <c r="AB56" s="103"/>
      <c r="AC56" s="105">
        <f>SUM(AC47:AC48,AC39,AC40:AC43)</f>
        <v>905249.41</v>
      </c>
      <c r="AD56" s="106"/>
      <c r="AE56" s="107">
        <f t="shared" si="12"/>
        <v>989.22999999998137</v>
      </c>
      <c r="AF56" s="77">
        <f>IF((W56)=0,"",(AE56/W56))</f>
        <v>1.0939661193529293E-3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126510.95351953138</v>
      </c>
      <c r="I57" s="110"/>
      <c r="J57" s="109">
        <v>0.13</v>
      </c>
      <c r="K57" s="111">
        <f>K56*J57</f>
        <v>124249.73664999999</v>
      </c>
      <c r="L57" s="110"/>
      <c r="M57" s="112">
        <f t="shared" si="38"/>
        <v>-2261.2168695313885</v>
      </c>
      <c r="N57" s="84">
        <f>IF((H57)=0,"",(M57/H57))</f>
        <v>-1.7873684504182405E-2</v>
      </c>
      <c r="O57" s="212"/>
      <c r="P57" s="109">
        <v>0.13</v>
      </c>
      <c r="Q57" s="111">
        <f>Q56*P57</f>
        <v>117406.36440000001</v>
      </c>
      <c r="R57" s="110"/>
      <c r="S57" s="112">
        <f t="shared" si="41"/>
        <v>-6843.3722499999858</v>
      </c>
      <c r="T57" s="84">
        <f>IF((K57)=0,"",(S57/K57))</f>
        <v>-5.5077559393764609E-2</v>
      </c>
      <c r="U57" s="110"/>
      <c r="V57" s="109">
        <v>0.13</v>
      </c>
      <c r="W57" s="111">
        <f>W56*V57</f>
        <v>117553.82340000001</v>
      </c>
      <c r="X57" s="110"/>
      <c r="Y57" s="112">
        <f t="shared" si="44"/>
        <v>147.45900000000256</v>
      </c>
      <c r="Z57" s="84">
        <f>IF((Q57)=0,"",(Y57/Q57))</f>
        <v>1.2559710945278411E-3</v>
      </c>
      <c r="AA57" s="110"/>
      <c r="AB57" s="109">
        <v>0.13</v>
      </c>
      <c r="AC57" s="111">
        <f>AC56*AB57</f>
        <v>117682.42330000001</v>
      </c>
      <c r="AD57" s="110"/>
      <c r="AE57" s="112">
        <f t="shared" si="12"/>
        <v>128.59990000000107</v>
      </c>
      <c r="AF57" s="84">
        <f>IF((W57)=0,"",(AE57/W57))</f>
        <v>1.093966119352959E-3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1099672.1344390034</v>
      </c>
      <c r="I58" s="110"/>
      <c r="J58" s="114"/>
      <c r="K58" s="111">
        <f>K56+K57</f>
        <v>1080016.9416499999</v>
      </c>
      <c r="L58" s="110"/>
      <c r="M58" s="112">
        <f t="shared" si="38"/>
        <v>-19655.192789003486</v>
      </c>
      <c r="N58" s="84">
        <f>IF((H58)=0,"",(M58/H58))</f>
        <v>-1.7873684504182297E-2</v>
      </c>
      <c r="O58" s="212"/>
      <c r="P58" s="114"/>
      <c r="Q58" s="111">
        <f>Q56+Q57</f>
        <v>1020532.2444</v>
      </c>
      <c r="R58" s="110"/>
      <c r="S58" s="112">
        <f t="shared" si="41"/>
        <v>-59484.697249999968</v>
      </c>
      <c r="T58" s="84">
        <f>IF((K58)=0,"",(S58/K58))</f>
        <v>-5.5077559393764693E-2</v>
      </c>
      <c r="U58" s="110"/>
      <c r="V58" s="114"/>
      <c r="W58" s="111">
        <f>W56+W57</f>
        <v>1021814.0034</v>
      </c>
      <c r="X58" s="110"/>
      <c r="Y58" s="112">
        <f t="shared" si="44"/>
        <v>1281.7590000000782</v>
      </c>
      <c r="Z58" s="84">
        <f>IF((Q58)=0,"",(Y58/Q58))</f>
        <v>1.255971094527896E-3</v>
      </c>
      <c r="AA58" s="110"/>
      <c r="AB58" s="114"/>
      <c r="AC58" s="111">
        <f>AC56+AC57</f>
        <v>1022931.8333000001</v>
      </c>
      <c r="AD58" s="110"/>
      <c r="AE58" s="112">
        <f t="shared" si="12"/>
        <v>1117.8299000000115</v>
      </c>
      <c r="AF58" s="84">
        <f>IF((W58)=0,"",(AE58/W58))</f>
        <v>1.0939661193529611E-3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38"/>
        <v>0</v>
      </c>
      <c r="N59" s="89" t="str">
        <f>IF((H59)=0,"",(M59/H59))</f>
        <v/>
      </c>
      <c r="O59" s="212"/>
      <c r="P59" s="114"/>
      <c r="Q59" s="116">
        <f>ROUND(-Q58*10%,2)</f>
        <v>-102053.22</v>
      </c>
      <c r="R59" s="110"/>
      <c r="S59" s="117">
        <f t="shared" si="41"/>
        <v>-102053.22</v>
      </c>
      <c r="T59" s="89" t="str">
        <f>IF((K59)=0,"",(S59/K59))</f>
        <v/>
      </c>
      <c r="U59" s="110"/>
      <c r="V59" s="114"/>
      <c r="W59" s="116">
        <f>ROUND(-W58*10%,2)</f>
        <v>-102181.4</v>
      </c>
      <c r="X59" s="110"/>
      <c r="Y59" s="117">
        <f t="shared" si="44"/>
        <v>-128.17999999999302</v>
      </c>
      <c r="Z59" s="89">
        <f>IF((Q59)=0,"",(Y59/Q59))</f>
        <v>1.2560113242873964E-3</v>
      </c>
      <c r="AA59" s="110"/>
      <c r="AB59" s="114"/>
      <c r="AC59" s="116">
        <f>ROUND(-AC58*10%,2)</f>
        <v>-102293.18</v>
      </c>
      <c r="AD59" s="110"/>
      <c r="AE59" s="117">
        <f t="shared" si="12"/>
        <v>-111.77999999999884</v>
      </c>
      <c r="AF59" s="89">
        <f>IF((W59)=0,"",(AE59/W59))</f>
        <v>1.0939368613074282E-3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1099672.1344390034</v>
      </c>
      <c r="I60" s="120"/>
      <c r="J60" s="118"/>
      <c r="K60" s="121">
        <f>SUM(K58:K59)</f>
        <v>1080016.9416499999</v>
      </c>
      <c r="L60" s="120"/>
      <c r="M60" s="122">
        <f t="shared" si="38"/>
        <v>-19655.192789003486</v>
      </c>
      <c r="N60" s="123">
        <f>IF((H60)=0,"",(M60/H60))</f>
        <v>-1.7873684504182297E-2</v>
      </c>
      <c r="O60" s="212"/>
      <c r="P60" s="118"/>
      <c r="Q60" s="121">
        <f>SUM(Q58:Q59)</f>
        <v>918479.02439999999</v>
      </c>
      <c r="R60" s="120"/>
      <c r="S60" s="122">
        <f t="shared" si="41"/>
        <v>-161537.91724999994</v>
      </c>
      <c r="T60" s="123">
        <f>IF((K60)=0,"",(S60/K60))</f>
        <v>-0.14956979934334158</v>
      </c>
      <c r="U60" s="120"/>
      <c r="V60" s="118"/>
      <c r="W60" s="121">
        <f>SUM(W58:W59)</f>
        <v>919632.60340000002</v>
      </c>
      <c r="X60" s="120"/>
      <c r="Y60" s="122">
        <f t="shared" si="44"/>
        <v>1153.579000000027</v>
      </c>
      <c r="Z60" s="123">
        <f>IF((Q60)=0,"",(Y60/Q60))</f>
        <v>1.2559666245547708E-3</v>
      </c>
      <c r="AA60" s="120"/>
      <c r="AB60" s="118"/>
      <c r="AC60" s="121">
        <f>SUM(AC58:AC59)</f>
        <v>920638.65330000012</v>
      </c>
      <c r="AD60" s="120"/>
      <c r="AE60" s="122">
        <f t="shared" si="12"/>
        <v>1006.0499000001</v>
      </c>
      <c r="AF60" s="123">
        <f>IF((W60)=0,"",(AE60/W60))</f>
        <v>1.0939693702469923E-3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80">
        <v>6.0000000000000001E-3</v>
      </c>
      <c r="I63" s="142"/>
      <c r="J63" s="180">
        <v>6.0000000000000001E-3</v>
      </c>
      <c r="K63" s="142"/>
      <c r="L63" s="142"/>
      <c r="M63" s="142"/>
      <c r="N63" s="142"/>
      <c r="O63" s="142"/>
      <c r="P63" s="180">
        <v>6.0000000000000001E-3</v>
      </c>
      <c r="Q63" s="142"/>
      <c r="R63" s="142"/>
      <c r="S63" s="142"/>
      <c r="T63" s="142"/>
      <c r="U63" s="142"/>
      <c r="V63" s="180">
        <v>6.0000000000000001E-3</v>
      </c>
      <c r="W63" s="142"/>
      <c r="X63" s="142"/>
      <c r="Y63" s="142"/>
      <c r="Z63" s="142"/>
      <c r="AA63" s="142"/>
      <c r="AB63" s="180">
        <v>6.0000000000000001E-3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48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9" tint="-0.249977111117893"/>
    <pageSetUpPr fitToPage="1"/>
  </sheetPr>
  <dimension ref="A1:AP79"/>
  <sheetViews>
    <sheetView showGridLines="0" topLeftCell="A19" zoomScale="68" zoomScaleNormal="68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1.42578125" style="1" bestFit="1" customWidth="1"/>
    <col min="7" max="7" width="13.28515625" style="1" customWidth="1"/>
    <col min="8" max="8" width="14" style="142" bestFit="1" customWidth="1"/>
    <col min="9" max="9" width="1.7109375" style="1" customWidth="1"/>
    <col min="10" max="10" width="13.28515625" style="1" customWidth="1"/>
    <col min="11" max="11" width="14" style="1" bestFit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4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4" style="1" hidden="1" customWidth="1"/>
    <col min="24" max="24" width="1.7109375" style="1" hidden="1" customWidth="1"/>
    <col min="25" max="25" width="10.42578125" style="1" hidden="1" customWidth="1"/>
    <col min="26" max="26" width="7.5703125" style="1" hidden="1" customWidth="1"/>
    <col min="27" max="27" width="1.7109375" style="1" hidden="1" customWidth="1"/>
    <col min="28" max="28" width="13.5703125" style="1" hidden="1" customWidth="1"/>
    <col min="29" max="29" width="14.140625" style="1" hidden="1" customWidth="1"/>
    <col min="30" max="30" width="1.7109375" style="1" hidden="1" customWidth="1"/>
    <col min="31" max="31" width="10.42578125" style="1" hidden="1" customWidth="1"/>
    <col min="32" max="32" width="7.5703125" style="1" hidden="1" customWidth="1"/>
    <col min="33" max="33" width="1.7109375" style="1" hidden="1" customWidth="1"/>
    <col min="34" max="34" width="13.5703125" style="1" bestFit="1" customWidth="1"/>
    <col min="35" max="35" width="14.140625" style="1" bestFit="1" customWidth="1"/>
    <col min="36" max="36" width="1.7109375" style="1" customWidth="1"/>
    <col min="37" max="37" width="10.42578125" style="1" bestFit="1" customWidth="1"/>
    <col min="38" max="38" width="7.5703125" style="1" bestFit="1" customWidth="1"/>
    <col min="39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98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f>+'Summary (1)'!D24</f>
        <v>15000</v>
      </c>
      <c r="H7" s="9" t="s">
        <v>64</v>
      </c>
      <c r="J7" s="151"/>
      <c r="K7" s="151"/>
    </row>
    <row r="8" spans="2:42" x14ac:dyDescent="0.2">
      <c r="B8" s="6"/>
      <c r="G8" s="8">
        <f>+'Summary (1)'!C24</f>
        <v>7665000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4422.2</v>
      </c>
      <c r="H12" s="18">
        <f t="shared" ref="H12:H27" si="0">$F12*G12</f>
        <v>4422.2</v>
      </c>
      <c r="I12" s="19"/>
      <c r="J12" s="209">
        <v>5600.32</v>
      </c>
      <c r="K12" s="18">
        <f t="shared" ref="K12:K27" si="1">$F12*J12</f>
        <v>5600.32</v>
      </c>
      <c r="L12" s="19"/>
      <c r="M12" s="21">
        <f t="shared" ref="M12:M21" si="2">K12-H12</f>
        <v>1178.1199999999999</v>
      </c>
      <c r="N12" s="22">
        <f t="shared" ref="N12:N21" si="3">IF((H12)=0,"",(M12/H12))</f>
        <v>0.26641038397177874</v>
      </c>
      <c r="O12" s="212"/>
      <c r="P12" s="16">
        <v>5600.32</v>
      </c>
      <c r="Q12" s="18">
        <f t="shared" ref="Q12:Q27" si="4">$F12*P12</f>
        <v>5600.32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5594.49</v>
      </c>
      <c r="W12" s="18">
        <f t="shared" ref="W12:W27" si="6">$F12*V12</f>
        <v>5594.49</v>
      </c>
      <c r="X12" s="19"/>
      <c r="Y12" s="21">
        <f>W12-Q12</f>
        <v>-5.8299999999999272</v>
      </c>
      <c r="Z12" s="22">
        <f t="shared" ref="Z12:Z34" si="7">IF((Q12)=0,"",(Y12/Q12))</f>
        <v>-1.0410119421747199E-3</v>
      </c>
      <c r="AA12" s="19"/>
      <c r="AB12" s="16">
        <v>5728.08</v>
      </c>
      <c r="AC12" s="18">
        <f t="shared" ref="AC12:AC27" si="8">$F12*AB12</f>
        <v>5728.08</v>
      </c>
      <c r="AD12" s="19"/>
      <c r="AE12" s="21">
        <f>AC12-W12</f>
        <v>133.59000000000015</v>
      </c>
      <c r="AF12" s="22">
        <f t="shared" ref="AF12:AF34" si="9">IF((W12)=0,"",(AE12/W12))</f>
        <v>2.3878852227817039E-2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15000</v>
      </c>
      <c r="G19" s="16">
        <v>0.26090000000000002</v>
      </c>
      <c r="H19" s="18">
        <f t="shared" si="0"/>
        <v>3913.5000000000005</v>
      </c>
      <c r="I19" s="19"/>
      <c r="J19" s="16">
        <v>0.33040000000000003</v>
      </c>
      <c r="K19" s="18">
        <f t="shared" si="1"/>
        <v>4956</v>
      </c>
      <c r="L19" s="19"/>
      <c r="M19" s="21">
        <f t="shared" si="2"/>
        <v>1042.4999999999995</v>
      </c>
      <c r="N19" s="22">
        <f t="shared" si="3"/>
        <v>0.26638558834802589</v>
      </c>
      <c r="O19" s="212"/>
      <c r="P19" s="16">
        <v>0.33040000000000003</v>
      </c>
      <c r="Q19" s="18">
        <f t="shared" si="4"/>
        <v>4956</v>
      </c>
      <c r="R19" s="19"/>
      <c r="S19" s="21">
        <f t="shared" si="10"/>
        <v>0</v>
      </c>
      <c r="T19" s="22">
        <f t="shared" si="5"/>
        <v>0</v>
      </c>
      <c r="U19" s="19"/>
      <c r="V19" s="16">
        <v>0.3301</v>
      </c>
      <c r="W19" s="18">
        <f t="shared" si="6"/>
        <v>4951.5</v>
      </c>
      <c r="X19" s="19"/>
      <c r="Y19" s="21">
        <f t="shared" si="11"/>
        <v>-4.5</v>
      </c>
      <c r="Z19" s="22">
        <f t="shared" si="7"/>
        <v>-9.0799031476997583E-4</v>
      </c>
      <c r="AA19" s="19"/>
      <c r="AB19" s="16">
        <v>0.33800000000000002</v>
      </c>
      <c r="AC19" s="18">
        <f t="shared" si="8"/>
        <v>5070</v>
      </c>
      <c r="AD19" s="19"/>
      <c r="AE19" s="21">
        <f t="shared" si="12"/>
        <v>118.5</v>
      </c>
      <c r="AF19" s="22">
        <f t="shared" si="9"/>
        <v>2.3932141775219632E-2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3">$G$7</f>
        <v>15000</v>
      </c>
      <c r="G20" s="16"/>
      <c r="H20" s="18">
        <f t="shared" si="0"/>
        <v>0</v>
      </c>
      <c r="I20" s="19"/>
      <c r="J20" s="16">
        <v>9.5999999999999992E-3</v>
      </c>
      <c r="K20" s="18">
        <f t="shared" si="1"/>
        <v>144</v>
      </c>
      <c r="L20" s="19"/>
      <c r="M20" s="21">
        <f t="shared" si="2"/>
        <v>144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-144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15000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4">$G$7</f>
        <v>15000</v>
      </c>
      <c r="G24" s="16">
        <v>0</v>
      </c>
      <c r="H24" s="18">
        <f t="shared" ref="H24" si="15">$F24*G24</f>
        <v>0</v>
      </c>
      <c r="I24" s="19"/>
      <c r="J24" s="16">
        <v>0</v>
      </c>
      <c r="K24" s="18">
        <f t="shared" ref="K24" si="16">$F24*J24</f>
        <v>0</v>
      </c>
      <c r="L24" s="19"/>
      <c r="M24" s="21">
        <f t="shared" ref="M24" si="17">K24-H24</f>
        <v>0</v>
      </c>
      <c r="N24" s="22" t="str">
        <f t="shared" ref="N24" si="18">IF((H24)=0,"",(M24/H24))</f>
        <v/>
      </c>
      <c r="O24" s="212"/>
      <c r="P24" s="16">
        <v>0</v>
      </c>
      <c r="Q24" s="18">
        <f t="shared" ref="Q24" si="19">$F24*P24</f>
        <v>0</v>
      </c>
      <c r="R24" s="19"/>
      <c r="S24" s="21">
        <f t="shared" ref="S24" si="20">Q24-K24</f>
        <v>0</v>
      </c>
      <c r="T24" s="22" t="str">
        <f t="shared" ref="T24" si="21">IF((K24)=0,"",(S24/K24))</f>
        <v/>
      </c>
      <c r="U24" s="19"/>
      <c r="V24" s="16">
        <v>0</v>
      </c>
      <c r="W24" s="18">
        <f t="shared" ref="W24" si="22">$F24*V24</f>
        <v>0</v>
      </c>
      <c r="X24" s="19"/>
      <c r="Y24" s="21">
        <f t="shared" ref="Y24" si="23">W24-Q24</f>
        <v>0</v>
      </c>
      <c r="Z24" s="22" t="str">
        <f t="shared" ref="Z24" si="24">IF((Q24)=0,"",(Y24/Q24))</f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ref="M25:M60" si="25">K25-H25</f>
        <v>0</v>
      </c>
      <c r="N25" s="22" t="str">
        <f t="shared" ref="N25:N34" si="26">IF((H25)=0,"",(M25/H25))</f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5"/>
        <v>0</v>
      </c>
      <c r="N26" s="22" t="str">
        <f t="shared" si="2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5"/>
        <v>0</v>
      </c>
      <c r="N27" s="22" t="str">
        <f t="shared" si="2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8335.7000000000007</v>
      </c>
      <c r="I28" s="31"/>
      <c r="J28" s="28"/>
      <c r="K28" s="30">
        <f>SUM(K12:K27)</f>
        <v>10700.32</v>
      </c>
      <c r="L28" s="31"/>
      <c r="M28" s="32">
        <f t="shared" si="25"/>
        <v>2364.619999999999</v>
      </c>
      <c r="N28" s="33">
        <f t="shared" si="26"/>
        <v>0.2836738366303968</v>
      </c>
      <c r="O28" s="212"/>
      <c r="P28" s="28"/>
      <c r="Q28" s="30">
        <f>SUM(Q12:Q27)</f>
        <v>10556.32</v>
      </c>
      <c r="R28" s="31"/>
      <c r="S28" s="32">
        <f t="shared" si="10"/>
        <v>-144</v>
      </c>
      <c r="T28" s="33">
        <f t="shared" si="5"/>
        <v>-1.3457541456704098E-2</v>
      </c>
      <c r="U28" s="31"/>
      <c r="V28" s="28"/>
      <c r="W28" s="30">
        <f>SUM(W12:W27)</f>
        <v>10545.99</v>
      </c>
      <c r="X28" s="31"/>
      <c r="Y28" s="32">
        <f t="shared" si="11"/>
        <v>-10.329999999999927</v>
      </c>
      <c r="Z28" s="33">
        <f t="shared" si="7"/>
        <v>-9.7856071055063966E-4</v>
      </c>
      <c r="AA28" s="31"/>
      <c r="AB28" s="28"/>
      <c r="AC28" s="30">
        <f>SUM(AC12:AC27)</f>
        <v>10798.08</v>
      </c>
      <c r="AD28" s="31"/>
      <c r="AE28" s="32">
        <f t="shared" si="12"/>
        <v>252.09000000000015</v>
      </c>
      <c r="AF28" s="33">
        <f t="shared" si="9"/>
        <v>2.3903872467165257E-2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15000</v>
      </c>
      <c r="G29" s="16">
        <v>0.6633574003319811</v>
      </c>
      <c r="H29" s="18">
        <f t="shared" ref="H29:H35" si="27">$F29*G29</f>
        <v>9950.3610049797171</v>
      </c>
      <c r="I29" s="19"/>
      <c r="J29" s="16">
        <v>-9.4299999999999995E-2</v>
      </c>
      <c r="K29" s="18">
        <f t="shared" ref="K29:K35" si="28">$F29*J29</f>
        <v>-1414.5</v>
      </c>
      <c r="L29" s="19"/>
      <c r="M29" s="21">
        <f t="shared" si="25"/>
        <v>-11364.861004979717</v>
      </c>
      <c r="N29" s="22">
        <f t="shared" si="26"/>
        <v>-1.1421556463420881</v>
      </c>
      <c r="O29" s="212"/>
      <c r="P29" s="16">
        <v>-9.4299999999999995E-2</v>
      </c>
      <c r="Q29" s="18">
        <f t="shared" ref="Q29:Q35" si="29">$F29*P29</f>
        <v>-1414.5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30">$F29*V29</f>
        <v>0</v>
      </c>
      <c r="X29" s="19"/>
      <c r="Y29" s="21">
        <f t="shared" si="11"/>
        <v>1414.5</v>
      </c>
      <c r="Z29" s="22">
        <f t="shared" si="7"/>
        <v>-1</v>
      </c>
      <c r="AA29" s="19"/>
      <c r="AB29" s="16">
        <v>0</v>
      </c>
      <c r="AC29" s="18">
        <f t="shared" ref="AC29:AC35" si="3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1" si="32">$G$7</f>
        <v>15000</v>
      </c>
      <c r="G30" s="16">
        <v>0</v>
      </c>
      <c r="H30" s="18">
        <f t="shared" si="27"/>
        <v>0</v>
      </c>
      <c r="I30" s="19"/>
      <c r="J30" s="16">
        <v>0</v>
      </c>
      <c r="K30" s="18">
        <f t="shared" si="28"/>
        <v>0</v>
      </c>
      <c r="L30" s="19"/>
      <c r="M30" s="21">
        <f t="shared" si="25"/>
        <v>0</v>
      </c>
      <c r="N30" s="22" t="str">
        <f t="shared" si="26"/>
        <v/>
      </c>
      <c r="O30" s="212"/>
      <c r="P30" s="16">
        <v>1.6000000000000001E-3</v>
      </c>
      <c r="Q30" s="18">
        <f t="shared" si="29"/>
        <v>24</v>
      </c>
      <c r="R30" s="19"/>
      <c r="S30" s="21">
        <f t="shared" si="10"/>
        <v>24</v>
      </c>
      <c r="T30" s="22" t="str">
        <f t="shared" si="5"/>
        <v/>
      </c>
      <c r="U30" s="19"/>
      <c r="V30" s="16">
        <v>0</v>
      </c>
      <c r="W30" s="18">
        <f t="shared" si="30"/>
        <v>0</v>
      </c>
      <c r="X30" s="19"/>
      <c r="Y30" s="21">
        <f t="shared" si="11"/>
        <v>-24</v>
      </c>
      <c r="Z30" s="22">
        <f t="shared" si="7"/>
        <v>-1</v>
      </c>
      <c r="AA30" s="19"/>
      <c r="AB30" s="16">
        <v>0</v>
      </c>
      <c r="AC30" s="18">
        <f t="shared" si="31"/>
        <v>0</v>
      </c>
      <c r="AD30" s="19"/>
      <c r="AE30" s="21">
        <f t="shared" ref="AE30:AE31" si="33">AC30-W30</f>
        <v>0</v>
      </c>
      <c r="AF30" s="22" t="str">
        <f t="shared" ref="AF30:AF31" si="34">IF((W30)=0,"",(AE30/W30))</f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32"/>
        <v>15000</v>
      </c>
      <c r="G31" s="16">
        <v>0</v>
      </c>
      <c r="H31" s="18">
        <f>$F31*G31</f>
        <v>0</v>
      </c>
      <c r="I31" s="19"/>
      <c r="J31" s="16">
        <v>0</v>
      </c>
      <c r="K31" s="18">
        <f t="shared" si="28"/>
        <v>0</v>
      </c>
      <c r="L31" s="19"/>
      <c r="M31" s="21">
        <f t="shared" si="25"/>
        <v>0</v>
      </c>
      <c r="N31" s="22" t="str">
        <f t="shared" si="26"/>
        <v/>
      </c>
      <c r="O31" s="212"/>
      <c r="P31" s="16">
        <v>0</v>
      </c>
      <c r="Q31" s="18">
        <f t="shared" si="2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3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31"/>
        <v>0</v>
      </c>
      <c r="AD31" s="19"/>
      <c r="AE31" s="21">
        <f t="shared" si="33"/>
        <v>0</v>
      </c>
      <c r="AF31" s="22" t="str">
        <f t="shared" si="34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15000</v>
      </c>
      <c r="G32" s="16">
        <v>-0.40001861258292959</v>
      </c>
      <c r="H32" s="18">
        <f t="shared" ref="H32" si="35">$F32*G32</f>
        <v>-6000.2791887439435</v>
      </c>
      <c r="I32" s="19"/>
      <c r="J32" s="16">
        <v>-1.2630999999999999</v>
      </c>
      <c r="K32" s="18">
        <f t="shared" ref="K32" si="36">$F32*J32</f>
        <v>-18946.5</v>
      </c>
      <c r="L32" s="19"/>
      <c r="M32" s="21">
        <f t="shared" ref="M32" si="37">K32-H32</f>
        <v>-12946.220811256057</v>
      </c>
      <c r="N32" s="22">
        <f t="shared" ref="N32" si="38">IF((H32)=0,"",(M32/H32))</f>
        <v>2.1576030721274035</v>
      </c>
      <c r="O32" s="212"/>
      <c r="P32" s="16"/>
      <c r="Q32" s="18">
        <f t="shared" si="29"/>
        <v>0</v>
      </c>
      <c r="R32" s="36"/>
      <c r="S32" s="21">
        <f t="shared" si="10"/>
        <v>18946.5</v>
      </c>
      <c r="T32" s="22">
        <f t="shared" si="5"/>
        <v>-1</v>
      </c>
      <c r="U32" s="36"/>
      <c r="V32" s="16"/>
      <c r="W32" s="18">
        <f t="shared" si="3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ref="F33" si="39">$G$7</f>
        <v>15000</v>
      </c>
      <c r="G33" s="133">
        <v>2.4920000000000001E-2</v>
      </c>
      <c r="H33" s="18">
        <f t="shared" si="27"/>
        <v>373.8</v>
      </c>
      <c r="I33" s="19"/>
      <c r="J33" s="133">
        <v>2.4920000000000001E-2</v>
      </c>
      <c r="K33" s="18">
        <f t="shared" si="28"/>
        <v>373.8</v>
      </c>
      <c r="L33" s="19"/>
      <c r="M33" s="21">
        <f t="shared" si="25"/>
        <v>0</v>
      </c>
      <c r="N33" s="22">
        <f t="shared" si="26"/>
        <v>0</v>
      </c>
      <c r="O33" s="212"/>
      <c r="P33" s="133">
        <v>2.4920000000000001E-2</v>
      </c>
      <c r="Q33" s="18">
        <f t="shared" si="29"/>
        <v>373.8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30"/>
        <v>373.8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31"/>
        <v>373.8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45990</v>
      </c>
      <c r="G34" s="38">
        <f>IF(ISBLANK($D$5)=TRUE, 0, IF($D$5="TOU", 0.64*#REF!+0.18*#REF!+0.18*#REF!, IF(AND($D$5="non-TOU", $F$48&gt;0), G48,G47)))</f>
        <v>0.121</v>
      </c>
      <c r="H34" s="18">
        <f t="shared" si="27"/>
        <v>5564.79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28"/>
        <v>5564.79</v>
      </c>
      <c r="L34" s="19"/>
      <c r="M34" s="21">
        <f t="shared" si="25"/>
        <v>0</v>
      </c>
      <c r="N34" s="22">
        <f t="shared" si="26"/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29"/>
        <v>5058.8999999999996</v>
      </c>
      <c r="R34" s="19"/>
      <c r="S34" s="21">
        <f t="shared" si="10"/>
        <v>-505.89000000000033</v>
      </c>
      <c r="T34" s="22">
        <f t="shared" si="5"/>
        <v>-9.0909090909090967E-2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30"/>
        <v>5058.8999999999996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31"/>
        <v>5058.8999999999996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27"/>
        <v>0</v>
      </c>
      <c r="I35" s="19"/>
      <c r="J35" s="38"/>
      <c r="K35" s="18">
        <f t="shared" si="28"/>
        <v>0</v>
      </c>
      <c r="L35" s="19"/>
      <c r="M35" s="21">
        <f t="shared" si="25"/>
        <v>0</v>
      </c>
      <c r="N35" s="22"/>
      <c r="O35" s="212"/>
      <c r="P35" s="38"/>
      <c r="Q35" s="18">
        <f t="shared" si="29"/>
        <v>0</v>
      </c>
      <c r="R35" s="19"/>
      <c r="S35" s="21">
        <f t="shared" si="10"/>
        <v>0</v>
      </c>
      <c r="T35" s="22"/>
      <c r="U35" s="19"/>
      <c r="V35" s="38"/>
      <c r="W35" s="18">
        <f t="shared" si="30"/>
        <v>0</v>
      </c>
      <c r="X35" s="19"/>
      <c r="Y35" s="21">
        <f t="shared" si="11"/>
        <v>0</v>
      </c>
      <c r="Z35" s="22"/>
      <c r="AA35" s="19"/>
      <c r="AB35" s="38"/>
      <c r="AC35" s="18">
        <f t="shared" si="3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18224.371816235776</v>
      </c>
      <c r="I36" s="31"/>
      <c r="J36" s="41"/>
      <c r="K36" s="43">
        <f>SUM(K29:K35)+K28</f>
        <v>-3722.09</v>
      </c>
      <c r="L36" s="31"/>
      <c r="M36" s="32">
        <f t="shared" si="25"/>
        <v>-21946.461816235776</v>
      </c>
      <c r="N36" s="33">
        <f t="shared" ref="N36:N42" si="40">IF((H36)=0,"",(M36/H36))</f>
        <v>-1.2042369436670544</v>
      </c>
      <c r="O36" s="212"/>
      <c r="P36" s="41"/>
      <c r="Q36" s="43">
        <f>SUM(Q29:Q35)+Q28</f>
        <v>14598.52</v>
      </c>
      <c r="R36" s="31"/>
      <c r="S36" s="32">
        <f t="shared" si="10"/>
        <v>18320.61</v>
      </c>
      <c r="T36" s="33">
        <f t="shared" ref="T36:T42" si="41">IF((K36)=0,"",(S36/K36))</f>
        <v>-4.9221297711769463</v>
      </c>
      <c r="U36" s="31"/>
      <c r="V36" s="41"/>
      <c r="W36" s="43">
        <f>SUM(W29:W35)+W28</f>
        <v>15978.689999999999</v>
      </c>
      <c r="X36" s="31"/>
      <c r="Y36" s="32">
        <f t="shared" si="11"/>
        <v>1380.1699999999983</v>
      </c>
      <c r="Z36" s="33">
        <f t="shared" ref="Z36:Z42" si="42">IF((Q36)=0,"",(Y36/Q36))</f>
        <v>9.4541775467650024E-2</v>
      </c>
      <c r="AA36" s="31"/>
      <c r="AB36" s="41"/>
      <c r="AC36" s="43">
        <f>SUM(AC29:AC35)+AC28</f>
        <v>16230.779999999999</v>
      </c>
      <c r="AD36" s="31"/>
      <c r="AE36" s="32">
        <f t="shared" si="12"/>
        <v>252.09000000000015</v>
      </c>
      <c r="AF36" s="33">
        <f t="shared" ref="AF36:AF46" si="43">IF((W36)=0,"",(AE36/W36))</f>
        <v>1.5776637509082418E-2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15000</v>
      </c>
      <c r="G37" s="20">
        <v>3.0917337281873873</v>
      </c>
      <c r="H37" s="18">
        <f>$F37*G37</f>
        <v>46376.005922810808</v>
      </c>
      <c r="I37" s="19"/>
      <c r="J37" s="20">
        <v>2.9382000000000001</v>
      </c>
      <c r="K37" s="18">
        <f>$F37*J37</f>
        <v>44073</v>
      </c>
      <c r="L37" s="19"/>
      <c r="M37" s="21">
        <f t="shared" si="25"/>
        <v>-2303.0059228108075</v>
      </c>
      <c r="N37" s="22">
        <f t="shared" si="40"/>
        <v>-4.9659427908560705E-2</v>
      </c>
      <c r="O37" s="212"/>
      <c r="P37" s="20">
        <v>2.9382000000000001</v>
      </c>
      <c r="Q37" s="18">
        <f>$F37*P37</f>
        <v>44073</v>
      </c>
      <c r="R37" s="19"/>
      <c r="S37" s="21">
        <f t="shared" si="10"/>
        <v>0</v>
      </c>
      <c r="T37" s="22">
        <f t="shared" si="41"/>
        <v>0</v>
      </c>
      <c r="U37" s="19"/>
      <c r="V37" s="20">
        <v>2.9382000000000001</v>
      </c>
      <c r="W37" s="18">
        <f>$F37*V37</f>
        <v>44073</v>
      </c>
      <c r="X37" s="19"/>
      <c r="Y37" s="21">
        <f t="shared" si="11"/>
        <v>0</v>
      </c>
      <c r="Z37" s="22">
        <f t="shared" si="42"/>
        <v>0</v>
      </c>
      <c r="AA37" s="19"/>
      <c r="AB37" s="20">
        <v>2.9382000000000001</v>
      </c>
      <c r="AC37" s="18">
        <f>$F37*AB37</f>
        <v>44073</v>
      </c>
      <c r="AD37" s="19"/>
      <c r="AE37" s="21">
        <f t="shared" si="12"/>
        <v>0</v>
      </c>
      <c r="AF37" s="22">
        <f t="shared" si="43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15000</v>
      </c>
      <c r="G38" s="20">
        <v>2.4378617006009056</v>
      </c>
      <c r="H38" s="18">
        <f>$F38*G38</f>
        <v>36567.925509013585</v>
      </c>
      <c r="I38" s="19"/>
      <c r="J38" s="20">
        <v>2.4376000000000002</v>
      </c>
      <c r="K38" s="18">
        <f>$F38*J38</f>
        <v>36564</v>
      </c>
      <c r="L38" s="19"/>
      <c r="M38" s="21">
        <f t="shared" si="25"/>
        <v>-3.925509013584815</v>
      </c>
      <c r="N38" s="22">
        <f t="shared" si="40"/>
        <v>-1.073484196585672E-4</v>
      </c>
      <c r="O38" s="212"/>
      <c r="P38" s="20">
        <v>2.4376000000000002</v>
      </c>
      <c r="Q38" s="18">
        <f>$F38*P38</f>
        <v>36564</v>
      </c>
      <c r="R38" s="19"/>
      <c r="S38" s="21">
        <f t="shared" si="10"/>
        <v>0</v>
      </c>
      <c r="T38" s="22">
        <f t="shared" si="41"/>
        <v>0</v>
      </c>
      <c r="U38" s="19"/>
      <c r="V38" s="20">
        <v>2.4376000000000002</v>
      </c>
      <c r="W38" s="18">
        <f>$F38*V38</f>
        <v>36564</v>
      </c>
      <c r="X38" s="19"/>
      <c r="Y38" s="21">
        <f t="shared" si="11"/>
        <v>0</v>
      </c>
      <c r="Z38" s="22">
        <f t="shared" si="42"/>
        <v>0</v>
      </c>
      <c r="AA38" s="19"/>
      <c r="AB38" s="20">
        <v>2.4376000000000002</v>
      </c>
      <c r="AC38" s="18">
        <f>$F38*AB38</f>
        <v>36564</v>
      </c>
      <c r="AD38" s="19"/>
      <c r="AE38" s="21">
        <f t="shared" si="12"/>
        <v>0</v>
      </c>
      <c r="AF38" s="22">
        <f t="shared" si="43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101168.30324806017</v>
      </c>
      <c r="I39" s="48"/>
      <c r="J39" s="47"/>
      <c r="K39" s="43">
        <f>SUM(K36:K38)</f>
        <v>76914.91</v>
      </c>
      <c r="L39" s="48"/>
      <c r="M39" s="32">
        <f t="shared" si="25"/>
        <v>-24253.393248060165</v>
      </c>
      <c r="N39" s="33">
        <f t="shared" si="40"/>
        <v>-0.2397331226223289</v>
      </c>
      <c r="O39" s="212"/>
      <c r="P39" s="47"/>
      <c r="Q39" s="43">
        <f>SUM(Q36:Q38)</f>
        <v>95235.520000000004</v>
      </c>
      <c r="R39" s="48"/>
      <c r="S39" s="32">
        <f t="shared" si="10"/>
        <v>18320.61</v>
      </c>
      <c r="T39" s="33">
        <f t="shared" si="41"/>
        <v>0.23819321897405848</v>
      </c>
      <c r="U39" s="48"/>
      <c r="V39" s="47"/>
      <c r="W39" s="43">
        <f>SUM(W36:W38)</f>
        <v>96615.69</v>
      </c>
      <c r="X39" s="48"/>
      <c r="Y39" s="32">
        <f t="shared" si="11"/>
        <v>1380.1699999999983</v>
      </c>
      <c r="Z39" s="33">
        <f t="shared" si="42"/>
        <v>1.4492176868462504E-2</v>
      </c>
      <c r="AA39" s="48"/>
      <c r="AB39" s="47"/>
      <c r="AC39" s="43">
        <f>SUM(AC36:AC38)</f>
        <v>96867.78</v>
      </c>
      <c r="AD39" s="48"/>
      <c r="AE39" s="32">
        <f t="shared" si="12"/>
        <v>252.08999999999651</v>
      </c>
      <c r="AF39" s="33">
        <f t="shared" si="43"/>
        <v>2.6092035361957927E-3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7710990</v>
      </c>
      <c r="G40" s="50">
        <v>4.7000000000000002E-3</v>
      </c>
      <c r="H40" s="152">
        <f t="shared" ref="H40:H42" si="44">$F40*G40</f>
        <v>36241.652999999998</v>
      </c>
      <c r="I40" s="19"/>
      <c r="J40" s="50">
        <v>4.7000000000000002E-3</v>
      </c>
      <c r="K40" s="152">
        <f t="shared" ref="K40:K42" si="45">$F40*J40</f>
        <v>36241.652999999998</v>
      </c>
      <c r="L40" s="19"/>
      <c r="M40" s="21">
        <f t="shared" si="25"/>
        <v>0</v>
      </c>
      <c r="N40" s="153">
        <f t="shared" si="40"/>
        <v>0</v>
      </c>
      <c r="O40" s="212"/>
      <c r="P40" s="50">
        <v>4.7000000000000002E-3</v>
      </c>
      <c r="Q40" s="152">
        <f t="shared" ref="Q40:Q42" si="46">$F40*P40</f>
        <v>36241.652999999998</v>
      </c>
      <c r="R40" s="19"/>
      <c r="S40" s="21">
        <f t="shared" si="10"/>
        <v>0</v>
      </c>
      <c r="T40" s="153">
        <f t="shared" si="41"/>
        <v>0</v>
      </c>
      <c r="U40" s="19"/>
      <c r="V40" s="50">
        <v>4.7000000000000002E-3</v>
      </c>
      <c r="W40" s="152">
        <f t="shared" ref="W40:W42" si="47">$F40*V40</f>
        <v>36241.652999999998</v>
      </c>
      <c r="X40" s="19"/>
      <c r="Y40" s="21">
        <f t="shared" si="11"/>
        <v>0</v>
      </c>
      <c r="Z40" s="153">
        <f t="shared" si="42"/>
        <v>0</v>
      </c>
      <c r="AA40" s="19"/>
      <c r="AB40" s="50">
        <v>4.7000000000000002E-3</v>
      </c>
      <c r="AC40" s="152">
        <f t="shared" ref="AC40:AC48" si="48">$F40*AB40</f>
        <v>36241.652999999998</v>
      </c>
      <c r="AD40" s="19"/>
      <c r="AE40" s="21">
        <f t="shared" si="12"/>
        <v>0</v>
      </c>
      <c r="AF40" s="153">
        <f t="shared" si="43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7710990</v>
      </c>
      <c r="G41" s="50">
        <v>1.2999999999999999E-3</v>
      </c>
      <c r="H41" s="152">
        <f t="shared" si="44"/>
        <v>10024.287</v>
      </c>
      <c r="I41" s="19"/>
      <c r="J41" s="50">
        <v>2.0999999999999999E-3</v>
      </c>
      <c r="K41" s="152">
        <f t="shared" si="45"/>
        <v>16193.079</v>
      </c>
      <c r="L41" s="19"/>
      <c r="M41" s="21">
        <f t="shared" si="25"/>
        <v>6168.7919999999995</v>
      </c>
      <c r="N41" s="153">
        <f t="shared" si="40"/>
        <v>0.61538461538461531</v>
      </c>
      <c r="O41" s="212"/>
      <c r="P41" s="50">
        <v>2.0999999999999999E-3</v>
      </c>
      <c r="Q41" s="152">
        <f t="shared" si="46"/>
        <v>16193.079</v>
      </c>
      <c r="R41" s="19"/>
      <c r="S41" s="21">
        <f t="shared" si="10"/>
        <v>0</v>
      </c>
      <c r="T41" s="153">
        <f t="shared" si="41"/>
        <v>0</v>
      </c>
      <c r="U41" s="19"/>
      <c r="V41" s="50">
        <v>2.0999999999999999E-3</v>
      </c>
      <c r="W41" s="152">
        <f t="shared" si="47"/>
        <v>16193.079</v>
      </c>
      <c r="X41" s="19"/>
      <c r="Y41" s="21">
        <f t="shared" si="11"/>
        <v>0</v>
      </c>
      <c r="Z41" s="153">
        <f t="shared" si="42"/>
        <v>0</v>
      </c>
      <c r="AA41" s="19"/>
      <c r="AB41" s="50">
        <v>2.0999999999999999E-3</v>
      </c>
      <c r="AC41" s="152">
        <f t="shared" si="48"/>
        <v>16193.079</v>
      </c>
      <c r="AD41" s="19"/>
      <c r="AE41" s="21">
        <f t="shared" si="12"/>
        <v>0</v>
      </c>
      <c r="AF41" s="153">
        <f t="shared" si="43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44"/>
        <v>0.25</v>
      </c>
      <c r="I42" s="19"/>
      <c r="J42" s="50">
        <v>0.25</v>
      </c>
      <c r="K42" s="152">
        <f t="shared" si="45"/>
        <v>0.25</v>
      </c>
      <c r="L42" s="19"/>
      <c r="M42" s="21">
        <f t="shared" si="25"/>
        <v>0</v>
      </c>
      <c r="N42" s="153">
        <f t="shared" si="40"/>
        <v>0</v>
      </c>
      <c r="O42" s="212"/>
      <c r="P42" s="50">
        <v>0.25</v>
      </c>
      <c r="Q42" s="152">
        <f t="shared" si="46"/>
        <v>0.25</v>
      </c>
      <c r="R42" s="19"/>
      <c r="S42" s="21">
        <f t="shared" si="10"/>
        <v>0</v>
      </c>
      <c r="T42" s="153">
        <f t="shared" si="41"/>
        <v>0</v>
      </c>
      <c r="U42" s="19"/>
      <c r="V42" s="50">
        <v>0.25</v>
      </c>
      <c r="W42" s="152">
        <f t="shared" si="47"/>
        <v>0.25</v>
      </c>
      <c r="X42" s="19"/>
      <c r="Y42" s="21">
        <f t="shared" si="11"/>
        <v>0</v>
      </c>
      <c r="Z42" s="153">
        <f t="shared" si="42"/>
        <v>0</v>
      </c>
      <c r="AA42" s="19"/>
      <c r="AB42" s="50">
        <v>0.25</v>
      </c>
      <c r="AC42" s="152">
        <f t="shared" si="48"/>
        <v>0.25</v>
      </c>
      <c r="AD42" s="19"/>
      <c r="AE42" s="21">
        <f t="shared" si="12"/>
        <v>0</v>
      </c>
      <c r="AF42" s="153">
        <f t="shared" si="43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7665000</v>
      </c>
      <c r="G43" s="50">
        <v>7.0000000000000001E-3</v>
      </c>
      <c r="H43" s="152">
        <f t="shared" ref="H43:H48" si="49">$F43*G43</f>
        <v>53655</v>
      </c>
      <c r="I43" s="19"/>
      <c r="J43" s="50">
        <v>7.0000000000000001E-3</v>
      </c>
      <c r="K43" s="152">
        <f t="shared" ref="K43:K48" si="50">$F43*J43</f>
        <v>53655</v>
      </c>
      <c r="L43" s="19"/>
      <c r="M43" s="21">
        <f t="shared" si="25"/>
        <v>0</v>
      </c>
      <c r="N43" s="153">
        <f t="shared" ref="N43:N46" si="51">IF((H43)=0,"",(M43/H43))</f>
        <v>0</v>
      </c>
      <c r="O43" s="212"/>
      <c r="P43" s="50">
        <v>7.0000000000000001E-3</v>
      </c>
      <c r="Q43" s="152">
        <f t="shared" ref="Q43:Q48" si="52">$F43*P43</f>
        <v>53655</v>
      </c>
      <c r="R43" s="19"/>
      <c r="S43" s="21">
        <f t="shared" si="10"/>
        <v>0</v>
      </c>
      <c r="T43" s="153">
        <f t="shared" ref="T43:T46" si="53">IF((K43)=0,"",(S43/K43))</f>
        <v>0</v>
      </c>
      <c r="U43" s="19"/>
      <c r="V43" s="50">
        <v>7.0000000000000001E-3</v>
      </c>
      <c r="W43" s="152">
        <f t="shared" ref="W43:W48" si="54">$F43*V43</f>
        <v>53655</v>
      </c>
      <c r="X43" s="19"/>
      <c r="Y43" s="21">
        <f t="shared" si="11"/>
        <v>0</v>
      </c>
      <c r="Z43" s="153">
        <f t="shared" ref="Z43:Z46" si="55">IF((Q43)=0,"",(Y43/Q43))</f>
        <v>0</v>
      </c>
      <c r="AA43" s="19"/>
      <c r="AB43" s="50">
        <v>7.0000000000000001E-3</v>
      </c>
      <c r="AC43" s="152">
        <f t="shared" si="48"/>
        <v>53655</v>
      </c>
      <c r="AD43" s="19"/>
      <c r="AE43" s="21">
        <f t="shared" si="12"/>
        <v>0</v>
      </c>
      <c r="AF43" s="153">
        <f t="shared" si="43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4905600</v>
      </c>
      <c r="G44" s="54">
        <v>8.6999999999999994E-2</v>
      </c>
      <c r="H44" s="152">
        <f t="shared" si="49"/>
        <v>426787.19999999995</v>
      </c>
      <c r="I44" s="19"/>
      <c r="J44" s="54">
        <f>+G44</f>
        <v>8.6999999999999994E-2</v>
      </c>
      <c r="K44" s="152">
        <f t="shared" si="50"/>
        <v>426787.19999999995</v>
      </c>
      <c r="L44" s="19"/>
      <c r="M44" s="21">
        <f t="shared" si="25"/>
        <v>0</v>
      </c>
      <c r="N44" s="153">
        <f t="shared" si="51"/>
        <v>0</v>
      </c>
      <c r="O44" s="212"/>
      <c r="P44" s="54">
        <v>0.08</v>
      </c>
      <c r="Q44" s="152">
        <f t="shared" si="52"/>
        <v>392448</v>
      </c>
      <c r="R44" s="19"/>
      <c r="S44" s="21">
        <f t="shared" si="10"/>
        <v>-34339.199999999953</v>
      </c>
      <c r="T44" s="153">
        <f t="shared" si="53"/>
        <v>-8.045977011494243E-2</v>
      </c>
      <c r="U44" s="19"/>
      <c r="V44" s="54">
        <v>0.08</v>
      </c>
      <c r="W44" s="152">
        <f t="shared" si="54"/>
        <v>392448</v>
      </c>
      <c r="X44" s="19"/>
      <c r="Y44" s="21">
        <f t="shared" si="11"/>
        <v>0</v>
      </c>
      <c r="Z44" s="153">
        <f t="shared" si="55"/>
        <v>0</v>
      </c>
      <c r="AA44" s="19"/>
      <c r="AB44" s="54">
        <v>0.08</v>
      </c>
      <c r="AC44" s="152">
        <f t="shared" si="48"/>
        <v>392448</v>
      </c>
      <c r="AD44" s="19"/>
      <c r="AE44" s="21">
        <f t="shared" si="12"/>
        <v>0</v>
      </c>
      <c r="AF44" s="153">
        <f t="shared" si="43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1379700</v>
      </c>
      <c r="G45" s="54">
        <v>0.13200000000000001</v>
      </c>
      <c r="H45" s="152">
        <f t="shared" si="49"/>
        <v>182120.4</v>
      </c>
      <c r="I45" s="19"/>
      <c r="J45" s="54">
        <f>+G45</f>
        <v>0.13200000000000001</v>
      </c>
      <c r="K45" s="152">
        <f t="shared" si="50"/>
        <v>182120.4</v>
      </c>
      <c r="L45" s="19"/>
      <c r="M45" s="21">
        <f t="shared" si="25"/>
        <v>0</v>
      </c>
      <c r="N45" s="153">
        <f t="shared" si="51"/>
        <v>0</v>
      </c>
      <c r="O45" s="212"/>
      <c r="P45" s="54">
        <v>0.122</v>
      </c>
      <c r="Q45" s="152">
        <f t="shared" si="52"/>
        <v>168323.4</v>
      </c>
      <c r="R45" s="19"/>
      <c r="S45" s="21">
        <f t="shared" si="10"/>
        <v>-13797</v>
      </c>
      <c r="T45" s="153">
        <f t="shared" si="53"/>
        <v>-7.575757575757576E-2</v>
      </c>
      <c r="U45" s="19"/>
      <c r="V45" s="54">
        <v>0.122</v>
      </c>
      <c r="W45" s="152">
        <f t="shared" si="54"/>
        <v>168323.4</v>
      </c>
      <c r="X45" s="19"/>
      <c r="Y45" s="21">
        <f t="shared" si="11"/>
        <v>0</v>
      </c>
      <c r="Z45" s="153">
        <f t="shared" si="55"/>
        <v>0</v>
      </c>
      <c r="AA45" s="19"/>
      <c r="AB45" s="54">
        <v>0.122</v>
      </c>
      <c r="AC45" s="152">
        <f t="shared" si="48"/>
        <v>168323.4</v>
      </c>
      <c r="AD45" s="19"/>
      <c r="AE45" s="21">
        <f t="shared" si="12"/>
        <v>0</v>
      </c>
      <c r="AF45" s="153">
        <f t="shared" si="43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1379700</v>
      </c>
      <c r="G46" s="54">
        <v>0.18</v>
      </c>
      <c r="H46" s="152">
        <f t="shared" si="49"/>
        <v>248346</v>
      </c>
      <c r="I46" s="19"/>
      <c r="J46" s="54">
        <f>+G46</f>
        <v>0.18</v>
      </c>
      <c r="K46" s="152">
        <f t="shared" si="50"/>
        <v>248346</v>
      </c>
      <c r="L46" s="19"/>
      <c r="M46" s="21">
        <f t="shared" si="25"/>
        <v>0</v>
      </c>
      <c r="N46" s="153">
        <f t="shared" si="51"/>
        <v>0</v>
      </c>
      <c r="O46" s="212"/>
      <c r="P46" s="54">
        <v>0.161</v>
      </c>
      <c r="Q46" s="152">
        <f t="shared" si="52"/>
        <v>222131.7</v>
      </c>
      <c r="R46" s="19"/>
      <c r="S46" s="21">
        <f t="shared" si="10"/>
        <v>-26214.299999999988</v>
      </c>
      <c r="T46" s="153">
        <f t="shared" si="53"/>
        <v>-0.10555555555555551</v>
      </c>
      <c r="U46" s="19"/>
      <c r="V46" s="54">
        <v>0.161</v>
      </c>
      <c r="W46" s="152">
        <f t="shared" si="54"/>
        <v>222131.7</v>
      </c>
      <c r="X46" s="19"/>
      <c r="Y46" s="21">
        <f t="shared" si="11"/>
        <v>0</v>
      </c>
      <c r="Z46" s="153">
        <f t="shared" si="55"/>
        <v>0</v>
      </c>
      <c r="AA46" s="19"/>
      <c r="AB46" s="54">
        <v>0.161</v>
      </c>
      <c r="AC46" s="152">
        <f t="shared" si="48"/>
        <v>222131.7</v>
      </c>
      <c r="AD46" s="19"/>
      <c r="AE46" s="21">
        <f t="shared" si="12"/>
        <v>0</v>
      </c>
      <c r="AF46" s="153">
        <f t="shared" si="43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49"/>
        <v>77.25</v>
      </c>
      <c r="I47" s="59"/>
      <c r="J47" s="54">
        <f>+G47</f>
        <v>0.10299999999999999</v>
      </c>
      <c r="K47" s="152">
        <f t="shared" si="50"/>
        <v>77.25</v>
      </c>
      <c r="L47" s="59"/>
      <c r="M47" s="60">
        <f t="shared" si="25"/>
        <v>0</v>
      </c>
      <c r="N47" s="153">
        <f>IF((H47)=FALSE,"",(M47/H47))</f>
        <v>0</v>
      </c>
      <c r="O47" s="212"/>
      <c r="P47" s="54">
        <v>9.4E-2</v>
      </c>
      <c r="Q47" s="152">
        <f t="shared" si="52"/>
        <v>70.5</v>
      </c>
      <c r="R47" s="59"/>
      <c r="S47" s="60">
        <f t="shared" si="10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54"/>
        <v>70.5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48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7664250</v>
      </c>
      <c r="G48" s="54">
        <v>0.121</v>
      </c>
      <c r="H48" s="152">
        <f t="shared" si="49"/>
        <v>927374.25</v>
      </c>
      <c r="I48" s="59"/>
      <c r="J48" s="54">
        <f>+G48</f>
        <v>0.121</v>
      </c>
      <c r="K48" s="152">
        <f t="shared" si="50"/>
        <v>927374.25</v>
      </c>
      <c r="L48" s="59"/>
      <c r="M48" s="60">
        <f t="shared" si="25"/>
        <v>0</v>
      </c>
      <c r="N48" s="153">
        <f>IF((H48)=FALSE,"",(M48/H48))</f>
        <v>0</v>
      </c>
      <c r="O48" s="212"/>
      <c r="P48" s="54">
        <v>0.11</v>
      </c>
      <c r="Q48" s="152">
        <f t="shared" si="52"/>
        <v>843067.5</v>
      </c>
      <c r="R48" s="59"/>
      <c r="S48" s="60">
        <f t="shared" si="10"/>
        <v>-84306.75</v>
      </c>
      <c r="T48" s="153">
        <f>IF((K48)=FALSE,"",(S48/K48))</f>
        <v>-9.0909090909090912E-2</v>
      </c>
      <c r="U48" s="59"/>
      <c r="V48" s="54">
        <v>0.11</v>
      </c>
      <c r="W48" s="152">
        <f t="shared" si="54"/>
        <v>843067.5</v>
      </c>
      <c r="X48" s="59"/>
      <c r="Y48" s="60">
        <f t="shared" si="11"/>
        <v>0</v>
      </c>
      <c r="Z48" s="153">
        <f>IF((Q48)=FALSE,"",(Y48/Q48))</f>
        <v>0</v>
      </c>
      <c r="AA48" s="59"/>
      <c r="AB48" s="54">
        <v>0.11</v>
      </c>
      <c r="AC48" s="152">
        <f t="shared" si="48"/>
        <v>843067.5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5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1058343.09324806</v>
      </c>
      <c r="I50" s="75"/>
      <c r="J50" s="72"/>
      <c r="K50" s="74">
        <f>SUM(K40:K46,K39)</f>
        <v>1040258.492</v>
      </c>
      <c r="L50" s="75"/>
      <c r="M50" s="76">
        <f t="shared" si="25"/>
        <v>-18084.601248060004</v>
      </c>
      <c r="N50" s="77">
        <f>IF((H50)=0,"",(M50/H50))</f>
        <v>-1.7087654621109942E-2</v>
      </c>
      <c r="O50" s="212"/>
      <c r="P50" s="72"/>
      <c r="Q50" s="74">
        <f>SUM(Q40:Q46,Q39)</f>
        <v>984228.60199999996</v>
      </c>
      <c r="R50" s="75"/>
      <c r="S50" s="76">
        <f t="shared" si="10"/>
        <v>-56029.890000000014</v>
      </c>
      <c r="T50" s="77">
        <f>IF((K50)=0,"",(S50/K50))</f>
        <v>-5.3861506953216023E-2</v>
      </c>
      <c r="U50" s="75"/>
      <c r="V50" s="72"/>
      <c r="W50" s="74">
        <f>SUM(W40:W46,W39)</f>
        <v>985608.77199999988</v>
      </c>
      <c r="X50" s="75"/>
      <c r="Y50" s="76">
        <f t="shared" si="11"/>
        <v>1380.1699999999255</v>
      </c>
      <c r="Z50" s="77">
        <f>IF((Q50)=0,"",(Y50/Q50))</f>
        <v>1.4022860107858618E-3</v>
      </c>
      <c r="AA50" s="75"/>
      <c r="AB50" s="72"/>
      <c r="AC50" s="74">
        <f>SUM(AC40:AC46,AC39)</f>
        <v>985860.86199999996</v>
      </c>
      <c r="AD50" s="75"/>
      <c r="AE50" s="76">
        <f t="shared" si="12"/>
        <v>252.09000000008382</v>
      </c>
      <c r="AF50" s="77">
        <f>IF((W50)=0,"",(AE50/W50))</f>
        <v>2.5577085671482218E-4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137584.6021222478</v>
      </c>
      <c r="I51" s="81"/>
      <c r="J51" s="79">
        <v>0.13</v>
      </c>
      <c r="K51" s="82">
        <f>K50*J51</f>
        <v>135233.60396000001</v>
      </c>
      <c r="L51" s="81"/>
      <c r="M51" s="83">
        <f t="shared" si="25"/>
        <v>-2350.9981622477935</v>
      </c>
      <c r="N51" s="84">
        <f>IF((H51)=0,"",(M51/H51))</f>
        <v>-1.7087654621109893E-2</v>
      </c>
      <c r="O51" s="212"/>
      <c r="P51" s="79">
        <v>0.13</v>
      </c>
      <c r="Q51" s="82">
        <f>Q50*P51</f>
        <v>127949.71825999999</v>
      </c>
      <c r="R51" s="81"/>
      <c r="S51" s="83">
        <f t="shared" si="10"/>
        <v>-7283.8857000000135</v>
      </c>
      <c r="T51" s="84">
        <f>IF((K51)=0,"",(S51/K51))</f>
        <v>-5.3861506953216107E-2</v>
      </c>
      <c r="U51" s="81"/>
      <c r="V51" s="79">
        <v>0.13</v>
      </c>
      <c r="W51" s="82">
        <f>W50*V51</f>
        <v>128129.14035999999</v>
      </c>
      <c r="X51" s="81"/>
      <c r="Y51" s="83">
        <f t="shared" si="11"/>
        <v>179.42209999999614</v>
      </c>
      <c r="Z51" s="84">
        <f>IF((Q51)=0,"",(Y51/Q51))</f>
        <v>1.4022860107859071E-3</v>
      </c>
      <c r="AA51" s="81"/>
      <c r="AB51" s="79">
        <v>0.13</v>
      </c>
      <c r="AC51" s="82">
        <f>AC50*AB51</f>
        <v>128161.91206</v>
      </c>
      <c r="AD51" s="81"/>
      <c r="AE51" s="83">
        <f t="shared" si="12"/>
        <v>32.771700000012061</v>
      </c>
      <c r="AF51" s="84">
        <f>IF((W51)=0,"",(AE51/W51))</f>
        <v>2.5577085671483124E-4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1195927.6953703077</v>
      </c>
      <c r="I52" s="81"/>
      <c r="J52" s="86"/>
      <c r="K52" s="82">
        <f>K50+K51</f>
        <v>1175492.0959600001</v>
      </c>
      <c r="L52" s="81"/>
      <c r="M52" s="83">
        <f t="shared" si="25"/>
        <v>-20435.599410307594</v>
      </c>
      <c r="N52" s="84">
        <f>IF((H52)=0,"",(M52/H52))</f>
        <v>-1.7087654621109769E-2</v>
      </c>
      <c r="O52" s="212"/>
      <c r="P52" s="86"/>
      <c r="Q52" s="82">
        <f>Q50+Q51</f>
        <v>1112178.3202599999</v>
      </c>
      <c r="R52" s="81"/>
      <c r="S52" s="83">
        <f t="shared" si="10"/>
        <v>-63313.775700000115</v>
      </c>
      <c r="T52" s="84">
        <f>IF((K52)=0,"",(S52/K52))</f>
        <v>-5.3861506953216107E-2</v>
      </c>
      <c r="U52" s="81"/>
      <c r="V52" s="86"/>
      <c r="W52" s="82">
        <f>W50+W51</f>
        <v>1113737.91236</v>
      </c>
      <c r="X52" s="81"/>
      <c r="Y52" s="83">
        <f t="shared" si="11"/>
        <v>1559.5921000000089</v>
      </c>
      <c r="Z52" s="84">
        <f>IF((Q52)=0,"",(Y52/Q52))</f>
        <v>1.4022860107859455E-3</v>
      </c>
      <c r="AA52" s="81"/>
      <c r="AB52" s="86"/>
      <c r="AC52" s="82">
        <f>AC50+AC51</f>
        <v>1114022.77406</v>
      </c>
      <c r="AD52" s="81"/>
      <c r="AE52" s="83">
        <f t="shared" si="12"/>
        <v>284.86170000000857</v>
      </c>
      <c r="AF52" s="84">
        <f>IF((W52)=0,"",(AE52/W52))</f>
        <v>2.5577085671474483E-4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25"/>
        <v>0</v>
      </c>
      <c r="N53" s="89" t="str">
        <f>IF((H53)=0,"",(M53/H53))</f>
        <v/>
      </c>
      <c r="O53" s="212"/>
      <c r="P53" s="86"/>
      <c r="Q53" s="87">
        <f>ROUND(-Q52*10%,2)</f>
        <v>-111217.83</v>
      </c>
      <c r="R53" s="81"/>
      <c r="S53" s="88">
        <f t="shared" si="10"/>
        <v>-111217.83</v>
      </c>
      <c r="T53" s="89" t="str">
        <f>IF((K53)=0,"",(S53/K53))</f>
        <v/>
      </c>
      <c r="U53" s="81"/>
      <c r="V53" s="86"/>
      <c r="W53" s="87">
        <f>ROUND(-W52*10%,2)</f>
        <v>-111373.79</v>
      </c>
      <c r="X53" s="81"/>
      <c r="Y53" s="88">
        <f t="shared" si="11"/>
        <v>-155.95999999999185</v>
      </c>
      <c r="Z53" s="89">
        <f>IF((Q53)=0,"",(Y53/Q53))</f>
        <v>1.4022931395082231E-3</v>
      </c>
      <c r="AA53" s="81"/>
      <c r="AB53" s="86"/>
      <c r="AC53" s="87">
        <f>ROUND(-AC52*10%,2)</f>
        <v>-111402.28</v>
      </c>
      <c r="AD53" s="81"/>
      <c r="AE53" s="88">
        <f t="shared" si="12"/>
        <v>-28.490000000005239</v>
      </c>
      <c r="AF53" s="89">
        <f>IF((W53)=0,"",(AE53/W53))</f>
        <v>2.5580524825459598E-4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1195927.6953703077</v>
      </c>
      <c r="I54" s="92"/>
      <c r="J54" s="90"/>
      <c r="K54" s="93">
        <f>K52+K53</f>
        <v>1175492.0959600001</v>
      </c>
      <c r="L54" s="92"/>
      <c r="M54" s="94">
        <f t="shared" si="25"/>
        <v>-20435.599410307594</v>
      </c>
      <c r="N54" s="95">
        <f>IF((H54)=0,"",(M54/H54))</f>
        <v>-1.7087654621109769E-2</v>
      </c>
      <c r="O54" s="212"/>
      <c r="P54" s="90"/>
      <c r="Q54" s="93">
        <f>Q52+Q53</f>
        <v>1000960.49026</v>
      </c>
      <c r="R54" s="92"/>
      <c r="S54" s="94">
        <f t="shared" si="10"/>
        <v>-174531.60570000007</v>
      </c>
      <c r="T54" s="95">
        <f>IF((K54)=0,"",(S54/K54))</f>
        <v>-0.14847535453436098</v>
      </c>
      <c r="U54" s="92"/>
      <c r="V54" s="90"/>
      <c r="W54" s="93">
        <f>W52+W53</f>
        <v>1002364.1223599999</v>
      </c>
      <c r="X54" s="92"/>
      <c r="Y54" s="94">
        <f t="shared" si="11"/>
        <v>1403.6320999999298</v>
      </c>
      <c r="Z54" s="95">
        <f>IF((Q54)=0,"",(Y54/Q54))</f>
        <v>1.402285218705621E-3</v>
      </c>
      <c r="AA54" s="92"/>
      <c r="AB54" s="90"/>
      <c r="AC54" s="93">
        <f>AC52+AC53</f>
        <v>1002620.4940599999</v>
      </c>
      <c r="AD54" s="92"/>
      <c r="AE54" s="94">
        <f t="shared" si="12"/>
        <v>256.37170000001788</v>
      </c>
      <c r="AF54" s="95">
        <f>IF((W54)=0,"",(AE54/W54))</f>
        <v>2.5576703543260076E-4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5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1128540.9932480601</v>
      </c>
      <c r="I56" s="106"/>
      <c r="J56" s="103"/>
      <c r="K56" s="105">
        <f>SUM(K47:K48,K39,K40:K43)</f>
        <v>1110456.392</v>
      </c>
      <c r="L56" s="106"/>
      <c r="M56" s="107">
        <f t="shared" si="25"/>
        <v>-18084.60124806012</v>
      </c>
      <c r="N56" s="77">
        <f>IF((H56)=0,"",(M56/H56))</f>
        <v>-1.6024762375720824E-2</v>
      </c>
      <c r="O56" s="212"/>
      <c r="P56" s="103"/>
      <c r="Q56" s="105">
        <f>SUM(Q47:Q48,Q39,Q40:Q43)</f>
        <v>1044463.5020000001</v>
      </c>
      <c r="R56" s="106"/>
      <c r="S56" s="107">
        <f t="shared" si="10"/>
        <v>-65992.889999999898</v>
      </c>
      <c r="T56" s="77">
        <f>IF((K56)=0,"",(S56/K56))</f>
        <v>-5.9428619147432402E-2</v>
      </c>
      <c r="U56" s="106"/>
      <c r="V56" s="103"/>
      <c r="W56" s="105">
        <f>SUM(W47:W48,W39,W40:W43)</f>
        <v>1045843.672</v>
      </c>
      <c r="X56" s="106"/>
      <c r="Y56" s="107">
        <f t="shared" si="11"/>
        <v>1380.1699999999255</v>
      </c>
      <c r="Z56" s="77">
        <f>IF((Q56)=0,"",(Y56/Q56))</f>
        <v>1.3214152503721718E-3</v>
      </c>
      <c r="AA56" s="106"/>
      <c r="AB56" s="103"/>
      <c r="AC56" s="105">
        <f>SUM(AC47:AC48,AC39,AC40:AC43)</f>
        <v>1046095.7620000001</v>
      </c>
      <c r="AD56" s="106"/>
      <c r="AE56" s="107">
        <f t="shared" si="12"/>
        <v>252.09000000008382</v>
      </c>
      <c r="AF56" s="77">
        <f>IF((W56)=0,"",(AE56/W56))</f>
        <v>2.410398482576312E-4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146710.32912224781</v>
      </c>
      <c r="I57" s="110"/>
      <c r="J57" s="109">
        <v>0.13</v>
      </c>
      <c r="K57" s="111">
        <f>K56*J57</f>
        <v>144359.33095999999</v>
      </c>
      <c r="L57" s="110"/>
      <c r="M57" s="112">
        <f t="shared" si="25"/>
        <v>-2350.9981622478226</v>
      </c>
      <c r="N57" s="84">
        <f>IF((H57)=0,"",(M57/H57))</f>
        <v>-1.6024762375720869E-2</v>
      </c>
      <c r="O57" s="212"/>
      <c r="P57" s="109">
        <v>0.13</v>
      </c>
      <c r="Q57" s="111">
        <f>Q56*P57</f>
        <v>135780.25526000001</v>
      </c>
      <c r="R57" s="110"/>
      <c r="S57" s="112">
        <f t="shared" si="10"/>
        <v>-8579.0756999999867</v>
      </c>
      <c r="T57" s="84">
        <f>IF((K57)=0,"",(S57/K57))</f>
        <v>-5.9428619147432402E-2</v>
      </c>
      <c r="U57" s="110"/>
      <c r="V57" s="109">
        <v>0.13</v>
      </c>
      <c r="W57" s="111">
        <f>W56*V57</f>
        <v>135959.67736</v>
      </c>
      <c r="X57" s="110"/>
      <c r="Y57" s="112">
        <f t="shared" si="11"/>
        <v>179.42209999999614</v>
      </c>
      <c r="Z57" s="84">
        <f>IF((Q57)=0,"",(Y57/Q57))</f>
        <v>1.3214152503722148E-3</v>
      </c>
      <c r="AA57" s="110"/>
      <c r="AB57" s="109">
        <v>0.13</v>
      </c>
      <c r="AC57" s="111">
        <f>AC56*AB57</f>
        <v>135992.44906000001</v>
      </c>
      <c r="AD57" s="110"/>
      <c r="AE57" s="112">
        <f t="shared" si="12"/>
        <v>32.771700000012061</v>
      </c>
      <c r="AF57" s="84">
        <f>IF((W57)=0,"",(AE57/W57))</f>
        <v>2.4103984825763977E-4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1275251.322370308</v>
      </c>
      <c r="I58" s="110"/>
      <c r="J58" s="114"/>
      <c r="K58" s="111">
        <f>K56+K57</f>
        <v>1254815.7229599999</v>
      </c>
      <c r="L58" s="110"/>
      <c r="M58" s="112">
        <f t="shared" si="25"/>
        <v>-20435.599410308059</v>
      </c>
      <c r="N58" s="84">
        <f>IF((H58)=0,"",(M58/H58))</f>
        <v>-1.6024762375720918E-2</v>
      </c>
      <c r="O58" s="212"/>
      <c r="P58" s="114"/>
      <c r="Q58" s="111">
        <f>Q56+Q57</f>
        <v>1180243.7572600001</v>
      </c>
      <c r="R58" s="110"/>
      <c r="S58" s="112">
        <f t="shared" si="10"/>
        <v>-74571.965699999826</v>
      </c>
      <c r="T58" s="84">
        <f>IF((K58)=0,"",(S58/K58))</f>
        <v>-5.9428619147432353E-2</v>
      </c>
      <c r="U58" s="110"/>
      <c r="V58" s="114"/>
      <c r="W58" s="111">
        <f>W56+W57</f>
        <v>1181803.3493600001</v>
      </c>
      <c r="X58" s="110"/>
      <c r="Y58" s="112">
        <f t="shared" si="11"/>
        <v>1559.5921000000089</v>
      </c>
      <c r="Z58" s="84">
        <f>IF((Q58)=0,"",(Y58/Q58))</f>
        <v>1.3214152503722508E-3</v>
      </c>
      <c r="AA58" s="110"/>
      <c r="AB58" s="114"/>
      <c r="AC58" s="111">
        <f>AC56+AC57</f>
        <v>1182088.2110600001</v>
      </c>
      <c r="AD58" s="110"/>
      <c r="AE58" s="112">
        <f t="shared" si="12"/>
        <v>284.86170000000857</v>
      </c>
      <c r="AF58" s="84">
        <f>IF((W58)=0,"",(AE58/W58))</f>
        <v>2.4103984825755829E-4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25"/>
        <v>0</v>
      </c>
      <c r="N59" s="89" t="str">
        <f>IF((H59)=0,"",(M59/H59))</f>
        <v/>
      </c>
      <c r="O59" s="212"/>
      <c r="P59" s="114"/>
      <c r="Q59" s="116">
        <f>ROUND(-Q58*10%,2)</f>
        <v>-118024.38</v>
      </c>
      <c r="R59" s="110"/>
      <c r="S59" s="117">
        <f t="shared" si="10"/>
        <v>-118024.38</v>
      </c>
      <c r="T59" s="89" t="str">
        <f>IF((K59)=0,"",(S59/K59))</f>
        <v/>
      </c>
      <c r="U59" s="110"/>
      <c r="V59" s="114"/>
      <c r="W59" s="116">
        <f>ROUND(-W58*10%,2)</f>
        <v>-118180.33</v>
      </c>
      <c r="X59" s="110"/>
      <c r="Y59" s="117">
        <f t="shared" si="11"/>
        <v>-155.94999999999709</v>
      </c>
      <c r="Z59" s="89">
        <f>IF((Q59)=0,"",(Y59/Q59))</f>
        <v>1.3213371677953071E-3</v>
      </c>
      <c r="AA59" s="110"/>
      <c r="AB59" s="114"/>
      <c r="AC59" s="116">
        <f>ROUND(-AC58*10%,2)</f>
        <v>-118208.82</v>
      </c>
      <c r="AD59" s="110"/>
      <c r="AE59" s="117">
        <f t="shared" si="12"/>
        <v>-28.490000000005239</v>
      </c>
      <c r="AF59" s="89">
        <f>IF((W59)=0,"",(AE59/W59))</f>
        <v>2.4107226642543E-4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1275251.322370308</v>
      </c>
      <c r="I60" s="120"/>
      <c r="J60" s="118"/>
      <c r="K60" s="121">
        <f>SUM(K58:K59)</f>
        <v>1254815.7229599999</v>
      </c>
      <c r="L60" s="120"/>
      <c r="M60" s="122">
        <f t="shared" si="25"/>
        <v>-20435.599410308059</v>
      </c>
      <c r="N60" s="123">
        <f>IF((H60)=0,"",(M60/H60))</f>
        <v>-1.6024762375720918E-2</v>
      </c>
      <c r="O60" s="212"/>
      <c r="P60" s="118"/>
      <c r="Q60" s="121">
        <f>SUM(Q58:Q59)</f>
        <v>1062219.37726</v>
      </c>
      <c r="R60" s="120"/>
      <c r="S60" s="122">
        <f t="shared" si="10"/>
        <v>-192596.34569999995</v>
      </c>
      <c r="T60" s="123">
        <f>IF((K60)=0,"",(S60/K60))</f>
        <v>-0.15348576063876704</v>
      </c>
      <c r="U60" s="120"/>
      <c r="V60" s="118"/>
      <c r="W60" s="121">
        <f>SUM(W58:W59)</f>
        <v>1063623.01936</v>
      </c>
      <c r="X60" s="120"/>
      <c r="Y60" s="122">
        <f t="shared" si="11"/>
        <v>1403.6421000000555</v>
      </c>
      <c r="Z60" s="123">
        <f>IF((Q60)=0,"",(Y60/Q60))</f>
        <v>1.3214239262145237E-3</v>
      </c>
      <c r="AA60" s="120"/>
      <c r="AB60" s="118"/>
      <c r="AC60" s="121">
        <f>SUM(AC58:AC59)</f>
        <v>1063879.3910600001</v>
      </c>
      <c r="AD60" s="120"/>
      <c r="AE60" s="122">
        <f t="shared" si="12"/>
        <v>256.37170000001788</v>
      </c>
      <c r="AF60" s="123">
        <f>IF((W60)=0,"",(AE60/W60))</f>
        <v>2.4103624623908674E-4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80">
        <v>6.0000000000000001E-3</v>
      </c>
      <c r="I63" s="142"/>
      <c r="J63" s="180">
        <v>6.0000000000000001E-3</v>
      </c>
      <c r="K63" s="142"/>
      <c r="L63" s="142"/>
      <c r="M63" s="142"/>
      <c r="N63" s="142"/>
      <c r="O63" s="142"/>
      <c r="P63" s="180">
        <v>6.0000000000000001E-3</v>
      </c>
      <c r="Q63" s="142"/>
      <c r="R63" s="142"/>
      <c r="S63" s="142"/>
      <c r="T63" s="142"/>
      <c r="U63" s="142"/>
      <c r="V63" s="180">
        <v>6.0000000000000001E-3</v>
      </c>
      <c r="W63" s="142"/>
      <c r="X63" s="142"/>
      <c r="Y63" s="142"/>
      <c r="Z63" s="142"/>
      <c r="AA63" s="142"/>
      <c r="AB63" s="180">
        <v>6.0000000000000001E-3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</dataValidations>
  <pageMargins left="0.75" right="0.75" top="1" bottom="1" header="0.5" footer="0.5"/>
  <pageSetup scale="48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theme="9" tint="-0.249977111117893"/>
    <pageSetUpPr fitToPage="1"/>
  </sheetPr>
  <dimension ref="A1:AP79"/>
  <sheetViews>
    <sheetView showGridLines="0" topLeftCell="A7" zoomScale="77" zoomScaleNormal="77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1.42578125" style="1" bestFit="1" customWidth="1"/>
    <col min="7" max="7" width="13.28515625" style="1" customWidth="1"/>
    <col min="8" max="8" width="14" style="142" bestFit="1" customWidth="1"/>
    <col min="9" max="9" width="1.7109375" style="1" customWidth="1"/>
    <col min="10" max="10" width="13.28515625" style="1" customWidth="1"/>
    <col min="11" max="11" width="14" style="1" bestFit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4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4" style="1" hidden="1" customWidth="1"/>
    <col min="24" max="24" width="1.7109375" style="1" hidden="1" customWidth="1"/>
    <col min="25" max="25" width="10.42578125" style="1" hidden="1" customWidth="1"/>
    <col min="26" max="26" width="7.5703125" style="1" hidden="1" customWidth="1"/>
    <col min="27" max="27" width="1.7109375" style="1" hidden="1" customWidth="1"/>
    <col min="28" max="28" width="13.5703125" style="1" hidden="1" customWidth="1"/>
    <col min="29" max="29" width="14.140625" style="1" hidden="1" customWidth="1"/>
    <col min="30" max="30" width="1.7109375" style="1" hidden="1" customWidth="1"/>
    <col min="31" max="31" width="10.42578125" style="1" hidden="1" customWidth="1"/>
    <col min="32" max="32" width="7.5703125" style="1" hidden="1" customWidth="1"/>
    <col min="33" max="33" width="1.7109375" style="1" customWidth="1"/>
    <col min="34" max="34" width="13.5703125" style="1" bestFit="1" customWidth="1"/>
    <col min="35" max="35" width="14.140625" style="1" bestFit="1" customWidth="1"/>
    <col min="36" max="36" width="1.7109375" style="1" customWidth="1"/>
    <col min="37" max="37" width="10.42578125" style="1" bestFit="1" customWidth="1"/>
    <col min="38" max="38" width="7.5703125" style="1" bestFit="1" customWidth="1"/>
    <col min="39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98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f>+'Summary (1)'!D25</f>
        <v>20000</v>
      </c>
      <c r="H7" s="9" t="s">
        <v>64</v>
      </c>
      <c r="J7" s="151"/>
      <c r="K7" s="151"/>
    </row>
    <row r="8" spans="2:42" x14ac:dyDescent="0.2">
      <c r="B8" s="6"/>
      <c r="G8" s="8">
        <f>+'Summary (1)'!C25</f>
        <v>10220000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4422.2</v>
      </c>
      <c r="H12" s="18">
        <f t="shared" ref="H12:H27" si="0">$F12*G12</f>
        <v>4422.2</v>
      </c>
      <c r="I12" s="19"/>
      <c r="J12" s="209">
        <v>5600.32</v>
      </c>
      <c r="K12" s="18">
        <f t="shared" ref="K12:K27" si="1">$F12*J12</f>
        <v>5600.32</v>
      </c>
      <c r="L12" s="19"/>
      <c r="M12" s="21">
        <f t="shared" ref="M12:M21" si="2">K12-H12</f>
        <v>1178.1199999999999</v>
      </c>
      <c r="N12" s="22">
        <f t="shared" ref="N12:N21" si="3">IF((H12)=0,"",(M12/H12))</f>
        <v>0.26641038397177874</v>
      </c>
      <c r="O12" s="212"/>
      <c r="P12" s="16">
        <v>5600.32</v>
      </c>
      <c r="Q12" s="18">
        <f t="shared" ref="Q12:Q27" si="4">$F12*P12</f>
        <v>5600.32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5594.49</v>
      </c>
      <c r="W12" s="18">
        <f t="shared" ref="W12:W27" si="6">$F12*V12</f>
        <v>5594.49</v>
      </c>
      <c r="X12" s="19"/>
      <c r="Y12" s="21">
        <f>W12-Q12</f>
        <v>-5.8299999999999272</v>
      </c>
      <c r="Z12" s="22">
        <f t="shared" ref="Z12:Z34" si="7">IF((Q12)=0,"",(Y12/Q12))</f>
        <v>-1.0410119421747199E-3</v>
      </c>
      <c r="AA12" s="19"/>
      <c r="AB12" s="16">
        <v>5728.08</v>
      </c>
      <c r="AC12" s="18">
        <f t="shared" ref="AC12:AC27" si="8">$F12*AB12</f>
        <v>5728.08</v>
      </c>
      <c r="AD12" s="19"/>
      <c r="AE12" s="21">
        <f>AC12-W12</f>
        <v>133.59000000000015</v>
      </c>
      <c r="AF12" s="22">
        <f t="shared" ref="AF12:AF34" si="9">IF((W12)=0,"",(AE12/W12))</f>
        <v>2.3878852227817039E-2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>IF((W15)=0,"",(AE15/W15))</f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20000</v>
      </c>
      <c r="G19" s="16">
        <v>0.26090000000000002</v>
      </c>
      <c r="H19" s="18">
        <f t="shared" si="0"/>
        <v>5218</v>
      </c>
      <c r="I19" s="19"/>
      <c r="J19" s="16">
        <v>0.33040000000000003</v>
      </c>
      <c r="K19" s="18">
        <f t="shared" si="1"/>
        <v>6608.0000000000009</v>
      </c>
      <c r="L19" s="19"/>
      <c r="M19" s="21">
        <f t="shared" si="2"/>
        <v>1390.0000000000009</v>
      </c>
      <c r="N19" s="22">
        <f t="shared" si="3"/>
        <v>0.26638558834802623</v>
      </c>
      <c r="O19" s="212"/>
      <c r="P19" s="16">
        <v>0.33040000000000003</v>
      </c>
      <c r="Q19" s="18">
        <f t="shared" si="4"/>
        <v>6608.0000000000009</v>
      </c>
      <c r="R19" s="19"/>
      <c r="S19" s="21">
        <f t="shared" si="10"/>
        <v>0</v>
      </c>
      <c r="T19" s="22">
        <f t="shared" si="5"/>
        <v>0</v>
      </c>
      <c r="U19" s="19"/>
      <c r="V19" s="16">
        <v>0.3301</v>
      </c>
      <c r="W19" s="18">
        <f t="shared" si="6"/>
        <v>6602</v>
      </c>
      <c r="X19" s="19"/>
      <c r="Y19" s="21">
        <f t="shared" si="11"/>
        <v>-6.0000000000009095</v>
      </c>
      <c r="Z19" s="22">
        <f t="shared" si="7"/>
        <v>-9.0799031477011331E-4</v>
      </c>
      <c r="AA19" s="19"/>
      <c r="AB19" s="16">
        <v>0.33800000000000002</v>
      </c>
      <c r="AC19" s="18">
        <f t="shared" si="8"/>
        <v>6760</v>
      </c>
      <c r="AD19" s="19"/>
      <c r="AE19" s="21">
        <f t="shared" si="12"/>
        <v>158</v>
      </c>
      <c r="AF19" s="22">
        <f t="shared" si="9"/>
        <v>2.3932141775219632E-2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3">$G$7</f>
        <v>20000</v>
      </c>
      <c r="G20" s="16"/>
      <c r="H20" s="18">
        <f t="shared" si="0"/>
        <v>0</v>
      </c>
      <c r="I20" s="19"/>
      <c r="J20" s="16">
        <v>9.5999999999999992E-3</v>
      </c>
      <c r="K20" s="18">
        <f t="shared" si="1"/>
        <v>191.99999999999997</v>
      </c>
      <c r="L20" s="19"/>
      <c r="M20" s="21">
        <f t="shared" si="2"/>
        <v>191.99999999999997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-191.99999999999997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20000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4">$G$7</f>
        <v>20000</v>
      </c>
      <c r="G24" s="16">
        <v>0</v>
      </c>
      <c r="H24" s="18">
        <f t="shared" ref="H24" si="15">$F24*G24</f>
        <v>0</v>
      </c>
      <c r="I24" s="19"/>
      <c r="J24" s="16">
        <v>0</v>
      </c>
      <c r="K24" s="18">
        <f t="shared" ref="K24" si="16">$F24*J24</f>
        <v>0</v>
      </c>
      <c r="L24" s="19"/>
      <c r="M24" s="21">
        <f t="shared" ref="M24:M42" si="17">K24-H24</f>
        <v>0</v>
      </c>
      <c r="N24" s="22" t="str">
        <f t="shared" ref="N24:N34" si="18">IF((H24)=0,"",(M24/H24))</f>
        <v/>
      </c>
      <c r="O24" s="212"/>
      <c r="P24" s="16">
        <v>0</v>
      </c>
      <c r="Q24" s="18">
        <f t="shared" ref="Q24" si="19">$F24*P24</f>
        <v>0</v>
      </c>
      <c r="R24" s="19"/>
      <c r="S24" s="21">
        <f t="shared" ref="S24" si="20">Q24-K24</f>
        <v>0</v>
      </c>
      <c r="T24" s="22" t="str">
        <f t="shared" ref="T24" si="21">IF((K24)=0,"",(S24/K24))</f>
        <v/>
      </c>
      <c r="U24" s="19"/>
      <c r="V24" s="16">
        <v>0</v>
      </c>
      <c r="W24" s="18">
        <f t="shared" ref="W24" si="22">$F24*V24</f>
        <v>0</v>
      </c>
      <c r="X24" s="19"/>
      <c r="Y24" s="21">
        <f t="shared" ref="Y24" si="23">W24-Q24</f>
        <v>0</v>
      </c>
      <c r="Z24" s="22" t="str">
        <f t="shared" ref="Z24" si="24">IF((Q24)=0,"",(Y24/Q24))</f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20000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20000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20000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9640.2000000000007</v>
      </c>
      <c r="I28" s="31"/>
      <c r="J28" s="28"/>
      <c r="K28" s="30">
        <f>SUM(K12:K27)</f>
        <v>12400.32</v>
      </c>
      <c r="L28" s="31"/>
      <c r="M28" s="32">
        <f t="shared" si="17"/>
        <v>2760.119999999999</v>
      </c>
      <c r="N28" s="33">
        <f t="shared" si="18"/>
        <v>0.2863135619592953</v>
      </c>
      <c r="O28" s="212"/>
      <c r="P28" s="28"/>
      <c r="Q28" s="30">
        <f>SUM(Q12:Q27)</f>
        <v>12208.32</v>
      </c>
      <c r="R28" s="31"/>
      <c r="S28" s="32">
        <f t="shared" si="10"/>
        <v>-192</v>
      </c>
      <c r="T28" s="33">
        <f t="shared" si="5"/>
        <v>-1.54834713942866E-2</v>
      </c>
      <c r="U28" s="31"/>
      <c r="V28" s="28"/>
      <c r="W28" s="30">
        <f>SUM(W12:W27)</f>
        <v>12196.49</v>
      </c>
      <c r="X28" s="31"/>
      <c r="Y28" s="32">
        <f t="shared" si="11"/>
        <v>-11.829999999999927</v>
      </c>
      <c r="Z28" s="33">
        <f t="shared" si="7"/>
        <v>-9.6901129721369754E-4</v>
      </c>
      <c r="AA28" s="31"/>
      <c r="AB28" s="28"/>
      <c r="AC28" s="30">
        <f>SUM(AC12:AC27)</f>
        <v>12488.08</v>
      </c>
      <c r="AD28" s="31"/>
      <c r="AE28" s="32">
        <f t="shared" si="12"/>
        <v>291.59000000000015</v>
      </c>
      <c r="AF28" s="33">
        <f t="shared" si="9"/>
        <v>2.3907698034434509E-2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20000</v>
      </c>
      <c r="G29" s="16">
        <v>0.6633574003319811</v>
      </c>
      <c r="H29" s="18">
        <f t="shared" ref="H29:H35" si="25">$F29*G29</f>
        <v>13267.148006639622</v>
      </c>
      <c r="I29" s="19"/>
      <c r="J29" s="16">
        <v>-9.4299999999999995E-2</v>
      </c>
      <c r="K29" s="18">
        <f t="shared" ref="K29:K35" si="26">$F29*J29</f>
        <v>-1886</v>
      </c>
      <c r="L29" s="19"/>
      <c r="M29" s="21">
        <f t="shared" si="17"/>
        <v>-15153.148006639622</v>
      </c>
      <c r="N29" s="22">
        <f t="shared" si="18"/>
        <v>-1.1421556463420881</v>
      </c>
      <c r="O29" s="212"/>
      <c r="P29" s="16">
        <v>-9.4299999999999995E-2</v>
      </c>
      <c r="Q29" s="18">
        <f t="shared" ref="Q29:Q35" si="27">$F29*P29</f>
        <v>-1886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8">$F29*V29</f>
        <v>0</v>
      </c>
      <c r="X29" s="19"/>
      <c r="Y29" s="21">
        <f t="shared" si="11"/>
        <v>1886</v>
      </c>
      <c r="Z29" s="22">
        <f t="shared" si="7"/>
        <v>-1</v>
      </c>
      <c r="AA29" s="19"/>
      <c r="AB29" s="16">
        <v>0</v>
      </c>
      <c r="AC29" s="18">
        <f t="shared" ref="AC29:AC35" si="29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3" si="30">$G$7</f>
        <v>20000</v>
      </c>
      <c r="G30" s="16">
        <v>0</v>
      </c>
      <c r="H30" s="18">
        <f t="shared" si="25"/>
        <v>0</v>
      </c>
      <c r="I30" s="19"/>
      <c r="J30" s="16">
        <v>0</v>
      </c>
      <c r="K30" s="18">
        <f t="shared" si="26"/>
        <v>0</v>
      </c>
      <c r="L30" s="19"/>
      <c r="M30" s="21">
        <f t="shared" si="17"/>
        <v>0</v>
      </c>
      <c r="N30" s="22" t="str">
        <f t="shared" si="18"/>
        <v/>
      </c>
      <c r="O30" s="212"/>
      <c r="P30" s="16">
        <v>1.6000000000000001E-3</v>
      </c>
      <c r="Q30" s="18">
        <f t="shared" si="27"/>
        <v>32</v>
      </c>
      <c r="R30" s="19"/>
      <c r="S30" s="21">
        <f t="shared" si="10"/>
        <v>32</v>
      </c>
      <c r="T30" s="22" t="str">
        <f t="shared" si="5"/>
        <v/>
      </c>
      <c r="U30" s="19"/>
      <c r="V30" s="16">
        <v>0</v>
      </c>
      <c r="W30" s="18">
        <f t="shared" si="28"/>
        <v>0</v>
      </c>
      <c r="X30" s="19"/>
      <c r="Y30" s="21">
        <f t="shared" si="11"/>
        <v>-32</v>
      </c>
      <c r="Z30" s="22">
        <f t="shared" si="7"/>
        <v>-1</v>
      </c>
      <c r="AA30" s="19"/>
      <c r="AB30" s="16">
        <v>0</v>
      </c>
      <c r="AC30" s="18">
        <f t="shared" si="29"/>
        <v>0</v>
      </c>
      <c r="AD30" s="19"/>
      <c r="AE30" s="21">
        <f t="shared" si="12"/>
        <v>0</v>
      </c>
      <c r="AF30" s="22" t="str">
        <f t="shared" si="9"/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30"/>
        <v>20000</v>
      </c>
      <c r="G31" s="16">
        <v>0</v>
      </c>
      <c r="H31" s="18">
        <f>$F31*G31</f>
        <v>0</v>
      </c>
      <c r="I31" s="19"/>
      <c r="J31" s="16">
        <v>0</v>
      </c>
      <c r="K31" s="18">
        <f t="shared" si="26"/>
        <v>0</v>
      </c>
      <c r="L31" s="19"/>
      <c r="M31" s="21">
        <f t="shared" si="17"/>
        <v>0</v>
      </c>
      <c r="N31" s="22" t="str">
        <f t="shared" si="18"/>
        <v/>
      </c>
      <c r="O31" s="212"/>
      <c r="P31" s="16">
        <v>0</v>
      </c>
      <c r="Q31" s="18">
        <f t="shared" si="27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8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9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20000</v>
      </c>
      <c r="G32" s="16">
        <v>-0.40001861258292959</v>
      </c>
      <c r="H32" s="18">
        <f t="shared" ref="H32" si="31">$F32*G32</f>
        <v>-8000.3722516585922</v>
      </c>
      <c r="I32" s="19"/>
      <c r="J32" s="16">
        <v>-1.2630999999999999</v>
      </c>
      <c r="K32" s="18">
        <f t="shared" ref="K32" si="32">$F32*J32</f>
        <v>-25261.999999999996</v>
      </c>
      <c r="L32" s="19"/>
      <c r="M32" s="21">
        <f t="shared" ref="M32" si="33">K32-H32</f>
        <v>-17261.627748341405</v>
      </c>
      <c r="N32" s="22">
        <f t="shared" ref="N32" si="34">IF((H32)=0,"",(M32/H32))</f>
        <v>2.1576030721274027</v>
      </c>
      <c r="O32" s="212"/>
      <c r="P32" s="16"/>
      <c r="Q32" s="18">
        <f t="shared" si="27"/>
        <v>0</v>
      </c>
      <c r="R32" s="36"/>
      <c r="S32" s="21">
        <f t="shared" si="10"/>
        <v>25261.999999999996</v>
      </c>
      <c r="T32" s="22">
        <f t="shared" si="5"/>
        <v>-1</v>
      </c>
      <c r="U32" s="36"/>
      <c r="V32" s="16"/>
      <c r="W32" s="18">
        <f t="shared" si="28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9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30"/>
        <v>20000</v>
      </c>
      <c r="G33" s="133">
        <v>2.4920000000000001E-2</v>
      </c>
      <c r="H33" s="18">
        <f t="shared" si="25"/>
        <v>498.40000000000003</v>
      </c>
      <c r="I33" s="19"/>
      <c r="J33" s="133">
        <v>2.4920000000000001E-2</v>
      </c>
      <c r="K33" s="18">
        <f t="shared" si="26"/>
        <v>498.40000000000003</v>
      </c>
      <c r="L33" s="19"/>
      <c r="M33" s="21">
        <f t="shared" si="17"/>
        <v>0</v>
      </c>
      <c r="N33" s="22">
        <f t="shared" si="18"/>
        <v>0</v>
      </c>
      <c r="O33" s="212"/>
      <c r="P33" s="133">
        <v>2.4920000000000001E-2</v>
      </c>
      <c r="Q33" s="18">
        <f t="shared" si="27"/>
        <v>498.40000000000003</v>
      </c>
      <c r="R33" s="19"/>
      <c r="S33" s="21">
        <f t="shared" si="10"/>
        <v>0</v>
      </c>
      <c r="T33" s="22">
        <f t="shared" si="5"/>
        <v>0</v>
      </c>
      <c r="U33" s="19"/>
      <c r="V33" s="133">
        <v>2.4920000000000001E-2</v>
      </c>
      <c r="W33" s="18">
        <f t="shared" si="28"/>
        <v>498.40000000000003</v>
      </c>
      <c r="X33" s="19"/>
      <c r="Y33" s="21">
        <f t="shared" si="11"/>
        <v>0</v>
      </c>
      <c r="Z33" s="22">
        <f t="shared" si="7"/>
        <v>0</v>
      </c>
      <c r="AA33" s="19"/>
      <c r="AB33" s="133">
        <v>2.4920000000000001E-2</v>
      </c>
      <c r="AC33" s="18">
        <f t="shared" si="29"/>
        <v>498.40000000000003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61320</v>
      </c>
      <c r="G34" s="38">
        <f>IF(ISBLANK($D$5)=TRUE, 0, IF($D$5="TOU", 0.64*#REF!+0.18*#REF!+0.18*#REF!, IF(AND($D$5="non-TOU", $F$48&gt;0), G48,G47)))</f>
        <v>0.121</v>
      </c>
      <c r="H34" s="18">
        <f t="shared" si="25"/>
        <v>7419.7199999999993</v>
      </c>
      <c r="I34" s="19"/>
      <c r="J34" s="38">
        <f>IF(ISBLANK($D$5)=TRUE, 0, IF($D$5="TOU", 0.64*#REF!+0.18*#REF!+0.18*#REF!, IF(AND($D$5="non-TOU", $F$48&gt;0), J48,J47)))</f>
        <v>0.121</v>
      </c>
      <c r="K34" s="18">
        <f t="shared" si="26"/>
        <v>7419.7199999999993</v>
      </c>
      <c r="L34" s="19"/>
      <c r="M34" s="21">
        <f t="shared" si="17"/>
        <v>0</v>
      </c>
      <c r="N34" s="22">
        <f t="shared" si="18"/>
        <v>0</v>
      </c>
      <c r="O34" s="212"/>
      <c r="P34" s="38">
        <f>IF(ISBLANK($D$5)=TRUE, 0, IF($D$5="TOU", 0.64*#REF!+0.18*#REF!+0.18*#REF!, IF(AND($D$5="non-TOU", $F$48&gt;0), P48,P47)))</f>
        <v>0.11</v>
      </c>
      <c r="Q34" s="18">
        <f t="shared" si="27"/>
        <v>6745.2</v>
      </c>
      <c r="R34" s="19"/>
      <c r="S34" s="21">
        <f t="shared" si="10"/>
        <v>-674.51999999999953</v>
      </c>
      <c r="T34" s="22">
        <f t="shared" si="5"/>
        <v>-9.0909090909090856E-2</v>
      </c>
      <c r="U34" s="19"/>
      <c r="V34" s="38">
        <f>IF(ISBLANK($D$5)=TRUE, 0, IF($D$5="TOU", 0.64*#REF!+0.18*#REF!+0.18*#REF!, IF(AND($D$5="non-TOU", $F$48&gt;0), V48,V47)))</f>
        <v>0.11</v>
      </c>
      <c r="W34" s="18">
        <f t="shared" si="28"/>
        <v>6745.2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0.64*#REF!+0.18*#REF!+0.18*#REF!, IF(AND($D$5="non-TOU", $F$48&gt;0), AB48,AB47)))</f>
        <v>0.11</v>
      </c>
      <c r="AC34" s="18">
        <f t="shared" si="29"/>
        <v>6745.2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25"/>
        <v>0</v>
      </c>
      <c r="I35" s="19"/>
      <c r="J35" s="38"/>
      <c r="K35" s="18">
        <f t="shared" si="26"/>
        <v>0</v>
      </c>
      <c r="L35" s="19"/>
      <c r="M35" s="21">
        <f t="shared" si="17"/>
        <v>0</v>
      </c>
      <c r="N35" s="22"/>
      <c r="O35" s="212"/>
      <c r="P35" s="38"/>
      <c r="Q35" s="18">
        <f t="shared" si="27"/>
        <v>0</v>
      </c>
      <c r="R35" s="19"/>
      <c r="S35" s="21">
        <f t="shared" si="10"/>
        <v>0</v>
      </c>
      <c r="T35" s="22"/>
      <c r="U35" s="19"/>
      <c r="V35" s="38"/>
      <c r="W35" s="18">
        <f t="shared" si="28"/>
        <v>0</v>
      </c>
      <c r="X35" s="19"/>
      <c r="Y35" s="21">
        <f t="shared" si="11"/>
        <v>0</v>
      </c>
      <c r="Z35" s="22"/>
      <c r="AA35" s="19"/>
      <c r="AB35" s="38"/>
      <c r="AC35" s="18">
        <f t="shared" si="29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22825.09575498103</v>
      </c>
      <c r="I36" s="31"/>
      <c r="J36" s="41"/>
      <c r="K36" s="43">
        <f>SUM(K29:K35)+K28</f>
        <v>-6829.5599999999977</v>
      </c>
      <c r="L36" s="31"/>
      <c r="M36" s="32">
        <f t="shared" si="17"/>
        <v>-29654.655754981028</v>
      </c>
      <c r="N36" s="33">
        <f t="shared" ref="N36:N42" si="35">IF((H36)=0,"",(M36/H36))</f>
        <v>-1.2992127644638516</v>
      </c>
      <c r="O36" s="212"/>
      <c r="P36" s="41"/>
      <c r="Q36" s="43">
        <f>SUM(Q29:Q35)+Q28</f>
        <v>17597.919999999998</v>
      </c>
      <c r="R36" s="31"/>
      <c r="S36" s="32">
        <f t="shared" si="10"/>
        <v>24427.479999999996</v>
      </c>
      <c r="T36" s="33">
        <f t="shared" ref="T36:T42" si="36">IF((K36)=0,"",(S36/K36))</f>
        <v>-3.5767282226087778</v>
      </c>
      <c r="U36" s="31"/>
      <c r="V36" s="41"/>
      <c r="W36" s="43">
        <f>SUM(W29:W35)+W28</f>
        <v>19440.09</v>
      </c>
      <c r="X36" s="31"/>
      <c r="Y36" s="32">
        <f t="shared" si="11"/>
        <v>1842.1700000000019</v>
      </c>
      <c r="Z36" s="33">
        <f t="shared" ref="Z36:Z42" si="37">IF((Q36)=0,"",(Y36/Q36))</f>
        <v>0.10468112140525711</v>
      </c>
      <c r="AA36" s="31"/>
      <c r="AB36" s="41"/>
      <c r="AC36" s="43">
        <f>SUM(AC29:AC35)+AC28</f>
        <v>19731.68</v>
      </c>
      <c r="AD36" s="31"/>
      <c r="AE36" s="32">
        <f t="shared" si="12"/>
        <v>291.59000000000015</v>
      </c>
      <c r="AF36" s="33">
        <f t="shared" ref="AF36:AF46" si="38">IF((W36)=0,"",(AE36/W36))</f>
        <v>1.4999416154966368E-2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20000</v>
      </c>
      <c r="G37" s="20">
        <v>3.0917337281873873</v>
      </c>
      <c r="H37" s="18">
        <f>$F37*G37</f>
        <v>61834.674563747743</v>
      </c>
      <c r="I37" s="19"/>
      <c r="J37" s="20">
        <v>2.9382000000000001</v>
      </c>
      <c r="K37" s="18">
        <f>$F37*J37</f>
        <v>58764</v>
      </c>
      <c r="L37" s="19"/>
      <c r="M37" s="21">
        <f t="shared" si="17"/>
        <v>-3070.6745637477434</v>
      </c>
      <c r="N37" s="22">
        <f t="shared" si="35"/>
        <v>-4.9659427908560705E-2</v>
      </c>
      <c r="O37" s="212"/>
      <c r="P37" s="20">
        <v>2.9382000000000001</v>
      </c>
      <c r="Q37" s="18">
        <f>$F37*P37</f>
        <v>58764</v>
      </c>
      <c r="R37" s="19"/>
      <c r="S37" s="21">
        <f t="shared" si="10"/>
        <v>0</v>
      </c>
      <c r="T37" s="22">
        <f t="shared" si="36"/>
        <v>0</v>
      </c>
      <c r="U37" s="19"/>
      <c r="V37" s="20">
        <v>2.9382000000000001</v>
      </c>
      <c r="W37" s="18">
        <f>$F37*V37</f>
        <v>58764</v>
      </c>
      <c r="X37" s="19"/>
      <c r="Y37" s="21">
        <f t="shared" si="11"/>
        <v>0</v>
      </c>
      <c r="Z37" s="22">
        <f t="shared" si="37"/>
        <v>0</v>
      </c>
      <c r="AA37" s="19"/>
      <c r="AB37" s="20">
        <v>2.9382000000000001</v>
      </c>
      <c r="AC37" s="18">
        <f>$F37*AB37</f>
        <v>58764</v>
      </c>
      <c r="AD37" s="19"/>
      <c r="AE37" s="21">
        <f t="shared" si="12"/>
        <v>0</v>
      </c>
      <c r="AF37" s="22">
        <f t="shared" si="38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20000</v>
      </c>
      <c r="G38" s="20">
        <v>2.4378617006009056</v>
      </c>
      <c r="H38" s="18">
        <f>$F38*G38</f>
        <v>48757.234012018111</v>
      </c>
      <c r="I38" s="19"/>
      <c r="J38" s="20">
        <v>2.4376000000000002</v>
      </c>
      <c r="K38" s="18">
        <f>$F38*J38</f>
        <v>48752.000000000007</v>
      </c>
      <c r="L38" s="19"/>
      <c r="M38" s="21">
        <f t="shared" si="17"/>
        <v>-5.2340120181033853</v>
      </c>
      <c r="N38" s="22">
        <f t="shared" si="35"/>
        <v>-1.0734841965836824E-4</v>
      </c>
      <c r="O38" s="212"/>
      <c r="P38" s="20">
        <v>2.4376000000000002</v>
      </c>
      <c r="Q38" s="18">
        <f>$F38*P38</f>
        <v>48752.000000000007</v>
      </c>
      <c r="R38" s="19"/>
      <c r="S38" s="21">
        <f t="shared" si="10"/>
        <v>0</v>
      </c>
      <c r="T38" s="22">
        <f t="shared" si="36"/>
        <v>0</v>
      </c>
      <c r="U38" s="19"/>
      <c r="V38" s="20">
        <v>2.4376000000000002</v>
      </c>
      <c r="W38" s="18">
        <f>$F38*V38</f>
        <v>48752.000000000007</v>
      </c>
      <c r="X38" s="19"/>
      <c r="Y38" s="21">
        <f t="shared" si="11"/>
        <v>0</v>
      </c>
      <c r="Z38" s="22">
        <f t="shared" si="37"/>
        <v>0</v>
      </c>
      <c r="AA38" s="19"/>
      <c r="AB38" s="20">
        <v>2.4376000000000002</v>
      </c>
      <c r="AC38" s="18">
        <f>$F38*AB38</f>
        <v>48752.000000000007</v>
      </c>
      <c r="AD38" s="19"/>
      <c r="AE38" s="21">
        <f t="shared" si="12"/>
        <v>0</v>
      </c>
      <c r="AF38" s="22">
        <f t="shared" si="38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133417.00433074689</v>
      </c>
      <c r="I39" s="48"/>
      <c r="J39" s="47"/>
      <c r="K39" s="43">
        <f>SUM(K36:K38)</f>
        <v>100686.44</v>
      </c>
      <c r="L39" s="48"/>
      <c r="M39" s="32">
        <f t="shared" si="17"/>
        <v>-32730.564330746885</v>
      </c>
      <c r="N39" s="33">
        <f t="shared" si="35"/>
        <v>-0.24532528289727082</v>
      </c>
      <c r="O39" s="212"/>
      <c r="P39" s="47"/>
      <c r="Q39" s="43">
        <f>SUM(Q36:Q38)</f>
        <v>125113.92000000001</v>
      </c>
      <c r="R39" s="48"/>
      <c r="S39" s="32">
        <f t="shared" si="10"/>
        <v>24427.48000000001</v>
      </c>
      <c r="T39" s="33">
        <f t="shared" si="36"/>
        <v>0.2426094318162407</v>
      </c>
      <c r="U39" s="48"/>
      <c r="V39" s="47"/>
      <c r="W39" s="43">
        <f>SUM(W36:W38)</f>
        <v>126956.09</v>
      </c>
      <c r="X39" s="48"/>
      <c r="Y39" s="32">
        <f t="shared" si="11"/>
        <v>1842.1699999999837</v>
      </c>
      <c r="Z39" s="33">
        <f t="shared" si="37"/>
        <v>1.4723941188957899E-2</v>
      </c>
      <c r="AA39" s="48"/>
      <c r="AB39" s="47"/>
      <c r="AC39" s="43">
        <f>SUM(AC36:AC38)</f>
        <v>127247.67999999999</v>
      </c>
      <c r="AD39" s="48"/>
      <c r="AE39" s="32">
        <f t="shared" si="12"/>
        <v>291.58999999999651</v>
      </c>
      <c r="AF39" s="33">
        <f t="shared" si="38"/>
        <v>2.2967783585647332E-3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10281320</v>
      </c>
      <c r="G40" s="50">
        <v>4.7000000000000002E-3</v>
      </c>
      <c r="H40" s="152">
        <f t="shared" ref="H40:H42" si="39">$F40*G40</f>
        <v>48322.204000000005</v>
      </c>
      <c r="I40" s="19"/>
      <c r="J40" s="50">
        <v>4.7000000000000002E-3</v>
      </c>
      <c r="K40" s="152">
        <f t="shared" ref="K40:K42" si="40">$F40*J40</f>
        <v>48322.204000000005</v>
      </c>
      <c r="L40" s="19"/>
      <c r="M40" s="21">
        <f t="shared" si="17"/>
        <v>0</v>
      </c>
      <c r="N40" s="153">
        <f t="shared" si="35"/>
        <v>0</v>
      </c>
      <c r="O40" s="212"/>
      <c r="P40" s="50">
        <v>4.7000000000000002E-3</v>
      </c>
      <c r="Q40" s="152">
        <f t="shared" ref="Q40:Q42" si="41">$F40*P40</f>
        <v>48322.204000000005</v>
      </c>
      <c r="R40" s="19"/>
      <c r="S40" s="21">
        <f t="shared" si="10"/>
        <v>0</v>
      </c>
      <c r="T40" s="153">
        <f t="shared" si="36"/>
        <v>0</v>
      </c>
      <c r="U40" s="19"/>
      <c r="V40" s="50">
        <v>4.7000000000000002E-3</v>
      </c>
      <c r="W40" s="152">
        <f t="shared" ref="W40:W42" si="42">$F40*V40</f>
        <v>48322.204000000005</v>
      </c>
      <c r="X40" s="19"/>
      <c r="Y40" s="21">
        <f t="shared" si="11"/>
        <v>0</v>
      </c>
      <c r="Z40" s="153">
        <f t="shared" si="37"/>
        <v>0</v>
      </c>
      <c r="AA40" s="19"/>
      <c r="AB40" s="50">
        <v>4.7000000000000002E-3</v>
      </c>
      <c r="AC40" s="152">
        <f t="shared" ref="AC40:AC48" si="43">$F40*AB40</f>
        <v>48322.204000000005</v>
      </c>
      <c r="AD40" s="19"/>
      <c r="AE40" s="21">
        <f t="shared" si="12"/>
        <v>0</v>
      </c>
      <c r="AF40" s="153">
        <f t="shared" si="38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10281320</v>
      </c>
      <c r="G41" s="50">
        <v>1.2999999999999999E-3</v>
      </c>
      <c r="H41" s="152">
        <f t="shared" si="39"/>
        <v>13365.715999999999</v>
      </c>
      <c r="I41" s="19"/>
      <c r="J41" s="50">
        <v>2.0999999999999999E-3</v>
      </c>
      <c r="K41" s="152">
        <f t="shared" si="40"/>
        <v>21590.771999999997</v>
      </c>
      <c r="L41" s="19"/>
      <c r="M41" s="21">
        <f t="shared" si="17"/>
        <v>8225.0559999999987</v>
      </c>
      <c r="N41" s="153">
        <f t="shared" si="35"/>
        <v>0.61538461538461531</v>
      </c>
      <c r="O41" s="212"/>
      <c r="P41" s="50">
        <v>2.0999999999999999E-3</v>
      </c>
      <c r="Q41" s="152">
        <f t="shared" si="41"/>
        <v>21590.771999999997</v>
      </c>
      <c r="R41" s="19"/>
      <c r="S41" s="21">
        <f t="shared" si="10"/>
        <v>0</v>
      </c>
      <c r="T41" s="153">
        <f t="shared" si="36"/>
        <v>0</v>
      </c>
      <c r="U41" s="19"/>
      <c r="V41" s="50">
        <v>2.0999999999999999E-3</v>
      </c>
      <c r="W41" s="152">
        <f t="shared" si="42"/>
        <v>21590.771999999997</v>
      </c>
      <c r="X41" s="19"/>
      <c r="Y41" s="21">
        <f t="shared" si="11"/>
        <v>0</v>
      </c>
      <c r="Z41" s="153">
        <f t="shared" si="37"/>
        <v>0</v>
      </c>
      <c r="AA41" s="19"/>
      <c r="AB41" s="50">
        <v>2.0999999999999999E-3</v>
      </c>
      <c r="AC41" s="152">
        <f t="shared" si="43"/>
        <v>21590.771999999997</v>
      </c>
      <c r="AD41" s="19"/>
      <c r="AE41" s="21">
        <f t="shared" si="12"/>
        <v>0</v>
      </c>
      <c r="AF41" s="153">
        <f t="shared" si="38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9"/>
        <v>0.25</v>
      </c>
      <c r="I42" s="19"/>
      <c r="J42" s="50">
        <v>0.25</v>
      </c>
      <c r="K42" s="152">
        <f t="shared" si="40"/>
        <v>0.25</v>
      </c>
      <c r="L42" s="19"/>
      <c r="M42" s="21">
        <f t="shared" si="17"/>
        <v>0</v>
      </c>
      <c r="N42" s="153">
        <f t="shared" si="35"/>
        <v>0</v>
      </c>
      <c r="O42" s="212"/>
      <c r="P42" s="50">
        <v>0.25</v>
      </c>
      <c r="Q42" s="152">
        <f t="shared" si="41"/>
        <v>0.25</v>
      </c>
      <c r="R42" s="19"/>
      <c r="S42" s="21">
        <f t="shared" si="10"/>
        <v>0</v>
      </c>
      <c r="T42" s="153">
        <f t="shared" si="36"/>
        <v>0</v>
      </c>
      <c r="U42" s="19"/>
      <c r="V42" s="50">
        <v>0.25</v>
      </c>
      <c r="W42" s="152">
        <f t="shared" si="42"/>
        <v>0.25</v>
      </c>
      <c r="X42" s="19"/>
      <c r="Y42" s="21">
        <f t="shared" si="11"/>
        <v>0</v>
      </c>
      <c r="Z42" s="153">
        <f t="shared" si="37"/>
        <v>0</v>
      </c>
      <c r="AA42" s="19"/>
      <c r="AB42" s="50">
        <v>0.25</v>
      </c>
      <c r="AC42" s="152">
        <f t="shared" si="43"/>
        <v>0.25</v>
      </c>
      <c r="AD42" s="19"/>
      <c r="AE42" s="21">
        <f t="shared" si="12"/>
        <v>0</v>
      </c>
      <c r="AF42" s="153">
        <f t="shared" si="38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10220000</v>
      </c>
      <c r="G43" s="50">
        <v>7.0000000000000001E-3</v>
      </c>
      <c r="H43" s="152">
        <f t="shared" ref="H43:H48" si="44">$F43*G43</f>
        <v>71540</v>
      </c>
      <c r="I43" s="19"/>
      <c r="J43" s="50">
        <v>7.0000000000000001E-3</v>
      </c>
      <c r="K43" s="152">
        <f t="shared" ref="K43:K48" si="45">$F43*J43</f>
        <v>71540</v>
      </c>
      <c r="L43" s="19"/>
      <c r="M43" s="21">
        <f t="shared" ref="M43:M60" si="46">K43-H43</f>
        <v>0</v>
      </c>
      <c r="N43" s="153">
        <f t="shared" ref="N43:N46" si="47">IF((H43)=0,"",(M43/H43))</f>
        <v>0</v>
      </c>
      <c r="O43" s="212"/>
      <c r="P43" s="50">
        <v>7.0000000000000001E-3</v>
      </c>
      <c r="Q43" s="152">
        <f t="shared" ref="Q43:Q48" si="48">$F43*P43</f>
        <v>71540</v>
      </c>
      <c r="R43" s="19"/>
      <c r="S43" s="21">
        <f t="shared" ref="S43:S60" si="49">Q43-K43</f>
        <v>0</v>
      </c>
      <c r="T43" s="153">
        <f t="shared" ref="T43:T46" si="50">IF((K43)=0,"",(S43/K43))</f>
        <v>0</v>
      </c>
      <c r="U43" s="19"/>
      <c r="V43" s="50">
        <v>7.0000000000000001E-3</v>
      </c>
      <c r="W43" s="152">
        <f t="shared" ref="W43:W48" si="51">$F43*V43</f>
        <v>71540</v>
      </c>
      <c r="X43" s="19"/>
      <c r="Y43" s="21">
        <f t="shared" ref="Y43:Y60" si="52">W43-Q43</f>
        <v>0</v>
      </c>
      <c r="Z43" s="153">
        <f t="shared" ref="Z43:Z46" si="53">IF((Q43)=0,"",(Y43/Q43))</f>
        <v>0</v>
      </c>
      <c r="AA43" s="19"/>
      <c r="AB43" s="50">
        <v>7.0000000000000001E-3</v>
      </c>
      <c r="AC43" s="152">
        <f t="shared" si="43"/>
        <v>71540</v>
      </c>
      <c r="AD43" s="19"/>
      <c r="AE43" s="21">
        <f t="shared" si="12"/>
        <v>0</v>
      </c>
      <c r="AF43" s="153">
        <f t="shared" si="38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6540800</v>
      </c>
      <c r="G44" s="54">
        <v>8.6999999999999994E-2</v>
      </c>
      <c r="H44" s="152">
        <f t="shared" si="44"/>
        <v>569049.59999999998</v>
      </c>
      <c r="I44" s="19"/>
      <c r="J44" s="54">
        <f>+G44</f>
        <v>8.6999999999999994E-2</v>
      </c>
      <c r="K44" s="152">
        <f t="shared" si="45"/>
        <v>569049.59999999998</v>
      </c>
      <c r="L44" s="19"/>
      <c r="M44" s="21">
        <f t="shared" si="46"/>
        <v>0</v>
      </c>
      <c r="N44" s="153">
        <f t="shared" si="47"/>
        <v>0</v>
      </c>
      <c r="O44" s="212"/>
      <c r="P44" s="54">
        <v>0.08</v>
      </c>
      <c r="Q44" s="152">
        <f t="shared" si="48"/>
        <v>523264</v>
      </c>
      <c r="R44" s="19"/>
      <c r="S44" s="21">
        <f t="shared" si="49"/>
        <v>-45785.599999999977</v>
      </c>
      <c r="T44" s="153">
        <f t="shared" si="50"/>
        <v>-8.0459770114942486E-2</v>
      </c>
      <c r="U44" s="19"/>
      <c r="V44" s="54">
        <v>0.08</v>
      </c>
      <c r="W44" s="152">
        <f t="shared" si="51"/>
        <v>523264</v>
      </c>
      <c r="X44" s="19"/>
      <c r="Y44" s="21">
        <f t="shared" si="52"/>
        <v>0</v>
      </c>
      <c r="Z44" s="153">
        <f t="shared" si="53"/>
        <v>0</v>
      </c>
      <c r="AA44" s="19"/>
      <c r="AB44" s="54">
        <v>0.08</v>
      </c>
      <c r="AC44" s="152">
        <f t="shared" si="43"/>
        <v>523264</v>
      </c>
      <c r="AD44" s="19"/>
      <c r="AE44" s="21">
        <f t="shared" si="12"/>
        <v>0</v>
      </c>
      <c r="AF44" s="153">
        <f t="shared" si="38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1839600</v>
      </c>
      <c r="G45" s="54">
        <v>0.13200000000000001</v>
      </c>
      <c r="H45" s="152">
        <f t="shared" si="44"/>
        <v>242827.2</v>
      </c>
      <c r="I45" s="19"/>
      <c r="J45" s="54">
        <f>+G45</f>
        <v>0.13200000000000001</v>
      </c>
      <c r="K45" s="152">
        <f t="shared" si="45"/>
        <v>242827.2</v>
      </c>
      <c r="L45" s="19"/>
      <c r="M45" s="21">
        <f t="shared" si="46"/>
        <v>0</v>
      </c>
      <c r="N45" s="153">
        <f t="shared" si="47"/>
        <v>0</v>
      </c>
      <c r="O45" s="212"/>
      <c r="P45" s="54">
        <v>0.122</v>
      </c>
      <c r="Q45" s="152">
        <f t="shared" si="48"/>
        <v>224431.19999999998</v>
      </c>
      <c r="R45" s="19"/>
      <c r="S45" s="21">
        <f t="shared" si="49"/>
        <v>-18396.000000000029</v>
      </c>
      <c r="T45" s="153">
        <f t="shared" si="50"/>
        <v>-7.5757575757575871E-2</v>
      </c>
      <c r="U45" s="19"/>
      <c r="V45" s="54">
        <v>0.122</v>
      </c>
      <c r="W45" s="152">
        <f t="shared" si="51"/>
        <v>224431.19999999998</v>
      </c>
      <c r="X45" s="19"/>
      <c r="Y45" s="21">
        <f t="shared" si="52"/>
        <v>0</v>
      </c>
      <c r="Z45" s="153">
        <f t="shared" si="53"/>
        <v>0</v>
      </c>
      <c r="AA45" s="19"/>
      <c r="AB45" s="54">
        <v>0.122</v>
      </c>
      <c r="AC45" s="152">
        <f t="shared" si="43"/>
        <v>224431.19999999998</v>
      </c>
      <c r="AD45" s="19"/>
      <c r="AE45" s="21">
        <f t="shared" si="12"/>
        <v>0</v>
      </c>
      <c r="AF45" s="153">
        <f t="shared" si="38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1839600</v>
      </c>
      <c r="G46" s="54">
        <v>0.18</v>
      </c>
      <c r="H46" s="152">
        <f t="shared" si="44"/>
        <v>331128</v>
      </c>
      <c r="I46" s="19"/>
      <c r="J46" s="54">
        <f>+G46</f>
        <v>0.18</v>
      </c>
      <c r="K46" s="152">
        <f t="shared" si="45"/>
        <v>331128</v>
      </c>
      <c r="L46" s="19"/>
      <c r="M46" s="21">
        <f t="shared" si="46"/>
        <v>0</v>
      </c>
      <c r="N46" s="153">
        <f t="shared" si="47"/>
        <v>0</v>
      </c>
      <c r="O46" s="212"/>
      <c r="P46" s="54">
        <v>0.161</v>
      </c>
      <c r="Q46" s="152">
        <f t="shared" si="48"/>
        <v>296175.60000000003</v>
      </c>
      <c r="R46" s="19"/>
      <c r="S46" s="21">
        <f t="shared" si="49"/>
        <v>-34952.399999999965</v>
      </c>
      <c r="T46" s="153">
        <f t="shared" si="50"/>
        <v>-0.10555555555555544</v>
      </c>
      <c r="U46" s="19"/>
      <c r="V46" s="54">
        <v>0.161</v>
      </c>
      <c r="W46" s="152">
        <f t="shared" si="51"/>
        <v>296175.60000000003</v>
      </c>
      <c r="X46" s="19"/>
      <c r="Y46" s="21">
        <f t="shared" si="52"/>
        <v>0</v>
      </c>
      <c r="Z46" s="153">
        <f t="shared" si="53"/>
        <v>0</v>
      </c>
      <c r="AA46" s="19"/>
      <c r="AB46" s="54">
        <v>0.161</v>
      </c>
      <c r="AC46" s="152">
        <f t="shared" si="43"/>
        <v>296175.60000000003</v>
      </c>
      <c r="AD46" s="19"/>
      <c r="AE46" s="21">
        <f t="shared" si="12"/>
        <v>0</v>
      </c>
      <c r="AF46" s="153">
        <f t="shared" si="38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44"/>
        <v>77.25</v>
      </c>
      <c r="I47" s="59"/>
      <c r="J47" s="54">
        <f>+G47</f>
        <v>0.10299999999999999</v>
      </c>
      <c r="K47" s="152">
        <f t="shared" si="45"/>
        <v>77.25</v>
      </c>
      <c r="L47" s="59"/>
      <c r="M47" s="60">
        <f t="shared" si="46"/>
        <v>0</v>
      </c>
      <c r="N47" s="153">
        <f>IF((H47)=FALSE,"",(M47/H47))</f>
        <v>0</v>
      </c>
      <c r="O47" s="212"/>
      <c r="P47" s="54">
        <v>9.4E-2</v>
      </c>
      <c r="Q47" s="152">
        <f t="shared" si="48"/>
        <v>70.5</v>
      </c>
      <c r="R47" s="59"/>
      <c r="S47" s="60">
        <f t="shared" si="49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51"/>
        <v>70.5</v>
      </c>
      <c r="X47" s="59"/>
      <c r="Y47" s="60">
        <f t="shared" si="52"/>
        <v>0</v>
      </c>
      <c r="Z47" s="153">
        <f>IF((Q47)=FALSE,"",(Y47/Q47))</f>
        <v>0</v>
      </c>
      <c r="AA47" s="59"/>
      <c r="AB47" s="54">
        <v>9.4E-2</v>
      </c>
      <c r="AC47" s="152">
        <f t="shared" si="43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10219250</v>
      </c>
      <c r="G48" s="54">
        <v>0.121</v>
      </c>
      <c r="H48" s="152">
        <f t="shared" si="44"/>
        <v>1236529.25</v>
      </c>
      <c r="I48" s="59"/>
      <c r="J48" s="54">
        <f>+G48</f>
        <v>0.121</v>
      </c>
      <c r="K48" s="152">
        <f t="shared" si="45"/>
        <v>1236529.25</v>
      </c>
      <c r="L48" s="59"/>
      <c r="M48" s="60">
        <f t="shared" si="46"/>
        <v>0</v>
      </c>
      <c r="N48" s="153">
        <f>IF((H48)=FALSE,"",(M48/H48))</f>
        <v>0</v>
      </c>
      <c r="O48" s="212"/>
      <c r="P48" s="54">
        <v>0.11</v>
      </c>
      <c r="Q48" s="152">
        <f t="shared" si="48"/>
        <v>1124117.5</v>
      </c>
      <c r="R48" s="59"/>
      <c r="S48" s="60">
        <f t="shared" si="49"/>
        <v>-112411.75</v>
      </c>
      <c r="T48" s="153">
        <f>IF((K48)=FALSE,"",(S48/K48))</f>
        <v>-9.0909090909090912E-2</v>
      </c>
      <c r="U48" s="59"/>
      <c r="V48" s="54">
        <v>0.11</v>
      </c>
      <c r="W48" s="152">
        <f t="shared" si="51"/>
        <v>1124117.5</v>
      </c>
      <c r="X48" s="59"/>
      <c r="Y48" s="60">
        <f t="shared" si="52"/>
        <v>0</v>
      </c>
      <c r="Z48" s="153">
        <f>IF((Q48)=FALSE,"",(Y48/Q48))</f>
        <v>0</v>
      </c>
      <c r="AA48" s="59"/>
      <c r="AB48" s="54">
        <v>0.11</v>
      </c>
      <c r="AC48" s="152">
        <f t="shared" si="43"/>
        <v>1124117.5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46"/>
        <v>0</v>
      </c>
      <c r="N49" s="70"/>
      <c r="O49" s="212"/>
      <c r="P49" s="65"/>
      <c r="Q49" s="67"/>
      <c r="R49" s="68"/>
      <c r="S49" s="69">
        <f t="shared" si="49"/>
        <v>0</v>
      </c>
      <c r="T49" s="70"/>
      <c r="U49" s="68"/>
      <c r="V49" s="65"/>
      <c r="W49" s="67"/>
      <c r="X49" s="68"/>
      <c r="Y49" s="69">
        <f t="shared" si="52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1409649.9743307468</v>
      </c>
      <c r="I50" s="75"/>
      <c r="J50" s="72"/>
      <c r="K50" s="74">
        <f>SUM(K40:K46,K39)</f>
        <v>1385144.466</v>
      </c>
      <c r="L50" s="75"/>
      <c r="M50" s="76">
        <f t="shared" si="46"/>
        <v>-24505.508330746787</v>
      </c>
      <c r="N50" s="77">
        <f>IF((H50)=0,"",(M50/H50))</f>
        <v>-1.7384108663131892E-2</v>
      </c>
      <c r="O50" s="212"/>
      <c r="P50" s="72"/>
      <c r="Q50" s="74">
        <f>SUM(Q40:Q46,Q39)</f>
        <v>1310437.946</v>
      </c>
      <c r="R50" s="75"/>
      <c r="S50" s="76">
        <f t="shared" si="49"/>
        <v>-74706.520000000019</v>
      </c>
      <c r="T50" s="77">
        <f>IF((K50)=0,"",(S50/K50))</f>
        <v>-5.3934099896263105E-2</v>
      </c>
      <c r="U50" s="75"/>
      <c r="V50" s="72"/>
      <c r="W50" s="74">
        <f>SUM(W40:W46,W39)</f>
        <v>1312280.1160000002</v>
      </c>
      <c r="X50" s="75"/>
      <c r="Y50" s="76">
        <f t="shared" si="52"/>
        <v>1842.1700000001583</v>
      </c>
      <c r="Z50" s="77">
        <f>IF((Q50)=0,"",(Y50/Q50))</f>
        <v>1.4057666794701916E-3</v>
      </c>
      <c r="AA50" s="75"/>
      <c r="AB50" s="72"/>
      <c r="AC50" s="74">
        <f>SUM(AC40:AC46,AC39)</f>
        <v>1312571.706</v>
      </c>
      <c r="AD50" s="75"/>
      <c r="AE50" s="76">
        <f t="shared" si="12"/>
        <v>291.58999999985099</v>
      </c>
      <c r="AF50" s="77">
        <f>IF((W50)=0,"",(AE50/W50))</f>
        <v>2.2220103501122541E-4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183254.49666299709</v>
      </c>
      <c r="I51" s="81"/>
      <c r="J51" s="79">
        <v>0.13</v>
      </c>
      <c r="K51" s="82">
        <f>K50*J51</f>
        <v>180068.78058000002</v>
      </c>
      <c r="L51" s="81"/>
      <c r="M51" s="83">
        <f t="shared" si="46"/>
        <v>-3185.7160829970671</v>
      </c>
      <c r="N51" s="84">
        <f>IF((H51)=0,"",(M51/H51))</f>
        <v>-1.7384108663131812E-2</v>
      </c>
      <c r="O51" s="212"/>
      <c r="P51" s="79">
        <v>0.13</v>
      </c>
      <c r="Q51" s="82">
        <f>Q50*P51</f>
        <v>170356.93298000001</v>
      </c>
      <c r="R51" s="81"/>
      <c r="S51" s="83">
        <f t="shared" si="49"/>
        <v>-9711.8476000000082</v>
      </c>
      <c r="T51" s="84">
        <f>IF((K51)=0,"",(S51/K51))</f>
        <v>-5.3934099896263132E-2</v>
      </c>
      <c r="U51" s="81"/>
      <c r="V51" s="79">
        <v>0.13</v>
      </c>
      <c r="W51" s="82">
        <f>W50*V51</f>
        <v>170596.41508000004</v>
      </c>
      <c r="X51" s="81"/>
      <c r="Y51" s="83">
        <f t="shared" si="52"/>
        <v>239.48210000002291</v>
      </c>
      <c r="Z51" s="84">
        <f>IF((Q51)=0,"",(Y51/Q51))</f>
        <v>1.4057666794702053E-3</v>
      </c>
      <c r="AA51" s="81"/>
      <c r="AB51" s="79">
        <v>0.13</v>
      </c>
      <c r="AC51" s="82">
        <f>AC50*AB51</f>
        <v>170634.32178</v>
      </c>
      <c r="AD51" s="81"/>
      <c r="AE51" s="83">
        <f t="shared" si="12"/>
        <v>37.906699999963166</v>
      </c>
      <c r="AF51" s="84">
        <f>IF((W51)=0,"",(AE51/W51))</f>
        <v>2.2220103501112304E-4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1592904.470993744</v>
      </c>
      <c r="I52" s="81"/>
      <c r="J52" s="86"/>
      <c r="K52" s="82">
        <f>K50+K51</f>
        <v>1565213.24658</v>
      </c>
      <c r="L52" s="81"/>
      <c r="M52" s="83">
        <f t="shared" si="46"/>
        <v>-27691.224413743941</v>
      </c>
      <c r="N52" s="84">
        <f>IF((H52)=0,"",(M52/H52))</f>
        <v>-1.7384108663131937E-2</v>
      </c>
      <c r="O52" s="212"/>
      <c r="P52" s="86"/>
      <c r="Q52" s="82">
        <f>Q50+Q51</f>
        <v>1480794.87898</v>
      </c>
      <c r="R52" s="81"/>
      <c r="S52" s="83">
        <f t="shared" si="49"/>
        <v>-84418.367599999998</v>
      </c>
      <c r="T52" s="84">
        <f>IF((K52)=0,"",(S52/K52))</f>
        <v>-5.3934099896263091E-2</v>
      </c>
      <c r="U52" s="81"/>
      <c r="V52" s="86"/>
      <c r="W52" s="82">
        <f>W50+W51</f>
        <v>1482876.5310800001</v>
      </c>
      <c r="X52" s="81"/>
      <c r="Y52" s="83">
        <f t="shared" si="52"/>
        <v>2081.6521000000648</v>
      </c>
      <c r="Z52" s="84">
        <f>IF((Q52)=0,"",(Y52/Q52))</f>
        <v>1.4057666794701146E-3</v>
      </c>
      <c r="AA52" s="81"/>
      <c r="AB52" s="86"/>
      <c r="AC52" s="82">
        <f>AC50+AC51</f>
        <v>1483206.0277800001</v>
      </c>
      <c r="AD52" s="81"/>
      <c r="AE52" s="83">
        <f t="shared" si="12"/>
        <v>329.49670000001788</v>
      </c>
      <c r="AF52" s="84">
        <f>IF((W52)=0,"",(AE52/W52))</f>
        <v>2.2220103501135105E-4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46"/>
        <v>0</v>
      </c>
      <c r="N53" s="89" t="str">
        <f>IF((H53)=0,"",(M53/H53))</f>
        <v/>
      </c>
      <c r="O53" s="212"/>
      <c r="P53" s="86"/>
      <c r="Q53" s="87">
        <f>ROUND(-Q52*10%,2)</f>
        <v>-148079.49</v>
      </c>
      <c r="R53" s="81"/>
      <c r="S53" s="88">
        <f t="shared" si="49"/>
        <v>-148079.49</v>
      </c>
      <c r="T53" s="89" t="str">
        <f>IF((K53)=0,"",(S53/K53))</f>
        <v/>
      </c>
      <c r="U53" s="81"/>
      <c r="V53" s="86"/>
      <c r="W53" s="87">
        <f>ROUND(-W52*10%,2)</f>
        <v>-148287.65</v>
      </c>
      <c r="X53" s="81"/>
      <c r="Y53" s="88">
        <f t="shared" si="52"/>
        <v>-208.16000000000349</v>
      </c>
      <c r="Z53" s="89">
        <f>IF((Q53)=0,"",(Y53/Q53))</f>
        <v>1.4057314757094552E-3</v>
      </c>
      <c r="AA53" s="81"/>
      <c r="AB53" s="86"/>
      <c r="AC53" s="87">
        <f>ROUND(-AC52*10%,2)</f>
        <v>-148320.6</v>
      </c>
      <c r="AD53" s="81"/>
      <c r="AE53" s="88">
        <f t="shared" si="12"/>
        <v>-32.950000000011642</v>
      </c>
      <c r="AF53" s="89">
        <f>IF((W53)=0,"",(AE53/W53))</f>
        <v>2.2220326507306335E-4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1592904.470993744</v>
      </c>
      <c r="I54" s="92"/>
      <c r="J54" s="90"/>
      <c r="K54" s="93">
        <f>K52+K53</f>
        <v>1565213.24658</v>
      </c>
      <c r="L54" s="92"/>
      <c r="M54" s="94">
        <f t="shared" si="46"/>
        <v>-27691.224413743941</v>
      </c>
      <c r="N54" s="95">
        <f>IF((H54)=0,"",(M54/H54))</f>
        <v>-1.7384108663131937E-2</v>
      </c>
      <c r="O54" s="212"/>
      <c r="P54" s="90"/>
      <c r="Q54" s="93">
        <f>Q52+Q53</f>
        <v>1332715.38898</v>
      </c>
      <c r="R54" s="92"/>
      <c r="S54" s="94">
        <f t="shared" si="49"/>
        <v>-232497.85759999999</v>
      </c>
      <c r="T54" s="95">
        <f>IF((K54)=0,"",(S54/K54))</f>
        <v>-0.14854069124958477</v>
      </c>
      <c r="U54" s="92"/>
      <c r="V54" s="90"/>
      <c r="W54" s="93">
        <f>W52+W53</f>
        <v>1334588.8810800002</v>
      </c>
      <c r="X54" s="92"/>
      <c r="Y54" s="94">
        <f t="shared" si="52"/>
        <v>1873.4921000001486</v>
      </c>
      <c r="Z54" s="95">
        <f>IF((Q54)=0,"",(Y54/Q54))</f>
        <v>1.405770590999204E-3</v>
      </c>
      <c r="AA54" s="92"/>
      <c r="AB54" s="90"/>
      <c r="AC54" s="93">
        <f>AC52+AC53</f>
        <v>1334885.42778</v>
      </c>
      <c r="AD54" s="92"/>
      <c r="AE54" s="94">
        <f t="shared" si="12"/>
        <v>296.54669999983162</v>
      </c>
      <c r="AF54" s="95">
        <f>IF((W54)=0,"",(AE54/W54))</f>
        <v>2.2220078722659124E-4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46"/>
        <v>0</v>
      </c>
      <c r="N55" s="70"/>
      <c r="O55" s="212"/>
      <c r="P55" s="65"/>
      <c r="Q55" s="67"/>
      <c r="R55" s="100"/>
      <c r="S55" s="101">
        <f t="shared" si="49"/>
        <v>0</v>
      </c>
      <c r="T55" s="70"/>
      <c r="U55" s="100"/>
      <c r="V55" s="65"/>
      <c r="W55" s="67"/>
      <c r="X55" s="100"/>
      <c r="Y55" s="101">
        <f t="shared" si="52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1503251.6743307468</v>
      </c>
      <c r="I56" s="106"/>
      <c r="J56" s="103"/>
      <c r="K56" s="105">
        <f>SUM(K47:K48,K39,K40:K43)</f>
        <v>1478746.1659999997</v>
      </c>
      <c r="L56" s="106"/>
      <c r="M56" s="107">
        <f t="shared" si="46"/>
        <v>-24505.508330747019</v>
      </c>
      <c r="N56" s="77">
        <f>IF((H56)=0,"",(M56/H56))</f>
        <v>-1.6301667078905444E-2</v>
      </c>
      <c r="O56" s="212"/>
      <c r="P56" s="103"/>
      <c r="Q56" s="105">
        <f>SUM(Q47:Q48,Q39,Q40:Q43)</f>
        <v>1390755.1459999997</v>
      </c>
      <c r="R56" s="106"/>
      <c r="S56" s="107">
        <f t="shared" si="49"/>
        <v>-87991.020000000019</v>
      </c>
      <c r="T56" s="77">
        <f>IF((K56)=0,"",(S56/K56))</f>
        <v>-5.9503802628963189E-2</v>
      </c>
      <c r="U56" s="106"/>
      <c r="V56" s="103"/>
      <c r="W56" s="105">
        <f>SUM(W47:W48,W39,W40:W43)</f>
        <v>1392597.3160000001</v>
      </c>
      <c r="X56" s="106"/>
      <c r="Y56" s="107">
        <f t="shared" si="52"/>
        <v>1842.1700000003912</v>
      </c>
      <c r="Z56" s="77">
        <f>IF((Q56)=0,"",(Y56/Q56))</f>
        <v>1.3245825516437755E-3</v>
      </c>
      <c r="AA56" s="106"/>
      <c r="AB56" s="103"/>
      <c r="AC56" s="105">
        <f>SUM(AC47:AC48,AC39,AC40:AC43)</f>
        <v>1392888.906</v>
      </c>
      <c r="AD56" s="106"/>
      <c r="AE56" s="107">
        <f t="shared" si="12"/>
        <v>291.58999999985099</v>
      </c>
      <c r="AF56" s="77">
        <f>IF((W56)=0,"",(AE56/W56))</f>
        <v>2.0938572597381839E-4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195422.71766299708</v>
      </c>
      <c r="I57" s="110"/>
      <c r="J57" s="109">
        <v>0.13</v>
      </c>
      <c r="K57" s="111">
        <f>K56*J57</f>
        <v>192237.00157999998</v>
      </c>
      <c r="L57" s="110"/>
      <c r="M57" s="112">
        <f t="shared" si="46"/>
        <v>-3185.7160829970962</v>
      </c>
      <c r="N57" s="84">
        <f>IF((H57)=0,"",(M57/H57))</f>
        <v>-1.630166707890536E-2</v>
      </c>
      <c r="O57" s="212"/>
      <c r="P57" s="109">
        <v>0.13</v>
      </c>
      <c r="Q57" s="111">
        <f>Q56*P57</f>
        <v>180798.16897999996</v>
      </c>
      <c r="R57" s="110"/>
      <c r="S57" s="112">
        <f t="shared" si="49"/>
        <v>-11438.832600000023</v>
      </c>
      <c r="T57" s="84">
        <f>IF((K57)=0,"",(S57/K57))</f>
        <v>-5.9503802628963293E-2</v>
      </c>
      <c r="U57" s="110"/>
      <c r="V57" s="109">
        <v>0.13</v>
      </c>
      <c r="W57" s="111">
        <f>W56*V57</f>
        <v>181037.65108000001</v>
      </c>
      <c r="X57" s="110"/>
      <c r="Y57" s="112">
        <f t="shared" si="52"/>
        <v>239.48210000005201</v>
      </c>
      <c r="Z57" s="84">
        <f>IF((Q57)=0,"",(Y57/Q57))</f>
        <v>1.324582551643782E-3</v>
      </c>
      <c r="AA57" s="110"/>
      <c r="AB57" s="109">
        <v>0.13</v>
      </c>
      <c r="AC57" s="111">
        <f>AC56*AB57</f>
        <v>181075.55778</v>
      </c>
      <c r="AD57" s="110"/>
      <c r="AE57" s="112">
        <f t="shared" si="12"/>
        <v>37.90669999999227</v>
      </c>
      <c r="AF57" s="84">
        <f>IF((W57)=0,"",(AE57/W57))</f>
        <v>2.0938572597388268E-4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1698674.3919937438</v>
      </c>
      <c r="I58" s="110"/>
      <c r="J58" s="114"/>
      <c r="K58" s="111">
        <f>K56+K57</f>
        <v>1670983.1675799997</v>
      </c>
      <c r="L58" s="110"/>
      <c r="M58" s="112">
        <f t="shared" si="46"/>
        <v>-27691.224413744174</v>
      </c>
      <c r="N58" s="84">
        <f>IF((H58)=0,"",(M58/H58))</f>
        <v>-1.6301667078905468E-2</v>
      </c>
      <c r="O58" s="212"/>
      <c r="P58" s="114"/>
      <c r="Q58" s="111">
        <f>Q56+Q57</f>
        <v>1571553.3149799998</v>
      </c>
      <c r="R58" s="110"/>
      <c r="S58" s="112">
        <f t="shared" si="49"/>
        <v>-99429.852599999867</v>
      </c>
      <c r="T58" s="84">
        <f>IF((K58)=0,"",(S58/K58))</f>
        <v>-5.9503802628963098E-2</v>
      </c>
      <c r="U58" s="110"/>
      <c r="V58" s="114"/>
      <c r="W58" s="111">
        <f>W56+W57</f>
        <v>1573634.9670800001</v>
      </c>
      <c r="X58" s="110"/>
      <c r="Y58" s="112">
        <f t="shared" si="52"/>
        <v>2081.6521000002977</v>
      </c>
      <c r="Z58" s="84">
        <f>IF((Q58)=0,"",(Y58/Q58))</f>
        <v>1.3245825516436836E-3</v>
      </c>
      <c r="AA58" s="110"/>
      <c r="AB58" s="114"/>
      <c r="AC58" s="111">
        <f>AC56+AC57</f>
        <v>1573964.4637799999</v>
      </c>
      <c r="AD58" s="110"/>
      <c r="AE58" s="112">
        <f t="shared" si="12"/>
        <v>329.49669999978505</v>
      </c>
      <c r="AF58" s="84">
        <f>IF((W58)=0,"",(AE58/W58))</f>
        <v>2.0938572597378879E-4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46"/>
        <v>0</v>
      </c>
      <c r="N59" s="89" t="str">
        <f>IF((H59)=0,"",(M59/H59))</f>
        <v/>
      </c>
      <c r="O59" s="212"/>
      <c r="P59" s="114"/>
      <c r="Q59" s="116">
        <f>ROUND(-Q58*10%,2)</f>
        <v>-157155.32999999999</v>
      </c>
      <c r="R59" s="110"/>
      <c r="S59" s="117">
        <f t="shared" si="49"/>
        <v>-157155.32999999999</v>
      </c>
      <c r="T59" s="89" t="str">
        <f>IF((K59)=0,"",(S59/K59))</f>
        <v/>
      </c>
      <c r="U59" s="110"/>
      <c r="V59" s="114"/>
      <c r="W59" s="116">
        <f>ROUND(-W58*10%,2)</f>
        <v>-157363.5</v>
      </c>
      <c r="X59" s="110"/>
      <c r="Y59" s="117">
        <f t="shared" si="52"/>
        <v>-208.17000000001281</v>
      </c>
      <c r="Z59" s="89">
        <f>IF((Q59)=0,"",(Y59/Q59))</f>
        <v>1.3246130436684064E-3</v>
      </c>
      <c r="AA59" s="110"/>
      <c r="AB59" s="114"/>
      <c r="AC59" s="116">
        <f>ROUND(-AC58*10%,2)</f>
        <v>-157396.45000000001</v>
      </c>
      <c r="AD59" s="110"/>
      <c r="AE59" s="117">
        <f t="shared" si="12"/>
        <v>-32.950000000011642</v>
      </c>
      <c r="AF59" s="89">
        <f>IF((W59)=0,"",(AE59/W59))</f>
        <v>2.0938781864925248E-4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1698674.3919937438</v>
      </c>
      <c r="I60" s="120"/>
      <c r="J60" s="118"/>
      <c r="K60" s="121">
        <f>SUM(K58:K59)</f>
        <v>1670983.1675799997</v>
      </c>
      <c r="L60" s="120"/>
      <c r="M60" s="122">
        <f t="shared" si="46"/>
        <v>-27691.224413744174</v>
      </c>
      <c r="N60" s="123">
        <f>IF((H60)=0,"",(M60/H60))</f>
        <v>-1.6301667078905468E-2</v>
      </c>
      <c r="O60" s="212"/>
      <c r="P60" s="118"/>
      <c r="Q60" s="121">
        <f>SUM(Q58:Q59)</f>
        <v>1414397.9849799997</v>
      </c>
      <c r="R60" s="120"/>
      <c r="S60" s="122">
        <f t="shared" si="49"/>
        <v>-256585.18259999994</v>
      </c>
      <c r="T60" s="123">
        <f>IF((K60)=0,"",(S60/K60))</f>
        <v>-0.15355342146958864</v>
      </c>
      <c r="U60" s="120"/>
      <c r="V60" s="118"/>
      <c r="W60" s="121">
        <f>SUM(W58:W59)</f>
        <v>1416271.4670800001</v>
      </c>
      <c r="X60" s="120"/>
      <c r="Y60" s="122">
        <f t="shared" si="52"/>
        <v>1873.4821000003722</v>
      </c>
      <c r="Z60" s="123">
        <f>IF((Q60)=0,"",(Y60/Q60))</f>
        <v>1.3245791636410343E-3</v>
      </c>
      <c r="AA60" s="120"/>
      <c r="AB60" s="118"/>
      <c r="AC60" s="121">
        <f>SUM(AC58:AC59)</f>
        <v>1416568.0137799999</v>
      </c>
      <c r="AD60" s="120"/>
      <c r="AE60" s="122">
        <f t="shared" si="12"/>
        <v>296.54669999983162</v>
      </c>
      <c r="AF60" s="123">
        <f>IF((W60)=0,"",(AE60/W60))</f>
        <v>2.0938549345432853E-4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80">
        <v>6.0000000000000001E-3</v>
      </c>
      <c r="I63" s="142"/>
      <c r="J63" s="180">
        <v>6.0000000000000001E-3</v>
      </c>
      <c r="K63" s="142"/>
      <c r="L63" s="142"/>
      <c r="M63" s="142"/>
      <c r="N63" s="142"/>
      <c r="O63" s="142"/>
      <c r="P63" s="180">
        <v>6.0000000000000001E-3</v>
      </c>
      <c r="Q63" s="142"/>
      <c r="R63" s="142"/>
      <c r="S63" s="142"/>
      <c r="T63" s="142"/>
      <c r="U63" s="142"/>
      <c r="V63" s="180">
        <v>6.0000000000000001E-3</v>
      </c>
      <c r="W63" s="142"/>
      <c r="X63" s="142"/>
      <c r="Y63" s="142"/>
      <c r="Z63" s="142"/>
      <c r="AA63" s="142"/>
      <c r="AB63" s="180">
        <v>6.0000000000000001E-3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55:E55 D12:E27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48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theme="5"/>
    <pageSetUpPr fitToPage="1"/>
  </sheetPr>
  <dimension ref="A1:AP79"/>
  <sheetViews>
    <sheetView showGridLines="0" zoomScale="63" zoomScaleNormal="63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8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hidden="1" customWidth="1"/>
    <col min="34" max="34" width="9.85546875" style="1" bestFit="1" customWidth="1"/>
    <col min="35" max="35" width="9.140625" style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250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8.44</v>
      </c>
      <c r="H12" s="18">
        <f t="shared" ref="H12:H27" si="0">$F12*G12</f>
        <v>8.44</v>
      </c>
      <c r="I12" s="19"/>
      <c r="J12" s="209">
        <v>8.4700000000000006</v>
      </c>
      <c r="K12" s="18">
        <f t="shared" ref="K12:K27" si="1">$F12*J12</f>
        <v>8.4700000000000006</v>
      </c>
      <c r="L12" s="19"/>
      <c r="M12" s="21">
        <f t="shared" ref="M12:M21" si="2">K12-H12</f>
        <v>3.0000000000001137E-2</v>
      </c>
      <c r="N12" s="22">
        <f t="shared" ref="N12:N21" si="3">IF((H12)=0,"",(M12/H12))</f>
        <v>3.5545023696683812E-3</v>
      </c>
      <c r="O12" s="212"/>
      <c r="P12" s="16">
        <v>8.4700000000000006</v>
      </c>
      <c r="Q12" s="18">
        <f t="shared" ref="Q12:Q27" si="4">$F12*P12</f>
        <v>8.4700000000000006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8.5</v>
      </c>
      <c r="W12" s="18">
        <f t="shared" ref="W12:W27" si="6">$F12*V12</f>
        <v>8.5</v>
      </c>
      <c r="X12" s="19"/>
      <c r="Y12" s="21">
        <f>W12-Q12</f>
        <v>2.9999999999999361E-2</v>
      </c>
      <c r="Z12" s="22">
        <f t="shared" ref="Z12:Z34" si="7">IF((Q12)=0,"",(Y12/Q12))</f>
        <v>3.5419126328216479E-3</v>
      </c>
      <c r="AA12" s="19"/>
      <c r="AB12" s="16">
        <v>8.6999999999999993</v>
      </c>
      <c r="AC12" s="18">
        <f t="shared" ref="AC12:AC27" si="8">$F12*AB12</f>
        <v>8.6999999999999993</v>
      </c>
      <c r="AD12" s="19"/>
      <c r="AE12" s="21">
        <f>AC12-W12</f>
        <v>0.19999999999999929</v>
      </c>
      <c r="AF12" s="22">
        <f t="shared" ref="AF12:AF34" si="9">IF((W12)=0,"",(AE12/W12))</f>
        <v>2.3529411764705799E-2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250</v>
      </c>
      <c r="G19" s="16">
        <v>1.3100000000000001E-2</v>
      </c>
      <c r="H19" s="18">
        <f t="shared" si="0"/>
        <v>3.2750000000000004</v>
      </c>
      <c r="I19" s="19"/>
      <c r="J19" s="16">
        <v>1.32E-2</v>
      </c>
      <c r="K19" s="18">
        <f t="shared" si="1"/>
        <v>3.3</v>
      </c>
      <c r="L19" s="19"/>
      <c r="M19" s="21">
        <f t="shared" si="2"/>
        <v>2.4999999999999467E-2</v>
      </c>
      <c r="N19" s="22">
        <f t="shared" si="3"/>
        <v>7.6335877862593786E-3</v>
      </c>
      <c r="O19" s="212"/>
      <c r="P19" s="16">
        <v>1.32E-2</v>
      </c>
      <c r="Q19" s="18">
        <f t="shared" si="4"/>
        <v>3.3</v>
      </c>
      <c r="R19" s="19"/>
      <c r="S19" s="21">
        <f t="shared" si="10"/>
        <v>0</v>
      </c>
      <c r="T19" s="22">
        <f t="shared" si="5"/>
        <v>0</v>
      </c>
      <c r="U19" s="19"/>
      <c r="V19" s="16">
        <v>1.3299999999999999E-2</v>
      </c>
      <c r="W19" s="18">
        <f t="shared" si="6"/>
        <v>3.3249999999999997</v>
      </c>
      <c r="X19" s="19"/>
      <c r="Y19" s="21">
        <f t="shared" si="11"/>
        <v>2.4999999999999911E-2</v>
      </c>
      <c r="Z19" s="22">
        <f t="shared" si="7"/>
        <v>7.5757575757575491E-3</v>
      </c>
      <c r="AA19" s="19"/>
      <c r="AB19" s="16">
        <v>1.3599999999999999E-2</v>
      </c>
      <c r="AC19" s="18">
        <f t="shared" si="8"/>
        <v>3.4</v>
      </c>
      <c r="AD19" s="19"/>
      <c r="AE19" s="21">
        <f t="shared" si="12"/>
        <v>7.5000000000000178E-2</v>
      </c>
      <c r="AF19" s="22">
        <f t="shared" si="9"/>
        <v>2.2556390977443663E-2</v>
      </c>
    </row>
    <row r="20" spans="2:32" ht="12.6" customHeight="1" x14ac:dyDescent="0.2">
      <c r="B20" s="14" t="s">
        <v>106</v>
      </c>
      <c r="C20" s="14"/>
      <c r="D20" s="15" t="s">
        <v>54</v>
      </c>
      <c r="E20" s="15"/>
      <c r="F20" s="17">
        <f t="shared" ref="F20" si="24">$G$7</f>
        <v>250</v>
      </c>
      <c r="G20" s="16"/>
      <c r="H20" s="18">
        <f t="shared" si="0"/>
        <v>0</v>
      </c>
      <c r="I20" s="19"/>
      <c r="J20" s="16">
        <v>0</v>
      </c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250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31" si="25">$G$7</f>
        <v>250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25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25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25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11.715</v>
      </c>
      <c r="I28" s="31"/>
      <c r="J28" s="28"/>
      <c r="K28" s="30">
        <f>SUM(K12:K27)</f>
        <v>11.77</v>
      </c>
      <c r="L28" s="31"/>
      <c r="M28" s="32">
        <f t="shared" si="26"/>
        <v>5.4999999999999716E-2</v>
      </c>
      <c r="N28" s="33">
        <f t="shared" si="27"/>
        <v>4.6948356807511495E-3</v>
      </c>
      <c r="O28" s="212"/>
      <c r="P28" s="28"/>
      <c r="Q28" s="30">
        <f>SUM(Q12:Q27)</f>
        <v>11.77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11.824999999999999</v>
      </c>
      <c r="X28" s="31"/>
      <c r="Y28" s="32">
        <f t="shared" si="11"/>
        <v>5.4999999999999716E-2</v>
      </c>
      <c r="Z28" s="33">
        <f t="shared" si="7"/>
        <v>4.6728971962616585E-3</v>
      </c>
      <c r="AA28" s="31"/>
      <c r="AB28" s="28"/>
      <c r="AC28" s="30">
        <f>SUM(AC12:AC27)</f>
        <v>12.1</v>
      </c>
      <c r="AD28" s="31"/>
      <c r="AE28" s="32">
        <f t="shared" si="12"/>
        <v>0.27500000000000036</v>
      </c>
      <c r="AF28" s="33">
        <f t="shared" si="9"/>
        <v>2.3255813953488403E-2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250</v>
      </c>
      <c r="G29" s="16">
        <v>3.3879029409713071E-4</v>
      </c>
      <c r="H29" s="18">
        <f t="shared" ref="H29:H35" si="28">$F29*G29</f>
        <v>8.4697573524282671E-2</v>
      </c>
      <c r="I29" s="19"/>
      <c r="J29" s="16">
        <v>-2.5000000000000001E-3</v>
      </c>
      <c r="K29" s="18">
        <f t="shared" ref="K29:K35" si="29">$F29*J29</f>
        <v>-0.625</v>
      </c>
      <c r="L29" s="19"/>
      <c r="M29" s="21">
        <f t="shared" si="26"/>
        <v>-0.70969757352428264</v>
      </c>
      <c r="N29" s="22">
        <f t="shared" si="27"/>
        <v>-8.3791960500593721</v>
      </c>
      <c r="O29" s="212"/>
      <c r="P29" s="16">
        <v>-2.5000000000000001E-3</v>
      </c>
      <c r="Q29" s="18">
        <f t="shared" ref="Q29:Q35" si="30">$F29*P29</f>
        <v>-0.625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0.625</v>
      </c>
      <c r="Z29" s="22">
        <f t="shared" si="7"/>
        <v>-1</v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54</v>
      </c>
      <c r="E30" s="15"/>
      <c r="F30" s="17">
        <f t="shared" ref="F30" si="33">$G$7</f>
        <v>250</v>
      </c>
      <c r="G30" s="16">
        <v>3.6835419973824286E-3</v>
      </c>
      <c r="H30" s="18">
        <f t="shared" si="28"/>
        <v>0.92088549934560715</v>
      </c>
      <c r="I30" s="19"/>
      <c r="J30" s="16">
        <v>1.6000000000000001E-3</v>
      </c>
      <c r="K30" s="18">
        <f t="shared" si="29"/>
        <v>0.4</v>
      </c>
      <c r="L30" s="19"/>
      <c r="M30" s="21">
        <f t="shared" si="26"/>
        <v>-0.52088549934560713</v>
      </c>
      <c r="N30" s="22">
        <f t="shared" si="27"/>
        <v>-0.5656354668585345</v>
      </c>
      <c r="O30" s="212"/>
      <c r="P30" s="16">
        <v>1.6000000000000001E-3</v>
      </c>
      <c r="Q30" s="18">
        <f t="shared" si="30"/>
        <v>0.4</v>
      </c>
      <c r="R30" s="19"/>
      <c r="S30" s="21">
        <f t="shared" ref="S30" si="34">Q30-K30</f>
        <v>0</v>
      </c>
      <c r="T30" s="22">
        <f t="shared" ref="T30" si="35">IF((K30)=0,"",(S30/K30))</f>
        <v>0</v>
      </c>
      <c r="U30" s="19"/>
      <c r="V30" s="16">
        <v>0</v>
      </c>
      <c r="W30" s="18">
        <f t="shared" si="31"/>
        <v>0</v>
      </c>
      <c r="X30" s="19"/>
      <c r="Y30" s="21">
        <f t="shared" ref="Y30" si="36">W30-Q30</f>
        <v>-0.4</v>
      </c>
      <c r="Z30" s="22">
        <f t="shared" ref="Z30" si="37">IF((Q30)=0,"",(Y30/Q30))</f>
        <v>-1</v>
      </c>
      <c r="AA30" s="19"/>
      <c r="AB30" s="16">
        <v>0</v>
      </c>
      <c r="AC30" s="18">
        <f t="shared" si="32"/>
        <v>0</v>
      </c>
      <c r="AD30" s="19"/>
      <c r="AE30" s="21">
        <f t="shared" ref="AE30" si="38">AC30-W30</f>
        <v>0</v>
      </c>
      <c r="AF30" s="22" t="str">
        <f t="shared" ref="AF30" si="39">IF((W30)=0,"",(AE30/W30))</f>
        <v/>
      </c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si="25"/>
        <v>250</v>
      </c>
      <c r="G31" s="16">
        <v>0</v>
      </c>
      <c r="H31" s="18">
        <f>$F31*G31</f>
        <v>0</v>
      </c>
      <c r="I31" s="19"/>
      <c r="J31" s="16">
        <v>0</v>
      </c>
      <c r="K31" s="18">
        <f>$F31*J31</f>
        <v>0</v>
      </c>
      <c r="L31" s="19"/>
      <c r="M31" s="21">
        <f t="shared" si="26"/>
        <v>0</v>
      </c>
      <c r="N31" s="22" t="str">
        <f t="shared" si="27"/>
        <v/>
      </c>
      <c r="O31" s="212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25.5" x14ac:dyDescent="0.2">
      <c r="B32" s="134" t="s">
        <v>17</v>
      </c>
      <c r="C32" s="14"/>
      <c r="D32" s="15" t="s">
        <v>54</v>
      </c>
      <c r="E32" s="15"/>
      <c r="F32" s="17">
        <f>$G$7</f>
        <v>250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212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ref="F33" si="44">$G$7</f>
        <v>250</v>
      </c>
      <c r="G33" s="133">
        <v>6.0000000000000002E-5</v>
      </c>
      <c r="H33" s="18">
        <f t="shared" si="28"/>
        <v>1.5000000000000001E-2</v>
      </c>
      <c r="I33" s="19"/>
      <c r="J33" s="133">
        <v>6.0000000000000002E-5</v>
      </c>
      <c r="K33" s="18">
        <f t="shared" si="29"/>
        <v>1.5000000000000001E-2</v>
      </c>
      <c r="L33" s="19"/>
      <c r="M33" s="21">
        <f t="shared" si="26"/>
        <v>0</v>
      </c>
      <c r="N33" s="22">
        <f t="shared" si="27"/>
        <v>0</v>
      </c>
      <c r="O33" s="212"/>
      <c r="P33" s="133">
        <v>6.0000000000000002E-5</v>
      </c>
      <c r="Q33" s="18">
        <f t="shared" si="30"/>
        <v>1.5000000000000001E-2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31"/>
        <v>1.5000000000000001E-2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32"/>
        <v>1.5000000000000001E-2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7.6975000000000477</v>
      </c>
      <c r="G34" s="38">
        <f>0.64*$G$44+0.18*$G$45+0.18*$G$46</f>
        <v>0.11183999999999999</v>
      </c>
      <c r="H34" s="18">
        <f t="shared" si="28"/>
        <v>0.86088840000000533</v>
      </c>
      <c r="I34" s="19"/>
      <c r="J34" s="38">
        <f>0.64*$G$44+0.18*$G$45+0.18*$G$46</f>
        <v>0.11183999999999999</v>
      </c>
      <c r="K34" s="18">
        <f t="shared" si="29"/>
        <v>0.86088840000000533</v>
      </c>
      <c r="L34" s="19"/>
      <c r="M34" s="21">
        <f t="shared" si="26"/>
        <v>0</v>
      </c>
      <c r="N34" s="22">
        <f t="shared" si="27"/>
        <v>0</v>
      </c>
      <c r="O34" s="212"/>
      <c r="P34" s="38">
        <f>0.64*$G$44+0.18*$G$45+0.18*$G$46</f>
        <v>0.11183999999999999</v>
      </c>
      <c r="Q34" s="18">
        <f t="shared" si="30"/>
        <v>0.86088840000000533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0.11183999999999999</v>
      </c>
      <c r="W34" s="18">
        <f t="shared" si="31"/>
        <v>0.86088840000000533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0.11183999999999999</v>
      </c>
      <c r="AC34" s="18">
        <f t="shared" si="32"/>
        <v>0.86088840000000533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212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13.596471472869895</v>
      </c>
      <c r="I36" s="31"/>
      <c r="J36" s="41"/>
      <c r="K36" s="43">
        <f>SUM(K29:K35)+K28</f>
        <v>12.420888400000004</v>
      </c>
      <c r="L36" s="31"/>
      <c r="M36" s="32">
        <f t="shared" si="26"/>
        <v>-1.1755830728698911</v>
      </c>
      <c r="N36" s="33">
        <f t="shared" ref="N36:N46" si="45">IF((H36)=0,"",(M36/H36))</f>
        <v>-8.6462364534476754E-2</v>
      </c>
      <c r="O36" s="212"/>
      <c r="P36" s="41"/>
      <c r="Q36" s="43">
        <f>SUM(Q29:Q35)+Q28</f>
        <v>12.420888400000004</v>
      </c>
      <c r="R36" s="31"/>
      <c r="S36" s="32">
        <f t="shared" si="10"/>
        <v>0</v>
      </c>
      <c r="T36" s="33">
        <f t="shared" ref="T36:T46" si="46">IF((K36)=0,"",(S36/K36))</f>
        <v>0</v>
      </c>
      <c r="U36" s="31"/>
      <c r="V36" s="41"/>
      <c r="W36" s="43">
        <f>SUM(W29:W35)+W28</f>
        <v>12.700888400000004</v>
      </c>
      <c r="X36" s="31"/>
      <c r="Y36" s="32">
        <f t="shared" si="11"/>
        <v>0.27999999999999936</v>
      </c>
      <c r="Z36" s="33">
        <f t="shared" ref="Z36:Z46" si="47">IF((Q36)=0,"",(Y36/Q36))</f>
        <v>2.2542670941315218E-2</v>
      </c>
      <c r="AA36" s="31"/>
      <c r="AB36" s="41"/>
      <c r="AC36" s="43">
        <f>SUM(AC29:AC35)+AC28</f>
        <v>12.975888400000006</v>
      </c>
      <c r="AD36" s="31"/>
      <c r="AE36" s="32">
        <f t="shared" si="12"/>
        <v>0.27500000000000213</v>
      </c>
      <c r="AF36" s="33">
        <f t="shared" ref="AF36:AF46" si="48">IF((W36)=0,"",(AE36/W36))</f>
        <v>2.1652028688009105E-2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257.69750000000005</v>
      </c>
      <c r="G37" s="20">
        <v>6.9089021858936049E-3</v>
      </c>
      <c r="H37" s="18">
        <f>$F37*G37</f>
        <v>1.7804068210493176</v>
      </c>
      <c r="I37" s="19"/>
      <c r="J37" s="20">
        <v>6.6E-3</v>
      </c>
      <c r="K37" s="18">
        <f>$F37*J37</f>
        <v>1.7008035000000004</v>
      </c>
      <c r="L37" s="19"/>
      <c r="M37" s="21">
        <f t="shared" si="26"/>
        <v>-7.9603321049317222E-2</v>
      </c>
      <c r="N37" s="22">
        <f t="shared" si="45"/>
        <v>-4.4710748188664794E-2</v>
      </c>
      <c r="O37" s="212"/>
      <c r="P37" s="20">
        <v>6.6E-3</v>
      </c>
      <c r="Q37" s="18">
        <f>$F37*P37</f>
        <v>1.7008035000000004</v>
      </c>
      <c r="R37" s="19"/>
      <c r="S37" s="21">
        <f t="shared" si="10"/>
        <v>0</v>
      </c>
      <c r="T37" s="22">
        <f t="shared" si="46"/>
        <v>0</v>
      </c>
      <c r="U37" s="19"/>
      <c r="V37" s="20">
        <v>6.6E-3</v>
      </c>
      <c r="W37" s="18">
        <f>$F37*V37</f>
        <v>1.7008035000000004</v>
      </c>
      <c r="X37" s="19"/>
      <c r="Y37" s="21">
        <f t="shared" si="11"/>
        <v>0</v>
      </c>
      <c r="Z37" s="22">
        <f t="shared" si="47"/>
        <v>0</v>
      </c>
      <c r="AA37" s="19"/>
      <c r="AB37" s="20">
        <v>6.6E-3</v>
      </c>
      <c r="AC37" s="18">
        <f>$F37*AB37</f>
        <v>1.7008035000000004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257.69750000000005</v>
      </c>
      <c r="G38" s="20">
        <v>5.4355890760332311E-3</v>
      </c>
      <c r="H38" s="18">
        <f>$F38*G38</f>
        <v>1.4007377159210739</v>
      </c>
      <c r="I38" s="19"/>
      <c r="J38" s="20">
        <v>5.4000000000000003E-3</v>
      </c>
      <c r="K38" s="18">
        <f>$F38*J38</f>
        <v>1.3915665000000004</v>
      </c>
      <c r="L38" s="19"/>
      <c r="M38" s="21">
        <f t="shared" si="26"/>
        <v>-9.1712159210735056E-3</v>
      </c>
      <c r="N38" s="22">
        <f t="shared" si="45"/>
        <v>-6.547418418760039E-3</v>
      </c>
      <c r="O38" s="212"/>
      <c r="P38" s="20">
        <v>5.4000000000000003E-3</v>
      </c>
      <c r="Q38" s="18">
        <f>$F38*P38</f>
        <v>1.3915665000000004</v>
      </c>
      <c r="R38" s="19"/>
      <c r="S38" s="21">
        <f t="shared" si="10"/>
        <v>0</v>
      </c>
      <c r="T38" s="22">
        <f t="shared" si="46"/>
        <v>0</v>
      </c>
      <c r="U38" s="19"/>
      <c r="V38" s="20">
        <v>5.4000000000000003E-3</v>
      </c>
      <c r="W38" s="18">
        <f>$F38*V38</f>
        <v>1.3915665000000004</v>
      </c>
      <c r="X38" s="19"/>
      <c r="Y38" s="21">
        <f t="shared" si="11"/>
        <v>0</v>
      </c>
      <c r="Z38" s="22">
        <f t="shared" si="47"/>
        <v>0</v>
      </c>
      <c r="AA38" s="19"/>
      <c r="AB38" s="20">
        <v>5.4000000000000003E-3</v>
      </c>
      <c r="AC38" s="18">
        <f>$F38*AB38</f>
        <v>1.3915665000000004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16.777616009840287</v>
      </c>
      <c r="I39" s="48"/>
      <c r="J39" s="47"/>
      <c r="K39" s="43">
        <f>SUM(K36:K38)</f>
        <v>15.513258400000005</v>
      </c>
      <c r="L39" s="48"/>
      <c r="M39" s="32">
        <f t="shared" si="26"/>
        <v>-1.2643576098402818</v>
      </c>
      <c r="N39" s="33">
        <f t="shared" si="45"/>
        <v>-7.5359789441999378E-2</v>
      </c>
      <c r="O39" s="212"/>
      <c r="P39" s="47"/>
      <c r="Q39" s="43">
        <f>SUM(Q36:Q38)</f>
        <v>15.513258400000005</v>
      </c>
      <c r="R39" s="48"/>
      <c r="S39" s="32">
        <f t="shared" si="10"/>
        <v>0</v>
      </c>
      <c r="T39" s="33">
        <f t="shared" si="46"/>
        <v>0</v>
      </c>
      <c r="U39" s="48"/>
      <c r="V39" s="47"/>
      <c r="W39" s="43">
        <f>SUM(W36:W38)</f>
        <v>15.793258400000004</v>
      </c>
      <c r="X39" s="48"/>
      <c r="Y39" s="32">
        <f t="shared" si="11"/>
        <v>0.27999999999999936</v>
      </c>
      <c r="Z39" s="33">
        <f t="shared" si="47"/>
        <v>1.8049077297648781E-2</v>
      </c>
      <c r="AA39" s="48"/>
      <c r="AB39" s="47"/>
      <c r="AC39" s="43">
        <f>SUM(AC36:AC38)</f>
        <v>16.068258400000008</v>
      </c>
      <c r="AD39" s="48"/>
      <c r="AE39" s="32">
        <f t="shared" si="12"/>
        <v>0.27500000000000391</v>
      </c>
      <c r="AF39" s="33">
        <f t="shared" si="48"/>
        <v>1.741249291533176E-2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257.69750000000005</v>
      </c>
      <c r="G40" s="50">
        <v>4.7000000000000002E-3</v>
      </c>
      <c r="H40" s="152">
        <f t="shared" ref="H40:H48" si="49">$F40*G40</f>
        <v>1.2111782500000003</v>
      </c>
      <c r="I40" s="19"/>
      <c r="J40" s="50">
        <v>4.7000000000000002E-3</v>
      </c>
      <c r="K40" s="152">
        <f t="shared" ref="K40:K48" si="50">$F40*J40</f>
        <v>1.2111782500000003</v>
      </c>
      <c r="L40" s="19"/>
      <c r="M40" s="21">
        <f t="shared" si="26"/>
        <v>0</v>
      </c>
      <c r="N40" s="153">
        <f t="shared" si="45"/>
        <v>0</v>
      </c>
      <c r="O40" s="212"/>
      <c r="P40" s="50">
        <v>4.7000000000000002E-3</v>
      </c>
      <c r="Q40" s="152">
        <f t="shared" ref="Q40:Q48" si="51">$F40*P40</f>
        <v>1.2111782500000003</v>
      </c>
      <c r="R40" s="19"/>
      <c r="S40" s="21">
        <f t="shared" si="10"/>
        <v>0</v>
      </c>
      <c r="T40" s="153">
        <f t="shared" si="46"/>
        <v>0</v>
      </c>
      <c r="U40" s="19"/>
      <c r="V40" s="50">
        <v>4.7000000000000002E-3</v>
      </c>
      <c r="W40" s="152">
        <f t="shared" ref="W40:W48" si="52">$F40*V40</f>
        <v>1.2111782500000003</v>
      </c>
      <c r="X40" s="19"/>
      <c r="Y40" s="21">
        <f t="shared" si="11"/>
        <v>0</v>
      </c>
      <c r="Z40" s="153">
        <f t="shared" si="47"/>
        <v>0</v>
      </c>
      <c r="AA40" s="19"/>
      <c r="AB40" s="50">
        <v>4.7000000000000002E-3</v>
      </c>
      <c r="AC40" s="152">
        <f t="shared" ref="AC40:AC48" si="53">$F40*AB40</f>
        <v>1.2111782500000003</v>
      </c>
      <c r="AD40" s="19"/>
      <c r="AE40" s="21">
        <f t="shared" si="12"/>
        <v>0</v>
      </c>
      <c r="AF40" s="153">
        <f t="shared" si="48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257.69750000000005</v>
      </c>
      <c r="G41" s="50">
        <v>1.2999999999999999E-3</v>
      </c>
      <c r="H41" s="152">
        <f t="shared" si="49"/>
        <v>0.33500675000000002</v>
      </c>
      <c r="I41" s="19"/>
      <c r="J41" s="50">
        <v>2.0999999999999999E-3</v>
      </c>
      <c r="K41" s="152">
        <f t="shared" si="50"/>
        <v>0.54116475000000008</v>
      </c>
      <c r="L41" s="19"/>
      <c r="M41" s="21">
        <f t="shared" si="26"/>
        <v>0.20615800000000006</v>
      </c>
      <c r="N41" s="153">
        <f t="shared" si="45"/>
        <v>0.61538461538461553</v>
      </c>
      <c r="O41" s="212"/>
      <c r="P41" s="50">
        <v>2.0999999999999999E-3</v>
      </c>
      <c r="Q41" s="152">
        <f t="shared" si="51"/>
        <v>0.54116475000000008</v>
      </c>
      <c r="R41" s="19"/>
      <c r="S41" s="21">
        <f t="shared" si="10"/>
        <v>0</v>
      </c>
      <c r="T41" s="153">
        <f t="shared" si="46"/>
        <v>0</v>
      </c>
      <c r="U41" s="19"/>
      <c r="V41" s="50">
        <v>2.0999999999999999E-3</v>
      </c>
      <c r="W41" s="152">
        <f t="shared" si="52"/>
        <v>0.54116475000000008</v>
      </c>
      <c r="X41" s="19"/>
      <c r="Y41" s="21">
        <f t="shared" si="11"/>
        <v>0</v>
      </c>
      <c r="Z41" s="153">
        <f t="shared" si="47"/>
        <v>0</v>
      </c>
      <c r="AA41" s="19"/>
      <c r="AB41" s="50">
        <v>2.0999999999999999E-3</v>
      </c>
      <c r="AC41" s="152">
        <f t="shared" si="53"/>
        <v>0.54116475000000008</v>
      </c>
      <c r="AD41" s="19"/>
      <c r="AE41" s="21">
        <f t="shared" si="12"/>
        <v>0</v>
      </c>
      <c r="AF41" s="153">
        <f t="shared" si="48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49"/>
        <v>0.25</v>
      </c>
      <c r="I42" s="19"/>
      <c r="J42" s="50">
        <v>0.25</v>
      </c>
      <c r="K42" s="152">
        <f t="shared" si="50"/>
        <v>0.25</v>
      </c>
      <c r="L42" s="19"/>
      <c r="M42" s="21">
        <f t="shared" si="26"/>
        <v>0</v>
      </c>
      <c r="N42" s="153">
        <f t="shared" si="45"/>
        <v>0</v>
      </c>
      <c r="O42" s="212"/>
      <c r="P42" s="50">
        <v>0.25</v>
      </c>
      <c r="Q42" s="152">
        <f t="shared" si="51"/>
        <v>0.25</v>
      </c>
      <c r="R42" s="19"/>
      <c r="S42" s="21">
        <f t="shared" si="10"/>
        <v>0</v>
      </c>
      <c r="T42" s="153">
        <f t="shared" si="46"/>
        <v>0</v>
      </c>
      <c r="U42" s="19"/>
      <c r="V42" s="50">
        <v>0.25</v>
      </c>
      <c r="W42" s="152">
        <f t="shared" si="52"/>
        <v>0.25</v>
      </c>
      <c r="X42" s="19"/>
      <c r="Y42" s="21">
        <f t="shared" si="11"/>
        <v>0</v>
      </c>
      <c r="Z42" s="153">
        <f t="shared" si="47"/>
        <v>0</v>
      </c>
      <c r="AA42" s="19"/>
      <c r="AB42" s="50">
        <v>0.25</v>
      </c>
      <c r="AC42" s="152">
        <f t="shared" si="53"/>
        <v>0.25</v>
      </c>
      <c r="AD42" s="19"/>
      <c r="AE42" s="21">
        <f t="shared" si="12"/>
        <v>0</v>
      </c>
      <c r="AF42" s="153">
        <f t="shared" si="48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250</v>
      </c>
      <c r="G43" s="50">
        <v>7.0000000000000001E-3</v>
      </c>
      <c r="H43" s="152">
        <f t="shared" si="49"/>
        <v>1.75</v>
      </c>
      <c r="I43" s="19"/>
      <c r="J43" s="50">
        <v>7.0000000000000001E-3</v>
      </c>
      <c r="K43" s="152">
        <f t="shared" si="50"/>
        <v>1.75</v>
      </c>
      <c r="L43" s="19"/>
      <c r="M43" s="21">
        <f t="shared" si="26"/>
        <v>0</v>
      </c>
      <c r="N43" s="153">
        <f t="shared" si="45"/>
        <v>0</v>
      </c>
      <c r="O43" s="212"/>
      <c r="P43" s="50">
        <v>7.0000000000000001E-3</v>
      </c>
      <c r="Q43" s="152">
        <f t="shared" si="51"/>
        <v>1.75</v>
      </c>
      <c r="R43" s="19"/>
      <c r="S43" s="21">
        <f t="shared" si="10"/>
        <v>0</v>
      </c>
      <c r="T43" s="153">
        <f t="shared" si="46"/>
        <v>0</v>
      </c>
      <c r="U43" s="19"/>
      <c r="V43" s="50">
        <v>7.0000000000000001E-3</v>
      </c>
      <c r="W43" s="152">
        <f t="shared" si="52"/>
        <v>1.75</v>
      </c>
      <c r="X43" s="19"/>
      <c r="Y43" s="21">
        <f t="shared" si="11"/>
        <v>0</v>
      </c>
      <c r="Z43" s="153">
        <f t="shared" si="47"/>
        <v>0</v>
      </c>
      <c r="AA43" s="19"/>
      <c r="AB43" s="50">
        <v>7.0000000000000001E-3</v>
      </c>
      <c r="AC43" s="152">
        <f t="shared" si="53"/>
        <v>1.75</v>
      </c>
      <c r="AD43" s="19"/>
      <c r="AE43" s="21">
        <f t="shared" si="12"/>
        <v>0</v>
      </c>
      <c r="AF43" s="153">
        <f t="shared" si="48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160</v>
      </c>
      <c r="G44" s="54">
        <v>8.6999999999999994E-2</v>
      </c>
      <c r="H44" s="152">
        <f t="shared" si="49"/>
        <v>13.919999999999998</v>
      </c>
      <c r="I44" s="19"/>
      <c r="J44" s="54">
        <f>+G44</f>
        <v>8.6999999999999994E-2</v>
      </c>
      <c r="K44" s="152">
        <f t="shared" si="50"/>
        <v>13.919999999999998</v>
      </c>
      <c r="L44" s="19"/>
      <c r="M44" s="21">
        <f t="shared" si="26"/>
        <v>0</v>
      </c>
      <c r="N44" s="153">
        <f t="shared" si="45"/>
        <v>0</v>
      </c>
      <c r="O44" s="212"/>
      <c r="P44" s="54">
        <v>0.08</v>
      </c>
      <c r="Q44" s="152">
        <f t="shared" si="51"/>
        <v>12.8</v>
      </c>
      <c r="R44" s="19"/>
      <c r="S44" s="21">
        <f t="shared" si="10"/>
        <v>-1.1199999999999974</v>
      </c>
      <c r="T44" s="153">
        <f t="shared" si="46"/>
        <v>-8.0459770114942361E-2</v>
      </c>
      <c r="U44" s="19"/>
      <c r="V44" s="54">
        <v>0.08</v>
      </c>
      <c r="W44" s="152">
        <f t="shared" si="52"/>
        <v>12.8</v>
      </c>
      <c r="X44" s="19"/>
      <c r="Y44" s="21">
        <f t="shared" si="11"/>
        <v>0</v>
      </c>
      <c r="Z44" s="153">
        <f t="shared" si="47"/>
        <v>0</v>
      </c>
      <c r="AA44" s="19"/>
      <c r="AB44" s="54">
        <v>0.08</v>
      </c>
      <c r="AC44" s="152">
        <f t="shared" si="53"/>
        <v>12.8</v>
      </c>
      <c r="AD44" s="19"/>
      <c r="AE44" s="21">
        <f t="shared" si="12"/>
        <v>0</v>
      </c>
      <c r="AF44" s="153">
        <f t="shared" si="48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45</v>
      </c>
      <c r="G45" s="54">
        <v>0.13200000000000001</v>
      </c>
      <c r="H45" s="152">
        <f t="shared" si="49"/>
        <v>5.94</v>
      </c>
      <c r="I45" s="19"/>
      <c r="J45" s="54">
        <f>+G45</f>
        <v>0.13200000000000001</v>
      </c>
      <c r="K45" s="152">
        <f t="shared" si="50"/>
        <v>5.94</v>
      </c>
      <c r="L45" s="19"/>
      <c r="M45" s="21">
        <f t="shared" si="26"/>
        <v>0</v>
      </c>
      <c r="N45" s="153">
        <f t="shared" si="45"/>
        <v>0</v>
      </c>
      <c r="O45" s="212"/>
      <c r="P45" s="54">
        <v>0.122</v>
      </c>
      <c r="Q45" s="152">
        <f t="shared" si="51"/>
        <v>5.49</v>
      </c>
      <c r="R45" s="19"/>
      <c r="S45" s="21">
        <f t="shared" si="10"/>
        <v>-0.45000000000000018</v>
      </c>
      <c r="T45" s="153">
        <f t="shared" si="46"/>
        <v>-7.5757575757575787E-2</v>
      </c>
      <c r="U45" s="19"/>
      <c r="V45" s="54">
        <v>0.122</v>
      </c>
      <c r="W45" s="152">
        <f t="shared" si="52"/>
        <v>5.49</v>
      </c>
      <c r="X45" s="19"/>
      <c r="Y45" s="21">
        <f t="shared" si="11"/>
        <v>0</v>
      </c>
      <c r="Z45" s="153">
        <f t="shared" si="47"/>
        <v>0</v>
      </c>
      <c r="AA45" s="19"/>
      <c r="AB45" s="54">
        <v>0.122</v>
      </c>
      <c r="AC45" s="152">
        <f t="shared" si="53"/>
        <v>5.49</v>
      </c>
      <c r="AD45" s="19"/>
      <c r="AE45" s="21">
        <f t="shared" si="12"/>
        <v>0</v>
      </c>
      <c r="AF45" s="153">
        <f t="shared" si="48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0.18*$G$7</f>
        <v>45</v>
      </c>
      <c r="G46" s="54">
        <v>0.18</v>
      </c>
      <c r="H46" s="152">
        <f t="shared" si="49"/>
        <v>8.1</v>
      </c>
      <c r="I46" s="19"/>
      <c r="J46" s="54">
        <f>+G46</f>
        <v>0.18</v>
      </c>
      <c r="K46" s="152">
        <f t="shared" si="50"/>
        <v>8.1</v>
      </c>
      <c r="L46" s="19"/>
      <c r="M46" s="21">
        <f t="shared" si="26"/>
        <v>0</v>
      </c>
      <c r="N46" s="153">
        <f t="shared" si="45"/>
        <v>0</v>
      </c>
      <c r="O46" s="212"/>
      <c r="P46" s="54">
        <v>0.161</v>
      </c>
      <c r="Q46" s="152">
        <f t="shared" si="51"/>
        <v>7.2450000000000001</v>
      </c>
      <c r="R46" s="19"/>
      <c r="S46" s="21">
        <f t="shared" si="10"/>
        <v>-0.85499999999999954</v>
      </c>
      <c r="T46" s="153">
        <f t="shared" si="46"/>
        <v>-0.1055555555555555</v>
      </c>
      <c r="U46" s="19"/>
      <c r="V46" s="54">
        <v>0.161</v>
      </c>
      <c r="W46" s="152">
        <f t="shared" si="52"/>
        <v>7.2450000000000001</v>
      </c>
      <c r="X46" s="19"/>
      <c r="Y46" s="21">
        <f t="shared" si="11"/>
        <v>0</v>
      </c>
      <c r="Z46" s="153">
        <f t="shared" si="47"/>
        <v>0</v>
      </c>
      <c r="AA46" s="19"/>
      <c r="AB46" s="54">
        <v>0.161</v>
      </c>
      <c r="AC46" s="152">
        <f t="shared" si="53"/>
        <v>7.2450000000000001</v>
      </c>
      <c r="AD46" s="19"/>
      <c r="AE46" s="21">
        <f t="shared" si="12"/>
        <v>0</v>
      </c>
      <c r="AF46" s="153">
        <f t="shared" si="48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250</v>
      </c>
      <c r="G47" s="54">
        <v>0.10299999999999999</v>
      </c>
      <c r="H47" s="152">
        <f t="shared" si="49"/>
        <v>25.75</v>
      </c>
      <c r="I47" s="59"/>
      <c r="J47" s="54">
        <f>+G47</f>
        <v>0.10299999999999999</v>
      </c>
      <c r="K47" s="152">
        <f t="shared" si="50"/>
        <v>25.75</v>
      </c>
      <c r="L47" s="59"/>
      <c r="M47" s="60">
        <f t="shared" si="26"/>
        <v>0</v>
      </c>
      <c r="N47" s="153">
        <f>IF((H47)=FALSE,"",(M47/H47))</f>
        <v>0</v>
      </c>
      <c r="O47" s="212"/>
      <c r="P47" s="54">
        <v>9.4E-2</v>
      </c>
      <c r="Q47" s="152">
        <f t="shared" si="51"/>
        <v>23.5</v>
      </c>
      <c r="R47" s="59"/>
      <c r="S47" s="60">
        <f t="shared" si="10"/>
        <v>-2.25</v>
      </c>
      <c r="T47" s="153">
        <f>IF((K47)=FALSE,"",(S47/K47))</f>
        <v>-8.7378640776699032E-2</v>
      </c>
      <c r="U47" s="59"/>
      <c r="V47" s="54">
        <v>9.4E-2</v>
      </c>
      <c r="W47" s="152">
        <f t="shared" si="52"/>
        <v>23.5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53"/>
        <v>23.5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0.121</v>
      </c>
      <c r="H48" s="152">
        <f t="shared" si="49"/>
        <v>0</v>
      </c>
      <c r="I48" s="59"/>
      <c r="J48" s="54">
        <f>+G48</f>
        <v>0.121</v>
      </c>
      <c r="K48" s="152">
        <f t="shared" si="50"/>
        <v>0</v>
      </c>
      <c r="L48" s="59"/>
      <c r="M48" s="60">
        <f t="shared" si="26"/>
        <v>0</v>
      </c>
      <c r="N48" s="207" t="str">
        <f>IFERROR(IF((H48)=FALSE,"",(M48/H48)),"n/a")</f>
        <v>n/a</v>
      </c>
      <c r="O48" s="212"/>
      <c r="P48" s="54">
        <v>0.11</v>
      </c>
      <c r="Q48" s="152">
        <f t="shared" si="51"/>
        <v>0</v>
      </c>
      <c r="R48" s="59"/>
      <c r="S48" s="60">
        <f t="shared" si="10"/>
        <v>0</v>
      </c>
      <c r="T48" s="153" t="e">
        <f>IF((K48)=FALSE,"",(S48/K48))</f>
        <v>#DIV/0!</v>
      </c>
      <c r="U48" s="59"/>
      <c r="V48" s="54">
        <v>0.11</v>
      </c>
      <c r="W48" s="152">
        <f t="shared" si="52"/>
        <v>0</v>
      </c>
      <c r="X48" s="59"/>
      <c r="Y48" s="60">
        <f t="shared" si="11"/>
        <v>0</v>
      </c>
      <c r="Z48" s="153" t="e">
        <f>IF((Q48)=FALSE,"",(Y48/Q48))</f>
        <v>#DIV/0!</v>
      </c>
      <c r="AA48" s="59"/>
      <c r="AB48" s="54">
        <v>0.11</v>
      </c>
      <c r="AC48" s="152">
        <f t="shared" si="53"/>
        <v>0</v>
      </c>
      <c r="AD48" s="59"/>
      <c r="AE48" s="60">
        <f t="shared" si="12"/>
        <v>0</v>
      </c>
      <c r="AF48" s="153" t="e">
        <f>IF((W48)=FALSE,"",(AE48/W48))</f>
        <v>#DIV/0!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48.283801009840289</v>
      </c>
      <c r="I50" s="75"/>
      <c r="J50" s="72"/>
      <c r="K50" s="74">
        <f>SUM(K40:K46,K39)</f>
        <v>47.225601400000002</v>
      </c>
      <c r="L50" s="75"/>
      <c r="M50" s="76">
        <f t="shared" si="26"/>
        <v>-1.0581996098402868</v>
      </c>
      <c r="N50" s="77">
        <f>IF((H50)=0,"",(M50/H50))</f>
        <v>-2.1916244945683224E-2</v>
      </c>
      <c r="O50" s="212"/>
      <c r="P50" s="72"/>
      <c r="Q50" s="74">
        <f>SUM(Q40:Q46,Q39)</f>
        <v>44.800601400000005</v>
      </c>
      <c r="R50" s="75"/>
      <c r="S50" s="76">
        <f t="shared" si="10"/>
        <v>-2.4249999999999972</v>
      </c>
      <c r="T50" s="77">
        <f>IF((K50)=0,"",(S50/K50))</f>
        <v>-5.1349266671276247E-2</v>
      </c>
      <c r="U50" s="75"/>
      <c r="V50" s="72"/>
      <c r="W50" s="74">
        <f>SUM(W40:W46,W39)</f>
        <v>45.080601400000006</v>
      </c>
      <c r="X50" s="75"/>
      <c r="Y50" s="76">
        <f t="shared" si="11"/>
        <v>0.28000000000000114</v>
      </c>
      <c r="Z50" s="77">
        <f>IF((Q50)=0,"",(Y50/Q50))</f>
        <v>6.2499161004566581E-3</v>
      </c>
      <c r="AA50" s="75"/>
      <c r="AB50" s="72"/>
      <c r="AC50" s="74">
        <f>SUM(AC40:AC46,AC39)</f>
        <v>45.355601400000012</v>
      </c>
      <c r="AD50" s="75"/>
      <c r="AE50" s="76">
        <f t="shared" si="12"/>
        <v>0.27500000000000568</v>
      </c>
      <c r="AF50" s="77">
        <f>IF((W50)=0,"",(AE50/W50))</f>
        <v>6.100184812530155E-3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6.2768941312792377</v>
      </c>
      <c r="I51" s="81"/>
      <c r="J51" s="79">
        <v>0.13</v>
      </c>
      <c r="K51" s="82">
        <f>K50*J51</f>
        <v>6.1393281820000007</v>
      </c>
      <c r="L51" s="81"/>
      <c r="M51" s="83">
        <f t="shared" si="26"/>
        <v>-0.13756594927923693</v>
      </c>
      <c r="N51" s="84">
        <f>IF((H51)=0,"",(M51/H51))</f>
        <v>-2.1916244945683169E-2</v>
      </c>
      <c r="O51" s="212"/>
      <c r="P51" s="79">
        <v>0.13</v>
      </c>
      <c r="Q51" s="82">
        <f>Q50*P51</f>
        <v>5.8240781820000009</v>
      </c>
      <c r="R51" s="81"/>
      <c r="S51" s="83">
        <f t="shared" si="10"/>
        <v>-0.31524999999999981</v>
      </c>
      <c r="T51" s="84">
        <f>IF((K51)=0,"",(S51/K51))</f>
        <v>-5.1349266671276275E-2</v>
      </c>
      <c r="U51" s="81"/>
      <c r="V51" s="79">
        <v>0.13</v>
      </c>
      <c r="W51" s="82">
        <f>W50*V51</f>
        <v>5.8604781820000014</v>
      </c>
      <c r="X51" s="81"/>
      <c r="Y51" s="83">
        <f t="shared" si="11"/>
        <v>3.6400000000000432E-2</v>
      </c>
      <c r="Z51" s="84">
        <f>IF((Q51)=0,"",(Y51/Q51))</f>
        <v>6.2499161004567066E-3</v>
      </c>
      <c r="AA51" s="81"/>
      <c r="AB51" s="79">
        <v>0.13</v>
      </c>
      <c r="AC51" s="82">
        <f>AC50*AB51</f>
        <v>5.8962281820000015</v>
      </c>
      <c r="AD51" s="81"/>
      <c r="AE51" s="83">
        <f t="shared" si="12"/>
        <v>3.5750000000000171E-2</v>
      </c>
      <c r="AF51" s="84">
        <f>IF((W51)=0,"",(AE51/W51))</f>
        <v>6.1001848125300578E-3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54.560695141119524</v>
      </c>
      <c r="I52" s="81"/>
      <c r="J52" s="86"/>
      <c r="K52" s="82">
        <f>K50+K51</f>
        <v>53.364929582000002</v>
      </c>
      <c r="L52" s="81"/>
      <c r="M52" s="83">
        <f t="shared" si="26"/>
        <v>-1.195765559119522</v>
      </c>
      <c r="N52" s="84">
        <f>IF((H52)=0,"",(M52/H52))</f>
        <v>-2.1916244945683186E-2</v>
      </c>
      <c r="O52" s="212"/>
      <c r="P52" s="86"/>
      <c r="Q52" s="82">
        <f>Q50+Q51</f>
        <v>50.624679582000006</v>
      </c>
      <c r="R52" s="81"/>
      <c r="S52" s="83">
        <f t="shared" si="10"/>
        <v>-2.7402499999999961</v>
      </c>
      <c r="T52" s="84">
        <f>IF((K52)=0,"",(S52/K52))</f>
        <v>-5.1349266671276241E-2</v>
      </c>
      <c r="U52" s="81"/>
      <c r="V52" s="86"/>
      <c r="W52" s="82">
        <f>W50+W51</f>
        <v>50.941079582000008</v>
      </c>
      <c r="X52" s="81"/>
      <c r="Y52" s="83">
        <f t="shared" si="11"/>
        <v>0.31640000000000157</v>
      </c>
      <c r="Z52" s="84">
        <f>IF((Q52)=0,"",(Y52/Q52))</f>
        <v>6.2499161004566641E-3</v>
      </c>
      <c r="AA52" s="81"/>
      <c r="AB52" s="86"/>
      <c r="AC52" s="82">
        <f>AC50+AC51</f>
        <v>51.251829582000013</v>
      </c>
      <c r="AD52" s="81"/>
      <c r="AE52" s="83">
        <f t="shared" si="12"/>
        <v>0.31075000000000585</v>
      </c>
      <c r="AF52" s="84">
        <f>IF((W52)=0,"",(AE52/W52))</f>
        <v>6.1001848125301437E-3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26"/>
        <v>0</v>
      </c>
      <c r="N53" s="89" t="str">
        <f>IF((H53)=0,"",(M53/H53))</f>
        <v/>
      </c>
      <c r="O53" s="212"/>
      <c r="P53" s="86"/>
      <c r="Q53" s="87">
        <f>ROUND(-Q52*10%,2)</f>
        <v>-5.0599999999999996</v>
      </c>
      <c r="R53" s="81"/>
      <c r="S53" s="88">
        <f t="shared" si="10"/>
        <v>-5.0599999999999996</v>
      </c>
      <c r="T53" s="89" t="str">
        <f>IF((K53)=0,"",(S53/K53))</f>
        <v/>
      </c>
      <c r="U53" s="81"/>
      <c r="V53" s="86"/>
      <c r="W53" s="87">
        <f>ROUND(-W52*10%,2)</f>
        <v>-5.09</v>
      </c>
      <c r="X53" s="81"/>
      <c r="Y53" s="88">
        <f t="shared" si="11"/>
        <v>-3.0000000000000249E-2</v>
      </c>
      <c r="Z53" s="89">
        <f>IF((Q53)=0,"",(Y53/Q53))</f>
        <v>5.9288537549407614E-3</v>
      </c>
      <c r="AA53" s="81"/>
      <c r="AB53" s="86"/>
      <c r="AC53" s="87">
        <f>ROUND(-AC52*10%,2)</f>
        <v>-5.13</v>
      </c>
      <c r="AD53" s="81"/>
      <c r="AE53" s="88">
        <f t="shared" si="12"/>
        <v>-4.0000000000000036E-2</v>
      </c>
      <c r="AF53" s="89">
        <f>IF((W53)=0,"",(AE53/W53))</f>
        <v>7.858546168958749E-3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54.560695141119524</v>
      </c>
      <c r="I54" s="92"/>
      <c r="J54" s="90"/>
      <c r="K54" s="93">
        <f>K52+K53</f>
        <v>53.364929582000002</v>
      </c>
      <c r="L54" s="92"/>
      <c r="M54" s="94">
        <f t="shared" si="26"/>
        <v>-1.195765559119522</v>
      </c>
      <c r="N54" s="95">
        <f>IF((H54)=0,"",(M54/H54))</f>
        <v>-2.1916244945683186E-2</v>
      </c>
      <c r="O54" s="212"/>
      <c r="P54" s="90"/>
      <c r="Q54" s="93">
        <f>Q52+Q53</f>
        <v>45.564679582000004</v>
      </c>
      <c r="R54" s="92"/>
      <c r="S54" s="94">
        <f t="shared" si="10"/>
        <v>-7.8002499999999984</v>
      </c>
      <c r="T54" s="95">
        <f>IF((K54)=0,"",(S54/K54))</f>
        <v>-0.14616809318588558</v>
      </c>
      <c r="U54" s="92"/>
      <c r="V54" s="90"/>
      <c r="W54" s="93">
        <f>W52+W53</f>
        <v>45.851079582000011</v>
      </c>
      <c r="X54" s="92"/>
      <c r="Y54" s="94">
        <f t="shared" si="11"/>
        <v>0.28640000000000754</v>
      </c>
      <c r="Z54" s="95">
        <f>IF((Q54)=0,"",(Y54/Q54))</f>
        <v>6.2855703722132124E-3</v>
      </c>
      <c r="AA54" s="92"/>
      <c r="AB54" s="90"/>
      <c r="AC54" s="93">
        <f>AC52+AC53</f>
        <v>46.121829582000011</v>
      </c>
      <c r="AD54" s="92"/>
      <c r="AE54" s="94">
        <f t="shared" si="12"/>
        <v>0.2707499999999996</v>
      </c>
      <c r="AF54" s="95">
        <f>IF((W54)=0,"",(AE54/W54))</f>
        <v>5.9049863704035725E-3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46.073801009840288</v>
      </c>
      <c r="I56" s="106"/>
      <c r="J56" s="103"/>
      <c r="K56" s="105">
        <f>SUM(K47:K48,K39,K40:K43)</f>
        <v>45.015601400000008</v>
      </c>
      <c r="L56" s="106"/>
      <c r="M56" s="107">
        <f t="shared" si="26"/>
        <v>-1.0581996098402797</v>
      </c>
      <c r="N56" s="77">
        <f>IF((H56)=0,"",(M56/H56))</f>
        <v>-2.2967490995897493E-2</v>
      </c>
      <c r="O56" s="212"/>
      <c r="P56" s="103"/>
      <c r="Q56" s="105">
        <f>SUM(Q47:Q48,Q39,Q40:Q43)</f>
        <v>42.765601400000008</v>
      </c>
      <c r="R56" s="106"/>
      <c r="S56" s="107">
        <f t="shared" si="10"/>
        <v>-2.25</v>
      </c>
      <c r="T56" s="77">
        <f>IF((K56)=0,"",(S56/K56))</f>
        <v>-4.9982671118995639E-2</v>
      </c>
      <c r="U56" s="106"/>
      <c r="V56" s="103"/>
      <c r="W56" s="105">
        <f>SUM(W47:W48,W39,W40:W43)</f>
        <v>43.04560140000001</v>
      </c>
      <c r="X56" s="106"/>
      <c r="Y56" s="107">
        <f t="shared" si="11"/>
        <v>0.28000000000000114</v>
      </c>
      <c r="Z56" s="77">
        <f>IF((Q56)=0,"",(Y56/Q56))</f>
        <v>6.5473181911105101E-3</v>
      </c>
      <c r="AA56" s="106"/>
      <c r="AB56" s="103"/>
      <c r="AC56" s="105">
        <f>SUM(AC47:AC48,AC39,AC40:AC43)</f>
        <v>43.320601400000008</v>
      </c>
      <c r="AD56" s="106"/>
      <c r="AE56" s="107">
        <f t="shared" si="12"/>
        <v>0.27499999999999858</v>
      </c>
      <c r="AF56" s="77">
        <f>IF((W56)=0,"",(AE56/W56))</f>
        <v>6.3885737695837724E-3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5.9895941312792376</v>
      </c>
      <c r="I57" s="110"/>
      <c r="J57" s="109">
        <v>0.13</v>
      </c>
      <c r="K57" s="111">
        <f>K56*J57</f>
        <v>5.8520281820000015</v>
      </c>
      <c r="L57" s="110"/>
      <c r="M57" s="112">
        <f t="shared" si="26"/>
        <v>-0.13756594927923604</v>
      </c>
      <c r="N57" s="84">
        <f>IF((H57)=0,"",(M57/H57))</f>
        <v>-2.2967490995897441E-2</v>
      </c>
      <c r="O57" s="212"/>
      <c r="P57" s="109">
        <v>0.13</v>
      </c>
      <c r="Q57" s="111">
        <f>Q56*P57</f>
        <v>5.5595281820000011</v>
      </c>
      <c r="R57" s="110"/>
      <c r="S57" s="112">
        <f t="shared" si="10"/>
        <v>-0.29250000000000043</v>
      </c>
      <c r="T57" s="84">
        <f>IF((K57)=0,"",(S57/K57))</f>
        <v>-4.9982671118995708E-2</v>
      </c>
      <c r="U57" s="110"/>
      <c r="V57" s="109">
        <v>0.13</v>
      </c>
      <c r="W57" s="111">
        <f>W56*V57</f>
        <v>5.5959281820000015</v>
      </c>
      <c r="X57" s="110"/>
      <c r="Y57" s="112">
        <f t="shared" si="11"/>
        <v>3.6400000000000432E-2</v>
      </c>
      <c r="Z57" s="84">
        <f>IF((Q57)=0,"",(Y57/Q57))</f>
        <v>6.5473181911105604E-3</v>
      </c>
      <c r="AA57" s="110"/>
      <c r="AB57" s="109">
        <v>0.13</v>
      </c>
      <c r="AC57" s="111">
        <f>AC56*AB57</f>
        <v>5.6316781820000008</v>
      </c>
      <c r="AD57" s="110"/>
      <c r="AE57" s="112">
        <f t="shared" si="12"/>
        <v>3.5749999999999282E-2</v>
      </c>
      <c r="AF57" s="84">
        <f>IF((W57)=0,"",(AE57/W57))</f>
        <v>6.388573769583677E-3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52.063395141119528</v>
      </c>
      <c r="I58" s="110"/>
      <c r="J58" s="114"/>
      <c r="K58" s="111">
        <f>K56+K57</f>
        <v>50.867629582000006</v>
      </c>
      <c r="L58" s="110"/>
      <c r="M58" s="112">
        <f t="shared" si="26"/>
        <v>-1.195765559119522</v>
      </c>
      <c r="N58" s="84">
        <f>IF((H58)=0,"",(M58/H58))</f>
        <v>-2.2967490995897608E-2</v>
      </c>
      <c r="O58" s="212"/>
      <c r="P58" s="114"/>
      <c r="Q58" s="111">
        <f>Q56+Q57</f>
        <v>48.32512958200001</v>
      </c>
      <c r="R58" s="110"/>
      <c r="S58" s="112">
        <f t="shared" si="10"/>
        <v>-2.5424999999999969</v>
      </c>
      <c r="T58" s="84">
        <f>IF((K58)=0,"",(S58/K58))</f>
        <v>-4.9982671118995577E-2</v>
      </c>
      <c r="U58" s="110"/>
      <c r="V58" s="114"/>
      <c r="W58" s="111">
        <f>W56+W57</f>
        <v>48.641529582000011</v>
      </c>
      <c r="X58" s="110"/>
      <c r="Y58" s="112">
        <f t="shared" si="11"/>
        <v>0.31640000000000157</v>
      </c>
      <c r="Z58" s="84">
        <f>IF((Q58)=0,"",(Y58/Q58))</f>
        <v>6.5473181911105153E-3</v>
      </c>
      <c r="AA58" s="110"/>
      <c r="AB58" s="114"/>
      <c r="AC58" s="111">
        <f>AC56+AC57</f>
        <v>48.95227958200001</v>
      </c>
      <c r="AD58" s="110"/>
      <c r="AE58" s="112">
        <f t="shared" si="12"/>
        <v>0.31074999999999875</v>
      </c>
      <c r="AF58" s="84">
        <f>IF((W58)=0,"",(AE58/W58))</f>
        <v>6.3885737695837802E-3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26"/>
        <v>0</v>
      </c>
      <c r="N59" s="89" t="str">
        <f>IF((H59)=0,"",(M59/H59))</f>
        <v/>
      </c>
      <c r="O59" s="212"/>
      <c r="P59" s="114"/>
      <c r="Q59" s="116">
        <f>ROUND(-Q58*10%,2)</f>
        <v>-4.83</v>
      </c>
      <c r="R59" s="110"/>
      <c r="S59" s="117">
        <f t="shared" si="10"/>
        <v>-4.83</v>
      </c>
      <c r="T59" s="89" t="str">
        <f>IF((K59)=0,"",(S59/K59))</f>
        <v/>
      </c>
      <c r="U59" s="110"/>
      <c r="V59" s="114"/>
      <c r="W59" s="116">
        <f>ROUND(-W58*10%,2)</f>
        <v>-4.8600000000000003</v>
      </c>
      <c r="X59" s="110"/>
      <c r="Y59" s="117">
        <f t="shared" si="11"/>
        <v>-3.0000000000000249E-2</v>
      </c>
      <c r="Z59" s="89">
        <f>IF((Q59)=0,"",(Y59/Q59))</f>
        <v>6.2111801242236541E-3</v>
      </c>
      <c r="AA59" s="110"/>
      <c r="AB59" s="114"/>
      <c r="AC59" s="116">
        <f>ROUND(-AC58*10%,2)</f>
        <v>-4.9000000000000004</v>
      </c>
      <c r="AD59" s="110"/>
      <c r="AE59" s="117">
        <f t="shared" si="12"/>
        <v>-4.0000000000000036E-2</v>
      </c>
      <c r="AF59" s="89">
        <f>IF((W59)=0,"",(AE59/W59))</f>
        <v>8.2304526748971252E-3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52.063395141119528</v>
      </c>
      <c r="I60" s="120"/>
      <c r="J60" s="118"/>
      <c r="K60" s="121">
        <f>SUM(K58:K59)</f>
        <v>50.867629582000006</v>
      </c>
      <c r="L60" s="120"/>
      <c r="M60" s="122">
        <f t="shared" si="26"/>
        <v>-1.195765559119522</v>
      </c>
      <c r="N60" s="123">
        <f>IF((H60)=0,"",(M60/H60))</f>
        <v>-2.2967490995897608E-2</v>
      </c>
      <c r="O60" s="212"/>
      <c r="P60" s="118"/>
      <c r="Q60" s="121">
        <f>SUM(Q58:Q59)</f>
        <v>43.495129582000011</v>
      </c>
      <c r="R60" s="120"/>
      <c r="S60" s="122">
        <f t="shared" si="10"/>
        <v>-7.3724999999999952</v>
      </c>
      <c r="T60" s="123">
        <f>IF((K60)=0,"",(S60/K60))</f>
        <v>-0.1449350020943147</v>
      </c>
      <c r="U60" s="120"/>
      <c r="V60" s="118"/>
      <c r="W60" s="121">
        <f>SUM(W58:W59)</f>
        <v>43.781529582000012</v>
      </c>
      <c r="X60" s="120"/>
      <c r="Y60" s="122">
        <f t="shared" si="11"/>
        <v>0.28640000000000043</v>
      </c>
      <c r="Z60" s="123">
        <f>IF((Q60)=0,"",(Y60/Q60))</f>
        <v>6.5846452867799705E-3</v>
      </c>
      <c r="AA60" s="120"/>
      <c r="AB60" s="118"/>
      <c r="AC60" s="121">
        <f>SUM(AC58:AC59)</f>
        <v>44.052279582000011</v>
      </c>
      <c r="AD60" s="120"/>
      <c r="AE60" s="122">
        <f t="shared" si="12"/>
        <v>0.2707499999999996</v>
      </c>
      <c r="AF60" s="123">
        <f>IF((W60)=0,"",(AE60/W60))</f>
        <v>6.1841146845475585E-3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3.0790000000000001E-2</v>
      </c>
      <c r="I63" s="142"/>
      <c r="J63" s="129">
        <v>3.0790000000000001E-2</v>
      </c>
      <c r="K63" s="142"/>
      <c r="L63" s="142"/>
      <c r="M63" s="142"/>
      <c r="N63" s="142"/>
      <c r="O63" s="142"/>
      <c r="P63" s="129">
        <v>3.0790000000000001E-2</v>
      </c>
      <c r="Q63" s="142"/>
      <c r="R63" s="142"/>
      <c r="S63" s="142"/>
      <c r="T63" s="142"/>
      <c r="U63" s="142"/>
      <c r="V63" s="129">
        <v>3.0790000000000001E-2</v>
      </c>
      <c r="W63" s="142"/>
      <c r="X63" s="142"/>
      <c r="Y63" s="142"/>
      <c r="Z63" s="142"/>
      <c r="AA63" s="142"/>
      <c r="AB63" s="129">
        <v>3.0790000000000001E-2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</dataValidations>
  <pageMargins left="0.75" right="0.75" top="1" bottom="1" header="0.5" footer="0.5"/>
  <pageSetup scale="58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theme="5"/>
    <pageSetUpPr fitToPage="1"/>
  </sheetPr>
  <dimension ref="A1:AP79"/>
  <sheetViews>
    <sheetView showGridLines="0" topLeftCell="A7" zoomScaleNormal="100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8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9.140625" style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68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500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8.44</v>
      </c>
      <c r="H12" s="18">
        <f t="shared" ref="H12:H27" si="0">$F12*G12</f>
        <v>8.44</v>
      </c>
      <c r="I12" s="19"/>
      <c r="J12" s="209">
        <v>8.4700000000000006</v>
      </c>
      <c r="K12" s="18">
        <f t="shared" ref="K12:K27" si="1">$F12*J12</f>
        <v>8.4700000000000006</v>
      </c>
      <c r="L12" s="19"/>
      <c r="M12" s="21">
        <f t="shared" ref="M12:M21" si="2">K12-H12</f>
        <v>3.0000000000001137E-2</v>
      </c>
      <c r="N12" s="22">
        <f t="shared" ref="N12:N21" si="3">IF((H12)=0,"",(M12/H12))</f>
        <v>3.5545023696683812E-3</v>
      </c>
      <c r="O12" s="212"/>
      <c r="P12" s="16">
        <v>8.4700000000000006</v>
      </c>
      <c r="Q12" s="18">
        <f t="shared" ref="Q12:Q27" si="4">$F12*P12</f>
        <v>8.4700000000000006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8.5</v>
      </c>
      <c r="W12" s="18">
        <f t="shared" ref="W12:W27" si="6">$F12*V12</f>
        <v>8.5</v>
      </c>
      <c r="X12" s="19"/>
      <c r="Y12" s="21">
        <f>W12-Q12</f>
        <v>2.9999999999999361E-2</v>
      </c>
      <c r="Z12" s="22">
        <f t="shared" ref="Z12:Z34" si="7">IF((Q12)=0,"",(Y12/Q12))</f>
        <v>3.5419126328216479E-3</v>
      </c>
      <c r="AA12" s="19"/>
      <c r="AB12" s="16">
        <v>8.6999999999999993</v>
      </c>
      <c r="AC12" s="18">
        <f t="shared" ref="AC12:AC27" si="8">$F12*AB12</f>
        <v>8.6999999999999993</v>
      </c>
      <c r="AD12" s="19"/>
      <c r="AE12" s="21">
        <f>AC12-W12</f>
        <v>0.19999999999999929</v>
      </c>
      <c r="AF12" s="22">
        <f t="shared" ref="AF12:AF34" si="9">IF((W12)=0,"",(AE12/W12))</f>
        <v>2.3529411764705799E-2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7"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500</v>
      </c>
      <c r="G19" s="16">
        <v>1.3100000000000001E-2</v>
      </c>
      <c r="H19" s="18">
        <f t="shared" si="0"/>
        <v>6.5500000000000007</v>
      </c>
      <c r="I19" s="19"/>
      <c r="J19" s="16">
        <v>1.32E-2</v>
      </c>
      <c r="K19" s="18">
        <f t="shared" si="1"/>
        <v>6.6</v>
      </c>
      <c r="L19" s="19"/>
      <c r="M19" s="21">
        <f t="shared" si="2"/>
        <v>4.9999999999998934E-2</v>
      </c>
      <c r="N19" s="22">
        <f t="shared" si="3"/>
        <v>7.6335877862593786E-3</v>
      </c>
      <c r="O19" s="212"/>
      <c r="P19" s="16">
        <v>1.32E-2</v>
      </c>
      <c r="Q19" s="18">
        <f t="shared" si="4"/>
        <v>6.6</v>
      </c>
      <c r="R19" s="19"/>
      <c r="S19" s="21">
        <f t="shared" si="10"/>
        <v>0</v>
      </c>
      <c r="T19" s="22">
        <f t="shared" si="5"/>
        <v>0</v>
      </c>
      <c r="U19" s="19"/>
      <c r="V19" s="16">
        <v>1.3299999999999999E-2</v>
      </c>
      <c r="W19" s="18">
        <f t="shared" si="6"/>
        <v>6.6499999999999995</v>
      </c>
      <c r="X19" s="19"/>
      <c r="Y19" s="21">
        <f t="shared" si="11"/>
        <v>4.9999999999999822E-2</v>
      </c>
      <c r="Z19" s="22">
        <f t="shared" si="7"/>
        <v>7.5757575757575491E-3</v>
      </c>
      <c r="AA19" s="19"/>
      <c r="AB19" s="16">
        <v>1.3599999999999999E-2</v>
      </c>
      <c r="AC19" s="18">
        <f t="shared" si="8"/>
        <v>6.8</v>
      </c>
      <c r="AD19" s="19"/>
      <c r="AE19" s="21">
        <f t="shared" si="12"/>
        <v>0.15000000000000036</v>
      </c>
      <c r="AF19" s="22">
        <f t="shared" si="9"/>
        <v>2.2556390977443663E-2</v>
      </c>
    </row>
    <row r="20" spans="2:32" ht="12.6" customHeight="1" x14ac:dyDescent="0.2">
      <c r="B20" s="14" t="s">
        <v>106</v>
      </c>
      <c r="C20" s="14"/>
      <c r="D20" s="15" t="s">
        <v>54</v>
      </c>
      <c r="E20" s="15"/>
      <c r="F20" s="17">
        <f t="shared" ref="F20" si="13">$G$7</f>
        <v>500</v>
      </c>
      <c r="G20" s="16"/>
      <c r="H20" s="18">
        <f t="shared" si="0"/>
        <v>0</v>
      </c>
      <c r="I20" s="19"/>
      <c r="J20" s="16">
        <v>0</v>
      </c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33" si="14">$G$7</f>
        <v>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14.99</v>
      </c>
      <c r="I28" s="31"/>
      <c r="J28" s="28"/>
      <c r="K28" s="30">
        <f>SUM(K12:K27)</f>
        <v>15.07</v>
      </c>
      <c r="L28" s="31"/>
      <c r="M28" s="32">
        <f t="shared" si="15"/>
        <v>8.0000000000000071E-2</v>
      </c>
      <c r="N28" s="33">
        <f t="shared" si="16"/>
        <v>5.3368912608405652E-3</v>
      </c>
      <c r="O28" s="212"/>
      <c r="P28" s="28"/>
      <c r="Q28" s="30">
        <f>SUM(Q12:Q27)</f>
        <v>15.07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15.149999999999999</v>
      </c>
      <c r="X28" s="31"/>
      <c r="Y28" s="32">
        <f t="shared" si="11"/>
        <v>7.9999999999998295E-2</v>
      </c>
      <c r="Z28" s="33">
        <f t="shared" si="7"/>
        <v>5.3085600530854869E-3</v>
      </c>
      <c r="AA28" s="31"/>
      <c r="AB28" s="28"/>
      <c r="AC28" s="30">
        <f>SUM(AC12:AC27)</f>
        <v>15.5</v>
      </c>
      <c r="AD28" s="31"/>
      <c r="AE28" s="32">
        <f t="shared" si="12"/>
        <v>0.35000000000000142</v>
      </c>
      <c r="AF28" s="33">
        <f t="shared" si="9"/>
        <v>2.3102310231023198E-2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500</v>
      </c>
      <c r="G29" s="16">
        <v>3.3879029409713071E-4</v>
      </c>
      <c r="H29" s="18">
        <f t="shared" ref="H29:H35" si="17">$F29*G29</f>
        <v>0.16939514704856534</v>
      </c>
      <c r="I29" s="19"/>
      <c r="J29" s="16">
        <v>-2.5000000000000001E-3</v>
      </c>
      <c r="K29" s="18">
        <f t="shared" ref="K29:K35" si="18">$F29*J29</f>
        <v>-1.25</v>
      </c>
      <c r="L29" s="19"/>
      <c r="M29" s="21">
        <f t="shared" si="15"/>
        <v>-1.4193951470485653</v>
      </c>
      <c r="N29" s="22">
        <f t="shared" si="16"/>
        <v>-8.3791960500593721</v>
      </c>
      <c r="O29" s="212"/>
      <c r="P29" s="16">
        <v>-2.5000000000000001E-3</v>
      </c>
      <c r="Q29" s="18">
        <f t="shared" ref="Q29:Q35" si="19">$F29*P29</f>
        <v>-1.25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1.25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54</v>
      </c>
      <c r="E30" s="15"/>
      <c r="F30" s="17">
        <f t="shared" ref="F30" si="22">$G$7</f>
        <v>500</v>
      </c>
      <c r="G30" s="16">
        <v>3.6835419973824286E-3</v>
      </c>
      <c r="H30" s="18">
        <f t="shared" si="17"/>
        <v>1.8417709986912143</v>
      </c>
      <c r="I30" s="19"/>
      <c r="J30" s="16">
        <v>1.6000000000000001E-3</v>
      </c>
      <c r="K30" s="18">
        <f t="shared" si="18"/>
        <v>0.8</v>
      </c>
      <c r="L30" s="19"/>
      <c r="M30" s="21">
        <f t="shared" si="15"/>
        <v>-1.0417709986912143</v>
      </c>
      <c r="N30" s="22">
        <f t="shared" si="16"/>
        <v>-0.5656354668585345</v>
      </c>
      <c r="O30" s="212"/>
      <c r="P30" s="16">
        <v>1.6000000000000001E-3</v>
      </c>
      <c r="Q30" s="18">
        <f t="shared" si="19"/>
        <v>0.8</v>
      </c>
      <c r="R30" s="19"/>
      <c r="S30" s="21">
        <f t="shared" si="10"/>
        <v>0</v>
      </c>
      <c r="T30" s="22">
        <f t="shared" si="5"/>
        <v>0</v>
      </c>
      <c r="U30" s="19"/>
      <c r="V30" s="16">
        <v>0</v>
      </c>
      <c r="W30" s="18">
        <f t="shared" si="20"/>
        <v>0</v>
      </c>
      <c r="X30" s="19"/>
      <c r="Y30" s="21">
        <f t="shared" si="11"/>
        <v>-0.8</v>
      </c>
      <c r="Z30" s="22">
        <f t="shared" si="7"/>
        <v>-1</v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si="14"/>
        <v>500</v>
      </c>
      <c r="G31" s="16">
        <v>0</v>
      </c>
      <c r="H31" s="18">
        <f>$F31*G31</f>
        <v>0</v>
      </c>
      <c r="I31" s="19"/>
      <c r="J31" s="16">
        <v>0</v>
      </c>
      <c r="K31" s="18">
        <f>$F31*J31</f>
        <v>0</v>
      </c>
      <c r="L31" s="19"/>
      <c r="M31" s="21">
        <f t="shared" si="15"/>
        <v>0</v>
      </c>
      <c r="N31" s="22" t="str">
        <f t="shared" si="16"/>
        <v/>
      </c>
      <c r="O31" s="212"/>
      <c r="P31" s="16">
        <v>0</v>
      </c>
      <c r="Q31" s="18">
        <f>$F31*P31</f>
        <v>0</v>
      </c>
      <c r="R31" s="19"/>
      <c r="S31" s="21">
        <f>Q31-K31</f>
        <v>0</v>
      </c>
      <c r="T31" s="22" t="str">
        <f>IF((K31)=0,"",(S31/K31))</f>
        <v/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</row>
    <row r="32" spans="2:32" ht="25.5" x14ac:dyDescent="0.2">
      <c r="B32" s="134" t="s">
        <v>17</v>
      </c>
      <c r="C32" s="14"/>
      <c r="D32" s="15" t="s">
        <v>54</v>
      </c>
      <c r="E32" s="15"/>
      <c r="F32" s="17">
        <f>$G$7</f>
        <v>500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212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14"/>
        <v>500</v>
      </c>
      <c r="G33" s="133">
        <v>6.0000000000000002E-5</v>
      </c>
      <c r="H33" s="18">
        <f t="shared" si="17"/>
        <v>3.0000000000000002E-2</v>
      </c>
      <c r="I33" s="19"/>
      <c r="J33" s="133">
        <v>6.0000000000000002E-5</v>
      </c>
      <c r="K33" s="18">
        <f t="shared" si="18"/>
        <v>3.0000000000000002E-2</v>
      </c>
      <c r="L33" s="19"/>
      <c r="M33" s="21">
        <f t="shared" si="15"/>
        <v>0</v>
      </c>
      <c r="N33" s="22">
        <f t="shared" si="16"/>
        <v>0</v>
      </c>
      <c r="O33" s="212"/>
      <c r="P33" s="133">
        <v>6.0000000000000002E-5</v>
      </c>
      <c r="Q33" s="18">
        <f t="shared" si="19"/>
        <v>3.0000000000000002E-2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6.0000000000000002E-5</v>
      </c>
      <c r="W33" s="18">
        <f t="shared" si="20"/>
        <v>3.0000000000000002E-2</v>
      </c>
      <c r="X33" s="19"/>
      <c r="Y33" s="21">
        <f t="shared" si="11"/>
        <v>0</v>
      </c>
      <c r="Z33" s="22">
        <f t="shared" si="7"/>
        <v>0</v>
      </c>
      <c r="AA33" s="19"/>
      <c r="AB33" s="133">
        <v>6.0000000000000002E-5</v>
      </c>
      <c r="AC33" s="18">
        <f t="shared" si="21"/>
        <v>3.0000000000000002E-2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15.395000000000095</v>
      </c>
      <c r="G34" s="38">
        <f>0.64*$G$44+0.18*$G$45+0.18*$G$46</f>
        <v>0.11183999999999999</v>
      </c>
      <c r="H34" s="18">
        <f t="shared" si="17"/>
        <v>1.7217768000000107</v>
      </c>
      <c r="I34" s="19"/>
      <c r="J34" s="38">
        <f>0.64*$G$44+0.18*$G$45+0.18*$G$46</f>
        <v>0.11183999999999999</v>
      </c>
      <c r="K34" s="18">
        <f t="shared" si="18"/>
        <v>1.7217768000000107</v>
      </c>
      <c r="L34" s="19"/>
      <c r="M34" s="21">
        <f t="shared" si="15"/>
        <v>0</v>
      </c>
      <c r="N34" s="22">
        <f t="shared" si="16"/>
        <v>0</v>
      </c>
      <c r="O34" s="212"/>
      <c r="P34" s="38">
        <f>0.64*$G$44+0.18*$G$45+0.18*$G$46</f>
        <v>0.11183999999999999</v>
      </c>
      <c r="Q34" s="18">
        <f t="shared" si="19"/>
        <v>1.7217768000000107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0.11183999999999999</v>
      </c>
      <c r="W34" s="18">
        <f t="shared" si="20"/>
        <v>1.7217768000000107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0.11183999999999999</v>
      </c>
      <c r="AC34" s="18">
        <f t="shared" si="21"/>
        <v>1.7217768000000107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212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18.75294294573979</v>
      </c>
      <c r="I36" s="31"/>
      <c r="J36" s="41"/>
      <c r="K36" s="43">
        <f>SUM(K29:K35)+K28</f>
        <v>16.37177680000001</v>
      </c>
      <c r="L36" s="31"/>
      <c r="M36" s="32">
        <f t="shared" si="15"/>
        <v>-2.3811661457397797</v>
      </c>
      <c r="N36" s="33">
        <f t="shared" ref="N36:N42" si="27">IF((H36)=0,"",(M36/H36))</f>
        <v>-0.12697559805037015</v>
      </c>
      <c r="O36" s="212"/>
      <c r="P36" s="41"/>
      <c r="Q36" s="43">
        <f>SUM(Q29:Q35)+Q28</f>
        <v>16.37177680000001</v>
      </c>
      <c r="R36" s="31"/>
      <c r="S36" s="32">
        <f t="shared" si="10"/>
        <v>0</v>
      </c>
      <c r="T36" s="33">
        <f t="shared" ref="T36:T42" si="28">IF((K36)=0,"",(S36/K36))</f>
        <v>0</v>
      </c>
      <c r="U36" s="31"/>
      <c r="V36" s="41"/>
      <c r="W36" s="43">
        <f>SUM(W29:W35)+W28</f>
        <v>16.901776800000007</v>
      </c>
      <c r="X36" s="31"/>
      <c r="Y36" s="32">
        <f t="shared" si="11"/>
        <v>0.52999999999999758</v>
      </c>
      <c r="Z36" s="33">
        <f t="shared" ref="Z36:Z42" si="29">IF((Q36)=0,"",(Y36/Q36))</f>
        <v>3.2372784363881461E-2</v>
      </c>
      <c r="AA36" s="31"/>
      <c r="AB36" s="41"/>
      <c r="AC36" s="43">
        <f>SUM(AC29:AC35)+AC28</f>
        <v>17.251776800000009</v>
      </c>
      <c r="AD36" s="31"/>
      <c r="AE36" s="32">
        <f t="shared" si="12"/>
        <v>0.35000000000000142</v>
      </c>
      <c r="AF36" s="33">
        <f t="shared" ref="AF36:AF46" si="30">IF((W36)=0,"",(AE36/W36))</f>
        <v>2.0707882025752539E-2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515.3950000000001</v>
      </c>
      <c r="G37" s="20">
        <v>6.9089021858936049E-3</v>
      </c>
      <c r="H37" s="18">
        <f>$F37*G37</f>
        <v>3.5608136420986352</v>
      </c>
      <c r="I37" s="19"/>
      <c r="J37" s="20">
        <v>6.6E-3</v>
      </c>
      <c r="K37" s="18">
        <f>$F37*J37</f>
        <v>3.4016070000000007</v>
      </c>
      <c r="L37" s="19"/>
      <c r="M37" s="21">
        <f t="shared" si="15"/>
        <v>-0.15920664209863444</v>
      </c>
      <c r="N37" s="22">
        <f t="shared" si="27"/>
        <v>-4.4710748188664794E-2</v>
      </c>
      <c r="O37" s="212"/>
      <c r="P37" s="20">
        <v>6.6E-3</v>
      </c>
      <c r="Q37" s="18">
        <f>$F37*P37</f>
        <v>3.4016070000000007</v>
      </c>
      <c r="R37" s="19"/>
      <c r="S37" s="21">
        <f t="shared" si="10"/>
        <v>0</v>
      </c>
      <c r="T37" s="22">
        <f t="shared" si="28"/>
        <v>0</v>
      </c>
      <c r="U37" s="19"/>
      <c r="V37" s="20">
        <v>6.6E-3</v>
      </c>
      <c r="W37" s="18">
        <f>$F37*V37</f>
        <v>3.4016070000000007</v>
      </c>
      <c r="X37" s="19"/>
      <c r="Y37" s="21">
        <f t="shared" si="11"/>
        <v>0</v>
      </c>
      <c r="Z37" s="22">
        <f t="shared" si="29"/>
        <v>0</v>
      </c>
      <c r="AA37" s="19"/>
      <c r="AB37" s="20">
        <v>6.6E-3</v>
      </c>
      <c r="AC37" s="18">
        <f>$F37*AB37</f>
        <v>3.4016070000000007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515.3950000000001</v>
      </c>
      <c r="G38" s="20">
        <v>5.4355890760332311E-3</v>
      </c>
      <c r="H38" s="18">
        <f>$F38*G38</f>
        <v>2.8014754318421478</v>
      </c>
      <c r="I38" s="19"/>
      <c r="J38" s="20">
        <v>5.4000000000000003E-3</v>
      </c>
      <c r="K38" s="18">
        <f>$F38*J38</f>
        <v>2.7831330000000007</v>
      </c>
      <c r="L38" s="19"/>
      <c r="M38" s="21">
        <f t="shared" si="15"/>
        <v>-1.8342431842147011E-2</v>
      </c>
      <c r="N38" s="22">
        <f t="shared" si="27"/>
        <v>-6.547418418760039E-3</v>
      </c>
      <c r="O38" s="212"/>
      <c r="P38" s="20">
        <v>5.4000000000000003E-3</v>
      </c>
      <c r="Q38" s="18">
        <f>$F38*P38</f>
        <v>2.7831330000000007</v>
      </c>
      <c r="R38" s="19"/>
      <c r="S38" s="21">
        <f t="shared" si="10"/>
        <v>0</v>
      </c>
      <c r="T38" s="22">
        <f t="shared" si="28"/>
        <v>0</v>
      </c>
      <c r="U38" s="19"/>
      <c r="V38" s="20">
        <v>5.4000000000000003E-3</v>
      </c>
      <c r="W38" s="18">
        <f>$F38*V38</f>
        <v>2.7831330000000007</v>
      </c>
      <c r="X38" s="19"/>
      <c r="Y38" s="21">
        <f t="shared" si="11"/>
        <v>0</v>
      </c>
      <c r="Z38" s="22">
        <f t="shared" si="29"/>
        <v>0</v>
      </c>
      <c r="AA38" s="19"/>
      <c r="AB38" s="20">
        <v>5.4000000000000003E-3</v>
      </c>
      <c r="AC38" s="18">
        <f>$F38*AB38</f>
        <v>2.7831330000000007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25.115232019680576</v>
      </c>
      <c r="I39" s="48"/>
      <c r="J39" s="47"/>
      <c r="K39" s="43">
        <f>SUM(K36:K38)</f>
        <v>22.556516800000011</v>
      </c>
      <c r="L39" s="48"/>
      <c r="M39" s="32">
        <f t="shared" si="15"/>
        <v>-2.5587152196805647</v>
      </c>
      <c r="N39" s="33">
        <f t="shared" si="27"/>
        <v>-0.10187901977873534</v>
      </c>
      <c r="O39" s="212"/>
      <c r="P39" s="47"/>
      <c r="Q39" s="43">
        <f>SUM(Q36:Q38)</f>
        <v>22.556516800000011</v>
      </c>
      <c r="R39" s="48"/>
      <c r="S39" s="32">
        <f t="shared" si="10"/>
        <v>0</v>
      </c>
      <c r="T39" s="33">
        <f t="shared" si="28"/>
        <v>0</v>
      </c>
      <c r="U39" s="48"/>
      <c r="V39" s="47"/>
      <c r="W39" s="43">
        <f>SUM(W36:W38)</f>
        <v>23.086516800000009</v>
      </c>
      <c r="X39" s="48"/>
      <c r="Y39" s="32">
        <f t="shared" si="11"/>
        <v>0.52999999999999758</v>
      </c>
      <c r="Z39" s="33">
        <f t="shared" si="29"/>
        <v>2.34965355998581E-2</v>
      </c>
      <c r="AA39" s="48"/>
      <c r="AB39" s="47"/>
      <c r="AC39" s="43">
        <f>SUM(AC36:AC38)</f>
        <v>23.43651680000001</v>
      </c>
      <c r="AD39" s="48"/>
      <c r="AE39" s="32">
        <f t="shared" si="12"/>
        <v>0.35000000000000142</v>
      </c>
      <c r="AF39" s="33">
        <f t="shared" si="30"/>
        <v>1.516036407882896E-2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515.3950000000001</v>
      </c>
      <c r="G40" s="50">
        <v>4.7000000000000002E-3</v>
      </c>
      <c r="H40" s="152">
        <f t="shared" ref="H40:H42" si="31">$F40*G40</f>
        <v>2.4223565000000007</v>
      </c>
      <c r="I40" s="19"/>
      <c r="J40" s="50">
        <v>4.7000000000000002E-3</v>
      </c>
      <c r="K40" s="152">
        <f t="shared" ref="K40:K42" si="32">$F40*J40</f>
        <v>2.4223565000000007</v>
      </c>
      <c r="L40" s="19"/>
      <c r="M40" s="21">
        <f t="shared" si="15"/>
        <v>0</v>
      </c>
      <c r="N40" s="153">
        <f t="shared" si="27"/>
        <v>0</v>
      </c>
      <c r="O40" s="212"/>
      <c r="P40" s="50">
        <v>4.7000000000000002E-3</v>
      </c>
      <c r="Q40" s="152">
        <f t="shared" ref="Q40:Q42" si="33">$F40*P40</f>
        <v>2.4223565000000007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2" si="34">$F40*V40</f>
        <v>2.4223565000000007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2.4223565000000007</v>
      </c>
      <c r="AD40" s="19"/>
      <c r="AE40" s="21">
        <f t="shared" si="12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515.3950000000001</v>
      </c>
      <c r="G41" s="50">
        <v>1.2999999999999999E-3</v>
      </c>
      <c r="H41" s="152">
        <f t="shared" si="31"/>
        <v>0.67001350000000004</v>
      </c>
      <c r="I41" s="19"/>
      <c r="J41" s="50">
        <v>2.0999999999999999E-3</v>
      </c>
      <c r="K41" s="152">
        <f t="shared" si="32"/>
        <v>1.0823295000000002</v>
      </c>
      <c r="L41" s="19"/>
      <c r="M41" s="21">
        <f t="shared" si="15"/>
        <v>0.41231600000000013</v>
      </c>
      <c r="N41" s="153">
        <f t="shared" si="27"/>
        <v>0.61538461538461553</v>
      </c>
      <c r="O41" s="212"/>
      <c r="P41" s="50">
        <v>2.0999999999999999E-3</v>
      </c>
      <c r="Q41" s="152">
        <f t="shared" si="33"/>
        <v>1.0823295000000002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1.0823295000000002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1.0823295000000002</v>
      </c>
      <c r="AD41" s="19"/>
      <c r="AE41" s="21">
        <f t="shared" si="12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15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2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500</v>
      </c>
      <c r="G43" s="50">
        <v>7.0000000000000001E-3</v>
      </c>
      <c r="H43" s="152">
        <f t="shared" ref="H43:H48" si="36">$F43*G43</f>
        <v>3.5</v>
      </c>
      <c r="I43" s="19"/>
      <c r="J43" s="50">
        <v>7.0000000000000001E-3</v>
      </c>
      <c r="K43" s="152">
        <f t="shared" ref="K43:K48" si="37">$F43*J43</f>
        <v>3.5</v>
      </c>
      <c r="L43" s="19"/>
      <c r="M43" s="21">
        <f t="shared" ref="M43:M60" si="38">K43-H43</f>
        <v>0</v>
      </c>
      <c r="N43" s="153">
        <f t="shared" ref="N43:N46" si="39">IF((H43)=0,"",(M43/H43))</f>
        <v>0</v>
      </c>
      <c r="O43" s="212"/>
      <c r="P43" s="50">
        <v>7.0000000000000001E-3</v>
      </c>
      <c r="Q43" s="152">
        <f t="shared" ref="Q43:Q48" si="40">$F43*P43</f>
        <v>3.5</v>
      </c>
      <c r="R43" s="19"/>
      <c r="S43" s="21">
        <f t="shared" ref="S43:S60" si="41">Q43-K43</f>
        <v>0</v>
      </c>
      <c r="T43" s="153">
        <f t="shared" ref="T43:T46" si="42">IF((K43)=0,"",(S43/K43))</f>
        <v>0</v>
      </c>
      <c r="U43" s="19"/>
      <c r="V43" s="50">
        <v>7.0000000000000001E-3</v>
      </c>
      <c r="W43" s="152">
        <f t="shared" ref="W43:W48" si="43">$F43*V43</f>
        <v>3.5</v>
      </c>
      <c r="X43" s="19"/>
      <c r="Y43" s="21">
        <f t="shared" ref="Y43:Y60" si="44">W43-Q43</f>
        <v>0</v>
      </c>
      <c r="Z43" s="153">
        <f t="shared" ref="Z43:Z46" si="45">IF((Q43)=0,"",(Y43/Q43))</f>
        <v>0</v>
      </c>
      <c r="AA43" s="19"/>
      <c r="AB43" s="50">
        <v>7.0000000000000001E-3</v>
      </c>
      <c r="AC43" s="152">
        <f t="shared" si="35"/>
        <v>3.5</v>
      </c>
      <c r="AD43" s="19"/>
      <c r="AE43" s="21">
        <f t="shared" si="12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320</v>
      </c>
      <c r="G44" s="54">
        <v>8.6999999999999994E-2</v>
      </c>
      <c r="H44" s="152">
        <f t="shared" si="36"/>
        <v>27.839999999999996</v>
      </c>
      <c r="I44" s="19"/>
      <c r="J44" s="54">
        <f>+G44</f>
        <v>8.6999999999999994E-2</v>
      </c>
      <c r="K44" s="152">
        <f t="shared" si="37"/>
        <v>27.839999999999996</v>
      </c>
      <c r="L44" s="19"/>
      <c r="M44" s="21">
        <f t="shared" si="38"/>
        <v>0</v>
      </c>
      <c r="N44" s="153">
        <f t="shared" si="39"/>
        <v>0</v>
      </c>
      <c r="O44" s="212"/>
      <c r="P44" s="54">
        <v>0.08</v>
      </c>
      <c r="Q44" s="152">
        <f t="shared" si="40"/>
        <v>25.6</v>
      </c>
      <c r="R44" s="19"/>
      <c r="S44" s="21">
        <f t="shared" si="41"/>
        <v>-2.2399999999999949</v>
      </c>
      <c r="T44" s="153">
        <f t="shared" si="42"/>
        <v>-8.0459770114942361E-2</v>
      </c>
      <c r="U44" s="19"/>
      <c r="V44" s="54">
        <v>0.08</v>
      </c>
      <c r="W44" s="152">
        <f t="shared" si="43"/>
        <v>25.6</v>
      </c>
      <c r="X44" s="19"/>
      <c r="Y44" s="21">
        <f t="shared" si="44"/>
        <v>0</v>
      </c>
      <c r="Z44" s="153">
        <f t="shared" si="45"/>
        <v>0</v>
      </c>
      <c r="AA44" s="19"/>
      <c r="AB44" s="54">
        <v>0.08</v>
      </c>
      <c r="AC44" s="152">
        <f t="shared" si="35"/>
        <v>25.6</v>
      </c>
      <c r="AD44" s="19"/>
      <c r="AE44" s="21">
        <f t="shared" si="12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90</v>
      </c>
      <c r="G45" s="54">
        <v>0.13200000000000001</v>
      </c>
      <c r="H45" s="152">
        <f t="shared" si="36"/>
        <v>11.88</v>
      </c>
      <c r="I45" s="19"/>
      <c r="J45" s="54">
        <f>+G45</f>
        <v>0.13200000000000001</v>
      </c>
      <c r="K45" s="152">
        <f t="shared" si="37"/>
        <v>11.88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10.98</v>
      </c>
      <c r="R45" s="19"/>
      <c r="S45" s="21">
        <f t="shared" si="41"/>
        <v>-0.90000000000000036</v>
      </c>
      <c r="T45" s="153">
        <f t="shared" si="42"/>
        <v>-7.5757575757575787E-2</v>
      </c>
      <c r="U45" s="19"/>
      <c r="V45" s="54">
        <v>0.122</v>
      </c>
      <c r="W45" s="152">
        <f t="shared" si="43"/>
        <v>10.98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10.98</v>
      </c>
      <c r="AD45" s="19"/>
      <c r="AE45" s="21">
        <f t="shared" si="12"/>
        <v>0</v>
      </c>
      <c r="AF45" s="153">
        <f t="shared" si="30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0.18*$G$7</f>
        <v>90</v>
      </c>
      <c r="G46" s="54">
        <v>0.18</v>
      </c>
      <c r="H46" s="152">
        <f t="shared" si="36"/>
        <v>16.2</v>
      </c>
      <c r="I46" s="19"/>
      <c r="J46" s="54">
        <f>+G46</f>
        <v>0.18</v>
      </c>
      <c r="K46" s="152">
        <f t="shared" si="37"/>
        <v>16.2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14.49</v>
      </c>
      <c r="R46" s="19"/>
      <c r="S46" s="21">
        <f t="shared" si="41"/>
        <v>-1.7099999999999991</v>
      </c>
      <c r="T46" s="153">
        <f t="shared" si="42"/>
        <v>-0.1055555555555555</v>
      </c>
      <c r="U46" s="19"/>
      <c r="V46" s="54">
        <v>0.161</v>
      </c>
      <c r="W46" s="152">
        <f t="shared" si="43"/>
        <v>14.49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14.49</v>
      </c>
      <c r="AD46" s="19"/>
      <c r="AE46" s="21">
        <f t="shared" si="12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500</v>
      </c>
      <c r="G47" s="54">
        <v>0.10299999999999999</v>
      </c>
      <c r="H47" s="152">
        <f t="shared" si="36"/>
        <v>51.5</v>
      </c>
      <c r="I47" s="59"/>
      <c r="J47" s="54">
        <f>+G47</f>
        <v>0.10299999999999999</v>
      </c>
      <c r="K47" s="152">
        <f t="shared" si="37"/>
        <v>51.5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47</v>
      </c>
      <c r="R47" s="59"/>
      <c r="S47" s="60">
        <f t="shared" si="41"/>
        <v>-4.5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47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47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0.121</v>
      </c>
      <c r="H48" s="152">
        <f t="shared" si="36"/>
        <v>0</v>
      </c>
      <c r="I48" s="59"/>
      <c r="J48" s="54">
        <f>+G48</f>
        <v>0.121</v>
      </c>
      <c r="K48" s="152">
        <f t="shared" si="37"/>
        <v>0</v>
      </c>
      <c r="L48" s="59"/>
      <c r="M48" s="60">
        <f t="shared" si="38"/>
        <v>0</v>
      </c>
      <c r="N48" s="207" t="str">
        <f>IFERROR(IF((H48)=FALSE,"",(M48/H48)),"n/a")</f>
        <v>n/a</v>
      </c>
      <c r="O48" s="212"/>
      <c r="P48" s="54">
        <v>0.11</v>
      </c>
      <c r="Q48" s="152">
        <f t="shared" si="40"/>
        <v>0</v>
      </c>
      <c r="R48" s="59"/>
      <c r="S48" s="60">
        <f t="shared" si="41"/>
        <v>0</v>
      </c>
      <c r="T48" s="153" t="e">
        <f>IF((K48)=FALSE,"",(S48/K48))</f>
        <v>#DIV/0!</v>
      </c>
      <c r="U48" s="59"/>
      <c r="V48" s="54">
        <v>0.11</v>
      </c>
      <c r="W48" s="152">
        <f t="shared" si="43"/>
        <v>0</v>
      </c>
      <c r="X48" s="59"/>
      <c r="Y48" s="60">
        <f t="shared" si="44"/>
        <v>0</v>
      </c>
      <c r="Z48" s="153" t="e">
        <f>IF((Q48)=FALSE,"",(Y48/Q48))</f>
        <v>#DIV/0!</v>
      </c>
      <c r="AA48" s="59"/>
      <c r="AB48" s="54">
        <v>0.11</v>
      </c>
      <c r="AC48" s="152">
        <f t="shared" si="35"/>
        <v>0</v>
      </c>
      <c r="AD48" s="59"/>
      <c r="AE48" s="60">
        <f t="shared" si="12"/>
        <v>0</v>
      </c>
      <c r="AF48" s="153" t="e">
        <f>IF((W48)=FALSE,"",(AE48/W48))</f>
        <v>#DIV/0!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87.87760201968058</v>
      </c>
      <c r="I50" s="75"/>
      <c r="J50" s="72"/>
      <c r="K50" s="74">
        <f>SUM(K40:K46,K39)</f>
        <v>85.731202800000005</v>
      </c>
      <c r="L50" s="75"/>
      <c r="M50" s="76">
        <f t="shared" si="38"/>
        <v>-2.1463992196805748</v>
      </c>
      <c r="N50" s="77">
        <f>IF((H50)=0,"",(M50/H50))</f>
        <v>-2.4424872440191064E-2</v>
      </c>
      <c r="O50" s="212"/>
      <c r="P50" s="72"/>
      <c r="Q50" s="74">
        <f>SUM(Q40:Q46,Q39)</f>
        <v>80.881202800000011</v>
      </c>
      <c r="R50" s="75"/>
      <c r="S50" s="76">
        <f t="shared" si="41"/>
        <v>-4.8499999999999943</v>
      </c>
      <c r="T50" s="77">
        <f>IF((K50)=0,"",(S50/K50))</f>
        <v>-5.6572167910841374E-2</v>
      </c>
      <c r="U50" s="75"/>
      <c r="V50" s="72"/>
      <c r="W50" s="74">
        <f>SUM(W40:W46,W39)</f>
        <v>81.411202800000012</v>
      </c>
      <c r="X50" s="75"/>
      <c r="Y50" s="76">
        <f t="shared" si="44"/>
        <v>0.53000000000000114</v>
      </c>
      <c r="Z50" s="77">
        <f>IF((Q50)=0,"",(Y50/Q50))</f>
        <v>6.5528204533575642E-3</v>
      </c>
      <c r="AA50" s="75"/>
      <c r="AB50" s="72"/>
      <c r="AC50" s="74">
        <f>SUM(AC40:AC46,AC39)</f>
        <v>81.761202800000021</v>
      </c>
      <c r="AD50" s="75"/>
      <c r="AE50" s="76">
        <f t="shared" si="12"/>
        <v>0.35000000000000853</v>
      </c>
      <c r="AF50" s="77">
        <f>IF((W50)=0,"",(AE50/W50))</f>
        <v>4.2991626208967945E-3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11.424088262558476</v>
      </c>
      <c r="I51" s="81"/>
      <c r="J51" s="79">
        <v>0.13</v>
      </c>
      <c r="K51" s="82">
        <f>K50*J51</f>
        <v>11.145056364</v>
      </c>
      <c r="L51" s="81"/>
      <c r="M51" s="83">
        <f t="shared" si="38"/>
        <v>-0.27903189855847543</v>
      </c>
      <c r="N51" s="84">
        <f>IF((H51)=0,"",(M51/H51))</f>
        <v>-2.4424872440191127E-2</v>
      </c>
      <c r="O51" s="212"/>
      <c r="P51" s="79">
        <v>0.13</v>
      </c>
      <c r="Q51" s="82">
        <f>Q50*P51</f>
        <v>10.514556364000002</v>
      </c>
      <c r="R51" s="81"/>
      <c r="S51" s="83">
        <f t="shared" si="41"/>
        <v>-0.63049999999999784</v>
      </c>
      <c r="T51" s="84">
        <f>IF((K51)=0,"",(S51/K51))</f>
        <v>-5.6572167910841249E-2</v>
      </c>
      <c r="U51" s="81"/>
      <c r="V51" s="79">
        <v>0.13</v>
      </c>
      <c r="W51" s="82">
        <f>W50*V51</f>
        <v>10.583456364000002</v>
      </c>
      <c r="X51" s="81"/>
      <c r="Y51" s="83">
        <f t="shared" si="44"/>
        <v>6.8899999999999295E-2</v>
      </c>
      <c r="Z51" s="84">
        <f>IF((Q51)=0,"",(Y51/Q51))</f>
        <v>6.5528204533574818E-3</v>
      </c>
      <c r="AA51" s="81"/>
      <c r="AB51" s="79">
        <v>0.13</v>
      </c>
      <c r="AC51" s="82">
        <f>AC50*AB51</f>
        <v>10.628956364000002</v>
      </c>
      <c r="AD51" s="81"/>
      <c r="AE51" s="83">
        <f t="shared" si="12"/>
        <v>4.550000000000054E-2</v>
      </c>
      <c r="AF51" s="84">
        <f>IF((W51)=0,"",(AE51/W51))</f>
        <v>4.2991626208967407E-3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99.301690282239051</v>
      </c>
      <c r="I52" s="81"/>
      <c r="J52" s="86"/>
      <c r="K52" s="82">
        <f>K50+K51</f>
        <v>96.876259164000004</v>
      </c>
      <c r="L52" s="81"/>
      <c r="M52" s="83">
        <f t="shared" si="38"/>
        <v>-2.4254311182390467</v>
      </c>
      <c r="N52" s="84">
        <f>IF((H52)=0,"",(M52/H52))</f>
        <v>-2.4424872440191037E-2</v>
      </c>
      <c r="O52" s="212"/>
      <c r="P52" s="86"/>
      <c r="Q52" s="82">
        <f>Q50+Q51</f>
        <v>91.395759164000012</v>
      </c>
      <c r="R52" s="81"/>
      <c r="S52" s="83">
        <f t="shared" si="41"/>
        <v>-5.4804999999999922</v>
      </c>
      <c r="T52" s="84">
        <f>IF((K52)=0,"",(S52/K52))</f>
        <v>-5.657216791084136E-2</v>
      </c>
      <c r="U52" s="81"/>
      <c r="V52" s="86"/>
      <c r="W52" s="82">
        <f>W50+W51</f>
        <v>91.994659164000012</v>
      </c>
      <c r="X52" s="81"/>
      <c r="Y52" s="83">
        <f t="shared" si="44"/>
        <v>0.59890000000000043</v>
      </c>
      <c r="Z52" s="84">
        <f>IF((Q52)=0,"",(Y52/Q52))</f>
        <v>6.5528204533575546E-3</v>
      </c>
      <c r="AA52" s="81"/>
      <c r="AB52" s="86"/>
      <c r="AC52" s="82">
        <f>AC50+AC51</f>
        <v>92.390159164000025</v>
      </c>
      <c r="AD52" s="81"/>
      <c r="AE52" s="83">
        <f t="shared" si="12"/>
        <v>0.39550000000001262</v>
      </c>
      <c r="AF52" s="84">
        <f>IF((W52)=0,"",(AE52/W52))</f>
        <v>4.2991626208968275E-3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38"/>
        <v>0</v>
      </c>
      <c r="N53" s="89" t="str">
        <f>IF((H53)=0,"",(M53/H53))</f>
        <v/>
      </c>
      <c r="O53" s="212"/>
      <c r="P53" s="86"/>
      <c r="Q53" s="87">
        <f>ROUND(-Q52*10%,2)</f>
        <v>-9.14</v>
      </c>
      <c r="R53" s="81"/>
      <c r="S53" s="88">
        <f t="shared" si="41"/>
        <v>-9.14</v>
      </c>
      <c r="T53" s="89" t="str">
        <f>IF((K53)=0,"",(S53/K53))</f>
        <v/>
      </c>
      <c r="U53" s="81"/>
      <c r="V53" s="86"/>
      <c r="W53" s="87">
        <f>ROUND(-W52*10%,2)</f>
        <v>-9.1999999999999993</v>
      </c>
      <c r="X53" s="81"/>
      <c r="Y53" s="88">
        <f t="shared" si="44"/>
        <v>-5.9999999999998721E-2</v>
      </c>
      <c r="Z53" s="89">
        <f>IF((Q53)=0,"",(Y53/Q53))</f>
        <v>6.5645514223193341E-3</v>
      </c>
      <c r="AA53" s="81"/>
      <c r="AB53" s="86"/>
      <c r="AC53" s="87">
        <f>ROUND(-AC52*10%,2)</f>
        <v>-9.24</v>
      </c>
      <c r="AD53" s="81"/>
      <c r="AE53" s="88">
        <f t="shared" si="12"/>
        <v>-4.0000000000000924E-2</v>
      </c>
      <c r="AF53" s="89">
        <f>IF((W53)=0,"",(AE53/W53))</f>
        <v>4.3478260869566224E-3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99.301690282239051</v>
      </c>
      <c r="I54" s="92"/>
      <c r="J54" s="90"/>
      <c r="K54" s="93">
        <f>K52+K53</f>
        <v>96.876259164000004</v>
      </c>
      <c r="L54" s="92"/>
      <c r="M54" s="94">
        <f t="shared" si="38"/>
        <v>-2.4254311182390467</v>
      </c>
      <c r="N54" s="95">
        <f>IF((H54)=0,"",(M54/H54))</f>
        <v>-2.4424872440191037E-2</v>
      </c>
      <c r="O54" s="212"/>
      <c r="P54" s="90"/>
      <c r="Q54" s="93">
        <f>Q52+Q53</f>
        <v>82.255759164000011</v>
      </c>
      <c r="R54" s="92"/>
      <c r="S54" s="94">
        <f t="shared" si="41"/>
        <v>-14.620499999999993</v>
      </c>
      <c r="T54" s="95">
        <f>IF((K54)=0,"",(S54/K54))</f>
        <v>-0.15091932870001951</v>
      </c>
      <c r="U54" s="92"/>
      <c r="V54" s="90"/>
      <c r="W54" s="93">
        <f>W52+W53</f>
        <v>82.794659164000009</v>
      </c>
      <c r="X54" s="92"/>
      <c r="Y54" s="94">
        <f t="shared" si="44"/>
        <v>0.53889999999999816</v>
      </c>
      <c r="Z54" s="95">
        <f>IF((Q54)=0,"",(Y54/Q54))</f>
        <v>6.5515169451606341E-3</v>
      </c>
      <c r="AA54" s="92"/>
      <c r="AB54" s="90"/>
      <c r="AC54" s="93">
        <f>AC52+AC53</f>
        <v>83.15015916400003</v>
      </c>
      <c r="AD54" s="92"/>
      <c r="AE54" s="94">
        <f t="shared" si="12"/>
        <v>0.35550000000002058</v>
      </c>
      <c r="AF54" s="95">
        <f>IF((W54)=0,"",(AE54/W54))</f>
        <v>4.2937552203197631E-3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83.457602019680579</v>
      </c>
      <c r="I56" s="106"/>
      <c r="J56" s="103"/>
      <c r="K56" s="105">
        <f>SUM(K47:K48,K39,K40:K43)</f>
        <v>81.311202800000018</v>
      </c>
      <c r="L56" s="106"/>
      <c r="M56" s="107">
        <f t="shared" si="38"/>
        <v>-2.1463992196805606</v>
      </c>
      <c r="N56" s="77">
        <f>IF((H56)=0,"",(M56/H56))</f>
        <v>-2.5718438677095071E-2</v>
      </c>
      <c r="O56" s="212"/>
      <c r="P56" s="103"/>
      <c r="Q56" s="105">
        <f>SUM(Q47:Q48,Q39,Q40:Q43)</f>
        <v>76.811202800000018</v>
      </c>
      <c r="R56" s="106"/>
      <c r="S56" s="107">
        <f t="shared" si="41"/>
        <v>-4.5</v>
      </c>
      <c r="T56" s="77">
        <f>IF((K56)=0,"",(S56/K56))</f>
        <v>-5.5342927481574516E-2</v>
      </c>
      <c r="U56" s="106"/>
      <c r="V56" s="103"/>
      <c r="W56" s="105">
        <f>SUM(W47:W48,W39,W40:W43)</f>
        <v>77.341202800000019</v>
      </c>
      <c r="X56" s="106"/>
      <c r="Y56" s="107">
        <f t="shared" si="44"/>
        <v>0.53000000000000114</v>
      </c>
      <c r="Z56" s="77">
        <f>IF((Q56)=0,"",(Y56/Q56))</f>
        <v>6.9000351599754015E-3</v>
      </c>
      <c r="AA56" s="106"/>
      <c r="AB56" s="103"/>
      <c r="AC56" s="105">
        <f>SUM(AC47:AC48,AC39,AC40:AC43)</f>
        <v>77.691202800000013</v>
      </c>
      <c r="AD56" s="106"/>
      <c r="AE56" s="107">
        <f t="shared" si="12"/>
        <v>0.34999999999999432</v>
      </c>
      <c r="AF56" s="77">
        <f>IF((W56)=0,"",(AE56/W56))</f>
        <v>4.5254015625419549E-3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10.849488262558475</v>
      </c>
      <c r="I57" s="110"/>
      <c r="J57" s="109">
        <v>0.13</v>
      </c>
      <c r="K57" s="111">
        <f>K56*J57</f>
        <v>10.570456364000004</v>
      </c>
      <c r="L57" s="110"/>
      <c r="M57" s="112">
        <f t="shared" si="38"/>
        <v>-0.27903189855847188</v>
      </c>
      <c r="N57" s="84">
        <f>IF((H57)=0,"",(M57/H57))</f>
        <v>-2.5718438677094977E-2</v>
      </c>
      <c r="O57" s="212"/>
      <c r="P57" s="109">
        <v>0.13</v>
      </c>
      <c r="Q57" s="111">
        <f>Q56*P57</f>
        <v>9.9854563640000027</v>
      </c>
      <c r="R57" s="110"/>
      <c r="S57" s="112">
        <f t="shared" si="41"/>
        <v>-0.58500000000000085</v>
      </c>
      <c r="T57" s="84">
        <f>IF((K57)=0,"",(S57/K57))</f>
        <v>-5.5342927481574593E-2</v>
      </c>
      <c r="U57" s="110"/>
      <c r="V57" s="109">
        <v>0.13</v>
      </c>
      <c r="W57" s="111">
        <f>W56*V57</f>
        <v>10.054356364000002</v>
      </c>
      <c r="X57" s="110"/>
      <c r="Y57" s="112">
        <f t="shared" si="44"/>
        <v>6.8899999999999295E-2</v>
      </c>
      <c r="Z57" s="84">
        <f>IF((Q57)=0,"",(Y57/Q57))</f>
        <v>6.9000351599753157E-3</v>
      </c>
      <c r="AA57" s="110"/>
      <c r="AB57" s="109">
        <v>0.13</v>
      </c>
      <c r="AC57" s="111">
        <f>AC56*AB57</f>
        <v>10.099856364000003</v>
      </c>
      <c r="AD57" s="110"/>
      <c r="AE57" s="112">
        <f t="shared" si="12"/>
        <v>4.550000000000054E-2</v>
      </c>
      <c r="AF57" s="84">
        <f>IF((W57)=0,"",(AE57/W57))</f>
        <v>4.5254015625420824E-3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94.307090282239059</v>
      </c>
      <c r="I58" s="110"/>
      <c r="J58" s="114"/>
      <c r="K58" s="111">
        <f>K56+K57</f>
        <v>91.881659164000027</v>
      </c>
      <c r="L58" s="110"/>
      <c r="M58" s="112">
        <f t="shared" si="38"/>
        <v>-2.4254311182390325</v>
      </c>
      <c r="N58" s="84">
        <f>IF((H58)=0,"",(M58/H58))</f>
        <v>-2.5718438677095057E-2</v>
      </c>
      <c r="O58" s="212"/>
      <c r="P58" s="114"/>
      <c r="Q58" s="111">
        <f>Q56+Q57</f>
        <v>86.796659164000019</v>
      </c>
      <c r="R58" s="110"/>
      <c r="S58" s="112">
        <f t="shared" si="41"/>
        <v>-5.085000000000008</v>
      </c>
      <c r="T58" s="84">
        <f>IF((K58)=0,"",(S58/K58))</f>
        <v>-5.53429274815746E-2</v>
      </c>
      <c r="U58" s="110"/>
      <c r="V58" s="114"/>
      <c r="W58" s="111">
        <f>W56+W57</f>
        <v>87.395559164000019</v>
      </c>
      <c r="X58" s="110"/>
      <c r="Y58" s="112">
        <f t="shared" si="44"/>
        <v>0.59890000000000043</v>
      </c>
      <c r="Z58" s="84">
        <f>IF((Q58)=0,"",(Y58/Q58))</f>
        <v>6.900035159975392E-3</v>
      </c>
      <c r="AA58" s="110"/>
      <c r="AB58" s="114"/>
      <c r="AC58" s="111">
        <f>AC56+AC57</f>
        <v>87.791059164000018</v>
      </c>
      <c r="AD58" s="110"/>
      <c r="AE58" s="112">
        <f t="shared" si="12"/>
        <v>0.39549999999999841</v>
      </c>
      <c r="AF58" s="84">
        <f>IF((W58)=0,"",(AE58/W58))</f>
        <v>4.5254015625420104E-3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38"/>
        <v>0</v>
      </c>
      <c r="N59" s="89" t="str">
        <f>IF((H59)=0,"",(M59/H59))</f>
        <v/>
      </c>
      <c r="O59" s="212"/>
      <c r="P59" s="114"/>
      <c r="Q59" s="116">
        <f>ROUND(-Q58*10%,2)</f>
        <v>-8.68</v>
      </c>
      <c r="R59" s="110"/>
      <c r="S59" s="117">
        <f t="shared" si="41"/>
        <v>-8.68</v>
      </c>
      <c r="T59" s="89" t="str">
        <f>IF((K59)=0,"",(S59/K59))</f>
        <v/>
      </c>
      <c r="U59" s="110"/>
      <c r="V59" s="114"/>
      <c r="W59" s="116">
        <f>ROUND(-W58*10%,2)</f>
        <v>-8.74</v>
      </c>
      <c r="X59" s="110"/>
      <c r="Y59" s="117">
        <f t="shared" si="44"/>
        <v>-6.0000000000000497E-2</v>
      </c>
      <c r="Z59" s="89">
        <f>IF((Q59)=0,"",(Y59/Q59))</f>
        <v>6.9124423963134217E-3</v>
      </c>
      <c r="AA59" s="110"/>
      <c r="AB59" s="114"/>
      <c r="AC59" s="116">
        <f>ROUND(-AC58*10%,2)</f>
        <v>-8.7799999999999994</v>
      </c>
      <c r="AD59" s="110"/>
      <c r="AE59" s="117">
        <f t="shared" si="12"/>
        <v>-3.9999999999999147E-2</v>
      </c>
      <c r="AF59" s="89">
        <f>IF((W59)=0,"",(AE59/W59))</f>
        <v>4.5766590389015038E-3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94.307090282239059</v>
      </c>
      <c r="I60" s="120"/>
      <c r="J60" s="118"/>
      <c r="K60" s="121">
        <f>SUM(K58:K59)</f>
        <v>91.881659164000027</v>
      </c>
      <c r="L60" s="120"/>
      <c r="M60" s="122">
        <f t="shared" si="38"/>
        <v>-2.4254311182390325</v>
      </c>
      <c r="N60" s="123">
        <f>IF((H60)=0,"",(M60/H60))</f>
        <v>-2.5718438677095057E-2</v>
      </c>
      <c r="O60" s="212"/>
      <c r="P60" s="118"/>
      <c r="Q60" s="121">
        <f>SUM(Q58:Q59)</f>
        <v>78.116659164000026</v>
      </c>
      <c r="R60" s="120"/>
      <c r="S60" s="122">
        <f t="shared" si="41"/>
        <v>-13.765000000000001</v>
      </c>
      <c r="T60" s="123">
        <f>IF((K60)=0,"",(S60/K60))</f>
        <v>-0.14981227075395737</v>
      </c>
      <c r="U60" s="120"/>
      <c r="V60" s="118"/>
      <c r="W60" s="121">
        <f>SUM(W58:W59)</f>
        <v>78.655559164000024</v>
      </c>
      <c r="X60" s="120"/>
      <c r="Y60" s="122">
        <f t="shared" si="44"/>
        <v>0.53889999999999816</v>
      </c>
      <c r="Z60" s="123">
        <f>IF((Q60)=0,"",(Y60/Q60))</f>
        <v>6.8986565192018555E-3</v>
      </c>
      <c r="AA60" s="120"/>
      <c r="AB60" s="118"/>
      <c r="AC60" s="121">
        <f>SUM(AC58:AC59)</f>
        <v>79.011059164000017</v>
      </c>
      <c r="AD60" s="120"/>
      <c r="AE60" s="122">
        <f t="shared" si="12"/>
        <v>0.35549999999999216</v>
      </c>
      <c r="AF60" s="123">
        <f>IF((W60)=0,"",(AE60/W60))</f>
        <v>4.5197059658397482E-3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3.0790000000000001E-2</v>
      </c>
      <c r="I63" s="142"/>
      <c r="J63" s="129">
        <v>3.0790000000000001E-2</v>
      </c>
      <c r="K63" s="142"/>
      <c r="L63" s="142"/>
      <c r="M63" s="142"/>
      <c r="N63" s="142"/>
      <c r="O63" s="142"/>
      <c r="P63" s="129">
        <v>3.0790000000000001E-2</v>
      </c>
      <c r="Q63" s="142"/>
      <c r="R63" s="142"/>
      <c r="S63" s="142"/>
      <c r="T63" s="142"/>
      <c r="U63" s="142"/>
      <c r="V63" s="129">
        <v>3.0790000000000001E-2</v>
      </c>
      <c r="W63" s="142"/>
      <c r="X63" s="142"/>
      <c r="Y63" s="142"/>
      <c r="Z63" s="142"/>
      <c r="AA63" s="142"/>
      <c r="AB63" s="129">
        <v>3.0790000000000001E-2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7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AM79"/>
  <sheetViews>
    <sheetView showGridLines="0" zoomScale="72" zoomScaleNormal="72" workbookViewId="0">
      <selection activeCell="J30" sqref="J30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12.140625" style="1" bestFit="1" customWidth="1"/>
    <col min="12" max="12" width="1.7109375" style="1" customWidth="1"/>
    <col min="13" max="13" width="9.85546875" style="1" bestFit="1" customWidth="1"/>
    <col min="14" max="14" width="10.5703125" style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19" width="9.85546875" style="1" hidden="1" customWidth="1"/>
    <col min="20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5" width="9.85546875" style="1" hidden="1" customWidth="1"/>
    <col min="26" max="26" width="0" style="1" hidden="1" customWidth="1"/>
    <col min="27" max="27" width="1.7109375" style="1" hidden="1" customWidth="1"/>
    <col min="28" max="29" width="0" style="1" hidden="1" customWidth="1"/>
    <col min="30" max="30" width="1.7109375" style="1" hidden="1" customWidth="1"/>
    <col min="31" max="31" width="9.85546875" style="1" hidden="1" customWidth="1"/>
    <col min="32" max="32" width="0" style="1" hidden="1" customWidth="1"/>
    <col min="33" max="33" width="1.7109375" style="1" customWidth="1"/>
    <col min="34" max="16384" width="9.140625" style="1"/>
  </cols>
  <sheetData>
    <row r="1" spans="2:39" ht="7.5" customHeight="1" x14ac:dyDescent="0.2">
      <c r="J1"/>
      <c r="K1"/>
    </row>
    <row r="2" spans="2:39" ht="7.5" customHeight="1" x14ac:dyDescent="0.2">
      <c r="J2"/>
      <c r="K2"/>
    </row>
    <row r="3" spans="2:39" ht="15.75" x14ac:dyDescent="0.2">
      <c r="B3" s="2" t="s">
        <v>0</v>
      </c>
      <c r="D3" s="136" t="s">
        <v>50</v>
      </c>
      <c r="E3" s="136"/>
      <c r="F3" s="136"/>
      <c r="G3" s="136"/>
      <c r="H3" s="136"/>
      <c r="I3" s="136"/>
      <c r="J3" s="136"/>
      <c r="K3" s="149">
        <v>1</v>
      </c>
      <c r="L3" s="136"/>
      <c r="N3" s="34"/>
      <c r="O3" s="150"/>
      <c r="P3" s="34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34"/>
      <c r="AK3" s="34"/>
      <c r="AL3" s="34"/>
      <c r="AM3" s="34"/>
    </row>
    <row r="4" spans="2:39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O4" s="4"/>
      <c r="R4" s="4"/>
      <c r="U4" s="4"/>
      <c r="X4" s="4"/>
      <c r="AA4" s="4"/>
      <c r="AD4" s="4"/>
      <c r="AG4" s="4"/>
    </row>
    <row r="5" spans="2:39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39" ht="15.75" x14ac:dyDescent="0.25">
      <c r="B6" s="3"/>
      <c r="D6" s="4"/>
      <c r="E6" s="4"/>
      <c r="F6" s="4"/>
      <c r="G6" s="4"/>
      <c r="H6" s="4"/>
    </row>
    <row r="7" spans="2:39" x14ac:dyDescent="0.2">
      <c r="B7" s="6"/>
      <c r="D7" s="7" t="s">
        <v>3</v>
      </c>
      <c r="E7" s="7"/>
      <c r="F7" s="7"/>
      <c r="G7" s="8">
        <v>100</v>
      </c>
      <c r="H7" s="9" t="s">
        <v>4</v>
      </c>
    </row>
    <row r="8" spans="2:39" x14ac:dyDescent="0.2">
      <c r="B8" s="6"/>
    </row>
    <row r="9" spans="2:39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39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39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39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18.8</v>
      </c>
      <c r="H12" s="18">
        <f t="shared" ref="H12:H27" si="0">$F12*G12</f>
        <v>18.8</v>
      </c>
      <c r="I12" s="19"/>
      <c r="J12" s="209">
        <v>21.34</v>
      </c>
      <c r="K12" s="18">
        <f t="shared" ref="K12:K27" si="1">$F12*J12</f>
        <v>21.34</v>
      </c>
      <c r="L12" s="19"/>
      <c r="M12" s="21">
        <f t="shared" ref="M12:M21" si="2">K12-H12</f>
        <v>2.5399999999999991</v>
      </c>
      <c r="N12" s="22">
        <f t="shared" ref="N12:N21" si="3">IF((H12)=0,"",(M12/H12))</f>
        <v>0.13510638297872335</v>
      </c>
      <c r="O12" s="212"/>
      <c r="P12" s="16">
        <v>21.34</v>
      </c>
      <c r="Q12" s="18">
        <f t="shared" ref="Q12:Q27" si="4">$F12*P12</f>
        <v>21.34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23.89</v>
      </c>
      <c r="W12" s="18">
        <f t="shared" ref="W12:W27" si="6">$F12*V12</f>
        <v>23.89</v>
      </c>
      <c r="X12" s="19"/>
      <c r="Y12" s="21">
        <f>W12-Q12</f>
        <v>2.5500000000000007</v>
      </c>
      <c r="Z12" s="22">
        <f t="shared" ref="Z12:Z34" si="7">IF((Q12)=0,"",(Y12/Q12))</f>
        <v>0.11949390815370201</v>
      </c>
      <c r="AA12" s="19"/>
      <c r="AB12" s="16">
        <v>27</v>
      </c>
      <c r="AC12" s="18">
        <f t="shared" ref="AC12:AC27" si="8">$F12*AB12</f>
        <v>27</v>
      </c>
      <c r="AD12" s="19"/>
      <c r="AE12" s="21">
        <f>AC12-W12</f>
        <v>3.1099999999999994</v>
      </c>
      <c r="AF12" s="22">
        <f t="shared" ref="AF12:AF34" si="9">IF((W12)=0,"",(AE12/W12))</f>
        <v>0.13017999162829633</v>
      </c>
    </row>
    <row r="13" spans="2:39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0.79</v>
      </c>
      <c r="H13" s="18">
        <f t="shared" si="0"/>
        <v>0.79</v>
      </c>
      <c r="I13" s="19"/>
      <c r="J13" s="209">
        <v>0.79</v>
      </c>
      <c r="K13" s="18">
        <f t="shared" si="1"/>
        <v>0.79</v>
      </c>
      <c r="L13" s="19"/>
      <c r="M13" s="21">
        <f t="shared" si="2"/>
        <v>0</v>
      </c>
      <c r="N13" s="22">
        <f t="shared" si="3"/>
        <v>0</v>
      </c>
      <c r="O13" s="212"/>
      <c r="P13" s="16">
        <v>0.79</v>
      </c>
      <c r="Q13" s="18">
        <f t="shared" si="4"/>
        <v>0.79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39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ref="H14" si="13">$F14*G14</f>
        <v>0</v>
      </c>
      <c r="I14" s="19"/>
      <c r="J14" s="16">
        <v>0</v>
      </c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>
        <v>0</v>
      </c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>
        <v>0</v>
      </c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39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39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100</v>
      </c>
      <c r="G19" s="16">
        <v>1.21E-2</v>
      </c>
      <c r="H19" s="18">
        <f t="shared" si="0"/>
        <v>1.21</v>
      </c>
      <c r="I19" s="19"/>
      <c r="J19" s="16">
        <v>8.0999999999999996E-3</v>
      </c>
      <c r="K19" s="18">
        <f t="shared" si="1"/>
        <v>0.80999999999999994</v>
      </c>
      <c r="L19" s="19"/>
      <c r="M19" s="21">
        <f t="shared" si="2"/>
        <v>-0.4</v>
      </c>
      <c r="N19" s="22">
        <f t="shared" si="3"/>
        <v>-0.33057851239669422</v>
      </c>
      <c r="O19" s="212"/>
      <c r="P19" s="16">
        <v>8.0999999999999996E-3</v>
      </c>
      <c r="Q19" s="18">
        <f t="shared" si="4"/>
        <v>0.80999999999999994</v>
      </c>
      <c r="R19" s="19"/>
      <c r="S19" s="21">
        <f t="shared" si="10"/>
        <v>0</v>
      </c>
      <c r="T19" s="22">
        <f t="shared" si="5"/>
        <v>0</v>
      </c>
      <c r="U19" s="19"/>
      <c r="V19" s="16">
        <v>4.1000000000000003E-3</v>
      </c>
      <c r="W19" s="18">
        <f t="shared" si="6"/>
        <v>0.41000000000000003</v>
      </c>
      <c r="X19" s="19"/>
      <c r="Y19" s="21">
        <f t="shared" si="11"/>
        <v>-0.39999999999999991</v>
      </c>
      <c r="Z19" s="22">
        <f t="shared" si="7"/>
        <v>-0.49382716049382708</v>
      </c>
      <c r="AA19" s="19"/>
      <c r="AB19" s="16">
        <v>0</v>
      </c>
      <c r="AC19" s="18">
        <f t="shared" si="8"/>
        <v>0</v>
      </c>
      <c r="AD19" s="19"/>
      <c r="AE19" s="21">
        <f t="shared" si="12"/>
        <v>-0.41000000000000003</v>
      </c>
      <c r="AF19" s="22">
        <f t="shared" si="9"/>
        <v>-1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100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>$G$7</f>
        <v>100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8" si="24">K24-H24</f>
        <v>0</v>
      </c>
      <c r="N24" s="22" t="str">
        <f t="shared" ref="N24:N29" si="25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>$G$7</f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4"/>
        <v>0</v>
      </c>
      <c r="N25" s="22" t="str">
        <f t="shared" si="25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>$G$7</f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4"/>
        <v>0</v>
      </c>
      <c r="N26" s="22" t="str">
        <f t="shared" si="25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>$G$7</f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4"/>
        <v>0</v>
      </c>
      <c r="N27" s="22" t="str">
        <f t="shared" si="25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20.8</v>
      </c>
      <c r="I28" s="31"/>
      <c r="J28" s="28"/>
      <c r="K28" s="30">
        <f>SUM(K12:K27)</f>
        <v>22.939999999999998</v>
      </c>
      <c r="L28" s="31"/>
      <c r="M28" s="32">
        <f t="shared" si="24"/>
        <v>2.139999999999997</v>
      </c>
      <c r="N28" s="33">
        <f t="shared" si="25"/>
        <v>0.10288461538461524</v>
      </c>
      <c r="O28" s="212"/>
      <c r="P28" s="28"/>
      <c r="Q28" s="30">
        <f>SUM(Q12:Q27)</f>
        <v>22.939999999999998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24.3</v>
      </c>
      <c r="X28" s="31"/>
      <c r="Y28" s="32">
        <f t="shared" si="11"/>
        <v>1.360000000000003</v>
      </c>
      <c r="Z28" s="33">
        <f t="shared" si="7"/>
        <v>5.9285091543156199E-2</v>
      </c>
      <c r="AA28" s="31"/>
      <c r="AB28" s="28"/>
      <c r="AC28" s="30">
        <f>SUM(AC12:AC27)</f>
        <v>27</v>
      </c>
      <c r="AD28" s="31"/>
      <c r="AE28" s="32">
        <f t="shared" si="12"/>
        <v>2.6999999999999993</v>
      </c>
      <c r="AF28" s="33">
        <f t="shared" si="9"/>
        <v>0.11111111111111108</v>
      </c>
    </row>
    <row r="29" spans="2:32" ht="25.5" x14ac:dyDescent="0.2">
      <c r="B29" s="134" t="s">
        <v>17</v>
      </c>
      <c r="C29" s="14"/>
      <c r="D29" s="15" t="s">
        <v>54</v>
      </c>
      <c r="E29" s="15"/>
      <c r="F29" s="17">
        <f>$G$7</f>
        <v>100</v>
      </c>
      <c r="G29" s="16">
        <v>3.3021965494891908E-4</v>
      </c>
      <c r="H29" s="18">
        <f t="shared" ref="H29:H35" si="26">$F29*G29</f>
        <v>3.3021965494891906E-2</v>
      </c>
      <c r="I29" s="19"/>
      <c r="J29" s="16">
        <v>-2.5999999999999999E-3</v>
      </c>
      <c r="K29" s="18">
        <f t="shared" ref="K29:K35" si="27">$F29*J29</f>
        <v>-0.26</v>
      </c>
      <c r="L29" s="19"/>
      <c r="M29" s="21">
        <f>K29-H29</f>
        <v>-0.2930219654948919</v>
      </c>
      <c r="N29" s="22">
        <f t="shared" si="25"/>
        <v>-8.873547080055511</v>
      </c>
      <c r="O29" s="212"/>
      <c r="P29" s="16">
        <v>-2.5999999999999999E-3</v>
      </c>
      <c r="Q29" s="18">
        <f t="shared" ref="Q29:Q35" si="28">$F29*P29</f>
        <v>-0.26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9">$F29*V29</f>
        <v>0</v>
      </c>
      <c r="X29" s="19"/>
      <c r="Y29" s="21">
        <f t="shared" si="11"/>
        <v>0.26</v>
      </c>
      <c r="Z29" s="22">
        <f t="shared" si="7"/>
        <v>-1</v>
      </c>
      <c r="AA29" s="19"/>
      <c r="AB29" s="16">
        <v>0</v>
      </c>
      <c r="AC29" s="18">
        <f t="shared" ref="AC29:AC35" si="3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100</v>
      </c>
      <c r="G30" s="16"/>
      <c r="H30" s="18"/>
      <c r="I30" s="19"/>
      <c r="J30" s="16"/>
      <c r="K30" s="18">
        <f t="shared" si="27"/>
        <v>0</v>
      </c>
      <c r="L30" s="19"/>
      <c r="M30" s="21">
        <f t="shared" ref="M30" si="31">K30-H30</f>
        <v>0</v>
      </c>
      <c r="N30" s="22" t="str">
        <f t="shared" ref="N30" si="32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>$G$7</f>
        <v>100</v>
      </c>
      <c r="G31" s="16">
        <v>0</v>
      </c>
      <c r="H31" s="18">
        <f t="shared" si="26"/>
        <v>0</v>
      </c>
      <c r="I31" s="19"/>
      <c r="J31" s="16">
        <v>0</v>
      </c>
      <c r="K31" s="18">
        <f t="shared" si="27"/>
        <v>0</v>
      </c>
      <c r="L31" s="19"/>
      <c r="M31" s="21">
        <f t="shared" ref="M31:M60" si="33">K31-H31</f>
        <v>0</v>
      </c>
      <c r="N31" s="22" t="str">
        <f>IF((H31)=0,"",(M31/H31))</f>
        <v/>
      </c>
      <c r="O31" s="212"/>
      <c r="P31" s="16">
        <v>0</v>
      </c>
      <c r="Q31" s="18">
        <f t="shared" si="28"/>
        <v>0</v>
      </c>
      <c r="R31" s="19"/>
      <c r="S31" s="21">
        <f t="shared" ref="S31" si="34">Q31-K31</f>
        <v>0</v>
      </c>
      <c r="T31" s="22" t="str">
        <f t="shared" ref="T31" si="35">IF((K31)=0,"",(S31/K31))</f>
        <v/>
      </c>
      <c r="U31" s="19"/>
      <c r="V31" s="16">
        <v>0</v>
      </c>
      <c r="W31" s="18">
        <f t="shared" si="29"/>
        <v>0</v>
      </c>
      <c r="X31" s="19"/>
      <c r="Y31" s="21">
        <f t="shared" ref="Y31" si="36">W31-Q31</f>
        <v>0</v>
      </c>
      <c r="Z31" s="22" t="str">
        <f t="shared" ref="Z31" si="37">IF((Q31)=0,"",(Y31/Q31))</f>
        <v/>
      </c>
      <c r="AA31" s="19"/>
      <c r="AB31" s="16">
        <v>0</v>
      </c>
      <c r="AC31" s="18">
        <f t="shared" si="30"/>
        <v>0</v>
      </c>
      <c r="AD31" s="19"/>
      <c r="AE31" s="21">
        <f t="shared" ref="AE31" si="38">AC31-W31</f>
        <v>0</v>
      </c>
      <c r="AF31" s="22" t="str">
        <f t="shared" ref="AF31" si="39">IF((W31)=0,"",(AE31/W31))</f>
        <v/>
      </c>
    </row>
    <row r="32" spans="2:32" ht="12.6" hidden="1" customHeight="1" x14ac:dyDescent="0.2">
      <c r="B32" s="35"/>
      <c r="C32" s="14"/>
      <c r="D32" s="15"/>
      <c r="E32" s="15"/>
      <c r="F32" s="17">
        <f>$G$7</f>
        <v>100</v>
      </c>
      <c r="G32" s="16"/>
      <c r="H32" s="18">
        <f t="shared" si="26"/>
        <v>0</v>
      </c>
      <c r="I32" s="36"/>
      <c r="J32" s="16"/>
      <c r="K32" s="18">
        <f t="shared" si="27"/>
        <v>0</v>
      </c>
      <c r="L32" s="36"/>
      <c r="M32" s="21">
        <f t="shared" si="33"/>
        <v>0</v>
      </c>
      <c r="N32" s="22" t="str">
        <f>IF((H32)=0,"",(M32/H32))</f>
        <v/>
      </c>
      <c r="O32" s="212"/>
      <c r="P32" s="16"/>
      <c r="Q32" s="18">
        <f t="shared" si="2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0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>$G$7</f>
        <v>100</v>
      </c>
      <c r="G33" s="133">
        <v>6.0000002460806063E-5</v>
      </c>
      <c r="H33" s="18">
        <f t="shared" si="26"/>
        <v>6.0000002460806065E-3</v>
      </c>
      <c r="I33" s="19"/>
      <c r="J33" s="133">
        <v>6.0000001057066139E-5</v>
      </c>
      <c r="K33" s="18">
        <f t="shared" si="27"/>
        <v>6.0000001057066137E-3</v>
      </c>
      <c r="L33" s="19"/>
      <c r="M33" s="21">
        <f t="shared" si="33"/>
        <v>-1.4037399281158214E-10</v>
      </c>
      <c r="N33" s="22">
        <f>IF((H33)=0,"",(M33/H33))</f>
        <v>-2.339566450906047E-8</v>
      </c>
      <c r="O33" s="212"/>
      <c r="P33" s="133">
        <v>6.0000001057066139E-5</v>
      </c>
      <c r="Q33" s="18">
        <f t="shared" si="28"/>
        <v>6.0000001057066137E-3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6.000000141885779E-5</v>
      </c>
      <c r="W33" s="18">
        <f t="shared" si="29"/>
        <v>6.0000001418857793E-3</v>
      </c>
      <c r="X33" s="19"/>
      <c r="Y33" s="21">
        <f t="shared" si="11"/>
        <v>3.6179165566196936E-11</v>
      </c>
      <c r="Z33" s="22">
        <f t="shared" si="7"/>
        <v>6.0298608214667947E-9</v>
      </c>
      <c r="AA33" s="19"/>
      <c r="AB33" s="133">
        <v>5.9748076265468277E-5</v>
      </c>
      <c r="AC33" s="18">
        <f t="shared" si="30"/>
        <v>5.9748076265468278E-3</v>
      </c>
      <c r="AD33" s="19"/>
      <c r="AE33" s="21">
        <f t="shared" si="12"/>
        <v>-2.519251533895147E-5</v>
      </c>
      <c r="AF33" s="22">
        <f t="shared" si="9"/>
        <v>-4.198752457201368E-3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3.7900000000000063</v>
      </c>
      <c r="G34" s="38">
        <f>0.64*$G$44+0.18*$G$45+0.18*$G$46</f>
        <v>0.11183999999999999</v>
      </c>
      <c r="H34" s="18">
        <f t="shared" si="26"/>
        <v>0.42387360000000068</v>
      </c>
      <c r="I34" s="19"/>
      <c r="J34" s="38">
        <f>0.64*$G$44+0.18*$G$45+0.18*$G$46</f>
        <v>0.11183999999999999</v>
      </c>
      <c r="K34" s="18">
        <f t="shared" si="27"/>
        <v>0.42387360000000068</v>
      </c>
      <c r="L34" s="19"/>
      <c r="M34" s="21">
        <f t="shared" si="33"/>
        <v>0</v>
      </c>
      <c r="N34" s="22">
        <f>IF((H34)=0,"",(M34/H34))</f>
        <v>0</v>
      </c>
      <c r="O34" s="212"/>
      <c r="P34" s="38">
        <f>0.64*$G$44+0.18*$G$45+0.18*$G$46</f>
        <v>0.11183999999999999</v>
      </c>
      <c r="Q34" s="18">
        <f t="shared" si="28"/>
        <v>0.42387360000000068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0.11183999999999999</v>
      </c>
      <c r="W34" s="18">
        <f t="shared" si="29"/>
        <v>0.42387360000000068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0.11183999999999999</v>
      </c>
      <c r="AC34" s="18">
        <f t="shared" si="30"/>
        <v>0.42387360000000068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0.79</v>
      </c>
      <c r="H35" s="18">
        <f t="shared" si="26"/>
        <v>0.79</v>
      </c>
      <c r="I35" s="19"/>
      <c r="J35" s="210">
        <v>0.79</v>
      </c>
      <c r="K35" s="18">
        <f t="shared" si="27"/>
        <v>0.79</v>
      </c>
      <c r="L35" s="19"/>
      <c r="M35" s="21">
        <f t="shared" si="33"/>
        <v>0</v>
      </c>
      <c r="N35" s="22"/>
      <c r="O35" s="212"/>
      <c r="P35" s="38">
        <v>0.79</v>
      </c>
      <c r="Q35" s="18">
        <f t="shared" si="28"/>
        <v>0.79</v>
      </c>
      <c r="R35" s="19"/>
      <c r="S35" s="21">
        <f t="shared" si="10"/>
        <v>0</v>
      </c>
      <c r="T35" s="22"/>
      <c r="U35" s="19"/>
      <c r="V35" s="38">
        <v>0.79</v>
      </c>
      <c r="W35" s="18">
        <f t="shared" si="29"/>
        <v>0.79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30"/>
        <v>0</v>
      </c>
      <c r="AD35" s="19"/>
      <c r="AE35" s="21">
        <f t="shared" si="12"/>
        <v>-0.79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22.052895565740975</v>
      </c>
      <c r="I36" s="31"/>
      <c r="J36" s="41"/>
      <c r="K36" s="43">
        <f>SUM(K29:K35)+K28</f>
        <v>23.899873600105707</v>
      </c>
      <c r="L36" s="31"/>
      <c r="M36" s="32">
        <f t="shared" si="33"/>
        <v>1.8469780343647315</v>
      </c>
      <c r="N36" s="33">
        <f t="shared" ref="N36:N46" si="40">IF((H36)=0,"",(M36/H36))</f>
        <v>8.3752177978568917E-2</v>
      </c>
      <c r="O36" s="212"/>
      <c r="P36" s="41"/>
      <c r="Q36" s="43">
        <f>SUM(Q29:Q35)+Q28</f>
        <v>23.899873600105707</v>
      </c>
      <c r="R36" s="31"/>
      <c r="S36" s="32">
        <f t="shared" si="10"/>
        <v>0</v>
      </c>
      <c r="T36" s="33">
        <f t="shared" ref="T36:T46" si="41">IF((K36)=0,"",(S36/K36))</f>
        <v>0</v>
      </c>
      <c r="U36" s="31"/>
      <c r="V36" s="41"/>
      <c r="W36" s="43">
        <f>SUM(W29:W35)+W28</f>
        <v>25.519873600141889</v>
      </c>
      <c r="X36" s="31"/>
      <c r="Y36" s="32">
        <f t="shared" si="11"/>
        <v>1.6200000000361818</v>
      </c>
      <c r="Z36" s="33">
        <f t="shared" ref="Z36:Z46" si="42">IF((Q36)=0,"",(Y36/Q36))</f>
        <v>6.7782785262471709E-2</v>
      </c>
      <c r="AA36" s="31"/>
      <c r="AB36" s="41"/>
      <c r="AC36" s="43">
        <f>SUM(AC29:AC35)+AC28</f>
        <v>27.429848407626547</v>
      </c>
      <c r="AD36" s="31"/>
      <c r="AE36" s="32">
        <f t="shared" si="12"/>
        <v>1.9099748074846588</v>
      </c>
      <c r="AF36" s="33">
        <f t="shared" ref="AF36:AF46" si="43">IF((W36)=0,"",(AE36/W36))</f>
        <v>7.4842643714114615E-2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205">
        <f>G7*(1+G63)</f>
        <v>103.79</v>
      </c>
      <c r="G37" s="20">
        <v>7.7725149591303024E-3</v>
      </c>
      <c r="H37" s="18">
        <f>$F37*G37</f>
        <v>0.80670932760813419</v>
      </c>
      <c r="I37" s="19"/>
      <c r="J37" s="20">
        <v>7.4000000000000003E-3</v>
      </c>
      <c r="K37" s="18">
        <f>$F37*J37</f>
        <v>0.76804600000000012</v>
      </c>
      <c r="L37" s="19"/>
      <c r="M37" s="21">
        <f t="shared" si="33"/>
        <v>-3.8663327608134068E-2</v>
      </c>
      <c r="N37" s="22">
        <f t="shared" si="40"/>
        <v>-4.7927210315975299E-2</v>
      </c>
      <c r="O37" s="212"/>
      <c r="P37" s="20">
        <v>7.4000000000000003E-3</v>
      </c>
      <c r="Q37" s="18">
        <f>$F37*P37</f>
        <v>0.76804600000000012</v>
      </c>
      <c r="R37" s="19"/>
      <c r="S37" s="21">
        <f t="shared" si="10"/>
        <v>0</v>
      </c>
      <c r="T37" s="22">
        <f t="shared" si="41"/>
        <v>0</v>
      </c>
      <c r="U37" s="19"/>
      <c r="V37" s="20">
        <v>7.4000000000000003E-3</v>
      </c>
      <c r="W37" s="18">
        <f>$F37*V37</f>
        <v>0.76804600000000012</v>
      </c>
      <c r="X37" s="19"/>
      <c r="Y37" s="21">
        <f t="shared" si="11"/>
        <v>0</v>
      </c>
      <c r="Z37" s="22">
        <f t="shared" si="42"/>
        <v>0</v>
      </c>
      <c r="AA37" s="19"/>
      <c r="AB37" s="20">
        <v>7.4000000000000003E-3</v>
      </c>
      <c r="AC37" s="18">
        <f>$F37*AB37</f>
        <v>0.76804600000000012</v>
      </c>
      <c r="AD37" s="19"/>
      <c r="AE37" s="21">
        <f t="shared" si="12"/>
        <v>0</v>
      </c>
      <c r="AF37" s="22">
        <f t="shared" si="43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205">
        <f>F37</f>
        <v>103.79</v>
      </c>
      <c r="G38" s="20">
        <v>5.8885548323693356E-3</v>
      </c>
      <c r="H38" s="18">
        <f>$F38*G38</f>
        <v>0.61117310605161335</v>
      </c>
      <c r="I38" s="19"/>
      <c r="J38" s="20">
        <v>5.8999999999999999E-3</v>
      </c>
      <c r="K38" s="18">
        <f>$F38*J38</f>
        <v>0.61236100000000004</v>
      </c>
      <c r="L38" s="19"/>
      <c r="M38" s="21">
        <f t="shared" si="33"/>
        <v>1.1878939483866979E-3</v>
      </c>
      <c r="N38" s="22">
        <f t="shared" si="40"/>
        <v>1.943629287062217E-3</v>
      </c>
      <c r="O38" s="212"/>
      <c r="P38" s="20">
        <v>5.8999999999999999E-3</v>
      </c>
      <c r="Q38" s="18">
        <f>$F38*P38</f>
        <v>0.61236100000000004</v>
      </c>
      <c r="R38" s="19"/>
      <c r="S38" s="21">
        <f t="shared" si="10"/>
        <v>0</v>
      </c>
      <c r="T38" s="22">
        <f t="shared" si="41"/>
        <v>0</v>
      </c>
      <c r="U38" s="19"/>
      <c r="V38" s="20">
        <v>5.8999999999999999E-3</v>
      </c>
      <c r="W38" s="18">
        <f>$F38*V38</f>
        <v>0.61236100000000004</v>
      </c>
      <c r="X38" s="19"/>
      <c r="Y38" s="21">
        <f t="shared" si="11"/>
        <v>0</v>
      </c>
      <c r="Z38" s="22">
        <f t="shared" si="42"/>
        <v>0</v>
      </c>
      <c r="AA38" s="19"/>
      <c r="AB38" s="20">
        <v>5.8999999999999999E-3</v>
      </c>
      <c r="AC38" s="18">
        <f>$F38*AB38</f>
        <v>0.61236100000000004</v>
      </c>
      <c r="AD38" s="19"/>
      <c r="AE38" s="21">
        <f t="shared" si="12"/>
        <v>0</v>
      </c>
      <c r="AF38" s="22">
        <f t="shared" si="43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23.470777999400724</v>
      </c>
      <c r="I39" s="48"/>
      <c r="J39" s="47"/>
      <c r="K39" s="43">
        <f>SUM(K36:K38)</f>
        <v>25.280280600105709</v>
      </c>
      <c r="L39" s="48"/>
      <c r="M39" s="32">
        <f t="shared" si="33"/>
        <v>1.8095026007049846</v>
      </c>
      <c r="N39" s="33">
        <f t="shared" si="40"/>
        <v>7.709597869960623E-2</v>
      </c>
      <c r="O39" s="212"/>
      <c r="P39" s="47"/>
      <c r="Q39" s="43">
        <f>SUM(Q36:Q38)</f>
        <v>25.280280600105709</v>
      </c>
      <c r="R39" s="48"/>
      <c r="S39" s="32">
        <f t="shared" si="10"/>
        <v>0</v>
      </c>
      <c r="T39" s="33">
        <f t="shared" si="41"/>
        <v>0</v>
      </c>
      <c r="U39" s="48"/>
      <c r="V39" s="47"/>
      <c r="W39" s="43">
        <f>SUM(W36:W38)</f>
        <v>26.90028060014189</v>
      </c>
      <c r="X39" s="48"/>
      <c r="Y39" s="32">
        <f t="shared" si="11"/>
        <v>1.6200000000361818</v>
      </c>
      <c r="Z39" s="33">
        <f t="shared" si="42"/>
        <v>6.4081567197059028E-2</v>
      </c>
      <c r="AA39" s="48"/>
      <c r="AB39" s="47"/>
      <c r="AC39" s="43">
        <f>SUM(AC36:AC38)</f>
        <v>28.810255407626549</v>
      </c>
      <c r="AD39" s="48"/>
      <c r="AE39" s="32">
        <f t="shared" si="12"/>
        <v>1.9099748074846588</v>
      </c>
      <c r="AF39" s="33">
        <f t="shared" si="43"/>
        <v>7.1002040308627279E-2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103.79</v>
      </c>
      <c r="G40" s="50">
        <v>4.7000000000000002E-3</v>
      </c>
      <c r="H40" s="51">
        <f t="shared" ref="H40:H48" si="44">$F40*G40</f>
        <v>0.48781300000000005</v>
      </c>
      <c r="I40" s="19"/>
      <c r="J40" s="50">
        <v>4.7000000000000002E-3</v>
      </c>
      <c r="K40" s="152">
        <f t="shared" ref="K40:K42" si="45">$F40*J40</f>
        <v>0.48781300000000005</v>
      </c>
      <c r="L40" s="19"/>
      <c r="M40" s="21">
        <f t="shared" si="33"/>
        <v>0</v>
      </c>
      <c r="N40" s="153">
        <f t="shared" si="40"/>
        <v>0</v>
      </c>
      <c r="O40" s="212"/>
      <c r="P40" s="50">
        <v>4.7000000000000002E-3</v>
      </c>
      <c r="Q40" s="152">
        <f t="shared" ref="Q40:Q42" si="46">$F40*P40</f>
        <v>0.48781300000000005</v>
      </c>
      <c r="R40" s="19"/>
      <c r="S40" s="21">
        <f t="shared" si="10"/>
        <v>0</v>
      </c>
      <c r="T40" s="153">
        <f t="shared" si="41"/>
        <v>0</v>
      </c>
      <c r="U40" s="19"/>
      <c r="V40" s="50">
        <v>4.7000000000000002E-3</v>
      </c>
      <c r="W40" s="152">
        <f t="shared" ref="W40:W42" si="47">$F40*V40</f>
        <v>0.48781300000000005</v>
      </c>
      <c r="X40" s="19"/>
      <c r="Y40" s="21">
        <f t="shared" si="11"/>
        <v>0</v>
      </c>
      <c r="Z40" s="153">
        <f t="shared" si="42"/>
        <v>0</v>
      </c>
      <c r="AA40" s="19"/>
      <c r="AB40" s="50">
        <v>4.7000000000000002E-3</v>
      </c>
      <c r="AC40" s="51">
        <f t="shared" ref="AC40:AC48" si="48">$F40*AB40</f>
        <v>0.48781300000000005</v>
      </c>
      <c r="AD40" s="19"/>
      <c r="AE40" s="21">
        <f t="shared" si="12"/>
        <v>0</v>
      </c>
      <c r="AF40" s="52">
        <f t="shared" si="43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103.79</v>
      </c>
      <c r="G41" s="50">
        <v>1.2999999999999999E-3</v>
      </c>
      <c r="H41" s="51">
        <f t="shared" si="44"/>
        <v>0.13492699999999999</v>
      </c>
      <c r="I41" s="19"/>
      <c r="J41" s="50">
        <v>2.0999999999999999E-3</v>
      </c>
      <c r="K41" s="152">
        <f t="shared" si="45"/>
        <v>0.21795899999999999</v>
      </c>
      <c r="L41" s="19"/>
      <c r="M41" s="21">
        <f t="shared" si="33"/>
        <v>8.3031999999999995E-2</v>
      </c>
      <c r="N41" s="153">
        <f t="shared" si="40"/>
        <v>0.61538461538461542</v>
      </c>
      <c r="O41" s="212"/>
      <c r="P41" s="50">
        <v>2.0999999999999999E-3</v>
      </c>
      <c r="Q41" s="152">
        <f t="shared" si="46"/>
        <v>0.21795899999999999</v>
      </c>
      <c r="R41" s="19"/>
      <c r="S41" s="21">
        <f t="shared" si="10"/>
        <v>0</v>
      </c>
      <c r="T41" s="153">
        <f t="shared" si="41"/>
        <v>0</v>
      </c>
      <c r="U41" s="19"/>
      <c r="V41" s="50">
        <v>2.0999999999999999E-3</v>
      </c>
      <c r="W41" s="152">
        <f t="shared" si="47"/>
        <v>0.21795899999999999</v>
      </c>
      <c r="X41" s="19"/>
      <c r="Y41" s="21">
        <f t="shared" si="11"/>
        <v>0</v>
      </c>
      <c r="Z41" s="153">
        <f t="shared" si="42"/>
        <v>0</v>
      </c>
      <c r="AA41" s="19"/>
      <c r="AB41" s="50">
        <v>2.0999999999999999E-3</v>
      </c>
      <c r="AC41" s="51">
        <f t="shared" si="48"/>
        <v>0.21795899999999999</v>
      </c>
      <c r="AD41" s="19"/>
      <c r="AE41" s="21">
        <f t="shared" si="12"/>
        <v>0</v>
      </c>
      <c r="AF41" s="52">
        <f t="shared" si="43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51">
        <f t="shared" si="44"/>
        <v>0.25</v>
      </c>
      <c r="I42" s="19"/>
      <c r="J42" s="50">
        <v>0.25</v>
      </c>
      <c r="K42" s="152">
        <f t="shared" si="45"/>
        <v>0.25</v>
      </c>
      <c r="L42" s="19"/>
      <c r="M42" s="21">
        <f t="shared" si="33"/>
        <v>0</v>
      </c>
      <c r="N42" s="153">
        <f t="shared" si="40"/>
        <v>0</v>
      </c>
      <c r="O42" s="212"/>
      <c r="P42" s="50">
        <v>0.25</v>
      </c>
      <c r="Q42" s="152">
        <f t="shared" si="46"/>
        <v>0.25</v>
      </c>
      <c r="R42" s="19"/>
      <c r="S42" s="21">
        <f t="shared" si="10"/>
        <v>0</v>
      </c>
      <c r="T42" s="153">
        <f t="shared" si="41"/>
        <v>0</v>
      </c>
      <c r="U42" s="19"/>
      <c r="V42" s="50">
        <v>0.25</v>
      </c>
      <c r="W42" s="152">
        <f t="shared" si="47"/>
        <v>0.25</v>
      </c>
      <c r="X42" s="19"/>
      <c r="Y42" s="21">
        <f t="shared" si="11"/>
        <v>0</v>
      </c>
      <c r="Z42" s="153">
        <f t="shared" si="42"/>
        <v>0</v>
      </c>
      <c r="AA42" s="19"/>
      <c r="AB42" s="50">
        <v>0.25</v>
      </c>
      <c r="AC42" s="51">
        <f t="shared" si="48"/>
        <v>0.25</v>
      </c>
      <c r="AD42" s="19"/>
      <c r="AE42" s="21">
        <f t="shared" si="12"/>
        <v>0</v>
      </c>
      <c r="AF42" s="52">
        <f t="shared" si="43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100</v>
      </c>
      <c r="G43" s="50">
        <v>0</v>
      </c>
      <c r="H43" s="51">
        <f t="shared" si="44"/>
        <v>0</v>
      </c>
      <c r="I43" s="19"/>
      <c r="J43" s="50">
        <v>0</v>
      </c>
      <c r="K43" s="51">
        <f t="shared" ref="K43:K48" si="49">$F43*J43</f>
        <v>0</v>
      </c>
      <c r="L43" s="19"/>
      <c r="M43" s="21">
        <f t="shared" si="33"/>
        <v>0</v>
      </c>
      <c r="N43" s="52" t="str">
        <f t="shared" si="40"/>
        <v/>
      </c>
      <c r="O43" s="212"/>
      <c r="P43" s="50"/>
      <c r="Q43" s="51">
        <f t="shared" ref="Q43:Q48" si="50">$F43*P43</f>
        <v>0</v>
      </c>
      <c r="R43" s="19"/>
      <c r="S43" s="21">
        <f t="shared" si="10"/>
        <v>0</v>
      </c>
      <c r="T43" s="52" t="str">
        <f t="shared" si="41"/>
        <v/>
      </c>
      <c r="U43" s="19"/>
      <c r="V43" s="50"/>
      <c r="W43" s="51">
        <f t="shared" ref="W43:W48" si="51">$F43*V43</f>
        <v>0</v>
      </c>
      <c r="X43" s="19"/>
      <c r="Y43" s="21">
        <f t="shared" si="11"/>
        <v>0</v>
      </c>
      <c r="Z43" s="52" t="str">
        <f t="shared" si="42"/>
        <v/>
      </c>
      <c r="AA43" s="19"/>
      <c r="AB43" s="50"/>
      <c r="AC43" s="51">
        <f t="shared" si="48"/>
        <v>0</v>
      </c>
      <c r="AD43" s="19"/>
      <c r="AE43" s="21">
        <f t="shared" si="12"/>
        <v>0</v>
      </c>
      <c r="AF43" s="52" t="str">
        <f t="shared" si="43"/>
        <v/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64</v>
      </c>
      <c r="G44" s="54">
        <v>8.6999999999999994E-2</v>
      </c>
      <c r="H44" s="51">
        <f t="shared" si="44"/>
        <v>5.5679999999999996</v>
      </c>
      <c r="I44" s="19"/>
      <c r="J44" s="54">
        <f>+G44</f>
        <v>8.6999999999999994E-2</v>
      </c>
      <c r="K44" s="51">
        <f t="shared" si="49"/>
        <v>5.5679999999999996</v>
      </c>
      <c r="L44" s="19"/>
      <c r="M44" s="21">
        <f t="shared" si="33"/>
        <v>0</v>
      </c>
      <c r="N44" s="52">
        <f t="shared" si="40"/>
        <v>0</v>
      </c>
      <c r="O44" s="212"/>
      <c r="P44" s="54">
        <v>0.08</v>
      </c>
      <c r="Q44" s="51">
        <f t="shared" si="50"/>
        <v>5.12</v>
      </c>
      <c r="R44" s="19"/>
      <c r="S44" s="21">
        <f t="shared" si="10"/>
        <v>-0.44799999999999951</v>
      </c>
      <c r="T44" s="52">
        <f t="shared" si="41"/>
        <v>-8.0459770114942444E-2</v>
      </c>
      <c r="U44" s="19"/>
      <c r="V44" s="54">
        <v>0.08</v>
      </c>
      <c r="W44" s="51">
        <f t="shared" si="51"/>
        <v>5.12</v>
      </c>
      <c r="X44" s="19"/>
      <c r="Y44" s="21">
        <f t="shared" si="11"/>
        <v>0</v>
      </c>
      <c r="Z44" s="52">
        <f t="shared" si="42"/>
        <v>0</v>
      </c>
      <c r="AA44" s="19"/>
      <c r="AB44" s="54">
        <v>0.08</v>
      </c>
      <c r="AC44" s="51">
        <f t="shared" si="48"/>
        <v>5.12</v>
      </c>
      <c r="AD44" s="19"/>
      <c r="AE44" s="21">
        <f t="shared" si="12"/>
        <v>0</v>
      </c>
      <c r="AF44" s="52">
        <f t="shared" si="43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18</v>
      </c>
      <c r="G45" s="54">
        <v>0.13200000000000001</v>
      </c>
      <c r="H45" s="51">
        <f t="shared" si="44"/>
        <v>2.3760000000000003</v>
      </c>
      <c r="I45" s="19"/>
      <c r="J45" s="54">
        <f>+G45</f>
        <v>0.13200000000000001</v>
      </c>
      <c r="K45" s="51">
        <f t="shared" si="49"/>
        <v>2.3760000000000003</v>
      </c>
      <c r="L45" s="19"/>
      <c r="M45" s="21">
        <f t="shared" si="33"/>
        <v>0</v>
      </c>
      <c r="N45" s="52">
        <f t="shared" si="40"/>
        <v>0</v>
      </c>
      <c r="O45" s="212"/>
      <c r="P45" s="54">
        <v>0.122</v>
      </c>
      <c r="Q45" s="51">
        <f t="shared" si="50"/>
        <v>2.1959999999999997</v>
      </c>
      <c r="R45" s="19"/>
      <c r="S45" s="21">
        <f t="shared" si="10"/>
        <v>-0.1800000000000006</v>
      </c>
      <c r="T45" s="52">
        <f t="shared" si="41"/>
        <v>-7.5757575757575996E-2</v>
      </c>
      <c r="U45" s="19"/>
      <c r="V45" s="54">
        <v>0.122</v>
      </c>
      <c r="W45" s="51">
        <f t="shared" si="51"/>
        <v>2.1959999999999997</v>
      </c>
      <c r="X45" s="19"/>
      <c r="Y45" s="21">
        <f t="shared" si="11"/>
        <v>0</v>
      </c>
      <c r="Z45" s="52">
        <f t="shared" si="42"/>
        <v>0</v>
      </c>
      <c r="AA45" s="19"/>
      <c r="AB45" s="54">
        <v>0.122</v>
      </c>
      <c r="AC45" s="51">
        <f t="shared" si="48"/>
        <v>2.1959999999999997</v>
      </c>
      <c r="AD45" s="19"/>
      <c r="AE45" s="21">
        <f t="shared" si="12"/>
        <v>0</v>
      </c>
      <c r="AF45" s="52">
        <f t="shared" si="43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18</v>
      </c>
      <c r="G46" s="54">
        <v>0.18</v>
      </c>
      <c r="H46" s="51">
        <f t="shared" si="44"/>
        <v>3.2399999999999998</v>
      </c>
      <c r="I46" s="19"/>
      <c r="J46" s="54">
        <f>+G46</f>
        <v>0.18</v>
      </c>
      <c r="K46" s="51">
        <f t="shared" si="49"/>
        <v>3.2399999999999998</v>
      </c>
      <c r="L46" s="19"/>
      <c r="M46" s="21">
        <f t="shared" si="33"/>
        <v>0</v>
      </c>
      <c r="N46" s="52">
        <f t="shared" si="40"/>
        <v>0</v>
      </c>
      <c r="O46" s="212"/>
      <c r="P46" s="54">
        <v>0.161</v>
      </c>
      <c r="Q46" s="51">
        <f t="shared" si="50"/>
        <v>2.8980000000000001</v>
      </c>
      <c r="R46" s="19"/>
      <c r="S46" s="21">
        <f t="shared" si="10"/>
        <v>-0.34199999999999964</v>
      </c>
      <c r="T46" s="52">
        <f t="shared" si="41"/>
        <v>-0.10555555555555546</v>
      </c>
      <c r="U46" s="19"/>
      <c r="V46" s="54">
        <v>0.161</v>
      </c>
      <c r="W46" s="51">
        <f t="shared" si="51"/>
        <v>2.8980000000000001</v>
      </c>
      <c r="X46" s="19"/>
      <c r="Y46" s="21">
        <f t="shared" si="11"/>
        <v>0</v>
      </c>
      <c r="Z46" s="52">
        <f t="shared" si="42"/>
        <v>0</v>
      </c>
      <c r="AA46" s="19"/>
      <c r="AB46" s="54">
        <v>0.161</v>
      </c>
      <c r="AC46" s="51">
        <f t="shared" si="48"/>
        <v>2.8980000000000001</v>
      </c>
      <c r="AD46" s="19"/>
      <c r="AE46" s="21">
        <f t="shared" si="12"/>
        <v>0</v>
      </c>
      <c r="AF46" s="52">
        <f t="shared" si="43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IF(AND(K3=1, G7&gt;=600), 600, IF(AND(K3=1, AND(G7&lt;600, G7&gt;=0)), G7, IF(AND(K3=2, G7&gt;=1000), 1000, IF(AND(K3=2, AND(G7&lt;1000, G7&gt;=0)), G7))))</f>
        <v>100</v>
      </c>
      <c r="G47" s="54">
        <v>0.10299999999999999</v>
      </c>
      <c r="H47" s="152">
        <f t="shared" si="44"/>
        <v>10.299999999999999</v>
      </c>
      <c r="I47" s="59"/>
      <c r="J47" s="54">
        <f>+G47</f>
        <v>0.10299999999999999</v>
      </c>
      <c r="K47" s="152">
        <f t="shared" si="49"/>
        <v>10.299999999999999</v>
      </c>
      <c r="L47" s="59"/>
      <c r="M47" s="60">
        <f t="shared" si="33"/>
        <v>0</v>
      </c>
      <c r="N47" s="52">
        <f>IF((H47)=FALSE,"",(M47/H47))</f>
        <v>0</v>
      </c>
      <c r="O47" s="212"/>
      <c r="P47" s="54">
        <v>9.4E-2</v>
      </c>
      <c r="Q47" s="152">
        <f t="shared" si="50"/>
        <v>9.4</v>
      </c>
      <c r="R47" s="59"/>
      <c r="S47" s="60">
        <f t="shared" si="10"/>
        <v>-0.89999999999999858</v>
      </c>
      <c r="T47" s="52">
        <f>IF((K47)=FALSE,"",(S47/K47))</f>
        <v>-8.7378640776698907E-2</v>
      </c>
      <c r="U47" s="59"/>
      <c r="V47" s="54">
        <v>9.4E-2</v>
      </c>
      <c r="W47" s="152">
        <f t="shared" si="51"/>
        <v>9.4</v>
      </c>
      <c r="X47" s="59"/>
      <c r="Y47" s="60">
        <f t="shared" si="11"/>
        <v>0</v>
      </c>
      <c r="Z47" s="52">
        <f>IF((Q47)=FALSE,"",(Y47/Q47))</f>
        <v>0</v>
      </c>
      <c r="AA47" s="59"/>
      <c r="AB47" s="54">
        <v>9.4E-2</v>
      </c>
      <c r="AC47" s="152">
        <f t="shared" si="48"/>
        <v>9.4</v>
      </c>
      <c r="AD47" s="59"/>
      <c r="AE47" s="60">
        <f>AC47-W47</f>
        <v>0</v>
      </c>
      <c r="AF47" s="52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IF(AND(K3=1, G7&gt;=600), G7-600, IF(AND(K3=1, AND(G7&lt;600, G7&gt;=0)), 0, IF(AND(K3=2, G7&gt;=1000), G7-1000, IF(AND(K3=2, AND(G7&lt;1000, G7&gt;=0)), 0))))</f>
        <v>0</v>
      </c>
      <c r="G48" s="54">
        <v>0.121</v>
      </c>
      <c r="H48" s="152">
        <f t="shared" si="44"/>
        <v>0</v>
      </c>
      <c r="I48" s="59"/>
      <c r="J48" s="54">
        <f>+G48</f>
        <v>0.121</v>
      </c>
      <c r="K48" s="152">
        <f t="shared" si="49"/>
        <v>0</v>
      </c>
      <c r="L48" s="59"/>
      <c r="M48" s="60">
        <f t="shared" si="33"/>
        <v>0</v>
      </c>
      <c r="N48" s="207" t="str">
        <f>IFERROR(IF((H48)=FALSE,"",(M48/H48)),"n/a")</f>
        <v>n/a</v>
      </c>
      <c r="O48" s="212"/>
      <c r="P48" s="54">
        <v>0.11</v>
      </c>
      <c r="Q48" s="152">
        <f t="shared" si="50"/>
        <v>0</v>
      </c>
      <c r="R48" s="59"/>
      <c r="S48" s="60">
        <f t="shared" si="10"/>
        <v>0</v>
      </c>
      <c r="T48" s="52" t="e">
        <f>IF((K48)=FALSE,"",(S48/K48))</f>
        <v>#DIV/0!</v>
      </c>
      <c r="U48" s="59"/>
      <c r="V48" s="54">
        <v>0.11</v>
      </c>
      <c r="W48" s="152">
        <f t="shared" si="51"/>
        <v>0</v>
      </c>
      <c r="X48" s="59"/>
      <c r="Y48" s="60">
        <f t="shared" si="11"/>
        <v>0</v>
      </c>
      <c r="Z48" s="52" t="e">
        <f>IF((Q48)=FALSE,"",(Y48/Q48))</f>
        <v>#DIV/0!</v>
      </c>
      <c r="AA48" s="59"/>
      <c r="AB48" s="54">
        <v>0.11</v>
      </c>
      <c r="AC48" s="152">
        <f t="shared" si="48"/>
        <v>0</v>
      </c>
      <c r="AD48" s="59"/>
      <c r="AE48" s="60">
        <f t="shared" si="12"/>
        <v>0</v>
      </c>
      <c r="AF48" s="52" t="e">
        <f>IF((W48)=FALSE,"",(AE48/W48))</f>
        <v>#DIV/0!</v>
      </c>
    </row>
    <row r="49" spans="2:33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3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3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35.527517999400722</v>
      </c>
      <c r="I50" s="75"/>
      <c r="J50" s="72"/>
      <c r="K50" s="74">
        <f>SUM(K40:K46,K39)</f>
        <v>37.420052600105706</v>
      </c>
      <c r="L50" s="75"/>
      <c r="M50" s="76">
        <f t="shared" si="33"/>
        <v>1.8925346007049839</v>
      </c>
      <c r="N50" s="77">
        <f>IF((H50)=0,"",(M50/H50))</f>
        <v>5.3269541675748565E-2</v>
      </c>
      <c r="O50" s="212"/>
      <c r="P50" s="72"/>
      <c r="Q50" s="74">
        <f>SUM(Q40:Q46,Q39)</f>
        <v>36.450052600105707</v>
      </c>
      <c r="R50" s="75"/>
      <c r="S50" s="76">
        <f t="shared" si="10"/>
        <v>-0.96999999999999886</v>
      </c>
      <c r="T50" s="77">
        <f>IF((K50)=0,"",(S50/K50))</f>
        <v>-2.5921930425005835E-2</v>
      </c>
      <c r="U50" s="75"/>
      <c r="V50" s="72"/>
      <c r="W50" s="74">
        <f>SUM(W40:W46,W39)</f>
        <v>38.070052600141892</v>
      </c>
      <c r="X50" s="75"/>
      <c r="Y50" s="76">
        <f t="shared" si="11"/>
        <v>1.6200000000361854</v>
      </c>
      <c r="Z50" s="77">
        <f>IF((Q50)=0,"",(Y50/Q50))</f>
        <v>4.4444380308836295E-2</v>
      </c>
      <c r="AA50" s="75"/>
      <c r="AB50" s="72"/>
      <c r="AC50" s="74">
        <f>SUM(AC40:AC46,AC39)</f>
        <v>39.980027407626551</v>
      </c>
      <c r="AD50" s="75"/>
      <c r="AE50" s="76">
        <f t="shared" si="12"/>
        <v>1.9099748074846588</v>
      </c>
      <c r="AF50" s="77">
        <f>IF((W50)=0,"",(AE50/W50))</f>
        <v>5.0170007053721273E-2</v>
      </c>
    </row>
    <row r="51" spans="2:33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4.6185773399220942</v>
      </c>
      <c r="I51" s="81"/>
      <c r="J51" s="79">
        <v>0.13</v>
      </c>
      <c r="K51" s="82">
        <f>K50*J51</f>
        <v>4.8646068380137422</v>
      </c>
      <c r="L51" s="81"/>
      <c r="M51" s="83">
        <f t="shared" si="33"/>
        <v>0.24602949809164798</v>
      </c>
      <c r="N51" s="84">
        <f>IF((H51)=0,"",(M51/H51))</f>
        <v>5.3269541675748572E-2</v>
      </c>
      <c r="O51" s="212"/>
      <c r="P51" s="79">
        <v>0.13</v>
      </c>
      <c r="Q51" s="82">
        <f>Q50*P51</f>
        <v>4.7385068380137421</v>
      </c>
      <c r="R51" s="81"/>
      <c r="S51" s="83">
        <f t="shared" si="10"/>
        <v>-0.1261000000000001</v>
      </c>
      <c r="T51" s="84">
        <f>IF((K51)=0,"",(S51/K51))</f>
        <v>-2.5921930425005884E-2</v>
      </c>
      <c r="U51" s="81"/>
      <c r="V51" s="79">
        <v>0.13</v>
      </c>
      <c r="W51" s="82">
        <f>W50*V51</f>
        <v>4.9491068380184462</v>
      </c>
      <c r="X51" s="81"/>
      <c r="Y51" s="83">
        <f t="shared" si="11"/>
        <v>0.21060000000470414</v>
      </c>
      <c r="Z51" s="84">
        <f>IF((Q51)=0,"",(Y51/Q51))</f>
        <v>4.4444380308836302E-2</v>
      </c>
      <c r="AA51" s="81"/>
      <c r="AB51" s="79">
        <v>0.13</v>
      </c>
      <c r="AC51" s="82">
        <f>AC50*AB51</f>
        <v>5.1974035629914521</v>
      </c>
      <c r="AD51" s="81"/>
      <c r="AE51" s="83">
        <f t="shared" si="12"/>
        <v>0.24829672497300592</v>
      </c>
      <c r="AF51" s="84">
        <f>IF((W51)=0,"",(AE51/W51))</f>
        <v>5.0170007053721329E-2</v>
      </c>
    </row>
    <row r="52" spans="2:33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40.146095339322812</v>
      </c>
      <c r="I52" s="81"/>
      <c r="J52" s="86"/>
      <c r="K52" s="82">
        <f>K50+K51</f>
        <v>42.284659438119448</v>
      </c>
      <c r="L52" s="81"/>
      <c r="M52" s="83">
        <f t="shared" si="33"/>
        <v>2.1385640987966354</v>
      </c>
      <c r="N52" s="84">
        <f>IF((H52)=0,"",(M52/H52))</f>
        <v>5.3269541675748655E-2</v>
      </c>
      <c r="O52" s="212"/>
      <c r="P52" s="86"/>
      <c r="Q52" s="82">
        <f>Q50+Q51</f>
        <v>41.188559438119448</v>
      </c>
      <c r="R52" s="81"/>
      <c r="S52" s="83">
        <f t="shared" si="10"/>
        <v>-1.0960999999999999</v>
      </c>
      <c r="T52" s="84">
        <f>IF((K52)=0,"",(S52/K52))</f>
        <v>-2.5921930425005863E-2</v>
      </c>
      <c r="U52" s="81"/>
      <c r="V52" s="86"/>
      <c r="W52" s="82">
        <f>W50+W51</f>
        <v>43.019159438160337</v>
      </c>
      <c r="X52" s="81"/>
      <c r="Y52" s="83">
        <f t="shared" si="11"/>
        <v>1.8306000000408886</v>
      </c>
      <c r="Z52" s="84">
        <f>IF((Q52)=0,"",(Y52/Q52))</f>
        <v>4.4444380308836282E-2</v>
      </c>
      <c r="AA52" s="81"/>
      <c r="AB52" s="86"/>
      <c r="AC52" s="82">
        <f>AC50+AC51</f>
        <v>45.177430970618005</v>
      </c>
      <c r="AD52" s="81"/>
      <c r="AE52" s="83">
        <f t="shared" si="12"/>
        <v>2.1582715324576682</v>
      </c>
      <c r="AF52" s="84">
        <f>IF((W52)=0,"",(AE52/W52))</f>
        <v>5.017000705372137E-2</v>
      </c>
    </row>
    <row r="53" spans="2:33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-2.9936042080084566</v>
      </c>
      <c r="L53" s="81"/>
      <c r="M53" s="88">
        <f t="shared" si="33"/>
        <v>-2.9936042080084566</v>
      </c>
      <c r="N53" s="89" t="str">
        <f>IF((H53)=0,"",(M53/H53))</f>
        <v/>
      </c>
      <c r="O53" s="212"/>
      <c r="P53" s="86"/>
      <c r="Q53" s="87">
        <f>ROUND(-Q52*10%,2)</f>
        <v>-4.12</v>
      </c>
      <c r="R53" s="81"/>
      <c r="S53" s="88">
        <f t="shared" si="10"/>
        <v>-1.1263957919915435</v>
      </c>
      <c r="T53" s="89">
        <f>IF((K53)=0,"",(S53/K53))</f>
        <v>0.37626744009051766</v>
      </c>
      <c r="U53" s="81"/>
      <c r="V53" s="86"/>
      <c r="W53" s="87">
        <f>ROUND(-W52*10%,2)</f>
        <v>-4.3</v>
      </c>
      <c r="X53" s="81"/>
      <c r="Y53" s="88">
        <f t="shared" si="11"/>
        <v>-0.17999999999999972</v>
      </c>
      <c r="Z53" s="89">
        <f>IF((Q53)=0,"",(Y53/Q53))</f>
        <v>4.3689320388349447E-2</v>
      </c>
      <c r="AA53" s="81"/>
      <c r="AB53" s="86"/>
      <c r="AC53" s="87">
        <f>ROUND(-AC52*10%,2)</f>
        <v>-4.5199999999999996</v>
      </c>
      <c r="AD53" s="81"/>
      <c r="AE53" s="88">
        <f t="shared" si="12"/>
        <v>-0.21999999999999975</v>
      </c>
      <c r="AF53" s="89">
        <f>IF((W53)=0,"",(AE53/W53))</f>
        <v>5.1162790697674362E-2</v>
      </c>
    </row>
    <row r="54" spans="2:33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40.146095339322812</v>
      </c>
      <c r="I54" s="92"/>
      <c r="J54" s="90"/>
      <c r="K54" s="93">
        <f>K52+K53</f>
        <v>39.291055230110992</v>
      </c>
      <c r="L54" s="92"/>
      <c r="M54" s="94">
        <f t="shared" si="33"/>
        <v>-0.85504010921182072</v>
      </c>
      <c r="N54" s="95">
        <f>IF((H54)=0,"",(M54/H54))</f>
        <v>-2.1298213487136196E-2</v>
      </c>
      <c r="O54" s="212"/>
      <c r="P54" s="90"/>
      <c r="Q54" s="93">
        <f>Q52+Q53</f>
        <v>37.068559438119451</v>
      </c>
      <c r="R54" s="92"/>
      <c r="S54" s="94">
        <f t="shared" si="10"/>
        <v>-2.2224957919915411</v>
      </c>
      <c r="T54" s="95">
        <f>IF((K54)=0,"",(S54/K54))</f>
        <v>-5.6564930083331411E-2</v>
      </c>
      <c r="U54" s="92"/>
      <c r="V54" s="90"/>
      <c r="W54" s="93">
        <f>W52+W53</f>
        <v>38.719159438160339</v>
      </c>
      <c r="X54" s="92"/>
      <c r="Y54" s="94">
        <f t="shared" si="11"/>
        <v>1.6506000000408889</v>
      </c>
      <c r="Z54" s="95">
        <f>IF((Q54)=0,"",(Y54/Q54))</f>
        <v>4.4528301748448698E-2</v>
      </c>
      <c r="AA54" s="92"/>
      <c r="AB54" s="90"/>
      <c r="AC54" s="93">
        <f>AC52+AC53</f>
        <v>40.657430970618009</v>
      </c>
      <c r="AD54" s="92"/>
      <c r="AE54" s="94">
        <f t="shared" si="12"/>
        <v>1.9382715324576694</v>
      </c>
      <c r="AF54" s="95">
        <f>IF((W54)=0,"",(AE54/W54))</f>
        <v>5.0059752344400646E-2</v>
      </c>
    </row>
    <row r="55" spans="2:33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3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3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34.643517999400721</v>
      </c>
      <c r="I56" s="106"/>
      <c r="J56" s="103"/>
      <c r="K56" s="105">
        <f>SUM(K47:K48,K39,K40:K43)</f>
        <v>36.536052600105712</v>
      </c>
      <c r="L56" s="106"/>
      <c r="M56" s="107">
        <f t="shared" si="33"/>
        <v>1.892534600704991</v>
      </c>
      <c r="N56" s="77">
        <f>IF((H56)=0,"",(M56/H56))</f>
        <v>5.4628822648373321E-2</v>
      </c>
      <c r="O56" s="212"/>
      <c r="P56" s="103"/>
      <c r="Q56" s="105">
        <f>SUM(Q47:Q48,Q39,Q40:Q43)</f>
        <v>35.636052600105714</v>
      </c>
      <c r="R56" s="106"/>
      <c r="S56" s="107">
        <f t="shared" si="10"/>
        <v>-0.89999999999999858</v>
      </c>
      <c r="T56" s="77">
        <f>IF((K56)=0,"",(S56/K56))</f>
        <v>-2.4633202985847313E-2</v>
      </c>
      <c r="U56" s="106"/>
      <c r="V56" s="103"/>
      <c r="W56" s="105">
        <f>SUM(W47:W48,W39,W40:W43)</f>
        <v>37.256052600141892</v>
      </c>
      <c r="X56" s="106"/>
      <c r="Y56" s="107">
        <f t="shared" si="11"/>
        <v>1.6200000000361783</v>
      </c>
      <c r="Z56" s="77">
        <f>IF((Q56)=0,"",(Y56/Q56))</f>
        <v>4.5459580448351133E-2</v>
      </c>
      <c r="AA56" s="106"/>
      <c r="AB56" s="103"/>
      <c r="AC56" s="105">
        <f>SUM(AC47:AC48,AC39,AC40:AC43)</f>
        <v>39.166027407626551</v>
      </c>
      <c r="AD56" s="106"/>
      <c r="AE56" s="107">
        <f t="shared" si="12"/>
        <v>1.9099748074846588</v>
      </c>
      <c r="AF56" s="77">
        <f>IF((W56)=0,"",(AE56/W56))</f>
        <v>5.1266161447210981E-2</v>
      </c>
    </row>
    <row r="57" spans="2:33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4.5036573399220936</v>
      </c>
      <c r="I57" s="110"/>
      <c r="J57" s="109">
        <v>0.13</v>
      </c>
      <c r="K57" s="111">
        <f>K56*J57</f>
        <v>4.7496868380137425</v>
      </c>
      <c r="L57" s="110"/>
      <c r="M57" s="112">
        <f t="shared" si="33"/>
        <v>0.24602949809164887</v>
      </c>
      <c r="N57" s="84">
        <f>IF((H57)=0,"",(M57/H57))</f>
        <v>5.4628822648373335E-2</v>
      </c>
      <c r="O57" s="212"/>
      <c r="P57" s="109">
        <v>0.13</v>
      </c>
      <c r="Q57" s="111">
        <f>Q56*P57</f>
        <v>4.6326868380137434</v>
      </c>
      <c r="R57" s="110"/>
      <c r="S57" s="112">
        <f t="shared" si="10"/>
        <v>-0.1169999999999991</v>
      </c>
      <c r="T57" s="84">
        <f>IF((K57)=0,"",(S57/K57))</f>
        <v>-2.4633202985847164E-2</v>
      </c>
      <c r="U57" s="110"/>
      <c r="V57" s="109">
        <v>0.13</v>
      </c>
      <c r="W57" s="111">
        <f>W56*V57</f>
        <v>4.8432868380184457</v>
      </c>
      <c r="X57" s="110"/>
      <c r="Y57" s="112">
        <f t="shared" si="11"/>
        <v>0.21060000000470236</v>
      </c>
      <c r="Z57" s="84">
        <f>IF((Q57)=0,"",(Y57/Q57))</f>
        <v>4.5459580448350953E-2</v>
      </c>
      <c r="AA57" s="110"/>
      <c r="AB57" s="109">
        <v>0.13</v>
      </c>
      <c r="AC57" s="111">
        <f>AC56*AB57</f>
        <v>5.0915835629914517</v>
      </c>
      <c r="AD57" s="110"/>
      <c r="AE57" s="112">
        <f t="shared" si="12"/>
        <v>0.24829672497300592</v>
      </c>
      <c r="AF57" s="84">
        <f>IF((W57)=0,"",(AE57/W57))</f>
        <v>5.1266161447211044E-2</v>
      </c>
    </row>
    <row r="58" spans="2:33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39.147175339322814</v>
      </c>
      <c r="I58" s="110"/>
      <c r="J58" s="114"/>
      <c r="K58" s="111">
        <f>K56+K57</f>
        <v>41.285739438119457</v>
      </c>
      <c r="L58" s="110"/>
      <c r="M58" s="112">
        <f t="shared" si="33"/>
        <v>2.1385640987966426</v>
      </c>
      <c r="N58" s="84">
        <f>IF((H58)=0,"",(M58/H58))</f>
        <v>5.4628822648373397E-2</v>
      </c>
      <c r="O58" s="212"/>
      <c r="P58" s="114"/>
      <c r="Q58" s="111">
        <f>Q56+Q57</f>
        <v>40.268739438119454</v>
      </c>
      <c r="R58" s="110"/>
      <c r="S58" s="112">
        <f t="shared" si="10"/>
        <v>-1.017000000000003</v>
      </c>
      <c r="T58" s="84">
        <f>IF((K58)=0,"",(S58/K58))</f>
        <v>-2.4633202985847424E-2</v>
      </c>
      <c r="U58" s="110"/>
      <c r="V58" s="114"/>
      <c r="W58" s="111">
        <f>W56+W57</f>
        <v>42.099339438160335</v>
      </c>
      <c r="X58" s="110"/>
      <c r="Y58" s="112">
        <f t="shared" si="11"/>
        <v>1.8306000000408815</v>
      </c>
      <c r="Z58" s="84">
        <f>IF((Q58)=0,"",(Y58/Q58))</f>
        <v>4.545958044835114E-2</v>
      </c>
      <c r="AA58" s="110"/>
      <c r="AB58" s="114"/>
      <c r="AC58" s="111">
        <f>AC56+AC57</f>
        <v>44.257610970618003</v>
      </c>
      <c r="AD58" s="110"/>
      <c r="AE58" s="112">
        <f t="shared" si="12"/>
        <v>2.1582715324576682</v>
      </c>
      <c r="AF58" s="84">
        <f>IF((W58)=0,"",(AE58/W58))</f>
        <v>5.1266161447211078E-2</v>
      </c>
    </row>
    <row r="59" spans="2:33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-2.9228842080084569</v>
      </c>
      <c r="L59" s="110"/>
      <c r="M59" s="117">
        <f t="shared" si="33"/>
        <v>-2.9228842080084569</v>
      </c>
      <c r="N59" s="89" t="str">
        <f>IF((H59)=0,"",(M59/H59))</f>
        <v/>
      </c>
      <c r="O59" s="212"/>
      <c r="P59" s="114"/>
      <c r="Q59" s="116">
        <f>ROUND(-Q58*10%,2)</f>
        <v>-4.03</v>
      </c>
      <c r="R59" s="110"/>
      <c r="S59" s="117">
        <f t="shared" si="10"/>
        <v>-1.1071157919915433</v>
      </c>
      <c r="T59" s="89">
        <f>IF((K59)=0,"",(S59/K59))</f>
        <v>0.37877511156895616</v>
      </c>
      <c r="U59" s="110"/>
      <c r="V59" s="114"/>
      <c r="W59" s="116">
        <f>ROUND(-W58*10%,2)</f>
        <v>-4.21</v>
      </c>
      <c r="X59" s="110"/>
      <c r="Y59" s="117">
        <f t="shared" si="11"/>
        <v>-0.17999999999999972</v>
      </c>
      <c r="Z59" s="89">
        <f>IF((Q59)=0,"",(Y59/Q59))</f>
        <v>4.466501240694782E-2</v>
      </c>
      <c r="AA59" s="110"/>
      <c r="AB59" s="114"/>
      <c r="AC59" s="116">
        <f>ROUND(-AC58*10%,2)</f>
        <v>-4.43</v>
      </c>
      <c r="AD59" s="110"/>
      <c r="AE59" s="117">
        <f t="shared" si="12"/>
        <v>-0.21999999999999975</v>
      </c>
      <c r="AF59" s="89">
        <f>IF((W59)=0,"",(AE59/W59))</f>
        <v>5.2256532066508252E-2</v>
      </c>
    </row>
    <row r="60" spans="2:33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39.147175339322814</v>
      </c>
      <c r="I60" s="120"/>
      <c r="J60" s="118"/>
      <c r="K60" s="121">
        <f>SUM(K58:K59)</f>
        <v>38.362855230111002</v>
      </c>
      <c r="L60" s="120"/>
      <c r="M60" s="122">
        <f t="shared" si="33"/>
        <v>-0.78432010921181217</v>
      </c>
      <c r="N60" s="123">
        <f>IF((H60)=0,"",(M60/H60))</f>
        <v>-2.0035164795759175E-2</v>
      </c>
      <c r="O60" s="212"/>
      <c r="P60" s="118"/>
      <c r="Q60" s="121">
        <f>SUM(Q58:Q59)</f>
        <v>36.238739438119453</v>
      </c>
      <c r="R60" s="120"/>
      <c r="S60" s="122">
        <f t="shared" si="10"/>
        <v>-2.1241157919915494</v>
      </c>
      <c r="T60" s="123">
        <f>IF((K60)=0,"",(S60/K60))</f>
        <v>-5.5369074570975396E-2</v>
      </c>
      <c r="U60" s="120"/>
      <c r="V60" s="118"/>
      <c r="W60" s="121">
        <f>SUM(W58:W59)</f>
        <v>37.889339438160334</v>
      </c>
      <c r="X60" s="120"/>
      <c r="Y60" s="122">
        <f t="shared" si="11"/>
        <v>1.6506000000408818</v>
      </c>
      <c r="Z60" s="123">
        <f>IF((Q60)=0,"",(Y60/Q60))</f>
        <v>4.5547941943715052E-2</v>
      </c>
      <c r="AA60" s="120"/>
      <c r="AB60" s="118"/>
      <c r="AC60" s="121">
        <f>SUM(AC58:AC59)</f>
        <v>39.827610970618004</v>
      </c>
      <c r="AD60" s="120"/>
      <c r="AE60" s="122">
        <f t="shared" si="12"/>
        <v>1.9382715324576694</v>
      </c>
      <c r="AF60" s="123">
        <f>IF((W60)=0,"",(AE60/W60))</f>
        <v>5.1156118348833886E-2</v>
      </c>
    </row>
    <row r="61" spans="2:33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3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3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5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3" ht="10.5" customHeight="1" x14ac:dyDescent="0.2">
      <c r="I64" s="142"/>
      <c r="J64" s="142"/>
      <c r="K64" s="142"/>
      <c r="L64" s="142"/>
      <c r="O64" s="142"/>
      <c r="R64" s="142"/>
      <c r="U64" s="142"/>
      <c r="X64" s="142"/>
      <c r="AA64" s="142"/>
      <c r="AD64" s="142"/>
      <c r="AG64" s="142"/>
    </row>
    <row r="65" spans="1:33" ht="10.5" customHeight="1" x14ac:dyDescent="0.2">
      <c r="A65" s="130" t="s">
        <v>39</v>
      </c>
      <c r="I65" s="142"/>
      <c r="J65" s="142"/>
      <c r="K65" s="142"/>
      <c r="L65" s="142"/>
      <c r="O65" s="142"/>
      <c r="R65" s="142"/>
      <c r="U65" s="142"/>
      <c r="X65" s="142"/>
      <c r="AA65" s="142"/>
      <c r="AD65" s="142"/>
      <c r="AG65" s="142"/>
    </row>
    <row r="66" spans="1:33" ht="10.5" customHeight="1" x14ac:dyDescent="0.2">
      <c r="I66" s="142"/>
      <c r="J66" s="142"/>
      <c r="K66" s="142"/>
      <c r="L66" s="142"/>
      <c r="O66" s="142"/>
      <c r="R66" s="142"/>
      <c r="U66" s="142"/>
      <c r="X66" s="142"/>
      <c r="AA66" s="142"/>
      <c r="AD66" s="142"/>
      <c r="AG66" s="142"/>
    </row>
    <row r="67" spans="1:33" x14ac:dyDescent="0.2">
      <c r="A67" s="1" t="s">
        <v>40</v>
      </c>
      <c r="I67" s="142"/>
      <c r="J67" s="142"/>
      <c r="K67" s="142"/>
      <c r="L67" s="142"/>
      <c r="O67" s="142"/>
      <c r="R67" s="142"/>
      <c r="U67" s="142"/>
      <c r="X67" s="142"/>
      <c r="AA67" s="142"/>
      <c r="AD67" s="142"/>
      <c r="AG67" s="142"/>
    </row>
    <row r="68" spans="1:33" x14ac:dyDescent="0.2">
      <c r="A68" s="1" t="s">
        <v>41</v>
      </c>
      <c r="I68" s="142"/>
      <c r="J68" s="142"/>
      <c r="K68" s="142"/>
      <c r="L68" s="142"/>
      <c r="O68" s="142"/>
      <c r="R68" s="142"/>
      <c r="U68" s="142"/>
      <c r="X68" s="142"/>
      <c r="AA68" s="142"/>
      <c r="AD68" s="142"/>
      <c r="AG68" s="142"/>
    </row>
    <row r="69" spans="1:33" x14ac:dyDescent="0.2">
      <c r="I69" s="142"/>
      <c r="J69" s="142"/>
      <c r="K69" s="142"/>
      <c r="L69" s="142"/>
      <c r="O69" s="142"/>
      <c r="R69" s="142"/>
      <c r="U69" s="142"/>
      <c r="X69" s="142"/>
      <c r="AA69" s="142"/>
      <c r="AD69" s="142"/>
      <c r="AG69" s="142"/>
    </row>
    <row r="70" spans="1:33" x14ac:dyDescent="0.2">
      <c r="A70" s="6" t="s">
        <v>42</v>
      </c>
      <c r="I70" s="142"/>
      <c r="J70" s="142"/>
      <c r="K70" s="142"/>
      <c r="L70" s="142"/>
      <c r="O70" s="142"/>
      <c r="R70" s="142"/>
      <c r="U70" s="142"/>
      <c r="X70" s="142"/>
      <c r="AA70" s="142"/>
      <c r="AD70" s="142"/>
      <c r="AG70" s="142"/>
    </row>
    <row r="71" spans="1:33" x14ac:dyDescent="0.2">
      <c r="A71" s="6" t="s">
        <v>43</v>
      </c>
      <c r="I71" s="142"/>
      <c r="J71" s="142"/>
      <c r="K71" s="142"/>
      <c r="L71" s="142"/>
      <c r="O71" s="142"/>
      <c r="R71" s="142"/>
      <c r="U71" s="142"/>
      <c r="X71" s="142"/>
      <c r="AA71" s="142"/>
      <c r="AD71" s="142"/>
      <c r="AG71" s="142"/>
    </row>
    <row r="72" spans="1:33" x14ac:dyDescent="0.2">
      <c r="I72" s="142"/>
      <c r="J72" s="142"/>
      <c r="K72" s="142"/>
      <c r="L72" s="142"/>
      <c r="O72" s="142"/>
      <c r="R72" s="142"/>
      <c r="U72" s="142"/>
      <c r="X72" s="142"/>
      <c r="AA72" s="142"/>
      <c r="AD72" s="142"/>
      <c r="AG72" s="142"/>
    </row>
    <row r="73" spans="1:33" x14ac:dyDescent="0.2">
      <c r="A73" s="1" t="s">
        <v>44</v>
      </c>
      <c r="I73" s="142"/>
      <c r="J73" s="142"/>
      <c r="K73" s="142"/>
      <c r="L73" s="142"/>
      <c r="O73" s="142"/>
      <c r="R73" s="142"/>
      <c r="U73" s="142"/>
      <c r="X73" s="142"/>
      <c r="AA73" s="142"/>
      <c r="AD73" s="142"/>
      <c r="AG73" s="142"/>
    </row>
    <row r="74" spans="1:33" x14ac:dyDescent="0.2">
      <c r="A74" s="1" t="s">
        <v>45</v>
      </c>
      <c r="I74" s="142"/>
      <c r="J74" s="142"/>
      <c r="K74" s="142"/>
      <c r="L74" s="142"/>
      <c r="O74" s="142"/>
      <c r="R74" s="142"/>
      <c r="U74" s="142"/>
      <c r="X74" s="142"/>
      <c r="AA74" s="142"/>
      <c r="AD74" s="142"/>
      <c r="AG74" s="142"/>
    </row>
    <row r="75" spans="1:33" x14ac:dyDescent="0.2">
      <c r="A75" s="1" t="s">
        <v>46</v>
      </c>
      <c r="I75" s="142"/>
      <c r="J75" s="142"/>
      <c r="K75" s="142"/>
      <c r="L75" s="142"/>
      <c r="O75" s="142"/>
      <c r="R75" s="142"/>
      <c r="U75" s="142"/>
      <c r="X75" s="142"/>
      <c r="AA75" s="142"/>
      <c r="AD75" s="142"/>
      <c r="AG75" s="142"/>
    </row>
    <row r="76" spans="1:33" x14ac:dyDescent="0.2">
      <c r="A76" s="1" t="s">
        <v>47</v>
      </c>
      <c r="I76" s="142"/>
      <c r="J76" s="142"/>
      <c r="K76" s="142"/>
      <c r="L76" s="142"/>
      <c r="O76" s="142"/>
      <c r="R76" s="142"/>
      <c r="U76" s="142"/>
      <c r="X76" s="142"/>
      <c r="AA76" s="142"/>
      <c r="AD76" s="142"/>
      <c r="AG76" s="142"/>
    </row>
    <row r="77" spans="1:33" x14ac:dyDescent="0.2">
      <c r="A77" s="1" t="s">
        <v>48</v>
      </c>
      <c r="I77" s="142"/>
      <c r="J77" s="142"/>
      <c r="K77" s="142"/>
      <c r="L77" s="142"/>
      <c r="O77" s="142"/>
      <c r="R77" s="142"/>
      <c r="U77" s="142"/>
      <c r="X77" s="142"/>
      <c r="AA77" s="142"/>
      <c r="AD77" s="142"/>
      <c r="AG77" s="142"/>
    </row>
    <row r="78" spans="1:33" x14ac:dyDescent="0.2">
      <c r="I78" s="142"/>
      <c r="J78" s="142"/>
      <c r="K78" s="142"/>
      <c r="L78" s="142"/>
      <c r="O78" s="142"/>
      <c r="R78" s="142"/>
      <c r="U78" s="142"/>
      <c r="X78" s="142"/>
      <c r="AA78" s="142"/>
      <c r="AD78" s="142"/>
      <c r="AG78" s="142"/>
    </row>
    <row r="79" spans="1:33" x14ac:dyDescent="0.2">
      <c r="A79" s="131"/>
      <c r="B79" s="1" t="s">
        <v>49</v>
      </c>
    </row>
  </sheetData>
  <sheetProtection selectLockedCells="1"/>
  <mergeCells count="13">
    <mergeCell ref="AB9:AC9"/>
    <mergeCell ref="AE9:AF9"/>
    <mergeCell ref="P9:Q9"/>
    <mergeCell ref="S9:T9"/>
    <mergeCell ref="V9:W9"/>
    <mergeCell ref="Y9:Z9"/>
    <mergeCell ref="B54:D54"/>
    <mergeCell ref="B60:D60"/>
    <mergeCell ref="G9:H9"/>
    <mergeCell ref="J9:K9"/>
    <mergeCell ref="M9:N9"/>
    <mergeCell ref="B53:E53"/>
    <mergeCell ref="B59:E59"/>
  </mergeCells>
  <dataValidations disablePrompts="1" xWindow="288" yWindow="601" count="2">
    <dataValidation type="list" allowBlank="1" showInputMessage="1" showErrorMessage="1" prompt="Select Charge Unit - monthly, per kWh, per kW" sqref="D37:E38 D40:E49 D55:E55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60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11</xdr:col>
                    <xdr:colOff>95250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theme="7"/>
    <pageSetUpPr fitToPage="1"/>
  </sheetPr>
  <dimension ref="A1:AP79"/>
  <sheetViews>
    <sheetView showGridLines="0" topLeftCell="A3" zoomScale="77" zoomScaleNormal="77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140625" style="1" customWidth="1"/>
    <col min="7" max="7" width="13.28515625" style="1" customWidth="1"/>
    <col min="8" max="8" width="12.28515625" style="142" customWidth="1"/>
    <col min="9" max="9" width="1.7109375" style="1" customWidth="1"/>
    <col min="10" max="10" width="13.28515625" style="1" customWidth="1"/>
    <col min="11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" style="1" hidden="1" customWidth="1"/>
    <col min="26" max="26" width="0" style="1" hidden="1" customWidth="1"/>
    <col min="27" max="27" width="1.7109375" style="1" hidden="1" customWidth="1"/>
    <col min="28" max="28" width="13.28515625" style="1" hidden="1" customWidth="1"/>
    <col min="29" max="29" width="12.28515625" style="1" hidden="1" customWidth="1"/>
    <col min="30" max="30" width="1.7109375" style="1" hidden="1" customWidth="1"/>
    <col min="31" max="31" width="10" style="1" hidden="1" customWidth="1"/>
    <col min="32" max="32" width="0" style="1" hidden="1" customWidth="1"/>
    <col min="33" max="33" width="1.7109375" style="1" hidden="1" customWidth="1"/>
    <col min="34" max="34" width="13.28515625" style="1" customWidth="1"/>
    <col min="35" max="35" width="12.28515625" style="1" customWidth="1"/>
    <col min="36" max="36" width="1.7109375" style="1" customWidth="1"/>
    <col min="37" max="37" width="10" style="1" customWidth="1"/>
    <col min="38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69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8">
        <v>1</v>
      </c>
      <c r="H6" s="9" t="s">
        <v>72</v>
      </c>
      <c r="J6" s="151"/>
      <c r="K6" s="151"/>
    </row>
    <row r="7" spans="2:42" x14ac:dyDescent="0.2">
      <c r="B7" s="6"/>
      <c r="D7" s="7" t="s">
        <v>3</v>
      </c>
      <c r="E7" s="7"/>
      <c r="F7" s="7"/>
      <c r="G7" s="158">
        <v>0.3</v>
      </c>
      <c r="H7" s="9" t="s">
        <v>64</v>
      </c>
      <c r="J7" s="151"/>
      <c r="K7" s="151"/>
    </row>
    <row r="8" spans="2:42" x14ac:dyDescent="0.2">
      <c r="B8" s="6"/>
      <c r="G8" s="158">
        <v>134.55000000000001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59">
        <f>G6</f>
        <v>1</v>
      </c>
      <c r="G12" s="209">
        <v>5.45</v>
      </c>
      <c r="H12" s="18">
        <f t="shared" ref="H12:H27" si="0">$F12*G12</f>
        <v>5.45</v>
      </c>
      <c r="I12" s="19"/>
      <c r="J12" s="209">
        <v>5.48</v>
      </c>
      <c r="K12" s="18">
        <f t="shared" ref="K12:K27" si="1">$F12*J12</f>
        <v>5.48</v>
      </c>
      <c r="L12" s="19"/>
      <c r="M12" s="21">
        <f t="shared" ref="M12:M21" si="2">K12-H12</f>
        <v>3.0000000000000249E-2</v>
      </c>
      <c r="N12" s="22">
        <f t="shared" ref="N12:N21" si="3">IF((H12)=0,"",(M12/H12))</f>
        <v>5.5045871559633482E-3</v>
      </c>
      <c r="O12" s="212"/>
      <c r="P12" s="16">
        <v>5.48</v>
      </c>
      <c r="Q12" s="18">
        <f t="shared" ref="Q12:Q27" si="4">$F12*P12</f>
        <v>5.48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5.47</v>
      </c>
      <c r="W12" s="18">
        <f t="shared" ref="W12:W27" si="6">$F12*V12</f>
        <v>5.47</v>
      </c>
      <c r="X12" s="19"/>
      <c r="Y12" s="21">
        <f>W12-Q12</f>
        <v>-1.0000000000000675E-2</v>
      </c>
      <c r="Z12" s="22">
        <f t="shared" ref="Z12:Z34" si="7">IF((Q12)=0,"",(Y12/Q12))</f>
        <v>-1.8248175182482983E-3</v>
      </c>
      <c r="AA12" s="19"/>
      <c r="AB12" s="16">
        <v>5.6</v>
      </c>
      <c r="AC12" s="18">
        <f t="shared" ref="AC12:AC27" si="8">$F12*AB12</f>
        <v>5.6</v>
      </c>
      <c r="AD12" s="19"/>
      <c r="AE12" s="21">
        <f>AC12-W12</f>
        <v>0.12999999999999989</v>
      </c>
      <c r="AF12" s="22">
        <f t="shared" ref="AF12:AF34" si="9">IF((W12)=0,"",(AE12/W12))</f>
        <v>2.3765996343692853E-2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59">
        <f>G6</f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59">
        <f>G6</f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59">
        <f>G6</f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59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59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59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0.3</v>
      </c>
      <c r="G19" s="16">
        <v>14.949199999999999</v>
      </c>
      <c r="H19" s="18">
        <f t="shared" si="0"/>
        <v>4.4847599999999996</v>
      </c>
      <c r="I19" s="19"/>
      <c r="J19" s="16">
        <v>15.0244</v>
      </c>
      <c r="K19" s="18">
        <f t="shared" si="1"/>
        <v>4.50732</v>
      </c>
      <c r="L19" s="19"/>
      <c r="M19" s="21">
        <f t="shared" si="2"/>
        <v>2.2560000000000358E-2</v>
      </c>
      <c r="N19" s="22">
        <f t="shared" si="3"/>
        <v>5.0303695181013828E-3</v>
      </c>
      <c r="O19" s="212"/>
      <c r="P19" s="16">
        <v>15.0244</v>
      </c>
      <c r="Q19" s="18">
        <f t="shared" si="4"/>
        <v>4.50732</v>
      </c>
      <c r="R19" s="19"/>
      <c r="S19" s="21">
        <f t="shared" si="10"/>
        <v>0</v>
      </c>
      <c r="T19" s="22">
        <f t="shared" si="5"/>
        <v>0</v>
      </c>
      <c r="U19" s="19"/>
      <c r="V19" s="16">
        <v>15.008800000000001</v>
      </c>
      <c r="W19" s="18">
        <f t="shared" si="6"/>
        <v>4.5026400000000004</v>
      </c>
      <c r="X19" s="19"/>
      <c r="Y19" s="21">
        <f t="shared" si="11"/>
        <v>-4.6799999999995734E-3</v>
      </c>
      <c r="Z19" s="22">
        <f t="shared" si="7"/>
        <v>-1.0383110140836625E-3</v>
      </c>
      <c r="AA19" s="19"/>
      <c r="AB19" s="16">
        <v>15.3672</v>
      </c>
      <c r="AC19" s="18">
        <f t="shared" si="8"/>
        <v>4.6101599999999996</v>
      </c>
      <c r="AD19" s="19"/>
      <c r="AE19" s="21">
        <f t="shared" si="12"/>
        <v>0.10751999999999917</v>
      </c>
      <c r="AF19" s="22">
        <f t="shared" si="9"/>
        <v>2.387932412984364E-2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24">$G$7</f>
        <v>0.3</v>
      </c>
      <c r="G20" s="16"/>
      <c r="H20" s="18">
        <f t="shared" si="0"/>
        <v>0</v>
      </c>
      <c r="I20" s="19"/>
      <c r="J20" s="16">
        <v>2.0899999999999998E-2</v>
      </c>
      <c r="K20" s="18">
        <f t="shared" si="1"/>
        <v>6.2699999999999995E-3</v>
      </c>
      <c r="L20" s="19"/>
      <c r="M20" s="21">
        <f t="shared" si="2"/>
        <v>6.2699999999999995E-3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-6.2699999999999995E-3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0.3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25">$G$7</f>
        <v>0.3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25"/>
        <v>0.3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25"/>
        <v>0.3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25"/>
        <v>0.3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9.9347600000000007</v>
      </c>
      <c r="I28" s="31"/>
      <c r="J28" s="28"/>
      <c r="K28" s="30">
        <f>SUM(K12:K27)</f>
        <v>9.9935900000000011</v>
      </c>
      <c r="L28" s="31"/>
      <c r="M28" s="32">
        <f t="shared" si="26"/>
        <v>5.8830000000000382E-2</v>
      </c>
      <c r="N28" s="33">
        <f t="shared" si="27"/>
        <v>5.9216327319432356E-3</v>
      </c>
      <c r="O28" s="212"/>
      <c r="P28" s="28"/>
      <c r="Q28" s="30">
        <f>SUM(Q12:Q27)</f>
        <v>9.9873200000000004</v>
      </c>
      <c r="R28" s="31"/>
      <c r="S28" s="32">
        <f t="shared" si="10"/>
        <v>-6.2700000000006639E-3</v>
      </c>
      <c r="T28" s="33">
        <f t="shared" si="5"/>
        <v>-6.274021647876952E-4</v>
      </c>
      <c r="U28" s="31"/>
      <c r="V28" s="28"/>
      <c r="W28" s="30">
        <f>SUM(W12:W27)</f>
        <v>9.9726400000000002</v>
      </c>
      <c r="X28" s="31"/>
      <c r="Y28" s="32">
        <f t="shared" si="11"/>
        <v>-1.4680000000000248E-2</v>
      </c>
      <c r="Z28" s="33">
        <f t="shared" si="7"/>
        <v>-1.4698637872822987E-3</v>
      </c>
      <c r="AA28" s="31"/>
      <c r="AB28" s="28"/>
      <c r="AC28" s="30">
        <f>SUM(AC12:AC27)</f>
        <v>10.210159999999998</v>
      </c>
      <c r="AD28" s="31"/>
      <c r="AE28" s="32">
        <f t="shared" si="12"/>
        <v>0.23751999999999818</v>
      </c>
      <c r="AF28" s="33">
        <f t="shared" si="9"/>
        <v>2.3817163760047305E-2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0.3</v>
      </c>
      <c r="G29" s="16">
        <v>0.1197437182678473</v>
      </c>
      <c r="H29" s="18">
        <f t="shared" ref="H29:H35" si="28">$F29*G29</f>
        <v>3.5923115480354186E-2</v>
      </c>
      <c r="I29" s="19"/>
      <c r="J29" s="16">
        <v>-0.8891</v>
      </c>
      <c r="K29" s="18">
        <f t="shared" ref="K29:K35" si="29">$F29*J29</f>
        <v>-0.26672999999999997</v>
      </c>
      <c r="L29" s="19"/>
      <c r="M29" s="21">
        <f t="shared" si="26"/>
        <v>-0.30265311548035417</v>
      </c>
      <c r="N29" s="22">
        <f t="shared" si="27"/>
        <v>-8.4250241504212138</v>
      </c>
      <c r="O29" s="212"/>
      <c r="P29" s="16">
        <v>-0.8891</v>
      </c>
      <c r="Q29" s="18">
        <f t="shared" ref="Q29:Q35" si="30">$F29*P29</f>
        <v>-0.26672999999999997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0.26672999999999997</v>
      </c>
      <c r="Z29" s="22">
        <f t="shared" si="7"/>
        <v>-1</v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1" si="33">$G$7</f>
        <v>0.3</v>
      </c>
      <c r="G30" s="16">
        <v>1.3019293139368611</v>
      </c>
      <c r="H30" s="18">
        <f t="shared" si="28"/>
        <v>0.39057879418105829</v>
      </c>
      <c r="I30" s="19"/>
      <c r="J30" s="16">
        <v>1.6000000000000001E-3</v>
      </c>
      <c r="K30" s="18">
        <f>(G8*(1+J63))*J30</f>
        <v>0.22190847120000004</v>
      </c>
      <c r="L30" s="19"/>
      <c r="M30" s="21">
        <f t="shared" si="26"/>
        <v>-0.16867032298105825</v>
      </c>
      <c r="N30" s="22">
        <f t="shared" si="27"/>
        <v>-0.43184710868575404</v>
      </c>
      <c r="O30" s="212"/>
      <c r="P30" s="16">
        <v>1.6000000000000001E-3</v>
      </c>
      <c r="Q30" s="18">
        <f t="shared" si="30"/>
        <v>4.8000000000000001E-4</v>
      </c>
      <c r="R30" s="19"/>
      <c r="S30" s="21">
        <f t="shared" ref="S30:S31" si="34">Q30-K30</f>
        <v>-0.22142847120000003</v>
      </c>
      <c r="T30" s="22">
        <f t="shared" ref="T30:T31" si="35">IF((K30)=0,"",(S30/K30))</f>
        <v>-0.99783694602822348</v>
      </c>
      <c r="U30" s="19"/>
      <c r="V30" s="16">
        <v>0</v>
      </c>
      <c r="W30" s="18">
        <f t="shared" si="31"/>
        <v>0</v>
      </c>
      <c r="X30" s="19"/>
      <c r="Y30" s="21">
        <f t="shared" ref="Y30:Y31" si="36">W30-Q30</f>
        <v>-4.8000000000000001E-4</v>
      </c>
      <c r="Z30" s="22">
        <f t="shared" ref="Z30:Z31" si="37">IF((Q30)=0,"",(Y30/Q30))</f>
        <v>-1</v>
      </c>
      <c r="AA30" s="19"/>
      <c r="AB30" s="16">
        <v>0</v>
      </c>
      <c r="AC30" s="18">
        <f t="shared" si="32"/>
        <v>0</v>
      </c>
      <c r="AD30" s="19"/>
      <c r="AE30" s="21">
        <f t="shared" ref="AE30:AE31" si="38">AC30-W30</f>
        <v>0</v>
      </c>
      <c r="AF30" s="22" t="str">
        <f t="shared" ref="AF30:AF31" si="39">IF((W30)=0,"",(AE30/W30))</f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33"/>
        <v>0.3</v>
      </c>
      <c r="G31" s="16">
        <v>0</v>
      </c>
      <c r="H31" s="18">
        <f>$F31*G31</f>
        <v>0</v>
      </c>
      <c r="I31" s="19"/>
      <c r="J31" s="16">
        <v>0</v>
      </c>
      <c r="K31" s="18">
        <f t="shared" si="29"/>
        <v>0</v>
      </c>
      <c r="L31" s="19"/>
      <c r="M31" s="21">
        <f t="shared" si="26"/>
        <v>0</v>
      </c>
      <c r="N31" s="22" t="str">
        <f t="shared" si="27"/>
        <v/>
      </c>
      <c r="O31" s="212"/>
      <c r="P31" s="16">
        <v>0</v>
      </c>
      <c r="Q31" s="18">
        <f t="shared" si="30"/>
        <v>0</v>
      </c>
      <c r="R31" s="19"/>
      <c r="S31" s="21">
        <f t="shared" si="34"/>
        <v>0</v>
      </c>
      <c r="T31" s="22" t="str">
        <f t="shared" si="35"/>
        <v/>
      </c>
      <c r="U31" s="19"/>
      <c r="V31" s="16">
        <v>0</v>
      </c>
      <c r="W31" s="18">
        <f t="shared" si="31"/>
        <v>0</v>
      </c>
      <c r="X31" s="19"/>
      <c r="Y31" s="21">
        <f t="shared" si="36"/>
        <v>0</v>
      </c>
      <c r="Z31" s="22" t="str">
        <f t="shared" si="37"/>
        <v/>
      </c>
      <c r="AA31" s="19"/>
      <c r="AB31" s="16">
        <v>0</v>
      </c>
      <c r="AC31" s="18">
        <f t="shared" si="32"/>
        <v>0</v>
      </c>
      <c r="AD31" s="19"/>
      <c r="AE31" s="21">
        <f t="shared" si="38"/>
        <v>0</v>
      </c>
      <c r="AF31" s="22" t="str">
        <f t="shared" si="3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0.3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212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ref="F33" si="44">$G$7</f>
        <v>0.3</v>
      </c>
      <c r="G33" s="133">
        <v>1.745E-2</v>
      </c>
      <c r="H33" s="18">
        <f t="shared" si="28"/>
        <v>5.2350000000000001E-3</v>
      </c>
      <c r="I33" s="19"/>
      <c r="J33" s="133">
        <v>1.745E-2</v>
      </c>
      <c r="K33" s="18">
        <f t="shared" si="29"/>
        <v>5.2350000000000001E-3</v>
      </c>
      <c r="L33" s="19"/>
      <c r="M33" s="21">
        <f t="shared" si="26"/>
        <v>0</v>
      </c>
      <c r="N33" s="22">
        <f t="shared" si="27"/>
        <v>0</v>
      </c>
      <c r="O33" s="212"/>
      <c r="P33" s="133">
        <v>1.745E-2</v>
      </c>
      <c r="Q33" s="18">
        <f t="shared" si="30"/>
        <v>5.2350000000000001E-3</v>
      </c>
      <c r="R33" s="19"/>
      <c r="S33" s="21">
        <f t="shared" si="10"/>
        <v>0</v>
      </c>
      <c r="T33" s="22">
        <f t="shared" si="5"/>
        <v>0</v>
      </c>
      <c r="U33" s="19"/>
      <c r="V33" s="133">
        <v>1.745E-2</v>
      </c>
      <c r="W33" s="18">
        <f t="shared" si="31"/>
        <v>5.2350000000000001E-3</v>
      </c>
      <c r="X33" s="19"/>
      <c r="Y33" s="21">
        <f t="shared" si="11"/>
        <v>0</v>
      </c>
      <c r="Z33" s="22">
        <f t="shared" si="7"/>
        <v>0</v>
      </c>
      <c r="AA33" s="19"/>
      <c r="AB33" s="133">
        <v>1.745E-2</v>
      </c>
      <c r="AC33" s="18">
        <f t="shared" si="32"/>
        <v>5.2350000000000001E-3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4.1427945000000079</v>
      </c>
      <c r="G34" s="38">
        <f>0.64*$G$44+0.18*$G$45+0.18*$G$46</f>
        <v>0.11183999999999999</v>
      </c>
      <c r="H34" s="18">
        <f t="shared" si="28"/>
        <v>0.46333013688000085</v>
      </c>
      <c r="I34" s="19"/>
      <c r="J34" s="38">
        <f>0.64*$G$44+0.18*$G$45+0.18*$G$46</f>
        <v>0.11183999999999999</v>
      </c>
      <c r="K34" s="18">
        <f t="shared" si="29"/>
        <v>0.46333013688000085</v>
      </c>
      <c r="L34" s="19"/>
      <c r="M34" s="21">
        <f t="shared" si="26"/>
        <v>0</v>
      </c>
      <c r="N34" s="22">
        <f t="shared" si="27"/>
        <v>0</v>
      </c>
      <c r="O34" s="212"/>
      <c r="P34" s="38">
        <f>0.64*$G$44+0.18*$G$45+0.18*$G$46</f>
        <v>0.11183999999999999</v>
      </c>
      <c r="Q34" s="18">
        <f t="shared" si="30"/>
        <v>0.46333013688000085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0.11183999999999999</v>
      </c>
      <c r="W34" s="18">
        <f t="shared" si="31"/>
        <v>0.46333013688000085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0.11183999999999999</v>
      </c>
      <c r="AC34" s="18">
        <f t="shared" si="32"/>
        <v>0.46333013688000085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59">
        <f>G6</f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212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10.829827046541414</v>
      </c>
      <c r="I36" s="31"/>
      <c r="J36" s="41"/>
      <c r="K36" s="43">
        <f>SUM(K29:K35)+K28</f>
        <v>10.417333608080002</v>
      </c>
      <c r="L36" s="31"/>
      <c r="M36" s="32">
        <f t="shared" si="26"/>
        <v>-0.41249343846141251</v>
      </c>
      <c r="N36" s="33">
        <f t="shared" ref="N36:N46" si="45">IF((H36)=0,"",(M36/H36))</f>
        <v>-3.8088645062263053E-2</v>
      </c>
      <c r="O36" s="212"/>
      <c r="P36" s="41"/>
      <c r="Q36" s="43">
        <f>SUM(Q29:Q35)+Q28</f>
        <v>10.189635136880002</v>
      </c>
      <c r="R36" s="31"/>
      <c r="S36" s="32">
        <f t="shared" si="10"/>
        <v>-0.22769847120000009</v>
      </c>
      <c r="T36" s="33">
        <f t="shared" ref="T36:T46" si="46">IF((K36)=0,"",(S36/K36))</f>
        <v>-2.1857653768848316E-2</v>
      </c>
      <c r="U36" s="31"/>
      <c r="V36" s="41"/>
      <c r="W36" s="43">
        <f>SUM(W29:W35)+W28</f>
        <v>10.441205136880001</v>
      </c>
      <c r="X36" s="31"/>
      <c r="Y36" s="32">
        <f t="shared" si="11"/>
        <v>0.25156999999999918</v>
      </c>
      <c r="Z36" s="33">
        <f t="shared" ref="Z36:Z46" si="47">IF((Q36)=0,"",(Y36/Q36))</f>
        <v>2.4688813350094912E-2</v>
      </c>
      <c r="AA36" s="31"/>
      <c r="AB36" s="41"/>
      <c r="AC36" s="43">
        <f>SUM(AC29:AC35)+AC28</f>
        <v>10.678725136879999</v>
      </c>
      <c r="AD36" s="31"/>
      <c r="AE36" s="32">
        <f t="shared" si="12"/>
        <v>0.23751999999999818</v>
      </c>
      <c r="AF36" s="33">
        <f t="shared" ref="AF36:AF46" si="48">IF((W36)=0,"",(AE36/W36))</f>
        <v>2.2748331910560752E-2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0.3</v>
      </c>
      <c r="G37" s="20">
        <v>2.2489556131050223</v>
      </c>
      <c r="H37" s="18">
        <f>$F37*G37</f>
        <v>0.67468668393150666</v>
      </c>
      <c r="I37" s="19"/>
      <c r="J37" s="20">
        <v>2.1373000000000002</v>
      </c>
      <c r="K37" s="18">
        <f>$F37*J37</f>
        <v>0.64119000000000004</v>
      </c>
      <c r="L37" s="19"/>
      <c r="M37" s="21">
        <f t="shared" si="26"/>
        <v>-3.3496683931506621E-2</v>
      </c>
      <c r="N37" s="22">
        <f t="shared" si="45"/>
        <v>-4.9647762034246937E-2</v>
      </c>
      <c r="O37" s="212"/>
      <c r="P37" s="20">
        <v>2.1373000000000002</v>
      </c>
      <c r="Q37" s="18">
        <f>$F37*P37</f>
        <v>0.64119000000000004</v>
      </c>
      <c r="R37" s="19"/>
      <c r="S37" s="21">
        <f t="shared" si="10"/>
        <v>0</v>
      </c>
      <c r="T37" s="22">
        <f t="shared" si="46"/>
        <v>0</v>
      </c>
      <c r="U37" s="19"/>
      <c r="V37" s="20">
        <v>2.1373000000000002</v>
      </c>
      <c r="W37" s="18">
        <f>$F37*V37</f>
        <v>0.64119000000000004</v>
      </c>
      <c r="X37" s="19"/>
      <c r="Y37" s="21">
        <f t="shared" si="11"/>
        <v>0</v>
      </c>
      <c r="Z37" s="22">
        <f t="shared" si="47"/>
        <v>0</v>
      </c>
      <c r="AA37" s="19"/>
      <c r="AB37" s="20">
        <v>2.1373000000000002</v>
      </c>
      <c r="AC37" s="18">
        <f>$F37*AB37</f>
        <v>0.64119000000000004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0.3</v>
      </c>
      <c r="G38" s="20">
        <v>1.707114694191687</v>
      </c>
      <c r="H38" s="18">
        <f>$F38*G38</f>
        <v>0.51213440825750611</v>
      </c>
      <c r="I38" s="19"/>
      <c r="J38" s="20">
        <v>1.7069000000000001</v>
      </c>
      <c r="K38" s="18">
        <f>$F38*J38</f>
        <v>0.51207000000000003</v>
      </c>
      <c r="L38" s="19"/>
      <c r="M38" s="21">
        <f t="shared" si="26"/>
        <v>-6.4408257506087807E-5</v>
      </c>
      <c r="N38" s="22">
        <f t="shared" si="45"/>
        <v>-1.2576436276803084E-4</v>
      </c>
      <c r="O38" s="212"/>
      <c r="P38" s="20">
        <v>1.7069000000000001</v>
      </c>
      <c r="Q38" s="18">
        <f>$F38*P38</f>
        <v>0.51207000000000003</v>
      </c>
      <c r="R38" s="19"/>
      <c r="S38" s="21">
        <f t="shared" si="10"/>
        <v>0</v>
      </c>
      <c r="T38" s="22">
        <f t="shared" si="46"/>
        <v>0</v>
      </c>
      <c r="U38" s="19"/>
      <c r="V38" s="20">
        <v>1.7069000000000001</v>
      </c>
      <c r="W38" s="18">
        <f>$F38*V38</f>
        <v>0.51207000000000003</v>
      </c>
      <c r="X38" s="19"/>
      <c r="Y38" s="21">
        <f t="shared" si="11"/>
        <v>0</v>
      </c>
      <c r="Z38" s="22">
        <f t="shared" si="47"/>
        <v>0</v>
      </c>
      <c r="AA38" s="19"/>
      <c r="AB38" s="20">
        <v>1.7069000000000001</v>
      </c>
      <c r="AC38" s="18">
        <f>$F38*AB38</f>
        <v>0.51207000000000003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12.016648138730426</v>
      </c>
      <c r="I39" s="48"/>
      <c r="J39" s="47"/>
      <c r="K39" s="43">
        <f>SUM(K36:K38)</f>
        <v>11.570593608080001</v>
      </c>
      <c r="L39" s="48"/>
      <c r="M39" s="32">
        <f t="shared" si="26"/>
        <v>-0.44605453065042511</v>
      </c>
      <c r="N39" s="33">
        <f t="shared" si="45"/>
        <v>-3.711971304317073E-2</v>
      </c>
      <c r="O39" s="212"/>
      <c r="P39" s="47"/>
      <c r="Q39" s="43">
        <f>SUM(Q36:Q38)</f>
        <v>11.342895136880001</v>
      </c>
      <c r="R39" s="48"/>
      <c r="S39" s="32">
        <f t="shared" si="10"/>
        <v>-0.22769847120000009</v>
      </c>
      <c r="T39" s="33">
        <f t="shared" si="46"/>
        <v>-1.9679065648022864E-2</v>
      </c>
      <c r="U39" s="48"/>
      <c r="V39" s="47"/>
      <c r="W39" s="43">
        <f>SUM(W36:W38)</f>
        <v>11.59446513688</v>
      </c>
      <c r="X39" s="48"/>
      <c r="Y39" s="32">
        <f t="shared" si="11"/>
        <v>0.25156999999999918</v>
      </c>
      <c r="Z39" s="33">
        <f t="shared" si="47"/>
        <v>2.2178641075685419E-2</v>
      </c>
      <c r="AA39" s="48"/>
      <c r="AB39" s="47"/>
      <c r="AC39" s="43">
        <f>SUM(AC36:AC38)</f>
        <v>11.831985136879998</v>
      </c>
      <c r="AD39" s="48"/>
      <c r="AE39" s="32">
        <f t="shared" si="12"/>
        <v>0.23751999999999818</v>
      </c>
      <c r="AF39" s="33">
        <f t="shared" si="48"/>
        <v>2.0485636654724838E-2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138.69279450000002</v>
      </c>
      <c r="G40" s="50">
        <v>4.7000000000000002E-3</v>
      </c>
      <c r="H40" s="152">
        <f t="shared" ref="H40:H48" si="49">$F40*G40</f>
        <v>0.6518561341500001</v>
      </c>
      <c r="I40" s="19"/>
      <c r="J40" s="50">
        <v>4.7000000000000002E-3</v>
      </c>
      <c r="K40" s="152">
        <f t="shared" ref="K40:K48" si="50">$F40*J40</f>
        <v>0.6518561341500001</v>
      </c>
      <c r="L40" s="19"/>
      <c r="M40" s="21">
        <f t="shared" si="26"/>
        <v>0</v>
      </c>
      <c r="N40" s="153">
        <f t="shared" si="45"/>
        <v>0</v>
      </c>
      <c r="O40" s="212"/>
      <c r="P40" s="50">
        <v>4.7000000000000002E-3</v>
      </c>
      <c r="Q40" s="152">
        <f t="shared" ref="Q40:Q48" si="51">$F40*P40</f>
        <v>0.6518561341500001</v>
      </c>
      <c r="R40" s="19"/>
      <c r="S40" s="21">
        <f t="shared" si="10"/>
        <v>0</v>
      </c>
      <c r="T40" s="153">
        <f t="shared" si="46"/>
        <v>0</v>
      </c>
      <c r="U40" s="19"/>
      <c r="V40" s="50">
        <v>4.7000000000000002E-3</v>
      </c>
      <c r="W40" s="152">
        <f t="shared" ref="W40:W48" si="52">$F40*V40</f>
        <v>0.6518561341500001</v>
      </c>
      <c r="X40" s="19"/>
      <c r="Y40" s="21">
        <f t="shared" si="11"/>
        <v>0</v>
      </c>
      <c r="Z40" s="153">
        <f t="shared" si="47"/>
        <v>0</v>
      </c>
      <c r="AA40" s="19"/>
      <c r="AB40" s="50">
        <v>4.7000000000000002E-3</v>
      </c>
      <c r="AC40" s="152">
        <f t="shared" ref="AC40:AC48" si="53">$F40*AB40</f>
        <v>0.6518561341500001</v>
      </c>
      <c r="AD40" s="19"/>
      <c r="AE40" s="21">
        <f t="shared" si="12"/>
        <v>0</v>
      </c>
      <c r="AF40" s="153">
        <f t="shared" si="48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138.69279450000002</v>
      </c>
      <c r="G41" s="50">
        <v>1.2999999999999999E-3</v>
      </c>
      <c r="H41" s="152">
        <f t="shared" si="49"/>
        <v>0.18030063285</v>
      </c>
      <c r="I41" s="19"/>
      <c r="J41" s="50">
        <v>2.0999999999999999E-3</v>
      </c>
      <c r="K41" s="152">
        <f t="shared" si="50"/>
        <v>0.29125486845000004</v>
      </c>
      <c r="L41" s="19"/>
      <c r="M41" s="21">
        <f t="shared" si="26"/>
        <v>0.11095423560000003</v>
      </c>
      <c r="N41" s="153">
        <f t="shared" si="45"/>
        <v>0.61538461538461553</v>
      </c>
      <c r="O41" s="212"/>
      <c r="P41" s="50">
        <v>2.0999999999999999E-3</v>
      </c>
      <c r="Q41" s="152">
        <f t="shared" si="51"/>
        <v>0.29125486845000004</v>
      </c>
      <c r="R41" s="19"/>
      <c r="S41" s="21">
        <f t="shared" si="10"/>
        <v>0</v>
      </c>
      <c r="T41" s="153">
        <f t="shared" si="46"/>
        <v>0</v>
      </c>
      <c r="U41" s="19"/>
      <c r="V41" s="50">
        <v>2.0999999999999999E-3</v>
      </c>
      <c r="W41" s="152">
        <f t="shared" si="52"/>
        <v>0.29125486845000004</v>
      </c>
      <c r="X41" s="19"/>
      <c r="Y41" s="21">
        <f t="shared" si="11"/>
        <v>0</v>
      </c>
      <c r="Z41" s="153">
        <f t="shared" si="47"/>
        <v>0</v>
      </c>
      <c r="AA41" s="19"/>
      <c r="AB41" s="50">
        <v>2.0999999999999999E-3</v>
      </c>
      <c r="AC41" s="152">
        <f t="shared" si="53"/>
        <v>0.29125486845000004</v>
      </c>
      <c r="AD41" s="19"/>
      <c r="AE41" s="21">
        <f t="shared" si="12"/>
        <v>0</v>
      </c>
      <c r="AF41" s="153">
        <f t="shared" si="48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59">
        <f>G6</f>
        <v>1</v>
      </c>
      <c r="G42" s="50">
        <v>0.25</v>
      </c>
      <c r="H42" s="152">
        <f t="shared" si="49"/>
        <v>0.25</v>
      </c>
      <c r="I42" s="19"/>
      <c r="J42" s="50">
        <v>0.25</v>
      </c>
      <c r="K42" s="152">
        <f t="shared" si="50"/>
        <v>0.25</v>
      </c>
      <c r="L42" s="19"/>
      <c r="M42" s="21">
        <f t="shared" si="26"/>
        <v>0</v>
      </c>
      <c r="N42" s="153">
        <f t="shared" si="45"/>
        <v>0</v>
      </c>
      <c r="O42" s="212"/>
      <c r="P42" s="50">
        <v>0.25</v>
      </c>
      <c r="Q42" s="152">
        <f t="shared" si="51"/>
        <v>0.25</v>
      </c>
      <c r="R42" s="19"/>
      <c r="S42" s="21">
        <f t="shared" si="10"/>
        <v>0</v>
      </c>
      <c r="T42" s="153">
        <f t="shared" si="46"/>
        <v>0</v>
      </c>
      <c r="U42" s="19"/>
      <c r="V42" s="50">
        <v>0.25</v>
      </c>
      <c r="W42" s="152">
        <f t="shared" si="52"/>
        <v>0.25</v>
      </c>
      <c r="X42" s="19"/>
      <c r="Y42" s="21">
        <f t="shared" si="11"/>
        <v>0</v>
      </c>
      <c r="Z42" s="153">
        <f t="shared" si="47"/>
        <v>0</v>
      </c>
      <c r="AA42" s="19"/>
      <c r="AB42" s="50">
        <v>0.25</v>
      </c>
      <c r="AC42" s="152">
        <f t="shared" si="53"/>
        <v>0.25</v>
      </c>
      <c r="AD42" s="19"/>
      <c r="AE42" s="21">
        <f t="shared" si="12"/>
        <v>0</v>
      </c>
      <c r="AF42" s="153">
        <f t="shared" si="48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134.55000000000001</v>
      </c>
      <c r="G43" s="50">
        <v>7.0000000000000001E-3</v>
      </c>
      <c r="H43" s="152">
        <f t="shared" si="49"/>
        <v>0.94185000000000008</v>
      </c>
      <c r="I43" s="19"/>
      <c r="J43" s="50">
        <v>7.0000000000000001E-3</v>
      </c>
      <c r="K43" s="152">
        <f t="shared" si="50"/>
        <v>0.94185000000000008</v>
      </c>
      <c r="L43" s="19"/>
      <c r="M43" s="21">
        <f t="shared" si="26"/>
        <v>0</v>
      </c>
      <c r="N43" s="153">
        <f t="shared" si="45"/>
        <v>0</v>
      </c>
      <c r="O43" s="212"/>
      <c r="P43" s="50">
        <v>7.0000000000000001E-3</v>
      </c>
      <c r="Q43" s="152">
        <f t="shared" si="51"/>
        <v>0.94185000000000008</v>
      </c>
      <c r="R43" s="19"/>
      <c r="S43" s="21">
        <f t="shared" si="10"/>
        <v>0</v>
      </c>
      <c r="T43" s="153">
        <f t="shared" si="46"/>
        <v>0</v>
      </c>
      <c r="U43" s="19"/>
      <c r="V43" s="50">
        <v>7.0000000000000001E-3</v>
      </c>
      <c r="W43" s="152">
        <f t="shared" si="52"/>
        <v>0.94185000000000008</v>
      </c>
      <c r="X43" s="19"/>
      <c r="Y43" s="21">
        <f t="shared" si="11"/>
        <v>0</v>
      </c>
      <c r="Z43" s="153">
        <f t="shared" si="47"/>
        <v>0</v>
      </c>
      <c r="AA43" s="19"/>
      <c r="AB43" s="50">
        <v>7.0000000000000001E-3</v>
      </c>
      <c r="AC43" s="152">
        <f t="shared" si="53"/>
        <v>0.94185000000000008</v>
      </c>
      <c r="AD43" s="19"/>
      <c r="AE43" s="21">
        <f t="shared" si="12"/>
        <v>0</v>
      </c>
      <c r="AF43" s="153">
        <f t="shared" si="48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86.112000000000009</v>
      </c>
      <c r="G44" s="54">
        <v>8.6999999999999994E-2</v>
      </c>
      <c r="H44" s="152">
        <f t="shared" si="49"/>
        <v>7.4917440000000006</v>
      </c>
      <c r="I44" s="19"/>
      <c r="J44" s="54">
        <f>+G44</f>
        <v>8.6999999999999994E-2</v>
      </c>
      <c r="K44" s="152">
        <f t="shared" si="50"/>
        <v>7.4917440000000006</v>
      </c>
      <c r="L44" s="19"/>
      <c r="M44" s="21">
        <f t="shared" si="26"/>
        <v>0</v>
      </c>
      <c r="N44" s="153">
        <f t="shared" si="45"/>
        <v>0</v>
      </c>
      <c r="O44" s="212"/>
      <c r="P44" s="54">
        <v>0.08</v>
      </c>
      <c r="Q44" s="152">
        <f t="shared" si="51"/>
        <v>6.8889600000000009</v>
      </c>
      <c r="R44" s="19"/>
      <c r="S44" s="21">
        <f t="shared" si="10"/>
        <v>-0.60278399999999976</v>
      </c>
      <c r="T44" s="153">
        <f t="shared" si="46"/>
        <v>-8.0459770114942486E-2</v>
      </c>
      <c r="U44" s="19"/>
      <c r="V44" s="54">
        <v>0.08</v>
      </c>
      <c r="W44" s="152">
        <f t="shared" si="52"/>
        <v>6.8889600000000009</v>
      </c>
      <c r="X44" s="19"/>
      <c r="Y44" s="21">
        <f t="shared" si="11"/>
        <v>0</v>
      </c>
      <c r="Z44" s="153">
        <f t="shared" si="47"/>
        <v>0</v>
      </c>
      <c r="AA44" s="19"/>
      <c r="AB44" s="54">
        <v>0.08</v>
      </c>
      <c r="AC44" s="152">
        <f t="shared" si="53"/>
        <v>6.8889600000000009</v>
      </c>
      <c r="AD44" s="19"/>
      <c r="AE44" s="21">
        <f t="shared" si="12"/>
        <v>0</v>
      </c>
      <c r="AF44" s="153">
        <f t="shared" si="48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24.219000000000001</v>
      </c>
      <c r="G45" s="54">
        <v>0.13200000000000001</v>
      </c>
      <c r="H45" s="152">
        <f t="shared" si="49"/>
        <v>3.1969080000000005</v>
      </c>
      <c r="I45" s="19"/>
      <c r="J45" s="54">
        <f>+G45</f>
        <v>0.13200000000000001</v>
      </c>
      <c r="K45" s="152">
        <f t="shared" si="50"/>
        <v>3.1969080000000005</v>
      </c>
      <c r="L45" s="19"/>
      <c r="M45" s="21">
        <f t="shared" si="26"/>
        <v>0</v>
      </c>
      <c r="N45" s="153">
        <f t="shared" si="45"/>
        <v>0</v>
      </c>
      <c r="O45" s="212"/>
      <c r="P45" s="54">
        <v>0.122</v>
      </c>
      <c r="Q45" s="152">
        <f t="shared" si="51"/>
        <v>2.9547180000000002</v>
      </c>
      <c r="R45" s="19"/>
      <c r="S45" s="21">
        <f t="shared" si="10"/>
        <v>-0.24219000000000035</v>
      </c>
      <c r="T45" s="153">
        <f t="shared" si="46"/>
        <v>-7.5757575757575857E-2</v>
      </c>
      <c r="U45" s="19"/>
      <c r="V45" s="54">
        <v>0.122</v>
      </c>
      <c r="W45" s="152">
        <f t="shared" si="52"/>
        <v>2.9547180000000002</v>
      </c>
      <c r="X45" s="19"/>
      <c r="Y45" s="21">
        <f t="shared" si="11"/>
        <v>0</v>
      </c>
      <c r="Z45" s="153">
        <f t="shared" si="47"/>
        <v>0</v>
      </c>
      <c r="AA45" s="19"/>
      <c r="AB45" s="54">
        <v>0.122</v>
      </c>
      <c r="AC45" s="152">
        <f t="shared" si="53"/>
        <v>2.9547180000000002</v>
      </c>
      <c r="AD45" s="19"/>
      <c r="AE45" s="21">
        <f t="shared" si="12"/>
        <v>0</v>
      </c>
      <c r="AF45" s="153">
        <f t="shared" si="48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24.219000000000001</v>
      </c>
      <c r="G46" s="54">
        <v>0.18</v>
      </c>
      <c r="H46" s="152">
        <f t="shared" si="49"/>
        <v>4.3594200000000001</v>
      </c>
      <c r="I46" s="19"/>
      <c r="J46" s="54">
        <f>+G46</f>
        <v>0.18</v>
      </c>
      <c r="K46" s="152">
        <f t="shared" si="50"/>
        <v>4.3594200000000001</v>
      </c>
      <c r="L46" s="19"/>
      <c r="M46" s="21">
        <f t="shared" si="26"/>
        <v>0</v>
      </c>
      <c r="N46" s="153">
        <f t="shared" si="45"/>
        <v>0</v>
      </c>
      <c r="O46" s="212"/>
      <c r="P46" s="54">
        <v>0.161</v>
      </c>
      <c r="Q46" s="152">
        <f t="shared" si="51"/>
        <v>3.8992590000000003</v>
      </c>
      <c r="R46" s="19"/>
      <c r="S46" s="21">
        <f t="shared" si="10"/>
        <v>-0.46016099999999982</v>
      </c>
      <c r="T46" s="153">
        <f t="shared" si="46"/>
        <v>-0.10555555555555551</v>
      </c>
      <c r="U46" s="19"/>
      <c r="V46" s="54">
        <v>0.161</v>
      </c>
      <c r="W46" s="152">
        <f t="shared" si="52"/>
        <v>3.8992590000000003</v>
      </c>
      <c r="X46" s="19"/>
      <c r="Y46" s="21">
        <f t="shared" si="11"/>
        <v>0</v>
      </c>
      <c r="Z46" s="153">
        <f t="shared" si="47"/>
        <v>0</v>
      </c>
      <c r="AA46" s="19"/>
      <c r="AB46" s="54">
        <v>0.161</v>
      </c>
      <c r="AC46" s="152">
        <f t="shared" si="53"/>
        <v>3.8992590000000003</v>
      </c>
      <c r="AD46" s="19"/>
      <c r="AE46" s="21">
        <f t="shared" si="12"/>
        <v>0</v>
      </c>
      <c r="AF46" s="153">
        <f t="shared" si="48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134.55000000000001</v>
      </c>
      <c r="G47" s="54">
        <v>0.10299999999999999</v>
      </c>
      <c r="H47" s="152">
        <f t="shared" si="49"/>
        <v>13.858650000000001</v>
      </c>
      <c r="I47" s="59"/>
      <c r="J47" s="54">
        <f>+G47</f>
        <v>0.10299999999999999</v>
      </c>
      <c r="K47" s="152">
        <f t="shared" si="50"/>
        <v>13.858650000000001</v>
      </c>
      <c r="L47" s="59"/>
      <c r="M47" s="60">
        <f t="shared" si="26"/>
        <v>0</v>
      </c>
      <c r="N47" s="153">
        <f>IF((H47)=FALSE,"",(M47/H47))</f>
        <v>0</v>
      </c>
      <c r="O47" s="212"/>
      <c r="P47" s="54">
        <v>9.4E-2</v>
      </c>
      <c r="Q47" s="152">
        <f t="shared" si="51"/>
        <v>12.6477</v>
      </c>
      <c r="R47" s="59"/>
      <c r="S47" s="60">
        <f t="shared" si="10"/>
        <v>-1.2109500000000004</v>
      </c>
      <c r="T47" s="153">
        <f>IF((K47)=FALSE,"",(S47/K47))</f>
        <v>-8.737864077669906E-2</v>
      </c>
      <c r="U47" s="59"/>
      <c r="V47" s="54">
        <v>9.4E-2</v>
      </c>
      <c r="W47" s="152">
        <f t="shared" si="52"/>
        <v>12.6477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53"/>
        <v>12.6477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0</v>
      </c>
      <c r="G48" s="54">
        <v>0.121</v>
      </c>
      <c r="H48" s="152">
        <f t="shared" si="49"/>
        <v>0</v>
      </c>
      <c r="I48" s="59"/>
      <c r="J48" s="54">
        <f>+G48</f>
        <v>0.121</v>
      </c>
      <c r="K48" s="152">
        <f t="shared" si="50"/>
        <v>0</v>
      </c>
      <c r="L48" s="59"/>
      <c r="M48" s="60">
        <f t="shared" si="26"/>
        <v>0</v>
      </c>
      <c r="N48" s="207" t="str">
        <f>IFERROR(IF((H48)=FALSE,"",(M48/H48)),"n/a")</f>
        <v>n/a</v>
      </c>
      <c r="O48" s="212"/>
      <c r="P48" s="54">
        <v>0.11</v>
      </c>
      <c r="Q48" s="152">
        <f t="shared" si="51"/>
        <v>0</v>
      </c>
      <c r="R48" s="59"/>
      <c r="S48" s="60">
        <f t="shared" si="10"/>
        <v>0</v>
      </c>
      <c r="T48" s="153" t="e">
        <f>IF((K48)=FALSE,"",(S48/K48))</f>
        <v>#DIV/0!</v>
      </c>
      <c r="U48" s="59"/>
      <c r="V48" s="54">
        <v>0.11</v>
      </c>
      <c r="W48" s="152">
        <f t="shared" si="52"/>
        <v>0</v>
      </c>
      <c r="X48" s="59"/>
      <c r="Y48" s="60">
        <f t="shared" si="11"/>
        <v>0</v>
      </c>
      <c r="Z48" s="153" t="e">
        <f>IF((Q48)=FALSE,"",(Y48/Q48))</f>
        <v>#DIV/0!</v>
      </c>
      <c r="AA48" s="59"/>
      <c r="AB48" s="54">
        <v>0.11</v>
      </c>
      <c r="AC48" s="152">
        <f t="shared" si="53"/>
        <v>0</v>
      </c>
      <c r="AD48" s="59"/>
      <c r="AE48" s="60">
        <f t="shared" si="12"/>
        <v>0</v>
      </c>
      <c r="AF48" s="153" t="e">
        <f>IF((W48)=FALSE,"",(AE48/W48))</f>
        <v>#DIV/0!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29.088726905730425</v>
      </c>
      <c r="I50" s="75"/>
      <c r="J50" s="72"/>
      <c r="K50" s="74">
        <f>SUM(K40:K46,K39)</f>
        <v>28.753626610680001</v>
      </c>
      <c r="L50" s="75"/>
      <c r="M50" s="76">
        <f t="shared" si="26"/>
        <v>-0.33510029505042382</v>
      </c>
      <c r="N50" s="77">
        <f>IF((H50)=0,"",(M50/H50))</f>
        <v>-1.1519936782946993E-2</v>
      </c>
      <c r="O50" s="212"/>
      <c r="P50" s="72"/>
      <c r="Q50" s="74">
        <f>SUM(Q40:Q46,Q39)</f>
        <v>27.220793139480001</v>
      </c>
      <c r="R50" s="75"/>
      <c r="S50" s="76">
        <f t="shared" si="10"/>
        <v>-1.5328334712</v>
      </c>
      <c r="T50" s="77">
        <f>IF((K50)=0,"",(S50/K50))</f>
        <v>-5.3309222240183696E-2</v>
      </c>
      <c r="U50" s="75"/>
      <c r="V50" s="72"/>
      <c r="W50" s="74">
        <f>SUM(W40:W46,W39)</f>
        <v>27.472363139480002</v>
      </c>
      <c r="X50" s="75"/>
      <c r="Y50" s="76">
        <f t="shared" si="11"/>
        <v>0.25157000000000096</v>
      </c>
      <c r="Z50" s="77">
        <f>IF((Q50)=0,"",(Y50/Q50))</f>
        <v>9.2418321064691323E-3</v>
      </c>
      <c r="AA50" s="75"/>
      <c r="AB50" s="72"/>
      <c r="AC50" s="74">
        <f>SUM(AC40:AC46,AC39)</f>
        <v>27.709883139479999</v>
      </c>
      <c r="AD50" s="75"/>
      <c r="AE50" s="76">
        <f t="shared" si="12"/>
        <v>0.2375199999999964</v>
      </c>
      <c r="AF50" s="77">
        <f>IF((W50)=0,"",(AE50/W50))</f>
        <v>8.6457797166586293E-3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3.7815344977449552</v>
      </c>
      <c r="I51" s="81"/>
      <c r="J51" s="79">
        <v>0.13</v>
      </c>
      <c r="K51" s="82">
        <f>K50*J51</f>
        <v>3.7379714593884001</v>
      </c>
      <c r="L51" s="81"/>
      <c r="M51" s="83">
        <f t="shared" si="26"/>
        <v>-4.3563038356555062E-2</v>
      </c>
      <c r="N51" s="84">
        <f>IF((H51)=0,"",(M51/H51))</f>
        <v>-1.1519936782946985E-2</v>
      </c>
      <c r="O51" s="212"/>
      <c r="P51" s="79">
        <v>0.13</v>
      </c>
      <c r="Q51" s="82">
        <f>Q50*P51</f>
        <v>3.5387031081324003</v>
      </c>
      <c r="R51" s="81"/>
      <c r="S51" s="83">
        <f t="shared" si="10"/>
        <v>-0.19926835125599984</v>
      </c>
      <c r="T51" s="84">
        <f>IF((K51)=0,"",(S51/K51))</f>
        <v>-5.3309222240183654E-2</v>
      </c>
      <c r="U51" s="81"/>
      <c r="V51" s="79">
        <v>0.13</v>
      </c>
      <c r="W51" s="82">
        <f>W50*V51</f>
        <v>3.5714072081324004</v>
      </c>
      <c r="X51" s="81"/>
      <c r="Y51" s="83">
        <f t="shared" si="11"/>
        <v>3.2704100000000125E-2</v>
      </c>
      <c r="Z51" s="84">
        <f>IF((Q51)=0,"",(Y51/Q51))</f>
        <v>9.2418321064691323E-3</v>
      </c>
      <c r="AA51" s="81"/>
      <c r="AB51" s="79">
        <v>0.13</v>
      </c>
      <c r="AC51" s="82">
        <f>AC50*AB51</f>
        <v>3.6022848081324002</v>
      </c>
      <c r="AD51" s="81"/>
      <c r="AE51" s="83">
        <f t="shared" si="12"/>
        <v>3.0877599999999727E-2</v>
      </c>
      <c r="AF51" s="84">
        <f>IF((W51)=0,"",(AE51/W51))</f>
        <v>8.6457797166586848E-3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32.870261403475382</v>
      </c>
      <c r="I52" s="81"/>
      <c r="J52" s="86"/>
      <c r="K52" s="82">
        <f>K50+K51</f>
        <v>32.491598070068399</v>
      </c>
      <c r="L52" s="81"/>
      <c r="M52" s="83">
        <f t="shared" si="26"/>
        <v>-0.37866333340698333</v>
      </c>
      <c r="N52" s="84">
        <f>IF((H52)=0,"",(M52/H52))</f>
        <v>-1.1519936782947127E-2</v>
      </c>
      <c r="O52" s="212"/>
      <c r="P52" s="86"/>
      <c r="Q52" s="82">
        <f>Q50+Q51</f>
        <v>30.7594962476124</v>
      </c>
      <c r="R52" s="81"/>
      <c r="S52" s="83">
        <f t="shared" si="10"/>
        <v>-1.7321018224559985</v>
      </c>
      <c r="T52" s="84">
        <f>IF((K52)=0,"",(S52/K52))</f>
        <v>-5.3309222240183654E-2</v>
      </c>
      <c r="U52" s="81"/>
      <c r="V52" s="86"/>
      <c r="W52" s="82">
        <f>W50+W51</f>
        <v>31.043770347612401</v>
      </c>
      <c r="X52" s="81"/>
      <c r="Y52" s="83">
        <f t="shared" si="11"/>
        <v>0.28427410000000108</v>
      </c>
      <c r="Z52" s="84">
        <f>IF((Q52)=0,"",(Y52/Q52))</f>
        <v>9.2418321064691323E-3</v>
      </c>
      <c r="AA52" s="81"/>
      <c r="AB52" s="86"/>
      <c r="AC52" s="82">
        <f>AC50+AC51</f>
        <v>31.312167947612398</v>
      </c>
      <c r="AD52" s="81"/>
      <c r="AE52" s="83">
        <f t="shared" si="12"/>
        <v>0.26839759999999657</v>
      </c>
      <c r="AF52" s="84">
        <f>IF((W52)=0,"",(AE52/W52))</f>
        <v>8.6457797166586501E-3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26"/>
        <v>0</v>
      </c>
      <c r="N53" s="89" t="str">
        <f>IF((H53)=0,"",(M53/H53))</f>
        <v/>
      </c>
      <c r="O53" s="212"/>
      <c r="P53" s="86"/>
      <c r="Q53" s="87">
        <f>ROUND(-Q52*10%,2)</f>
        <v>-3.08</v>
      </c>
      <c r="R53" s="81"/>
      <c r="S53" s="88">
        <f t="shared" si="10"/>
        <v>-3.08</v>
      </c>
      <c r="T53" s="89" t="str">
        <f>IF((K53)=0,"",(S53/K53))</f>
        <v/>
      </c>
      <c r="U53" s="81"/>
      <c r="V53" s="86"/>
      <c r="W53" s="87">
        <f>ROUND(-W52*10%,2)</f>
        <v>-3.1</v>
      </c>
      <c r="X53" s="81"/>
      <c r="Y53" s="88">
        <f t="shared" si="11"/>
        <v>-2.0000000000000018E-2</v>
      </c>
      <c r="Z53" s="89">
        <f>IF((Q53)=0,"",(Y53/Q53))</f>
        <v>6.4935064935064991E-3</v>
      </c>
      <c r="AA53" s="81"/>
      <c r="AB53" s="86"/>
      <c r="AC53" s="87">
        <f>ROUND(-AC52*10%,2)</f>
        <v>-3.13</v>
      </c>
      <c r="AD53" s="81"/>
      <c r="AE53" s="88">
        <f t="shared" si="12"/>
        <v>-2.9999999999999805E-2</v>
      </c>
      <c r="AF53" s="89">
        <f>IF((W53)=0,"",(AE53/W53))</f>
        <v>9.6774193548386459E-3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32.870261403475382</v>
      </c>
      <c r="I54" s="92"/>
      <c r="J54" s="90"/>
      <c r="K54" s="93">
        <f>K52+K53</f>
        <v>32.491598070068399</v>
      </c>
      <c r="L54" s="92"/>
      <c r="M54" s="94">
        <f t="shared" si="26"/>
        <v>-0.37866333340698333</v>
      </c>
      <c r="N54" s="95">
        <f>IF((H54)=0,"",(M54/H54))</f>
        <v>-1.1519936782947127E-2</v>
      </c>
      <c r="O54" s="212"/>
      <c r="P54" s="90"/>
      <c r="Q54" s="93">
        <f>Q52+Q53</f>
        <v>27.679496247612398</v>
      </c>
      <c r="R54" s="92"/>
      <c r="S54" s="94">
        <f t="shared" si="10"/>
        <v>-4.8121018224560004</v>
      </c>
      <c r="T54" s="95">
        <f>IF((K54)=0,"",(S54/K54))</f>
        <v>-0.1481029591735889</v>
      </c>
      <c r="U54" s="92"/>
      <c r="V54" s="90"/>
      <c r="W54" s="93">
        <f>W52+W53</f>
        <v>27.9437703476124</v>
      </c>
      <c r="X54" s="92"/>
      <c r="Y54" s="94">
        <f t="shared" si="11"/>
        <v>0.26427410000000151</v>
      </c>
      <c r="Z54" s="95">
        <f>IF((Q54)=0,"",(Y54/Q54))</f>
        <v>9.5476484700402556E-3</v>
      </c>
      <c r="AA54" s="92"/>
      <c r="AB54" s="90"/>
      <c r="AC54" s="93">
        <f>AC52+AC53</f>
        <v>28.182167947612399</v>
      </c>
      <c r="AD54" s="92"/>
      <c r="AE54" s="94">
        <f t="shared" si="12"/>
        <v>0.23839759999999899</v>
      </c>
      <c r="AF54" s="95">
        <f>IF((W54)=0,"",(AE54/W54))</f>
        <v>8.5313326381659307E-3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27.899304905730428</v>
      </c>
      <c r="I56" s="106"/>
      <c r="J56" s="103"/>
      <c r="K56" s="105">
        <f>SUM(K47:K48,K39,K40:K43)</f>
        <v>27.564204610680001</v>
      </c>
      <c r="L56" s="106"/>
      <c r="M56" s="107">
        <f t="shared" si="26"/>
        <v>-0.33510029505042738</v>
      </c>
      <c r="N56" s="77">
        <f>IF((H56)=0,"",(M56/H56))</f>
        <v>-1.2011062504342137E-2</v>
      </c>
      <c r="O56" s="212"/>
      <c r="P56" s="103"/>
      <c r="Q56" s="105">
        <f>SUM(Q47:Q48,Q39,Q40:Q43)</f>
        <v>26.125556139480004</v>
      </c>
      <c r="R56" s="106"/>
      <c r="S56" s="107">
        <f t="shared" si="10"/>
        <v>-1.4386484711999969</v>
      </c>
      <c r="T56" s="77">
        <f>IF((K56)=0,"",(S56/K56))</f>
        <v>-5.2192635032268613E-2</v>
      </c>
      <c r="U56" s="106"/>
      <c r="V56" s="103"/>
      <c r="W56" s="105">
        <f>SUM(W47:W48,W39,W40:W43)</f>
        <v>26.377126139480001</v>
      </c>
      <c r="X56" s="106"/>
      <c r="Y56" s="107">
        <f t="shared" si="11"/>
        <v>0.25156999999999741</v>
      </c>
      <c r="Z56" s="77">
        <f>IF((Q56)=0,"",(Y56/Q56))</f>
        <v>9.6292686998472668E-3</v>
      </c>
      <c r="AA56" s="106"/>
      <c r="AB56" s="103"/>
      <c r="AC56" s="105">
        <f>SUM(AC47:AC48,AC39,AC40:AC43)</f>
        <v>26.614646139480001</v>
      </c>
      <c r="AD56" s="106"/>
      <c r="AE56" s="107">
        <f t="shared" si="12"/>
        <v>0.23751999999999995</v>
      </c>
      <c r="AF56" s="77">
        <f>IF((W56)=0,"",(AE56/W56))</f>
        <v>9.0047717383620329E-3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3.6269096377449559</v>
      </c>
      <c r="I57" s="110"/>
      <c r="J57" s="109">
        <v>0.13</v>
      </c>
      <c r="K57" s="111">
        <f>K56*J57</f>
        <v>3.5833465993884004</v>
      </c>
      <c r="L57" s="110"/>
      <c r="M57" s="112">
        <f t="shared" si="26"/>
        <v>-4.3563038356555506E-2</v>
      </c>
      <c r="N57" s="84">
        <f>IF((H57)=0,"",(M57/H57))</f>
        <v>-1.2011062504342121E-2</v>
      </c>
      <c r="O57" s="212"/>
      <c r="P57" s="109">
        <v>0.13</v>
      </c>
      <c r="Q57" s="111">
        <f>Q56*P57</f>
        <v>3.3963222981324006</v>
      </c>
      <c r="R57" s="110"/>
      <c r="S57" s="112">
        <f t="shared" si="10"/>
        <v>-0.18702430125599978</v>
      </c>
      <c r="T57" s="84">
        <f>IF((K57)=0,"",(S57/K57))</f>
        <v>-5.2192635032268654E-2</v>
      </c>
      <c r="U57" s="110"/>
      <c r="V57" s="109">
        <v>0.13</v>
      </c>
      <c r="W57" s="111">
        <f>W56*V57</f>
        <v>3.4290263981324003</v>
      </c>
      <c r="X57" s="110"/>
      <c r="Y57" s="112">
        <f t="shared" si="11"/>
        <v>3.2704099999999681E-2</v>
      </c>
      <c r="Z57" s="84">
        <f>IF((Q57)=0,"",(Y57/Q57))</f>
        <v>9.629268699847272E-3</v>
      </c>
      <c r="AA57" s="110"/>
      <c r="AB57" s="109">
        <v>0.13</v>
      </c>
      <c r="AC57" s="111">
        <f>AC56*AB57</f>
        <v>3.4599039981324005</v>
      </c>
      <c r="AD57" s="110"/>
      <c r="AE57" s="112">
        <f t="shared" si="12"/>
        <v>3.0877600000000172E-2</v>
      </c>
      <c r="AF57" s="84">
        <f>IF((W57)=0,"",(AE57/W57))</f>
        <v>9.004771738362085E-3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31.526214543475383</v>
      </c>
      <c r="I58" s="110"/>
      <c r="J58" s="114"/>
      <c r="K58" s="111">
        <f>K56+K57</f>
        <v>31.1475512100684</v>
      </c>
      <c r="L58" s="110"/>
      <c r="M58" s="112">
        <f t="shared" si="26"/>
        <v>-0.37866333340698333</v>
      </c>
      <c r="N58" s="84">
        <f>IF((H58)=0,"",(M58/H58))</f>
        <v>-1.2011062504342149E-2</v>
      </c>
      <c r="O58" s="212"/>
      <c r="P58" s="114"/>
      <c r="Q58" s="111">
        <f>Q56+Q57</f>
        <v>29.521878437612404</v>
      </c>
      <c r="R58" s="110"/>
      <c r="S58" s="112">
        <f t="shared" si="10"/>
        <v>-1.6256727724559958</v>
      </c>
      <c r="T58" s="84">
        <f>IF((K58)=0,"",(S58/K58))</f>
        <v>-5.2192635032268592E-2</v>
      </c>
      <c r="U58" s="110"/>
      <c r="V58" s="114"/>
      <c r="W58" s="111">
        <f>W56+W57</f>
        <v>29.806152537612402</v>
      </c>
      <c r="X58" s="110"/>
      <c r="Y58" s="112">
        <f t="shared" si="11"/>
        <v>0.28427409999999753</v>
      </c>
      <c r="Z58" s="84">
        <f>IF((Q58)=0,"",(Y58/Q58))</f>
        <v>9.6292686998472824E-3</v>
      </c>
      <c r="AA58" s="110"/>
      <c r="AB58" s="114"/>
      <c r="AC58" s="111">
        <f>AC56+AC57</f>
        <v>30.074550137612402</v>
      </c>
      <c r="AD58" s="110"/>
      <c r="AE58" s="112">
        <f t="shared" si="12"/>
        <v>0.26839760000000012</v>
      </c>
      <c r="AF58" s="84">
        <f>IF((W58)=0,"",(AE58/W58))</f>
        <v>9.0047717383620381E-3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26"/>
        <v>0</v>
      </c>
      <c r="N59" s="89" t="str">
        <f>IF((H59)=0,"",(M59/H59))</f>
        <v/>
      </c>
      <c r="O59" s="212"/>
      <c r="P59" s="114"/>
      <c r="Q59" s="116">
        <f>ROUND(-Q58*10%,2)</f>
        <v>-2.95</v>
      </c>
      <c r="R59" s="110"/>
      <c r="S59" s="117">
        <f t="shared" si="10"/>
        <v>-2.95</v>
      </c>
      <c r="T59" s="89" t="str">
        <f>IF((K59)=0,"",(S59/K59))</f>
        <v/>
      </c>
      <c r="U59" s="110"/>
      <c r="V59" s="114"/>
      <c r="W59" s="116">
        <f>ROUND(-W58*10%,2)</f>
        <v>-2.98</v>
      </c>
      <c r="X59" s="110"/>
      <c r="Y59" s="117">
        <f t="shared" si="11"/>
        <v>-2.9999999999999805E-2</v>
      </c>
      <c r="Z59" s="89">
        <f>IF((Q59)=0,"",(Y59/Q59))</f>
        <v>1.0169491525423662E-2</v>
      </c>
      <c r="AA59" s="110"/>
      <c r="AB59" s="114"/>
      <c r="AC59" s="116">
        <f>ROUND(-AC58*10%,2)</f>
        <v>-3.01</v>
      </c>
      <c r="AD59" s="110"/>
      <c r="AE59" s="117">
        <f t="shared" si="12"/>
        <v>-2.9999999999999805E-2</v>
      </c>
      <c r="AF59" s="89">
        <f>IF((W59)=0,"",(AE59/W59))</f>
        <v>1.0067114093959667E-2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31.526214543475383</v>
      </c>
      <c r="I60" s="120"/>
      <c r="J60" s="118"/>
      <c r="K60" s="121">
        <f>SUM(K58:K59)</f>
        <v>31.1475512100684</v>
      </c>
      <c r="L60" s="120"/>
      <c r="M60" s="122">
        <f t="shared" si="26"/>
        <v>-0.37866333340698333</v>
      </c>
      <c r="N60" s="123">
        <f>IF((H60)=0,"",(M60/H60))</f>
        <v>-1.2011062504342149E-2</v>
      </c>
      <c r="O60" s="212"/>
      <c r="P60" s="118"/>
      <c r="Q60" s="121">
        <f>SUM(Q58:Q59)</f>
        <v>26.571878437612405</v>
      </c>
      <c r="R60" s="120"/>
      <c r="S60" s="122">
        <f t="shared" si="10"/>
        <v>-4.5756727724559951</v>
      </c>
      <c r="T60" s="123">
        <f>IF((K60)=0,"",(S60/K60))</f>
        <v>-0.14690313025240057</v>
      </c>
      <c r="U60" s="120"/>
      <c r="V60" s="118"/>
      <c r="W60" s="121">
        <f>SUM(W58:W59)</f>
        <v>26.826152537612401</v>
      </c>
      <c r="X60" s="120"/>
      <c r="Y60" s="122">
        <f t="shared" si="11"/>
        <v>0.25427409999999639</v>
      </c>
      <c r="Z60" s="123">
        <f>IF((Q60)=0,"",(Y60/Q60))</f>
        <v>9.5692933639223744E-3</v>
      </c>
      <c r="AA60" s="120"/>
      <c r="AB60" s="118"/>
      <c r="AC60" s="121">
        <f>SUM(AC58:AC59)</f>
        <v>27.0645501376124</v>
      </c>
      <c r="AD60" s="120"/>
      <c r="AE60" s="122">
        <f t="shared" si="12"/>
        <v>0.23839759999999899</v>
      </c>
      <c r="AF60" s="123">
        <f>IF((W60)=0,"",(AE60/W60))</f>
        <v>8.8867607706974213E-3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3.0790000000000001E-2</v>
      </c>
      <c r="I63" s="142"/>
      <c r="J63" s="129">
        <v>3.0790000000000001E-2</v>
      </c>
      <c r="K63" s="142"/>
      <c r="L63" s="142"/>
      <c r="M63" s="142"/>
      <c r="N63" s="142"/>
      <c r="O63" s="142"/>
      <c r="P63" s="129">
        <v>3.0790000000000001E-2</v>
      </c>
      <c r="Q63" s="142"/>
      <c r="R63" s="142"/>
      <c r="S63" s="142"/>
      <c r="T63" s="142"/>
      <c r="U63" s="142"/>
      <c r="V63" s="129">
        <v>3.0790000000000001E-2</v>
      </c>
      <c r="W63" s="142"/>
      <c r="X63" s="142"/>
      <c r="Y63" s="142"/>
      <c r="Z63" s="142"/>
      <c r="AA63" s="142"/>
      <c r="AB63" s="129">
        <v>3.0790000000000001E-2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0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theme="7"/>
    <pageSetUpPr fitToPage="1"/>
  </sheetPr>
  <dimension ref="A1:AP79"/>
  <sheetViews>
    <sheetView showGridLines="0" topLeftCell="A55" zoomScale="76" zoomScaleNormal="76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140625" style="1" customWidth="1"/>
    <col min="7" max="7" width="13.28515625" style="1" customWidth="1"/>
    <col min="8" max="8" width="12.28515625" style="142" customWidth="1"/>
    <col min="9" max="9" width="1.7109375" style="1" customWidth="1"/>
    <col min="10" max="10" width="13.28515625" style="1" customWidth="1"/>
    <col min="11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" style="1" hidden="1" customWidth="1"/>
    <col min="26" max="26" width="0" style="1" hidden="1" customWidth="1"/>
    <col min="27" max="27" width="1.7109375" style="1" hidden="1" customWidth="1"/>
    <col min="28" max="28" width="13.28515625" style="1" hidden="1" customWidth="1"/>
    <col min="29" max="29" width="12.28515625" style="1" hidden="1" customWidth="1"/>
    <col min="30" max="30" width="1.7109375" style="1" hidden="1" customWidth="1"/>
    <col min="31" max="31" width="10" style="1" hidden="1" customWidth="1"/>
    <col min="32" max="32" width="0" style="1" hidden="1" customWidth="1"/>
    <col min="33" max="33" width="1.7109375" style="1" customWidth="1"/>
    <col min="34" max="34" width="13.28515625" style="1" customWidth="1"/>
    <col min="35" max="35" width="12.28515625" style="1" customWidth="1"/>
    <col min="36" max="36" width="1.7109375" style="1" customWidth="1"/>
    <col min="37" max="37" width="10" style="1" customWidth="1"/>
    <col min="38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69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8">
        <v>721</v>
      </c>
      <c r="H6" s="9" t="s">
        <v>72</v>
      </c>
      <c r="J6" s="151"/>
      <c r="K6" s="151"/>
    </row>
    <row r="7" spans="2:42" x14ac:dyDescent="0.2">
      <c r="B7" s="6"/>
      <c r="D7" s="7" t="s">
        <v>3</v>
      </c>
      <c r="E7" s="7"/>
      <c r="F7" s="7"/>
      <c r="G7" s="158">
        <v>216</v>
      </c>
      <c r="H7" s="9" t="s">
        <v>64</v>
      </c>
      <c r="J7" s="151"/>
      <c r="K7" s="151"/>
    </row>
    <row r="8" spans="2:42" x14ac:dyDescent="0.2">
      <c r="B8" s="6"/>
      <c r="G8" s="158">
        <v>97008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59">
        <f>G6</f>
        <v>721</v>
      </c>
      <c r="G12" s="209">
        <v>5.45</v>
      </c>
      <c r="H12" s="18">
        <f t="shared" ref="H12:H27" si="0">$F12*G12</f>
        <v>3929.4500000000003</v>
      </c>
      <c r="I12" s="19"/>
      <c r="J12" s="209">
        <v>5.48</v>
      </c>
      <c r="K12" s="18">
        <f t="shared" ref="K12:K27" si="1">$F12*J12</f>
        <v>3951.0800000000004</v>
      </c>
      <c r="L12" s="19"/>
      <c r="M12" s="21">
        <f t="shared" ref="M12:M21" si="2">K12-H12</f>
        <v>21.630000000000109</v>
      </c>
      <c r="N12" s="22">
        <f t="shared" ref="N12:N21" si="3">IF((H12)=0,"",(M12/H12))</f>
        <v>5.5045871559633299E-3</v>
      </c>
      <c r="O12" s="212"/>
      <c r="P12" s="16">
        <v>5.48</v>
      </c>
      <c r="Q12" s="18">
        <f t="shared" ref="Q12:Q27" si="4">$F12*P12</f>
        <v>3951.0800000000004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5.47</v>
      </c>
      <c r="W12" s="18">
        <f t="shared" ref="W12:W27" si="6">$F12*V12</f>
        <v>3943.87</v>
      </c>
      <c r="X12" s="19"/>
      <c r="Y12" s="21">
        <f>W12-Q12</f>
        <v>-7.2100000000004911</v>
      </c>
      <c r="Z12" s="22">
        <f t="shared" ref="Z12:Z34" si="7">IF((Q12)=0,"",(Y12/Q12))</f>
        <v>-1.8248175182482994E-3</v>
      </c>
      <c r="AA12" s="19"/>
      <c r="AB12" s="16">
        <v>5.6</v>
      </c>
      <c r="AC12" s="18">
        <f t="shared" ref="AC12:AC27" si="8">$F12*AB12</f>
        <v>4037.6</v>
      </c>
      <c r="AD12" s="19"/>
      <c r="AE12" s="21">
        <f>AC12-W12</f>
        <v>93.730000000000018</v>
      </c>
      <c r="AF12" s="22">
        <f t="shared" ref="AF12:AF34" si="9">IF((W12)=0,"",(AE12/W12))</f>
        <v>2.3765996343692874E-2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59">
        <f>G6</f>
        <v>721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59">
        <f>G6</f>
        <v>721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ht="12.6" customHeight="1" x14ac:dyDescent="0.2">
      <c r="B15" s="23" t="s">
        <v>97</v>
      </c>
      <c r="C15" s="14"/>
      <c r="D15" s="15" t="s">
        <v>51</v>
      </c>
      <c r="E15" s="15"/>
      <c r="F15" s="159">
        <f>G6</f>
        <v>721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59">
        <f>G6</f>
        <v>721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59">
        <f>G6</f>
        <v>721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59">
        <f>G6</f>
        <v>721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216</v>
      </c>
      <c r="G19" s="16">
        <v>14.949199999999999</v>
      </c>
      <c r="H19" s="18">
        <f t="shared" si="0"/>
        <v>3229.0272</v>
      </c>
      <c r="I19" s="19"/>
      <c r="J19" s="16">
        <v>15.0244</v>
      </c>
      <c r="K19" s="18">
        <f t="shared" si="1"/>
        <v>3245.2703999999999</v>
      </c>
      <c r="L19" s="19"/>
      <c r="M19" s="21">
        <f t="shared" si="2"/>
        <v>16.243199999999888</v>
      </c>
      <c r="N19" s="22">
        <f t="shared" si="3"/>
        <v>5.0303695181012683E-3</v>
      </c>
      <c r="O19" s="212"/>
      <c r="P19" s="16">
        <v>15.0244</v>
      </c>
      <c r="Q19" s="18">
        <f t="shared" si="4"/>
        <v>3245.2703999999999</v>
      </c>
      <c r="R19" s="19"/>
      <c r="S19" s="21">
        <f t="shared" si="10"/>
        <v>0</v>
      </c>
      <c r="T19" s="22">
        <f t="shared" si="5"/>
        <v>0</v>
      </c>
      <c r="U19" s="19"/>
      <c r="V19" s="16">
        <v>15.008800000000001</v>
      </c>
      <c r="W19" s="18">
        <f t="shared" si="6"/>
        <v>3241.9008000000003</v>
      </c>
      <c r="X19" s="19"/>
      <c r="Y19" s="21">
        <f t="shared" si="11"/>
        <v>-3.3695999999995365</v>
      </c>
      <c r="Z19" s="22">
        <f t="shared" si="7"/>
        <v>-1.0383110140836144E-3</v>
      </c>
      <c r="AA19" s="19"/>
      <c r="AB19" s="16">
        <v>15.3672</v>
      </c>
      <c r="AC19" s="18">
        <f t="shared" si="8"/>
        <v>3319.3152</v>
      </c>
      <c r="AD19" s="19"/>
      <c r="AE19" s="21">
        <f t="shared" si="12"/>
        <v>77.414399999999659</v>
      </c>
      <c r="AF19" s="22">
        <f t="shared" si="9"/>
        <v>2.3879324129843716E-2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3">$G$7</f>
        <v>216</v>
      </c>
      <c r="G20" s="16"/>
      <c r="H20" s="18">
        <f t="shared" si="0"/>
        <v>0</v>
      </c>
      <c r="I20" s="19"/>
      <c r="J20" s="16">
        <v>2.0899999999999998E-2</v>
      </c>
      <c r="K20" s="18">
        <f t="shared" si="1"/>
        <v>4.5143999999999993</v>
      </c>
      <c r="L20" s="19"/>
      <c r="M20" s="21">
        <f t="shared" si="2"/>
        <v>4.5143999999999993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-4.5143999999999993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216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4">$G$7</f>
        <v>216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216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216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216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7158.4772000000003</v>
      </c>
      <c r="I28" s="31"/>
      <c r="J28" s="28"/>
      <c r="K28" s="30">
        <f>SUM(K12:K27)</f>
        <v>7200.8648000000003</v>
      </c>
      <c r="L28" s="31"/>
      <c r="M28" s="32">
        <f t="shared" si="15"/>
        <v>42.38760000000002</v>
      </c>
      <c r="N28" s="33">
        <f t="shared" si="16"/>
        <v>5.9213152205052797E-3</v>
      </c>
      <c r="O28" s="212"/>
      <c r="P28" s="28"/>
      <c r="Q28" s="30">
        <f>SUM(Q12:Q27)</f>
        <v>7196.3504000000003</v>
      </c>
      <c r="R28" s="31"/>
      <c r="S28" s="32">
        <f t="shared" si="10"/>
        <v>-4.5144000000000233</v>
      </c>
      <c r="T28" s="33">
        <f t="shared" si="5"/>
        <v>-6.2692469937777797E-4</v>
      </c>
      <c r="U28" s="31"/>
      <c r="V28" s="28"/>
      <c r="W28" s="30">
        <f>SUM(W12:W27)</f>
        <v>7185.7708000000002</v>
      </c>
      <c r="X28" s="31"/>
      <c r="Y28" s="32">
        <f t="shared" si="11"/>
        <v>-10.579600000000028</v>
      </c>
      <c r="Z28" s="33">
        <f t="shared" si="7"/>
        <v>-1.4701340835210064E-3</v>
      </c>
      <c r="AA28" s="31"/>
      <c r="AB28" s="28"/>
      <c r="AC28" s="30">
        <f>SUM(AC12:AC27)</f>
        <v>7356.9151999999995</v>
      </c>
      <c r="AD28" s="31"/>
      <c r="AE28" s="32">
        <f t="shared" si="12"/>
        <v>171.14439999999922</v>
      </c>
      <c r="AF28" s="33">
        <f t="shared" si="9"/>
        <v>2.3817124810048104E-2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216</v>
      </c>
      <c r="G29" s="16">
        <v>0.1197437182678473</v>
      </c>
      <c r="H29" s="18">
        <f t="shared" ref="H29:H35" si="17">$F29*G29</f>
        <v>25.864643145855016</v>
      </c>
      <c r="I29" s="19"/>
      <c r="J29" s="16">
        <v>-0.8891</v>
      </c>
      <c r="K29" s="18">
        <f t="shared" ref="K29:K35" si="18">$F29*J29</f>
        <v>-192.04560000000001</v>
      </c>
      <c r="L29" s="19"/>
      <c r="M29" s="21">
        <f t="shared" si="15"/>
        <v>-217.91024314585502</v>
      </c>
      <c r="N29" s="22">
        <f t="shared" si="16"/>
        <v>-8.4250241504212138</v>
      </c>
      <c r="O29" s="212"/>
      <c r="P29" s="16">
        <v>-0.8891</v>
      </c>
      <c r="Q29" s="18">
        <f t="shared" ref="Q29:Q35" si="19">$F29*P29</f>
        <v>-192.04560000000001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192.04560000000001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3" si="22">$G$7</f>
        <v>216</v>
      </c>
      <c r="G30" s="16">
        <v>1.3019293139368611</v>
      </c>
      <c r="H30" s="18">
        <f t="shared" si="17"/>
        <v>281.21673181036198</v>
      </c>
      <c r="I30" s="19"/>
      <c r="J30" s="16">
        <v>1.6000000000000001E-3</v>
      </c>
      <c r="K30" s="18">
        <f>(G8*(1+J63))*J30</f>
        <v>159.99180211200002</v>
      </c>
      <c r="L30" s="19"/>
      <c r="M30" s="21">
        <f t="shared" si="15"/>
        <v>-121.22492969836196</v>
      </c>
      <c r="N30" s="22">
        <f t="shared" si="16"/>
        <v>-0.43107296254374289</v>
      </c>
      <c r="O30" s="212"/>
      <c r="P30" s="16">
        <v>1.6000000000000001E-3</v>
      </c>
      <c r="Q30" s="18">
        <f t="shared" si="19"/>
        <v>0.34560000000000002</v>
      </c>
      <c r="R30" s="19"/>
      <c r="S30" s="21">
        <f t="shared" si="10"/>
        <v>-159.64620211200003</v>
      </c>
      <c r="T30" s="22">
        <f t="shared" si="5"/>
        <v>-0.99783988932284129</v>
      </c>
      <c r="U30" s="19"/>
      <c r="V30" s="16">
        <v>0</v>
      </c>
      <c r="W30" s="18">
        <f t="shared" si="20"/>
        <v>0</v>
      </c>
      <c r="X30" s="19"/>
      <c r="Y30" s="21">
        <f t="shared" si="11"/>
        <v>-0.34560000000000002</v>
      </c>
      <c r="Z30" s="22">
        <f t="shared" si="7"/>
        <v>-1</v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22"/>
        <v>216</v>
      </c>
      <c r="G31" s="16">
        <v>0</v>
      </c>
      <c r="H31" s="18">
        <f>$F31*G31</f>
        <v>0</v>
      </c>
      <c r="I31" s="19"/>
      <c r="J31" s="16">
        <v>0</v>
      </c>
      <c r="K31" s="18">
        <f t="shared" si="18"/>
        <v>0</v>
      </c>
      <c r="L31" s="19"/>
      <c r="M31" s="21">
        <f t="shared" si="15"/>
        <v>0</v>
      </c>
      <c r="N31" s="22" t="str">
        <f t="shared" si="16"/>
        <v/>
      </c>
      <c r="O31" s="212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216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212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2"/>
        <v>216</v>
      </c>
      <c r="G33" s="133">
        <v>1.745E-2</v>
      </c>
      <c r="H33" s="18">
        <f t="shared" si="17"/>
        <v>3.7692000000000001</v>
      </c>
      <c r="I33" s="19"/>
      <c r="J33" s="133">
        <v>1.745E-2</v>
      </c>
      <c r="K33" s="18">
        <f t="shared" si="18"/>
        <v>3.7692000000000001</v>
      </c>
      <c r="L33" s="19"/>
      <c r="M33" s="21">
        <f t="shared" si="15"/>
        <v>0</v>
      </c>
      <c r="N33" s="22">
        <f t="shared" si="16"/>
        <v>0</v>
      </c>
      <c r="O33" s="212"/>
      <c r="P33" s="133">
        <v>1.745E-2</v>
      </c>
      <c r="Q33" s="18">
        <f t="shared" si="19"/>
        <v>3.7692000000000001</v>
      </c>
      <c r="R33" s="19"/>
      <c r="S33" s="21">
        <f t="shared" si="10"/>
        <v>0</v>
      </c>
      <c r="T33" s="22">
        <f t="shared" si="5"/>
        <v>0</v>
      </c>
      <c r="U33" s="19"/>
      <c r="V33" s="133">
        <v>1.745E-2</v>
      </c>
      <c r="W33" s="18">
        <f t="shared" si="20"/>
        <v>3.7692000000000001</v>
      </c>
      <c r="X33" s="19"/>
      <c r="Y33" s="21">
        <f t="shared" si="11"/>
        <v>0</v>
      </c>
      <c r="Z33" s="22">
        <f t="shared" si="7"/>
        <v>0</v>
      </c>
      <c r="AA33" s="19"/>
      <c r="AB33" s="133">
        <v>1.745E-2</v>
      </c>
      <c r="AC33" s="18">
        <f t="shared" si="21"/>
        <v>3.7692000000000001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2986.8763200000103</v>
      </c>
      <c r="G34" s="38">
        <f>0.64*$G$44+0.18*$G$45+0.18*$G$46</f>
        <v>0.11183999999999999</v>
      </c>
      <c r="H34" s="18">
        <f t="shared" si="17"/>
        <v>334.05224762880113</v>
      </c>
      <c r="I34" s="19"/>
      <c r="J34" s="38">
        <f>0.64*$G$44+0.18*$G$45+0.18*$G$46</f>
        <v>0.11183999999999999</v>
      </c>
      <c r="K34" s="18">
        <f t="shared" si="18"/>
        <v>334.05224762880113</v>
      </c>
      <c r="L34" s="19"/>
      <c r="M34" s="21">
        <f t="shared" si="15"/>
        <v>0</v>
      </c>
      <c r="N34" s="22">
        <f t="shared" si="16"/>
        <v>0</v>
      </c>
      <c r="O34" s="212"/>
      <c r="P34" s="38">
        <f>0.64*$G$44+0.18*$G$45+0.18*$G$46</f>
        <v>0.11183999999999999</v>
      </c>
      <c r="Q34" s="18">
        <f t="shared" si="19"/>
        <v>334.05224762880113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0.11183999999999999</v>
      </c>
      <c r="W34" s="18">
        <f t="shared" si="20"/>
        <v>334.05224762880113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0.11183999999999999</v>
      </c>
      <c r="AC34" s="18">
        <f t="shared" si="21"/>
        <v>334.05224762880113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59">
        <f>G6</f>
        <v>721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212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7803.3800225850182</v>
      </c>
      <c r="I36" s="31"/>
      <c r="J36" s="41"/>
      <c r="K36" s="43">
        <f>SUM(K29:K35)+K28</f>
        <v>7506.6324497408013</v>
      </c>
      <c r="L36" s="31"/>
      <c r="M36" s="32">
        <f t="shared" si="15"/>
        <v>-296.74757284421685</v>
      </c>
      <c r="N36" s="33">
        <f t="shared" ref="N36:N42" si="27">IF((H36)=0,"",(M36/H36))</f>
        <v>-3.8028081675549816E-2</v>
      </c>
      <c r="O36" s="212"/>
      <c r="P36" s="41"/>
      <c r="Q36" s="43">
        <f>SUM(Q29:Q35)+Q28</f>
        <v>7342.4718476288017</v>
      </c>
      <c r="R36" s="31"/>
      <c r="S36" s="32">
        <f t="shared" si="10"/>
        <v>-164.16060211199965</v>
      </c>
      <c r="T36" s="33">
        <f t="shared" ref="T36:T42" si="28">IF((K36)=0,"",(S36/K36))</f>
        <v>-2.1868741171371459E-2</v>
      </c>
      <c r="U36" s="31"/>
      <c r="V36" s="41"/>
      <c r="W36" s="43">
        <f>SUM(W29:W35)+W28</f>
        <v>7523.5922476288015</v>
      </c>
      <c r="X36" s="31"/>
      <c r="Y36" s="32">
        <f t="shared" si="11"/>
        <v>181.12039999999979</v>
      </c>
      <c r="Z36" s="33">
        <f t="shared" ref="Z36:Z42" si="29">IF((Q36)=0,"",(Y36/Q36))</f>
        <v>2.4667496690299374E-2</v>
      </c>
      <c r="AA36" s="31"/>
      <c r="AB36" s="41"/>
      <c r="AC36" s="43">
        <f>SUM(AC29:AC35)+AC28</f>
        <v>7694.7366476288007</v>
      </c>
      <c r="AD36" s="31"/>
      <c r="AE36" s="32">
        <f t="shared" si="12"/>
        <v>171.14439999999922</v>
      </c>
      <c r="AF36" s="33">
        <f t="shared" ref="AF36:AF46" si="30">IF((W36)=0,"",(AE36/W36))</f>
        <v>2.2747697425247699E-2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216</v>
      </c>
      <c r="G37" s="20">
        <v>2.2489556131050223</v>
      </c>
      <c r="H37" s="18">
        <f>$F37*G37</f>
        <v>485.77441243068483</v>
      </c>
      <c r="I37" s="19"/>
      <c r="J37" s="20">
        <v>2.1373000000000002</v>
      </c>
      <c r="K37" s="18">
        <f>$F37*J37</f>
        <v>461.65680000000003</v>
      </c>
      <c r="L37" s="19"/>
      <c r="M37" s="21">
        <f t="shared" si="15"/>
        <v>-24.117612430684801</v>
      </c>
      <c r="N37" s="22">
        <f t="shared" si="27"/>
        <v>-4.9647762034247006E-2</v>
      </c>
      <c r="O37" s="212"/>
      <c r="P37" s="20">
        <v>2.1373000000000002</v>
      </c>
      <c r="Q37" s="18">
        <f>$F37*P37</f>
        <v>461.65680000000003</v>
      </c>
      <c r="R37" s="19"/>
      <c r="S37" s="21">
        <f t="shared" si="10"/>
        <v>0</v>
      </c>
      <c r="T37" s="22">
        <f t="shared" si="28"/>
        <v>0</v>
      </c>
      <c r="U37" s="19"/>
      <c r="V37" s="20">
        <v>2.1373000000000002</v>
      </c>
      <c r="W37" s="18">
        <f>$F37*V37</f>
        <v>461.65680000000003</v>
      </c>
      <c r="X37" s="19"/>
      <c r="Y37" s="21">
        <f t="shared" si="11"/>
        <v>0</v>
      </c>
      <c r="Z37" s="22">
        <f t="shared" si="29"/>
        <v>0</v>
      </c>
      <c r="AA37" s="19"/>
      <c r="AB37" s="20">
        <v>2.1373000000000002</v>
      </c>
      <c r="AC37" s="18">
        <f>$F37*AB37</f>
        <v>461.65680000000003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216</v>
      </c>
      <c r="G38" s="20">
        <v>1.707114694191687</v>
      </c>
      <c r="H38" s="18">
        <f>$F38*G38</f>
        <v>368.73677394540442</v>
      </c>
      <c r="I38" s="19"/>
      <c r="J38" s="20">
        <v>1.7069000000000001</v>
      </c>
      <c r="K38" s="18">
        <f>$F38*J38</f>
        <v>368.69040000000001</v>
      </c>
      <c r="L38" s="19"/>
      <c r="M38" s="21">
        <f t="shared" si="15"/>
        <v>-4.6373945404411643E-2</v>
      </c>
      <c r="N38" s="22">
        <f t="shared" si="27"/>
        <v>-1.2576436276810792E-4</v>
      </c>
      <c r="O38" s="212"/>
      <c r="P38" s="20">
        <v>1.7069000000000001</v>
      </c>
      <c r="Q38" s="18">
        <f>$F38*P38</f>
        <v>368.69040000000001</v>
      </c>
      <c r="R38" s="19"/>
      <c r="S38" s="21">
        <f t="shared" si="10"/>
        <v>0</v>
      </c>
      <c r="T38" s="22">
        <f t="shared" si="28"/>
        <v>0</v>
      </c>
      <c r="U38" s="19"/>
      <c r="V38" s="20">
        <v>1.7069000000000001</v>
      </c>
      <c r="W38" s="18">
        <f>$F38*V38</f>
        <v>368.69040000000001</v>
      </c>
      <c r="X38" s="19"/>
      <c r="Y38" s="21">
        <f t="shared" si="11"/>
        <v>0</v>
      </c>
      <c r="Z38" s="22">
        <f t="shared" si="29"/>
        <v>0</v>
      </c>
      <c r="AA38" s="19"/>
      <c r="AB38" s="20">
        <v>1.7069000000000001</v>
      </c>
      <c r="AC38" s="18">
        <f>$F38*AB38</f>
        <v>368.69040000000001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8657.8912089611076</v>
      </c>
      <c r="I39" s="48"/>
      <c r="J39" s="47"/>
      <c r="K39" s="43">
        <f>SUM(K36:K38)</f>
        <v>8336.9796497408006</v>
      </c>
      <c r="L39" s="48"/>
      <c r="M39" s="32">
        <f t="shared" si="15"/>
        <v>-320.91155922030703</v>
      </c>
      <c r="N39" s="33">
        <f t="shared" si="27"/>
        <v>-3.7065787900887055E-2</v>
      </c>
      <c r="O39" s="212"/>
      <c r="P39" s="47"/>
      <c r="Q39" s="43">
        <f>SUM(Q36:Q38)</f>
        <v>8172.8190476288019</v>
      </c>
      <c r="R39" s="48"/>
      <c r="S39" s="32">
        <f t="shared" si="10"/>
        <v>-164.16060211199874</v>
      </c>
      <c r="T39" s="33">
        <f t="shared" si="28"/>
        <v>-1.9690656449797447E-2</v>
      </c>
      <c r="U39" s="48"/>
      <c r="V39" s="47"/>
      <c r="W39" s="43">
        <f>SUM(W36:W38)</f>
        <v>8353.9394476288016</v>
      </c>
      <c r="X39" s="48"/>
      <c r="Y39" s="32">
        <f t="shared" si="11"/>
        <v>181.12039999999979</v>
      </c>
      <c r="Z39" s="33">
        <f t="shared" si="29"/>
        <v>2.2161312876803341E-2</v>
      </c>
      <c r="AA39" s="48"/>
      <c r="AB39" s="47"/>
      <c r="AC39" s="43">
        <f>SUM(AC36:AC38)</f>
        <v>8525.0838476288009</v>
      </c>
      <c r="AD39" s="48"/>
      <c r="AE39" s="32">
        <f t="shared" si="12"/>
        <v>171.14439999999922</v>
      </c>
      <c r="AF39" s="33">
        <f t="shared" si="30"/>
        <v>2.048666992056989E-2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99994.87632000001</v>
      </c>
      <c r="G40" s="50">
        <v>4.7000000000000002E-3</v>
      </c>
      <c r="H40" s="152">
        <f t="shared" ref="H40:H42" si="31">$F40*G40</f>
        <v>469.97591870400009</v>
      </c>
      <c r="I40" s="19"/>
      <c r="J40" s="50">
        <v>4.7000000000000002E-3</v>
      </c>
      <c r="K40" s="152">
        <f t="shared" ref="K40:K42" si="32">$F40*J40</f>
        <v>469.97591870400009</v>
      </c>
      <c r="L40" s="19"/>
      <c r="M40" s="21">
        <f t="shared" si="15"/>
        <v>0</v>
      </c>
      <c r="N40" s="153">
        <f t="shared" si="27"/>
        <v>0</v>
      </c>
      <c r="O40" s="212"/>
      <c r="P40" s="50">
        <v>4.7000000000000002E-3</v>
      </c>
      <c r="Q40" s="152">
        <f t="shared" ref="Q40:Q42" si="33">$F40*P40</f>
        <v>469.97591870400009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2" si="34">$F40*V40</f>
        <v>469.97591870400009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469.97591870400009</v>
      </c>
      <c r="AD40" s="19"/>
      <c r="AE40" s="21">
        <f t="shared" si="12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99994.87632000001</v>
      </c>
      <c r="G41" s="50">
        <v>1.2999999999999999E-3</v>
      </c>
      <c r="H41" s="152">
        <f t="shared" si="31"/>
        <v>129.99333921600001</v>
      </c>
      <c r="I41" s="19"/>
      <c r="J41" s="50">
        <v>2.0999999999999999E-3</v>
      </c>
      <c r="K41" s="152">
        <f t="shared" si="32"/>
        <v>209.98924027200002</v>
      </c>
      <c r="L41" s="19"/>
      <c r="M41" s="21">
        <f t="shared" si="15"/>
        <v>79.995901056000008</v>
      </c>
      <c r="N41" s="153">
        <f t="shared" si="27"/>
        <v>0.61538461538461542</v>
      </c>
      <c r="O41" s="212"/>
      <c r="P41" s="50">
        <v>2.0999999999999999E-3</v>
      </c>
      <c r="Q41" s="152">
        <f t="shared" si="33"/>
        <v>209.98924027200002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209.98924027200002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209.98924027200002</v>
      </c>
      <c r="AD41" s="19"/>
      <c r="AE41" s="21">
        <f t="shared" si="12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59">
        <f>G6</f>
        <v>721</v>
      </c>
      <c r="G42" s="50">
        <v>0.25</v>
      </c>
      <c r="H42" s="152">
        <f t="shared" si="31"/>
        <v>180.25</v>
      </c>
      <c r="I42" s="19"/>
      <c r="J42" s="50">
        <v>0.25</v>
      </c>
      <c r="K42" s="152">
        <f t="shared" si="32"/>
        <v>180.25</v>
      </c>
      <c r="L42" s="19"/>
      <c r="M42" s="21">
        <f t="shared" si="15"/>
        <v>0</v>
      </c>
      <c r="N42" s="153">
        <f t="shared" si="27"/>
        <v>0</v>
      </c>
      <c r="O42" s="212"/>
      <c r="P42" s="50">
        <v>0.25</v>
      </c>
      <c r="Q42" s="152">
        <f t="shared" si="33"/>
        <v>180.25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180.25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180.25</v>
      </c>
      <c r="AD42" s="19"/>
      <c r="AE42" s="21">
        <f t="shared" si="12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97008</v>
      </c>
      <c r="G43" s="50">
        <v>7.0000000000000001E-3</v>
      </c>
      <c r="H43" s="152">
        <f t="shared" ref="H43:H48" si="36">$F43*G43</f>
        <v>679.05600000000004</v>
      </c>
      <c r="I43" s="19"/>
      <c r="J43" s="50">
        <v>7.0000000000000001E-3</v>
      </c>
      <c r="K43" s="152">
        <f t="shared" ref="K43:K48" si="37">$F43*J43</f>
        <v>679.05600000000004</v>
      </c>
      <c r="L43" s="19"/>
      <c r="M43" s="21">
        <f t="shared" ref="M43:M60" si="38">K43-H43</f>
        <v>0</v>
      </c>
      <c r="N43" s="153">
        <f t="shared" ref="N43:N46" si="39">IF((H43)=0,"",(M43/H43))</f>
        <v>0</v>
      </c>
      <c r="O43" s="212"/>
      <c r="P43" s="50">
        <v>7.0000000000000001E-3</v>
      </c>
      <c r="Q43" s="152">
        <f t="shared" ref="Q43:Q48" si="40">$F43*P43</f>
        <v>679.05600000000004</v>
      </c>
      <c r="R43" s="19"/>
      <c r="S43" s="21">
        <f t="shared" ref="S43:S60" si="41">Q43-K43</f>
        <v>0</v>
      </c>
      <c r="T43" s="153">
        <f t="shared" ref="T43:T46" si="42">IF((K43)=0,"",(S43/K43))</f>
        <v>0</v>
      </c>
      <c r="U43" s="19"/>
      <c r="V43" s="50">
        <v>7.0000000000000001E-3</v>
      </c>
      <c r="W43" s="152">
        <f t="shared" ref="W43:W48" si="43">$F43*V43</f>
        <v>679.05600000000004</v>
      </c>
      <c r="X43" s="19"/>
      <c r="Y43" s="21">
        <f t="shared" ref="Y43:Y60" si="44">W43-Q43</f>
        <v>0</v>
      </c>
      <c r="Z43" s="153">
        <f t="shared" ref="Z43:Z46" si="45">IF((Q43)=0,"",(Y43/Q43))</f>
        <v>0</v>
      </c>
      <c r="AA43" s="19"/>
      <c r="AB43" s="50">
        <v>7.0000000000000001E-3</v>
      </c>
      <c r="AC43" s="152">
        <f t="shared" si="35"/>
        <v>679.05600000000004</v>
      </c>
      <c r="AD43" s="19"/>
      <c r="AE43" s="21">
        <f t="shared" si="12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62085.120000000003</v>
      </c>
      <c r="G44" s="54">
        <v>8.6999999999999994E-2</v>
      </c>
      <c r="H44" s="152">
        <f t="shared" si="36"/>
        <v>5401.4054399999995</v>
      </c>
      <c r="I44" s="19"/>
      <c r="J44" s="54">
        <f>+G44</f>
        <v>8.6999999999999994E-2</v>
      </c>
      <c r="K44" s="152">
        <f t="shared" si="37"/>
        <v>5401.4054399999995</v>
      </c>
      <c r="L44" s="19"/>
      <c r="M44" s="21">
        <f t="shared" si="38"/>
        <v>0</v>
      </c>
      <c r="N44" s="153">
        <f t="shared" si="39"/>
        <v>0</v>
      </c>
      <c r="O44" s="212"/>
      <c r="P44" s="54">
        <v>0.08</v>
      </c>
      <c r="Q44" s="152">
        <f t="shared" si="40"/>
        <v>4966.8096000000005</v>
      </c>
      <c r="R44" s="19"/>
      <c r="S44" s="21">
        <f t="shared" si="41"/>
        <v>-434.59583999999904</v>
      </c>
      <c r="T44" s="153">
        <f t="shared" si="42"/>
        <v>-8.0459770114942361E-2</v>
      </c>
      <c r="U44" s="19"/>
      <c r="V44" s="54">
        <v>0.08</v>
      </c>
      <c r="W44" s="152">
        <f t="shared" si="43"/>
        <v>4966.8096000000005</v>
      </c>
      <c r="X44" s="19"/>
      <c r="Y44" s="21">
        <f t="shared" si="44"/>
        <v>0</v>
      </c>
      <c r="Z44" s="153">
        <f t="shared" si="45"/>
        <v>0</v>
      </c>
      <c r="AA44" s="19"/>
      <c r="AB44" s="54">
        <v>0.08</v>
      </c>
      <c r="AC44" s="152">
        <f t="shared" si="35"/>
        <v>4966.8096000000005</v>
      </c>
      <c r="AD44" s="19"/>
      <c r="AE44" s="21">
        <f t="shared" si="12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17461.439999999999</v>
      </c>
      <c r="G45" s="54">
        <v>0.13200000000000001</v>
      </c>
      <c r="H45" s="152">
        <f t="shared" si="36"/>
        <v>2304.9100800000001</v>
      </c>
      <c r="I45" s="19"/>
      <c r="J45" s="54">
        <f>+G45</f>
        <v>0.13200000000000001</v>
      </c>
      <c r="K45" s="152">
        <f t="shared" si="37"/>
        <v>2304.9100800000001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2130.2956799999997</v>
      </c>
      <c r="R45" s="19"/>
      <c r="S45" s="21">
        <f t="shared" si="41"/>
        <v>-174.61440000000039</v>
      </c>
      <c r="T45" s="153">
        <f t="shared" si="42"/>
        <v>-7.5757575757575926E-2</v>
      </c>
      <c r="U45" s="19"/>
      <c r="V45" s="54">
        <v>0.122</v>
      </c>
      <c r="W45" s="152">
        <f t="shared" si="43"/>
        <v>2130.2956799999997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2130.2956799999997</v>
      </c>
      <c r="AD45" s="19"/>
      <c r="AE45" s="21">
        <f t="shared" si="12"/>
        <v>0</v>
      </c>
      <c r="AF45" s="153">
        <f t="shared" si="30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17461.439999999999</v>
      </c>
      <c r="G46" s="54">
        <v>0.18</v>
      </c>
      <c r="H46" s="152">
        <f t="shared" si="36"/>
        <v>3143.0591999999997</v>
      </c>
      <c r="I46" s="19"/>
      <c r="J46" s="54">
        <f>+G46</f>
        <v>0.18</v>
      </c>
      <c r="K46" s="152">
        <f t="shared" si="37"/>
        <v>3143.0591999999997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2811.2918399999999</v>
      </c>
      <c r="R46" s="19"/>
      <c r="S46" s="21">
        <f t="shared" si="41"/>
        <v>-331.76735999999983</v>
      </c>
      <c r="T46" s="153">
        <f t="shared" si="42"/>
        <v>-0.10555555555555551</v>
      </c>
      <c r="U46" s="19"/>
      <c r="V46" s="54">
        <v>0.161</v>
      </c>
      <c r="W46" s="152">
        <f t="shared" si="43"/>
        <v>2811.2918399999999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2811.2918399999999</v>
      </c>
      <c r="AD46" s="19"/>
      <c r="AE46" s="21">
        <f t="shared" si="12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96258</v>
      </c>
      <c r="G48" s="54">
        <v>0.121</v>
      </c>
      <c r="H48" s="152">
        <f t="shared" si="36"/>
        <v>11647.217999999999</v>
      </c>
      <c r="I48" s="59"/>
      <c r="J48" s="54">
        <f>+G48</f>
        <v>0.121</v>
      </c>
      <c r="K48" s="152">
        <f t="shared" si="37"/>
        <v>11647.217999999999</v>
      </c>
      <c r="L48" s="59"/>
      <c r="M48" s="60">
        <f t="shared" si="38"/>
        <v>0</v>
      </c>
      <c r="N48" s="207">
        <f>IFERROR(IF((H48)=FALSE,"",(M48/H48)),"n/a")</f>
        <v>0</v>
      </c>
      <c r="O48" s="212"/>
      <c r="P48" s="54">
        <v>0.11</v>
      </c>
      <c r="Q48" s="152">
        <f t="shared" si="40"/>
        <v>10588.38</v>
      </c>
      <c r="R48" s="59"/>
      <c r="S48" s="60">
        <f t="shared" si="41"/>
        <v>-1058.8379999999997</v>
      </c>
      <c r="T48" s="153">
        <f>IF((K48)=FALSE,"",(S48/K48))</f>
        <v>-9.0909090909090898E-2</v>
      </c>
      <c r="U48" s="59"/>
      <c r="V48" s="54">
        <v>0.11</v>
      </c>
      <c r="W48" s="152">
        <f t="shared" si="43"/>
        <v>10588.38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10588.38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20966.541186881106</v>
      </c>
      <c r="I50" s="75"/>
      <c r="J50" s="72"/>
      <c r="K50" s="74">
        <f>SUM(K40:K46,K39)</f>
        <v>20725.625528716802</v>
      </c>
      <c r="L50" s="75"/>
      <c r="M50" s="76">
        <f t="shared" si="38"/>
        <v>-240.91565816430375</v>
      </c>
      <c r="N50" s="77">
        <f>IF((H50)=0,"",(M50/H50))</f>
        <v>-1.1490481716414253E-2</v>
      </c>
      <c r="O50" s="212"/>
      <c r="P50" s="72"/>
      <c r="Q50" s="74">
        <f>SUM(Q40:Q46,Q39)</f>
        <v>19620.487326604802</v>
      </c>
      <c r="R50" s="75"/>
      <c r="S50" s="76">
        <f t="shared" si="41"/>
        <v>-1105.1382021120007</v>
      </c>
      <c r="T50" s="77">
        <f>IF((K50)=0,"",(S50/K50))</f>
        <v>-5.3322308684037284E-2</v>
      </c>
      <c r="U50" s="75"/>
      <c r="V50" s="72"/>
      <c r="W50" s="74">
        <f>SUM(W40:W46,W39)</f>
        <v>19801.607726604801</v>
      </c>
      <c r="X50" s="75"/>
      <c r="Y50" s="76">
        <f t="shared" si="44"/>
        <v>181.12039999999979</v>
      </c>
      <c r="Z50" s="77">
        <f>IF((Q50)=0,"",(Y50/Q50))</f>
        <v>9.2311876348966041E-3</v>
      </c>
      <c r="AA50" s="75"/>
      <c r="AB50" s="72"/>
      <c r="AC50" s="74">
        <f>SUM(AC40:AC46,AC39)</f>
        <v>19972.752126604799</v>
      </c>
      <c r="AD50" s="75"/>
      <c r="AE50" s="76">
        <f t="shared" si="12"/>
        <v>171.1443999999974</v>
      </c>
      <c r="AF50" s="77">
        <f>IF((W50)=0,"",(AE50/W50))</f>
        <v>8.6429547723063573E-3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2725.6503542945438</v>
      </c>
      <c r="I51" s="81"/>
      <c r="J51" s="79">
        <v>0.13</v>
      </c>
      <c r="K51" s="82">
        <f>K50*J51</f>
        <v>2694.3313187331846</v>
      </c>
      <c r="L51" s="81"/>
      <c r="M51" s="83">
        <f t="shared" si="38"/>
        <v>-31.319035561359215</v>
      </c>
      <c r="N51" s="84">
        <f>IF((H51)=0,"",(M51/H51))</f>
        <v>-1.1490481716414154E-2</v>
      </c>
      <c r="O51" s="212"/>
      <c r="P51" s="79">
        <v>0.13</v>
      </c>
      <c r="Q51" s="82">
        <f>Q50*P51</f>
        <v>2550.6633524586241</v>
      </c>
      <c r="R51" s="81"/>
      <c r="S51" s="83">
        <f t="shared" si="41"/>
        <v>-143.66796627456051</v>
      </c>
      <c r="T51" s="84">
        <f>IF((K51)=0,"",(S51/K51))</f>
        <v>-5.332230868403743E-2</v>
      </c>
      <c r="U51" s="81"/>
      <c r="V51" s="79">
        <v>0.13</v>
      </c>
      <c r="W51" s="82">
        <f>W50*V51</f>
        <v>2574.2090044586243</v>
      </c>
      <c r="X51" s="81"/>
      <c r="Y51" s="83">
        <f t="shared" si="44"/>
        <v>23.545652000000246</v>
      </c>
      <c r="Z51" s="84">
        <f>IF((Q51)=0,"",(Y51/Q51))</f>
        <v>9.2311876348967117E-3</v>
      </c>
      <c r="AA51" s="81"/>
      <c r="AB51" s="79">
        <v>0.13</v>
      </c>
      <c r="AC51" s="82">
        <f>AC50*AB51</f>
        <v>2596.4577764586238</v>
      </c>
      <c r="AD51" s="81"/>
      <c r="AE51" s="83">
        <f t="shared" si="12"/>
        <v>22.248771999999462</v>
      </c>
      <c r="AF51" s="84">
        <f>IF((W51)=0,"",(AE51/W51))</f>
        <v>8.6429547723062793E-3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23692.191541175649</v>
      </c>
      <c r="I52" s="81"/>
      <c r="J52" s="86"/>
      <c r="K52" s="82">
        <f>K50+K51</f>
        <v>23419.956847449987</v>
      </c>
      <c r="L52" s="81"/>
      <c r="M52" s="83">
        <f t="shared" si="38"/>
        <v>-272.23469372566251</v>
      </c>
      <c r="N52" s="84">
        <f>IF((H52)=0,"",(M52/H52))</f>
        <v>-1.1490481716414223E-2</v>
      </c>
      <c r="O52" s="212"/>
      <c r="P52" s="86"/>
      <c r="Q52" s="82">
        <f>Q50+Q51</f>
        <v>22171.150679063427</v>
      </c>
      <c r="R52" s="81"/>
      <c r="S52" s="83">
        <f t="shared" si="41"/>
        <v>-1248.8061683865599</v>
      </c>
      <c r="T52" s="84">
        <f>IF((K52)=0,"",(S52/K52))</f>
        <v>-5.3322308684037242E-2</v>
      </c>
      <c r="U52" s="81"/>
      <c r="V52" s="86"/>
      <c r="W52" s="82">
        <f>W50+W51</f>
        <v>22375.816731063427</v>
      </c>
      <c r="X52" s="81"/>
      <c r="Y52" s="83">
        <f t="shared" si="44"/>
        <v>204.66605200000049</v>
      </c>
      <c r="Z52" s="84">
        <f>IF((Q52)=0,"",(Y52/Q52))</f>
        <v>9.2311876348966371E-3</v>
      </c>
      <c r="AA52" s="81"/>
      <c r="AB52" s="86"/>
      <c r="AC52" s="82">
        <f>AC50+AC51</f>
        <v>22569.209903063424</v>
      </c>
      <c r="AD52" s="81"/>
      <c r="AE52" s="83">
        <f t="shared" si="12"/>
        <v>193.39317199999641</v>
      </c>
      <c r="AF52" s="84">
        <f>IF((W52)=0,"",(AE52/W52))</f>
        <v>8.6429547723063278E-3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38"/>
        <v>0</v>
      </c>
      <c r="N53" s="89" t="str">
        <f>IF((H53)=0,"",(M53/H53))</f>
        <v/>
      </c>
      <c r="O53" s="212"/>
      <c r="P53" s="86"/>
      <c r="Q53" s="87">
        <f>ROUND(-Q52*10%,2)</f>
        <v>-2217.12</v>
      </c>
      <c r="R53" s="81"/>
      <c r="S53" s="88">
        <f t="shared" si="41"/>
        <v>-2217.12</v>
      </c>
      <c r="T53" s="89" t="str">
        <f>IF((K53)=0,"",(S53/K53))</f>
        <v/>
      </c>
      <c r="U53" s="81"/>
      <c r="V53" s="86"/>
      <c r="W53" s="87">
        <f>ROUND(-W52*10%,2)</f>
        <v>-2237.58</v>
      </c>
      <c r="X53" s="81"/>
      <c r="Y53" s="88">
        <f t="shared" si="44"/>
        <v>-20.460000000000036</v>
      </c>
      <c r="Z53" s="89">
        <f>IF((Q53)=0,"",(Y53/Q53))</f>
        <v>9.2281879194631034E-3</v>
      </c>
      <c r="AA53" s="81"/>
      <c r="AB53" s="86"/>
      <c r="AC53" s="87">
        <f>ROUND(-AC52*10%,2)</f>
        <v>-2256.92</v>
      </c>
      <c r="AD53" s="81"/>
      <c r="AE53" s="88">
        <f t="shared" si="12"/>
        <v>-19.340000000000146</v>
      </c>
      <c r="AF53" s="89">
        <f>IF((W53)=0,"",(AE53/W53))</f>
        <v>8.6432663860063763E-3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23692.191541175649</v>
      </c>
      <c r="I54" s="92"/>
      <c r="J54" s="90"/>
      <c r="K54" s="93">
        <f>K52+K53</f>
        <v>23419.956847449987</v>
      </c>
      <c r="L54" s="92"/>
      <c r="M54" s="94">
        <f t="shared" si="38"/>
        <v>-272.23469372566251</v>
      </c>
      <c r="N54" s="95">
        <f>IF((H54)=0,"",(M54/H54))</f>
        <v>-1.1490481716414223E-2</v>
      </c>
      <c r="O54" s="212"/>
      <c r="P54" s="90"/>
      <c r="Q54" s="93">
        <f>Q52+Q53</f>
        <v>19954.030679063428</v>
      </c>
      <c r="R54" s="92"/>
      <c r="S54" s="94">
        <f t="shared" si="41"/>
        <v>-3465.9261683865589</v>
      </c>
      <c r="T54" s="95">
        <f>IF((K54)=0,"",(S54/K54))</f>
        <v>-0.14799028840926051</v>
      </c>
      <c r="U54" s="92"/>
      <c r="V54" s="90"/>
      <c r="W54" s="93">
        <f>W52+W53</f>
        <v>20138.236731063429</v>
      </c>
      <c r="X54" s="92"/>
      <c r="Y54" s="94">
        <f t="shared" si="44"/>
        <v>184.20605200000136</v>
      </c>
      <c r="Z54" s="95">
        <f>IF((Q54)=0,"",(Y54/Q54))</f>
        <v>9.2315209374353516E-3</v>
      </c>
      <c r="AA54" s="92"/>
      <c r="AB54" s="90"/>
      <c r="AC54" s="93">
        <f>AC52+AC53</f>
        <v>20312.289903063422</v>
      </c>
      <c r="AD54" s="92"/>
      <c r="AE54" s="94">
        <f t="shared" si="12"/>
        <v>174.05317199999263</v>
      </c>
      <c r="AF54" s="95">
        <f>IF((W54)=0,"",(AE54/W54))</f>
        <v>8.6429201485904612E-3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21841.634466881103</v>
      </c>
      <c r="I56" s="106"/>
      <c r="J56" s="103"/>
      <c r="K56" s="105">
        <f>SUM(K47:K48,K39,K40:K43)</f>
        <v>21600.7188087168</v>
      </c>
      <c r="L56" s="106"/>
      <c r="M56" s="107">
        <f t="shared" si="38"/>
        <v>-240.91565816430375</v>
      </c>
      <c r="N56" s="77">
        <f>IF((H56)=0,"",(M56/H56))</f>
        <v>-1.1030111255163108E-2</v>
      </c>
      <c r="O56" s="212"/>
      <c r="P56" s="103"/>
      <c r="Q56" s="105">
        <f>SUM(Q47:Q48,Q39,Q40:Q43)</f>
        <v>20370.970206604801</v>
      </c>
      <c r="R56" s="106"/>
      <c r="S56" s="107">
        <f t="shared" si="41"/>
        <v>-1229.7486021119985</v>
      </c>
      <c r="T56" s="77">
        <f>IF((K56)=0,"",(S56/K56))</f>
        <v>-5.6930911096150331E-2</v>
      </c>
      <c r="U56" s="106"/>
      <c r="V56" s="103"/>
      <c r="W56" s="105">
        <f>SUM(W47:W48,W39,W40:W43)</f>
        <v>20552.090606604801</v>
      </c>
      <c r="X56" s="106"/>
      <c r="Y56" s="107">
        <f t="shared" si="44"/>
        <v>181.12039999999979</v>
      </c>
      <c r="Z56" s="77">
        <f>IF((Q56)=0,"",(Y56/Q56))</f>
        <v>8.8911032789825498E-3</v>
      </c>
      <c r="AA56" s="106"/>
      <c r="AB56" s="103"/>
      <c r="AC56" s="105">
        <f>SUM(AC47:AC48,AC39,AC40:AC43)</f>
        <v>20723.235006604802</v>
      </c>
      <c r="AD56" s="106"/>
      <c r="AE56" s="107">
        <f t="shared" si="12"/>
        <v>171.14440000000104</v>
      </c>
      <c r="AF56" s="77">
        <f>IF((W56)=0,"",(AE56/W56))</f>
        <v>8.3273474838126971E-3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2839.4124806945433</v>
      </c>
      <c r="I57" s="110"/>
      <c r="J57" s="109">
        <v>0.13</v>
      </c>
      <c r="K57" s="111">
        <f>K56*J57</f>
        <v>2808.0934451331841</v>
      </c>
      <c r="L57" s="110"/>
      <c r="M57" s="112">
        <f t="shared" si="38"/>
        <v>-31.319035561359215</v>
      </c>
      <c r="N57" s="84">
        <f>IF((H57)=0,"",(M57/H57))</f>
        <v>-1.1030111255163013E-2</v>
      </c>
      <c r="O57" s="212"/>
      <c r="P57" s="109">
        <v>0.13</v>
      </c>
      <c r="Q57" s="111">
        <f>Q56*P57</f>
        <v>2648.2261268586244</v>
      </c>
      <c r="R57" s="110"/>
      <c r="S57" s="112">
        <f t="shared" si="41"/>
        <v>-159.86731827455969</v>
      </c>
      <c r="T57" s="84">
        <f>IF((K57)=0,"",(S57/K57))</f>
        <v>-5.693091109615029E-2</v>
      </c>
      <c r="U57" s="110"/>
      <c r="V57" s="109">
        <v>0.13</v>
      </c>
      <c r="W57" s="111">
        <f>W56*V57</f>
        <v>2671.7717788586242</v>
      </c>
      <c r="X57" s="110"/>
      <c r="Y57" s="112">
        <f t="shared" si="44"/>
        <v>23.545651999999791</v>
      </c>
      <c r="Z57" s="84">
        <f>IF((Q57)=0,"",(Y57/Q57))</f>
        <v>8.8911032789824804E-3</v>
      </c>
      <c r="AA57" s="110"/>
      <c r="AB57" s="109">
        <v>0.13</v>
      </c>
      <c r="AC57" s="111">
        <f>AC56*AB57</f>
        <v>2694.0205508586246</v>
      </c>
      <c r="AD57" s="110"/>
      <c r="AE57" s="112">
        <f t="shared" si="12"/>
        <v>22.248772000000372</v>
      </c>
      <c r="AF57" s="84">
        <f>IF((W57)=0,"",(AE57/W57))</f>
        <v>8.3273474838127838E-3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24681.046947575647</v>
      </c>
      <c r="I58" s="110"/>
      <c r="J58" s="114"/>
      <c r="K58" s="111">
        <f>K56+K57</f>
        <v>24408.812253849985</v>
      </c>
      <c r="L58" s="110"/>
      <c r="M58" s="112">
        <f t="shared" si="38"/>
        <v>-272.23469372566251</v>
      </c>
      <c r="N58" s="84">
        <f>IF((H58)=0,"",(M58/H58))</f>
        <v>-1.1030111255163079E-2</v>
      </c>
      <c r="O58" s="212"/>
      <c r="P58" s="114"/>
      <c r="Q58" s="111">
        <f>Q56+Q57</f>
        <v>23019.196333463427</v>
      </c>
      <c r="R58" s="110"/>
      <c r="S58" s="112">
        <f t="shared" si="41"/>
        <v>-1389.6159203865573</v>
      </c>
      <c r="T58" s="84">
        <f>IF((K58)=0,"",(S58/K58))</f>
        <v>-5.693091109615029E-2</v>
      </c>
      <c r="U58" s="110"/>
      <c r="V58" s="114"/>
      <c r="W58" s="111">
        <f>W56+W57</f>
        <v>23223.862385463424</v>
      </c>
      <c r="X58" s="110"/>
      <c r="Y58" s="112">
        <f t="shared" si="44"/>
        <v>204.66605199999685</v>
      </c>
      <c r="Z58" s="84">
        <f>IF((Q58)=0,"",(Y58/Q58))</f>
        <v>8.8911032789824231E-3</v>
      </c>
      <c r="AA58" s="110"/>
      <c r="AB58" s="114"/>
      <c r="AC58" s="111">
        <f>AC56+AC57</f>
        <v>23417.255557463428</v>
      </c>
      <c r="AD58" s="110"/>
      <c r="AE58" s="112">
        <f t="shared" si="12"/>
        <v>193.39317200000369</v>
      </c>
      <c r="AF58" s="84">
        <f>IF((W58)=0,"",(AE58/W58))</f>
        <v>8.3273474838128046E-3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38"/>
        <v>0</v>
      </c>
      <c r="N59" s="89" t="str">
        <f>IF((H59)=0,"",(M59/H59))</f>
        <v/>
      </c>
      <c r="O59" s="212"/>
      <c r="P59" s="114"/>
      <c r="Q59" s="116">
        <f>ROUND(-Q58*10%,2)</f>
        <v>-2301.92</v>
      </c>
      <c r="R59" s="110"/>
      <c r="S59" s="117">
        <f t="shared" si="41"/>
        <v>-2301.92</v>
      </c>
      <c r="T59" s="89" t="str">
        <f>IF((K59)=0,"",(S59/K59))</f>
        <v/>
      </c>
      <c r="U59" s="110"/>
      <c r="V59" s="114"/>
      <c r="W59" s="116">
        <f>ROUND(-W58*10%,2)</f>
        <v>-2322.39</v>
      </c>
      <c r="X59" s="110"/>
      <c r="Y59" s="117">
        <f t="shared" si="44"/>
        <v>-20.4699999999998</v>
      </c>
      <c r="Z59" s="89">
        <f>IF((Q59)=0,"",(Y59/Q59))</f>
        <v>8.8925766316812916E-3</v>
      </c>
      <c r="AA59" s="110"/>
      <c r="AB59" s="114"/>
      <c r="AC59" s="116">
        <f>ROUND(-AC58*10%,2)</f>
        <v>-2341.73</v>
      </c>
      <c r="AD59" s="110"/>
      <c r="AE59" s="117">
        <f t="shared" si="12"/>
        <v>-19.340000000000146</v>
      </c>
      <c r="AF59" s="89">
        <f>IF((W59)=0,"",(AE59/W59))</f>
        <v>8.3276280039098292E-3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24681.046947575647</v>
      </c>
      <c r="I60" s="120"/>
      <c r="J60" s="118"/>
      <c r="K60" s="121">
        <f>SUM(K58:K59)</f>
        <v>24408.812253849985</v>
      </c>
      <c r="L60" s="120"/>
      <c r="M60" s="122">
        <f t="shared" si="38"/>
        <v>-272.23469372566251</v>
      </c>
      <c r="N60" s="123">
        <f>IF((H60)=0,"",(M60/H60))</f>
        <v>-1.1030111255163079E-2</v>
      </c>
      <c r="O60" s="212"/>
      <c r="P60" s="118"/>
      <c r="Q60" s="121">
        <f>SUM(Q58:Q59)</f>
        <v>20717.276333463429</v>
      </c>
      <c r="R60" s="120"/>
      <c r="S60" s="122">
        <f t="shared" si="41"/>
        <v>-3691.5359203865555</v>
      </c>
      <c r="T60" s="123">
        <f>IF((K60)=0,"",(S60/K60))</f>
        <v>-0.15123783500789933</v>
      </c>
      <c r="U60" s="120"/>
      <c r="V60" s="118"/>
      <c r="W60" s="121">
        <f>SUM(W58:W59)</f>
        <v>20901.472385463425</v>
      </c>
      <c r="X60" s="120"/>
      <c r="Y60" s="122">
        <f t="shared" si="44"/>
        <v>184.19605199999569</v>
      </c>
      <c r="Z60" s="123">
        <f>IF((Q60)=0,"",(Y60/Q60))</f>
        <v>8.8909395730979533E-3</v>
      </c>
      <c r="AA60" s="120"/>
      <c r="AB60" s="118"/>
      <c r="AC60" s="121">
        <f>SUM(AC58:AC59)</f>
        <v>21075.525557463428</v>
      </c>
      <c r="AD60" s="120"/>
      <c r="AE60" s="122">
        <f t="shared" si="12"/>
        <v>174.05317200000354</v>
      </c>
      <c r="AF60" s="123">
        <f>IF((W60)=0,"",(AE60/W60))</f>
        <v>8.3273163148570428E-3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3.0790000000000001E-2</v>
      </c>
      <c r="I63" s="142"/>
      <c r="J63" s="129">
        <v>3.0790000000000001E-2</v>
      </c>
      <c r="K63" s="142"/>
      <c r="L63" s="142"/>
      <c r="M63" s="142"/>
      <c r="N63" s="142"/>
      <c r="O63" s="142"/>
      <c r="P63" s="129">
        <v>3.0790000000000001E-2</v>
      </c>
      <c r="Q63" s="142"/>
      <c r="R63" s="142"/>
      <c r="S63" s="142"/>
      <c r="T63" s="142"/>
      <c r="U63" s="142"/>
      <c r="V63" s="129">
        <v>3.0790000000000001E-2</v>
      </c>
      <c r="W63" s="142"/>
      <c r="X63" s="142"/>
      <c r="Y63" s="142"/>
      <c r="Z63" s="142"/>
      <c r="AA63" s="142"/>
      <c r="AB63" s="129">
        <v>3.0790000000000001E-2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</dataValidations>
  <pageMargins left="0.75" right="0.75" top="1" bottom="1" header="0.5" footer="0.5"/>
  <pageSetup scale="49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rgb="FF92D050"/>
    <pageSetUpPr fitToPage="1"/>
  </sheetPr>
  <dimension ref="A1:AP79"/>
  <sheetViews>
    <sheetView showGridLines="0" topLeftCell="A3" zoomScale="77" zoomScaleNormal="77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140625" style="1" customWidth="1"/>
    <col min="7" max="7" width="13.28515625" style="1" customWidth="1"/>
    <col min="8" max="8" width="12.28515625" style="142" customWidth="1"/>
    <col min="9" max="9" width="1.7109375" style="1" customWidth="1"/>
    <col min="10" max="10" width="13.28515625" style="1" customWidth="1"/>
    <col min="11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" style="1" hidden="1" customWidth="1"/>
    <col min="26" max="26" width="0" style="1" hidden="1" customWidth="1"/>
    <col min="27" max="27" width="1.7109375" style="1" hidden="1" customWidth="1"/>
    <col min="28" max="28" width="13.28515625" style="1" hidden="1" customWidth="1"/>
    <col min="29" max="29" width="12.28515625" style="1" hidden="1" customWidth="1"/>
    <col min="30" max="30" width="1.7109375" style="1" hidden="1" customWidth="1"/>
    <col min="31" max="31" width="10" style="1" hidden="1" customWidth="1"/>
    <col min="32" max="32" width="0" style="1" hidden="1" customWidth="1"/>
    <col min="33" max="33" width="1.7109375" style="1" customWidth="1"/>
    <col min="34" max="34" width="13.28515625" style="1" customWidth="1"/>
    <col min="35" max="35" width="12.28515625" style="1" customWidth="1"/>
    <col min="36" max="36" width="1.7109375" style="1" customWidth="1"/>
    <col min="37" max="37" width="10" style="1" customWidth="1"/>
    <col min="38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70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8">
        <v>1</v>
      </c>
      <c r="H6" s="9" t="s">
        <v>101</v>
      </c>
      <c r="J6" s="151"/>
      <c r="K6" s="151"/>
    </row>
    <row r="7" spans="2:42" x14ac:dyDescent="0.2">
      <c r="B7" s="6"/>
      <c r="D7" s="7" t="s">
        <v>3</v>
      </c>
      <c r="E7" s="7"/>
      <c r="F7" s="7"/>
      <c r="G7" s="158">
        <f>'Bill Impacts - Street Light (2'!G7/'Bill Impacts - Street Light (2'!G6</f>
        <v>0.1381563888888889</v>
      </c>
      <c r="H7" s="9" t="s">
        <v>64</v>
      </c>
      <c r="J7" s="151"/>
      <c r="K7" s="151"/>
    </row>
    <row r="8" spans="2:42" x14ac:dyDescent="0.2">
      <c r="B8" s="6"/>
      <c r="G8" s="158">
        <f>'Bill Impacts - Street Light (2'!G8/'Bill Impacts - Street Light (2'!G6</f>
        <v>49.501055555555553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59">
        <f>G6</f>
        <v>1</v>
      </c>
      <c r="G12" s="209">
        <v>2.2799999999999998</v>
      </c>
      <c r="H12" s="18">
        <f t="shared" ref="H12:H27" si="0">$F12*G12</f>
        <v>2.2799999999999998</v>
      </c>
      <c r="I12" s="19"/>
      <c r="J12" s="209">
        <v>2.15</v>
      </c>
      <c r="K12" s="18">
        <f t="shared" ref="K12:K27" si="1">$F12*J12</f>
        <v>2.15</v>
      </c>
      <c r="L12" s="19"/>
      <c r="M12" s="21">
        <f t="shared" ref="M12:M21" si="2">K12-H12</f>
        <v>-0.12999999999999989</v>
      </c>
      <c r="N12" s="22">
        <f t="shared" ref="N12:N21" si="3">IF((H12)=0,"",(M12/H12))</f>
        <v>-5.7017543859649078E-2</v>
      </c>
      <c r="O12" s="212"/>
      <c r="P12" s="16">
        <v>2.15</v>
      </c>
      <c r="Q12" s="18">
        <f t="shared" ref="Q12:Q27" si="4">$F12*P12</f>
        <v>2.15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2.02</v>
      </c>
      <c r="W12" s="18">
        <f t="shared" ref="W12:W27" si="6">$F12*V12</f>
        <v>2.02</v>
      </c>
      <c r="X12" s="19"/>
      <c r="Y12" s="21">
        <f>W12-Q12</f>
        <v>-0.12999999999999989</v>
      </c>
      <c r="Z12" s="22">
        <f t="shared" ref="Z12:Z34" si="7">IF((Q12)=0,"",(Y12/Q12))</f>
        <v>-6.0465116279069718E-2</v>
      </c>
      <c r="AA12" s="19"/>
      <c r="AB12" s="16">
        <v>1.96</v>
      </c>
      <c r="AC12" s="18">
        <f t="shared" ref="AC12:AC27" si="8">$F12*AB12</f>
        <v>1.96</v>
      </c>
      <c r="AD12" s="19"/>
      <c r="AE12" s="21">
        <f>AC12-W12</f>
        <v>-6.0000000000000053E-2</v>
      </c>
      <c r="AF12" s="22">
        <f t="shared" ref="AF12:AF34" si="9">IF((W12)=0,"",(AE12/W12))</f>
        <v>-2.9702970297029729E-2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59">
        <f>G6</f>
        <v>1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60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60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59">
        <f>G6</f>
        <v>1</v>
      </c>
      <c r="G14" s="16"/>
      <c r="H14" s="18">
        <f t="shared" ref="H14" si="13">$F14*G14</f>
        <v>0</v>
      </c>
      <c r="I14" s="19"/>
      <c r="J14" s="16"/>
      <c r="K14" s="18">
        <f t="shared" ref="K14" si="14">$F14*J14</f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ref="Q14" si="15">$F14*P14</f>
        <v>0</v>
      </c>
      <c r="R14" s="19"/>
      <c r="S14" s="21">
        <f t="shared" ref="S14" si="16">Q14-K14</f>
        <v>0</v>
      </c>
      <c r="T14" s="22" t="str">
        <f t="shared" ref="T14" si="17">IF((K14)=0,"",(S14/K14))</f>
        <v/>
      </c>
      <c r="U14" s="19"/>
      <c r="V14" s="16"/>
      <c r="W14" s="18">
        <f t="shared" ref="W14" si="18">$F14*V14</f>
        <v>0</v>
      </c>
      <c r="X14" s="19"/>
      <c r="Y14" s="21">
        <f t="shared" ref="Y14" si="19">W14-Q14</f>
        <v>0</v>
      </c>
      <c r="Z14" s="22" t="str">
        <f t="shared" ref="Z14" si="20">IF((Q14)=0,"",(Y14/Q14))</f>
        <v/>
      </c>
      <c r="AA14" s="19"/>
      <c r="AB14" s="16"/>
      <c r="AC14" s="18">
        <f t="shared" ref="AC14" si="21">$F14*AB14</f>
        <v>0</v>
      </c>
      <c r="AD14" s="19"/>
      <c r="AE14" s="21">
        <f t="shared" ref="AE14" si="22">AC14-W14</f>
        <v>0</v>
      </c>
      <c r="AF14" s="22" t="str">
        <f t="shared" ref="AF14" si="23">IF((W14)=0,"",(AE14/W14))</f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59">
        <f>G6</f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59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59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59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0.1381563888888889</v>
      </c>
      <c r="G19" s="16">
        <v>6.0732999999999997</v>
      </c>
      <c r="H19" s="18">
        <f t="shared" si="0"/>
        <v>0.8390651966388889</v>
      </c>
      <c r="I19" s="19"/>
      <c r="J19" s="16">
        <v>5.7203999999999997</v>
      </c>
      <c r="K19" s="18">
        <f t="shared" si="1"/>
        <v>0.79030980699999998</v>
      </c>
      <c r="L19" s="19"/>
      <c r="M19" s="21">
        <f t="shared" si="2"/>
        <v>-4.8755389638888924E-2</v>
      </c>
      <c r="N19" s="22">
        <f t="shared" si="3"/>
        <v>-5.8106795317208151E-2</v>
      </c>
      <c r="O19" s="212"/>
      <c r="P19" s="16">
        <v>5.7203999999999997</v>
      </c>
      <c r="Q19" s="18">
        <f t="shared" si="4"/>
        <v>0.79030980699999998</v>
      </c>
      <c r="R19" s="19"/>
      <c r="S19" s="21">
        <f t="shared" si="10"/>
        <v>0</v>
      </c>
      <c r="T19" s="22">
        <f t="shared" si="5"/>
        <v>0</v>
      </c>
      <c r="U19" s="19"/>
      <c r="V19" s="16">
        <v>5.3701999999999996</v>
      </c>
      <c r="W19" s="18">
        <f t="shared" si="6"/>
        <v>0.74192743961111107</v>
      </c>
      <c r="X19" s="19"/>
      <c r="Y19" s="21">
        <f t="shared" si="11"/>
        <v>-4.8382367388888903E-2</v>
      </c>
      <c r="Z19" s="22">
        <f t="shared" si="7"/>
        <v>-6.1219495140200003E-2</v>
      </c>
      <c r="AA19" s="19"/>
      <c r="AB19" s="16">
        <v>5.2230999999999996</v>
      </c>
      <c r="AC19" s="18">
        <f t="shared" si="8"/>
        <v>0.72160463480555559</v>
      </c>
      <c r="AD19" s="19"/>
      <c r="AE19" s="21">
        <f t="shared" si="12"/>
        <v>-2.0322804805555483E-2</v>
      </c>
      <c r="AF19" s="22">
        <f t="shared" si="9"/>
        <v>-2.7391903467282316E-2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24">$G$7</f>
        <v>0.1381563888888889</v>
      </c>
      <c r="G20" s="16"/>
      <c r="H20" s="18">
        <f t="shared" si="0"/>
        <v>0</v>
      </c>
      <c r="I20" s="19"/>
      <c r="J20" s="16">
        <v>-9.9599999999999994E-2</v>
      </c>
      <c r="K20" s="18">
        <f t="shared" si="1"/>
        <v>-1.3760376333333333E-2</v>
      </c>
      <c r="L20" s="19"/>
      <c r="M20" s="21">
        <f t="shared" si="2"/>
        <v>-1.3760376333333333E-2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1.3760376333333333E-2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0.1381563888888889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25">$G$7</f>
        <v>0.1381563888888889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26">K24-H24</f>
        <v>0</v>
      </c>
      <c r="N24" s="22" t="str">
        <f t="shared" ref="N24:N34" si="27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25"/>
        <v>0.1381563888888889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26"/>
        <v>0</v>
      </c>
      <c r="N25" s="22" t="str">
        <f t="shared" si="27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25"/>
        <v>0.1381563888888889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26"/>
        <v>0</v>
      </c>
      <c r="N26" s="22" t="str">
        <f t="shared" si="27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25"/>
        <v>0.1381563888888889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26"/>
        <v>0</v>
      </c>
      <c r="N27" s="22" t="str">
        <f t="shared" si="27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3.1190651966388887</v>
      </c>
      <c r="I28" s="31"/>
      <c r="J28" s="28"/>
      <c r="K28" s="30">
        <f>SUM(K12:K27)</f>
        <v>2.9265494306666664</v>
      </c>
      <c r="L28" s="31"/>
      <c r="M28" s="32">
        <f t="shared" si="26"/>
        <v>-0.19251576597222231</v>
      </c>
      <c r="N28" s="33">
        <f t="shared" si="27"/>
        <v>-6.1722264151348204E-2</v>
      </c>
      <c r="O28" s="212"/>
      <c r="P28" s="28"/>
      <c r="Q28" s="30">
        <f>SUM(Q12:Q27)</f>
        <v>2.9403098069999998</v>
      </c>
      <c r="R28" s="31"/>
      <c r="S28" s="32">
        <f t="shared" si="10"/>
        <v>1.376037633333338E-2</v>
      </c>
      <c r="T28" s="33">
        <f t="shared" si="5"/>
        <v>4.7019114692345293E-3</v>
      </c>
      <c r="U28" s="31"/>
      <c r="V28" s="28"/>
      <c r="W28" s="30">
        <f>SUM(W12:W27)</f>
        <v>2.7619274396111111</v>
      </c>
      <c r="X28" s="31"/>
      <c r="Y28" s="32">
        <f t="shared" si="11"/>
        <v>-0.17838236738888869</v>
      </c>
      <c r="Z28" s="33">
        <f t="shared" si="7"/>
        <v>-6.0667881651182989E-2</v>
      </c>
      <c r="AA28" s="31"/>
      <c r="AB28" s="28"/>
      <c r="AC28" s="30">
        <f>SUM(AC12:AC27)</f>
        <v>2.6816046348055558</v>
      </c>
      <c r="AD28" s="31"/>
      <c r="AE28" s="32">
        <f t="shared" si="12"/>
        <v>-8.0322804805555315E-2</v>
      </c>
      <c r="AF28" s="33">
        <f t="shared" si="9"/>
        <v>-2.9082156052899436E-2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0.1381563888888889</v>
      </c>
      <c r="G29" s="16">
        <v>0.12203002789749362</v>
      </c>
      <c r="H29" s="18">
        <f t="shared" ref="H29:H35" si="28">$F29*G29</f>
        <v>1.6859227990328091E-2</v>
      </c>
      <c r="I29" s="19"/>
      <c r="J29" s="16">
        <v>-0.90269999999999995</v>
      </c>
      <c r="K29" s="18">
        <f t="shared" ref="K29:K35" si="29">$F29*J29</f>
        <v>-0.12471377225000001</v>
      </c>
      <c r="L29" s="19"/>
      <c r="M29" s="21">
        <f t="shared" si="26"/>
        <v>-0.1415730002403281</v>
      </c>
      <c r="N29" s="22">
        <f t="shared" si="27"/>
        <v>-8.397359613473796</v>
      </c>
      <c r="O29" s="212"/>
      <c r="P29" s="16">
        <v>-0.90269999999999995</v>
      </c>
      <c r="Q29" s="18">
        <f t="shared" ref="Q29:Q35" si="30">$F29*P29</f>
        <v>-0.12471377225000001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31">$F29*V29</f>
        <v>0</v>
      </c>
      <c r="X29" s="19"/>
      <c r="Y29" s="21">
        <f t="shared" si="11"/>
        <v>0.12471377225000001</v>
      </c>
      <c r="Z29" s="22">
        <f t="shared" si="7"/>
        <v>-1</v>
      </c>
      <c r="AA29" s="19"/>
      <c r="AB29" s="16">
        <v>0</v>
      </c>
      <c r="AC29" s="18">
        <f t="shared" ref="AC29:AC35" si="32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1" si="33">$G$7</f>
        <v>0.1381563888888889</v>
      </c>
      <c r="G30" s="16">
        <v>1.3267875158586893</v>
      </c>
      <c r="H30" s="18">
        <f t="shared" si="28"/>
        <v>0.18330417201389593</v>
      </c>
      <c r="I30" s="19"/>
      <c r="J30" s="16">
        <v>1.6000000000000001E-3</v>
      </c>
      <c r="K30" s="18">
        <f>(G8*(1+J63))*J30</f>
        <v>8.220343289777779E-2</v>
      </c>
      <c r="L30" s="19"/>
      <c r="M30" s="21">
        <f t="shared" si="26"/>
        <v>-0.10110073911611814</v>
      </c>
      <c r="N30" s="22">
        <f t="shared" si="27"/>
        <v>-0.55154630691359219</v>
      </c>
      <c r="O30" s="212"/>
      <c r="P30" s="16">
        <v>1.6000000000000001E-3</v>
      </c>
      <c r="Q30" s="18">
        <f t="shared" si="30"/>
        <v>2.2105022222222224E-4</v>
      </c>
      <c r="R30" s="19"/>
      <c r="S30" s="21">
        <f t="shared" ref="S30:S31" si="34">Q30-K30</f>
        <v>-8.1982382675555562E-2</v>
      </c>
      <c r="T30" s="22">
        <f t="shared" ref="T30:T31" si="35">IF((K30)=0,"",(S30/K30))</f>
        <v>-0.99731093684983807</v>
      </c>
      <c r="U30" s="19"/>
      <c r="V30" s="16">
        <v>0</v>
      </c>
      <c r="W30" s="18">
        <f t="shared" si="31"/>
        <v>0</v>
      </c>
      <c r="X30" s="19"/>
      <c r="Y30" s="21">
        <f t="shared" ref="Y30:Y31" si="36">W30-Q30</f>
        <v>-2.2105022222222224E-4</v>
      </c>
      <c r="Z30" s="22">
        <f t="shared" ref="Z30:Z31" si="37">IF((Q30)=0,"",(Y30/Q30))</f>
        <v>-1</v>
      </c>
      <c r="AA30" s="19"/>
      <c r="AB30" s="16">
        <v>0</v>
      </c>
      <c r="AC30" s="18">
        <f t="shared" si="32"/>
        <v>0</v>
      </c>
      <c r="AD30" s="19"/>
      <c r="AE30" s="21">
        <f t="shared" ref="AE30:AE31" si="38">AC30-W30</f>
        <v>0</v>
      </c>
      <c r="AF30" s="22" t="str">
        <f t="shared" ref="AF30:AF31" si="39">IF((W30)=0,"",(AE30/W30))</f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33"/>
        <v>0.1381563888888889</v>
      </c>
      <c r="G31" s="16">
        <v>0</v>
      </c>
      <c r="H31" s="18">
        <f>$F31*G31</f>
        <v>0</v>
      </c>
      <c r="I31" s="19"/>
      <c r="J31" s="16">
        <v>0</v>
      </c>
      <c r="K31" s="18">
        <f t="shared" si="29"/>
        <v>0</v>
      </c>
      <c r="L31" s="19"/>
      <c r="M31" s="21">
        <f t="shared" si="26"/>
        <v>0</v>
      </c>
      <c r="N31" s="22" t="str">
        <f t="shared" si="27"/>
        <v/>
      </c>
      <c r="O31" s="212"/>
      <c r="P31" s="16">
        <v>0</v>
      </c>
      <c r="Q31" s="18">
        <f t="shared" si="30"/>
        <v>0</v>
      </c>
      <c r="R31" s="19"/>
      <c r="S31" s="21">
        <f t="shared" si="34"/>
        <v>0</v>
      </c>
      <c r="T31" s="22" t="str">
        <f t="shared" si="35"/>
        <v/>
      </c>
      <c r="U31" s="19"/>
      <c r="V31" s="16">
        <v>0</v>
      </c>
      <c r="W31" s="18">
        <f t="shared" si="31"/>
        <v>0</v>
      </c>
      <c r="X31" s="19"/>
      <c r="Y31" s="21">
        <f t="shared" si="36"/>
        <v>0</v>
      </c>
      <c r="Z31" s="22" t="str">
        <f t="shared" si="37"/>
        <v/>
      </c>
      <c r="AA31" s="19"/>
      <c r="AB31" s="16">
        <v>0</v>
      </c>
      <c r="AC31" s="18">
        <f t="shared" si="32"/>
        <v>0</v>
      </c>
      <c r="AD31" s="19"/>
      <c r="AE31" s="21">
        <f t="shared" si="38"/>
        <v>0</v>
      </c>
      <c r="AF31" s="22" t="str">
        <f t="shared" si="3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0.1381563888888889</v>
      </c>
      <c r="G32" s="16"/>
      <c r="H32" s="18">
        <f t="shared" ref="H32" si="40">$F32*G32</f>
        <v>0</v>
      </c>
      <c r="I32" s="19"/>
      <c r="J32" s="16"/>
      <c r="K32" s="18">
        <f t="shared" ref="K32" si="41">$F32*J32</f>
        <v>0</v>
      </c>
      <c r="L32" s="19"/>
      <c r="M32" s="21">
        <f t="shared" ref="M32" si="42">K32-H32</f>
        <v>0</v>
      </c>
      <c r="N32" s="22" t="str">
        <f t="shared" ref="N32" si="43">IF((H32)=0,"",(M32/H32))</f>
        <v/>
      </c>
      <c r="O32" s="212"/>
      <c r="P32" s="16"/>
      <c r="Q32" s="18">
        <f t="shared" si="30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31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32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ref="F33" si="44">$G$7</f>
        <v>0.1381563888888889</v>
      </c>
      <c r="G33" s="133">
        <v>1.702E-2</v>
      </c>
      <c r="H33" s="18">
        <f t="shared" si="28"/>
        <v>2.3514217388888891E-3</v>
      </c>
      <c r="I33" s="19"/>
      <c r="J33" s="133">
        <v>1.702E-2</v>
      </c>
      <c r="K33" s="18">
        <f t="shared" si="29"/>
        <v>2.3514217388888891E-3</v>
      </c>
      <c r="L33" s="19"/>
      <c r="M33" s="21">
        <f t="shared" si="26"/>
        <v>0</v>
      </c>
      <c r="N33" s="22">
        <f t="shared" si="27"/>
        <v>0</v>
      </c>
      <c r="O33" s="212"/>
      <c r="P33" s="133">
        <v>1.702E-2</v>
      </c>
      <c r="Q33" s="18">
        <f t="shared" si="30"/>
        <v>2.3514217388888891E-3</v>
      </c>
      <c r="R33" s="19"/>
      <c r="S33" s="21">
        <f t="shared" si="10"/>
        <v>0</v>
      </c>
      <c r="T33" s="22">
        <f t="shared" si="5"/>
        <v>0</v>
      </c>
      <c r="U33" s="19"/>
      <c r="V33" s="133">
        <v>1.702E-2</v>
      </c>
      <c r="W33" s="18">
        <f t="shared" si="31"/>
        <v>2.3514217388888891E-3</v>
      </c>
      <c r="X33" s="19"/>
      <c r="Y33" s="21">
        <f t="shared" si="11"/>
        <v>0</v>
      </c>
      <c r="Z33" s="22">
        <f t="shared" si="7"/>
        <v>0</v>
      </c>
      <c r="AA33" s="19"/>
      <c r="AB33" s="133">
        <v>1.702E-2</v>
      </c>
      <c r="AC33" s="18">
        <f t="shared" si="32"/>
        <v>2.3514217388888891E-3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1.8760900055555609</v>
      </c>
      <c r="G34" s="38">
        <f>IF(ISBLANK($D$5)=TRUE, 0, IF($D$5="TOU", 0.64*G44+0.18*G45+0.18*G46, IF(AND($D$5="non-TOU", $F$48&gt;0), G48,G47)))</f>
        <v>0.10299999999999999</v>
      </c>
      <c r="H34" s="18">
        <f t="shared" si="28"/>
        <v>0.19323727057222276</v>
      </c>
      <c r="I34" s="19"/>
      <c r="J34" s="38">
        <f>IF(ISBLANK($D$5)=TRUE, 0, IF($D$5="TOU", 0.64*J44+0.18*J45+0.18*J46, IF(AND($D$5="non-TOU", $F$48&gt;0), J48,J47)))</f>
        <v>0.10299999999999999</v>
      </c>
      <c r="K34" s="18">
        <f t="shared" si="29"/>
        <v>0.19323727057222276</v>
      </c>
      <c r="L34" s="19"/>
      <c r="M34" s="21">
        <f t="shared" si="26"/>
        <v>0</v>
      </c>
      <c r="N34" s="22">
        <f t="shared" si="27"/>
        <v>0</v>
      </c>
      <c r="O34" s="212"/>
      <c r="P34" s="38">
        <f>IF(ISBLANK($D$5)=TRUE, 0, IF($D$5="TOU", 0.64*P44+0.18*P45+0.18*P46, IF(AND($D$5="non-TOU", $F$48&gt;0), P48,P47)))</f>
        <v>9.4E-2</v>
      </c>
      <c r="Q34" s="18">
        <f t="shared" si="30"/>
        <v>0.17635246052222273</v>
      </c>
      <c r="R34" s="19"/>
      <c r="S34" s="21">
        <f t="shared" si="10"/>
        <v>-1.6884810050000032E-2</v>
      </c>
      <c r="T34" s="22">
        <f t="shared" si="5"/>
        <v>-8.7378640776698949E-2</v>
      </c>
      <c r="U34" s="19"/>
      <c r="V34" s="38">
        <f>IF(ISBLANK($D$5)=TRUE, 0, IF($D$5="TOU", 0.64*V44+0.18*V45+0.18*V46, IF(AND($D$5="non-TOU", $F$48&gt;0), V48,V47)))</f>
        <v>9.4E-2</v>
      </c>
      <c r="W34" s="18">
        <f t="shared" si="31"/>
        <v>0.17635246052222273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9.4E-2</v>
      </c>
      <c r="AC34" s="18">
        <f t="shared" si="32"/>
        <v>0.17635246052222273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59">
        <f>G6</f>
        <v>1</v>
      </c>
      <c r="G35" s="38"/>
      <c r="H35" s="18">
        <f t="shared" si="28"/>
        <v>0</v>
      </c>
      <c r="I35" s="19"/>
      <c r="J35" s="38"/>
      <c r="K35" s="18">
        <f t="shared" si="29"/>
        <v>0</v>
      </c>
      <c r="L35" s="19"/>
      <c r="M35" s="21">
        <f t="shared" si="26"/>
        <v>0</v>
      </c>
      <c r="N35" s="22"/>
      <c r="O35" s="212"/>
      <c r="P35" s="38"/>
      <c r="Q35" s="18">
        <f t="shared" si="30"/>
        <v>0</v>
      </c>
      <c r="R35" s="19"/>
      <c r="S35" s="21">
        <f t="shared" si="10"/>
        <v>0</v>
      </c>
      <c r="T35" s="22"/>
      <c r="U35" s="19"/>
      <c r="V35" s="38"/>
      <c r="W35" s="18">
        <f t="shared" si="31"/>
        <v>0</v>
      </c>
      <c r="X35" s="19"/>
      <c r="Y35" s="21">
        <f t="shared" si="11"/>
        <v>0</v>
      </c>
      <c r="Z35" s="22"/>
      <c r="AA35" s="19"/>
      <c r="AB35" s="38"/>
      <c r="AC35" s="18">
        <f t="shared" si="32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3.5148172889542244</v>
      </c>
      <c r="I36" s="31"/>
      <c r="J36" s="41"/>
      <c r="K36" s="43">
        <f>SUM(K29:K35)+K28</f>
        <v>3.0796277836255559</v>
      </c>
      <c r="L36" s="31"/>
      <c r="M36" s="32">
        <f t="shared" si="26"/>
        <v>-0.43518950532866851</v>
      </c>
      <c r="N36" s="33">
        <f t="shared" ref="N36:N46" si="45">IF((H36)=0,"",(M36/H36))</f>
        <v>-0.12381568359081103</v>
      </c>
      <c r="O36" s="212"/>
      <c r="P36" s="41"/>
      <c r="Q36" s="43">
        <f>SUM(Q29:Q35)+Q28</f>
        <v>2.9945209672333335</v>
      </c>
      <c r="R36" s="31"/>
      <c r="S36" s="32">
        <f t="shared" si="10"/>
        <v>-8.5106816392222395E-2</v>
      </c>
      <c r="T36" s="33">
        <f t="shared" ref="T36:T46" si="46">IF((K36)=0,"",(S36/K36))</f>
        <v>-2.763542297050867E-2</v>
      </c>
      <c r="U36" s="31"/>
      <c r="V36" s="41"/>
      <c r="W36" s="43">
        <f>SUM(W29:W35)+W28</f>
        <v>2.9406313218722229</v>
      </c>
      <c r="X36" s="31"/>
      <c r="Y36" s="32">
        <f t="shared" si="11"/>
        <v>-5.3889645361110627E-2</v>
      </c>
      <c r="Z36" s="33">
        <f t="shared" ref="Z36:Z46" si="47">IF((Q36)=0,"",(Y36/Q36))</f>
        <v>-1.7996082161648642E-2</v>
      </c>
      <c r="AA36" s="31"/>
      <c r="AB36" s="41"/>
      <c r="AC36" s="43">
        <f>SUM(AC29:AC35)+AC28</f>
        <v>2.8603085170666676</v>
      </c>
      <c r="AD36" s="31"/>
      <c r="AE36" s="32">
        <f t="shared" si="12"/>
        <v>-8.0322804805555315E-2</v>
      </c>
      <c r="AF36" s="33">
        <f t="shared" ref="AF36:AF46" si="48">IF((W36)=0,"",(AE36/W36))</f>
        <v>-2.7314816450508286E-2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0.1381563888888889</v>
      </c>
      <c r="G37" s="20">
        <v>2.1306406631715946</v>
      </c>
      <c r="H37" s="18">
        <f>$F37*G37</f>
        <v>0.29436162004361499</v>
      </c>
      <c r="I37" s="19"/>
      <c r="J37" s="20">
        <v>2.0247999999999999</v>
      </c>
      <c r="K37" s="18">
        <f>$F37*J37</f>
        <v>0.27973905622222223</v>
      </c>
      <c r="L37" s="19"/>
      <c r="M37" s="21">
        <f t="shared" si="26"/>
        <v>-1.4622563821392764E-2</v>
      </c>
      <c r="N37" s="22">
        <f t="shared" si="45"/>
        <v>-4.967551075179627E-2</v>
      </c>
      <c r="O37" s="212"/>
      <c r="P37" s="20">
        <v>2.0247999999999999</v>
      </c>
      <c r="Q37" s="18">
        <f>$F37*P37</f>
        <v>0.27973905622222223</v>
      </c>
      <c r="R37" s="19"/>
      <c r="S37" s="21">
        <f t="shared" si="10"/>
        <v>0</v>
      </c>
      <c r="T37" s="22">
        <f t="shared" si="46"/>
        <v>0</v>
      </c>
      <c r="U37" s="19"/>
      <c r="V37" s="20">
        <v>2.0247999999999999</v>
      </c>
      <c r="W37" s="18">
        <f>$F37*V37</f>
        <v>0.27973905622222223</v>
      </c>
      <c r="X37" s="19"/>
      <c r="Y37" s="21">
        <f t="shared" si="11"/>
        <v>0</v>
      </c>
      <c r="Z37" s="22">
        <f t="shared" si="47"/>
        <v>0</v>
      </c>
      <c r="AA37" s="19"/>
      <c r="AB37" s="20">
        <v>2.0247999999999999</v>
      </c>
      <c r="AC37" s="18">
        <f>$F37*AB37</f>
        <v>0.27973905622222223</v>
      </c>
      <c r="AD37" s="19"/>
      <c r="AE37" s="21">
        <f t="shared" si="12"/>
        <v>0</v>
      </c>
      <c r="AF37" s="22">
        <f t="shared" si="48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0.1381563888888889</v>
      </c>
      <c r="G38" s="20">
        <v>1.6644226716570096</v>
      </c>
      <c r="H38" s="18">
        <f>$F38*G38</f>
        <v>0.22995062590092927</v>
      </c>
      <c r="I38" s="19"/>
      <c r="J38" s="20">
        <v>1.6641999999999999</v>
      </c>
      <c r="K38" s="18">
        <f>$F38*J38</f>
        <v>0.2299198623888889</v>
      </c>
      <c r="L38" s="19"/>
      <c r="M38" s="21">
        <f t="shared" si="26"/>
        <v>-3.0763512040371532E-5</v>
      </c>
      <c r="N38" s="22">
        <f t="shared" si="45"/>
        <v>-1.3378311939722887E-4</v>
      </c>
      <c r="O38" s="212"/>
      <c r="P38" s="20">
        <v>1.6641999999999999</v>
      </c>
      <c r="Q38" s="18">
        <f>$F38*P38</f>
        <v>0.2299198623888889</v>
      </c>
      <c r="R38" s="19"/>
      <c r="S38" s="21">
        <f t="shared" si="10"/>
        <v>0</v>
      </c>
      <c r="T38" s="22">
        <f t="shared" si="46"/>
        <v>0</v>
      </c>
      <c r="U38" s="19"/>
      <c r="V38" s="20">
        <v>1.6641999999999999</v>
      </c>
      <c r="W38" s="18">
        <f>$F38*V38</f>
        <v>0.2299198623888889</v>
      </c>
      <c r="X38" s="19"/>
      <c r="Y38" s="21">
        <f t="shared" si="11"/>
        <v>0</v>
      </c>
      <c r="Z38" s="22">
        <f t="shared" si="47"/>
        <v>0</v>
      </c>
      <c r="AA38" s="19"/>
      <c r="AB38" s="20">
        <v>1.6641999999999999</v>
      </c>
      <c r="AC38" s="18">
        <f>$F38*AB38</f>
        <v>0.2299198623888889</v>
      </c>
      <c r="AD38" s="19"/>
      <c r="AE38" s="21">
        <f t="shared" si="12"/>
        <v>0</v>
      </c>
      <c r="AF38" s="22">
        <f t="shared" si="48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4.0391295348987688</v>
      </c>
      <c r="I39" s="48"/>
      <c r="J39" s="47"/>
      <c r="K39" s="43">
        <f>SUM(K36:K38)</f>
        <v>3.589286702236667</v>
      </c>
      <c r="L39" s="48"/>
      <c r="M39" s="32">
        <f t="shared" si="26"/>
        <v>-0.44984283266210179</v>
      </c>
      <c r="N39" s="33">
        <f t="shared" si="45"/>
        <v>-0.11137123203783957</v>
      </c>
      <c r="O39" s="212"/>
      <c r="P39" s="47"/>
      <c r="Q39" s="43">
        <f>SUM(Q36:Q38)</f>
        <v>3.5041798858444446</v>
      </c>
      <c r="R39" s="48"/>
      <c r="S39" s="32">
        <f t="shared" si="10"/>
        <v>-8.5106816392222395E-2</v>
      </c>
      <c r="T39" s="33">
        <f t="shared" si="46"/>
        <v>-2.3711345304120737E-2</v>
      </c>
      <c r="U39" s="48"/>
      <c r="V39" s="47"/>
      <c r="W39" s="43">
        <f>SUM(W36:W38)</f>
        <v>3.450290240483334</v>
      </c>
      <c r="X39" s="48"/>
      <c r="Y39" s="32">
        <f t="shared" si="11"/>
        <v>-5.3889645361110627E-2</v>
      </c>
      <c r="Z39" s="33">
        <f t="shared" si="47"/>
        <v>-1.5378675500879483E-2</v>
      </c>
      <c r="AA39" s="48"/>
      <c r="AB39" s="47"/>
      <c r="AC39" s="43">
        <f>SUM(AC36:AC38)</f>
        <v>3.3699674356777787</v>
      </c>
      <c r="AD39" s="48"/>
      <c r="AE39" s="32">
        <f t="shared" si="12"/>
        <v>-8.0322804805555315E-2</v>
      </c>
      <c r="AF39" s="33">
        <f t="shared" si="48"/>
        <v>-2.3280013913931859E-2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51.377145561111114</v>
      </c>
      <c r="G40" s="50">
        <v>4.7000000000000002E-3</v>
      </c>
      <c r="H40" s="152">
        <f t="shared" ref="H40:H48" si="49">$F40*G40</f>
        <v>0.24147258413722225</v>
      </c>
      <c r="I40" s="19"/>
      <c r="J40" s="50">
        <v>4.7000000000000002E-3</v>
      </c>
      <c r="K40" s="152">
        <f t="shared" ref="K40:K48" si="50">$F40*J40</f>
        <v>0.24147258413722225</v>
      </c>
      <c r="L40" s="19"/>
      <c r="M40" s="21">
        <f t="shared" si="26"/>
        <v>0</v>
      </c>
      <c r="N40" s="153">
        <f t="shared" si="45"/>
        <v>0</v>
      </c>
      <c r="O40" s="212"/>
      <c r="P40" s="50">
        <v>4.7000000000000002E-3</v>
      </c>
      <c r="Q40" s="152">
        <f t="shared" ref="Q40:Q48" si="51">$F40*P40</f>
        <v>0.24147258413722225</v>
      </c>
      <c r="R40" s="19"/>
      <c r="S40" s="21">
        <f t="shared" si="10"/>
        <v>0</v>
      </c>
      <c r="T40" s="153">
        <f t="shared" si="46"/>
        <v>0</v>
      </c>
      <c r="U40" s="19"/>
      <c r="V40" s="50">
        <v>4.7000000000000002E-3</v>
      </c>
      <c r="W40" s="152">
        <f t="shared" ref="W40:W48" si="52">$F40*V40</f>
        <v>0.24147258413722225</v>
      </c>
      <c r="X40" s="19"/>
      <c r="Y40" s="21">
        <f t="shared" si="11"/>
        <v>0</v>
      </c>
      <c r="Z40" s="153">
        <f t="shared" si="47"/>
        <v>0</v>
      </c>
      <c r="AA40" s="19"/>
      <c r="AB40" s="50">
        <v>4.7000000000000002E-3</v>
      </c>
      <c r="AC40" s="152">
        <f t="shared" ref="AC40:AC48" si="53">$F40*AB40</f>
        <v>0.24147258413722225</v>
      </c>
      <c r="AD40" s="19"/>
      <c r="AE40" s="21">
        <f t="shared" si="12"/>
        <v>0</v>
      </c>
      <c r="AF40" s="153">
        <f t="shared" si="48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51.377145561111114</v>
      </c>
      <c r="G41" s="50">
        <v>1.2999999999999999E-3</v>
      </c>
      <c r="H41" s="152">
        <f t="shared" si="49"/>
        <v>6.6790289229444438E-2</v>
      </c>
      <c r="I41" s="19"/>
      <c r="J41" s="50">
        <v>2.0999999999999999E-3</v>
      </c>
      <c r="K41" s="152">
        <f t="shared" si="50"/>
        <v>0.10789200567833333</v>
      </c>
      <c r="L41" s="19"/>
      <c r="M41" s="21">
        <f t="shared" si="26"/>
        <v>4.1101716448888895E-2</v>
      </c>
      <c r="N41" s="153">
        <f t="shared" si="45"/>
        <v>0.61538461538461553</v>
      </c>
      <c r="O41" s="212"/>
      <c r="P41" s="50">
        <v>2.0999999999999999E-3</v>
      </c>
      <c r="Q41" s="152">
        <f t="shared" si="51"/>
        <v>0.10789200567833333</v>
      </c>
      <c r="R41" s="19"/>
      <c r="S41" s="21">
        <f t="shared" si="10"/>
        <v>0</v>
      </c>
      <c r="T41" s="153">
        <f t="shared" si="46"/>
        <v>0</v>
      </c>
      <c r="U41" s="19"/>
      <c r="V41" s="50">
        <v>2.0999999999999999E-3</v>
      </c>
      <c r="W41" s="152">
        <f t="shared" si="52"/>
        <v>0.10789200567833333</v>
      </c>
      <c r="X41" s="19"/>
      <c r="Y41" s="21">
        <f t="shared" si="11"/>
        <v>0</v>
      </c>
      <c r="Z41" s="153">
        <f t="shared" si="47"/>
        <v>0</v>
      </c>
      <c r="AA41" s="19"/>
      <c r="AB41" s="50">
        <v>2.0999999999999999E-3</v>
      </c>
      <c r="AC41" s="152">
        <f t="shared" si="53"/>
        <v>0.10789200567833333</v>
      </c>
      <c r="AD41" s="19"/>
      <c r="AE41" s="21">
        <f t="shared" si="12"/>
        <v>0</v>
      </c>
      <c r="AF41" s="153">
        <f t="shared" si="48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59">
        <f>G6</f>
        <v>1</v>
      </c>
      <c r="G42" s="50">
        <v>0.25</v>
      </c>
      <c r="H42" s="152">
        <f>+G42</f>
        <v>0.25</v>
      </c>
      <c r="I42" s="19"/>
      <c r="J42" s="50">
        <v>0.25</v>
      </c>
      <c r="K42" s="152">
        <f>+J42</f>
        <v>0.25</v>
      </c>
      <c r="L42" s="19"/>
      <c r="M42" s="21">
        <f t="shared" si="26"/>
        <v>0</v>
      </c>
      <c r="N42" s="153">
        <f t="shared" si="45"/>
        <v>0</v>
      </c>
      <c r="O42" s="212"/>
      <c r="P42" s="50">
        <v>0.25</v>
      </c>
      <c r="Q42" s="152">
        <f t="shared" si="51"/>
        <v>0.25</v>
      </c>
      <c r="R42" s="19"/>
      <c r="S42" s="21">
        <f t="shared" si="10"/>
        <v>0</v>
      </c>
      <c r="T42" s="153">
        <f t="shared" si="46"/>
        <v>0</v>
      </c>
      <c r="U42" s="19"/>
      <c r="V42" s="50">
        <v>0.25</v>
      </c>
      <c r="W42" s="152">
        <f t="shared" si="52"/>
        <v>0.25</v>
      </c>
      <c r="X42" s="19"/>
      <c r="Y42" s="21">
        <f t="shared" si="11"/>
        <v>0</v>
      </c>
      <c r="Z42" s="153">
        <f t="shared" si="47"/>
        <v>0</v>
      </c>
      <c r="AA42" s="19"/>
      <c r="AB42" s="50">
        <v>0.25</v>
      </c>
      <c r="AC42" s="152">
        <f t="shared" si="53"/>
        <v>0.25</v>
      </c>
      <c r="AD42" s="19"/>
      <c r="AE42" s="21">
        <f t="shared" si="12"/>
        <v>0</v>
      </c>
      <c r="AF42" s="153">
        <f t="shared" si="48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49.501055555555553</v>
      </c>
      <c r="G43" s="50">
        <v>7.0000000000000001E-3</v>
      </c>
      <c r="H43" s="152">
        <f t="shared" si="49"/>
        <v>0.34650738888888888</v>
      </c>
      <c r="I43" s="19"/>
      <c r="J43" s="50">
        <v>7.0000000000000001E-3</v>
      </c>
      <c r="K43" s="152">
        <f t="shared" si="50"/>
        <v>0.34650738888888888</v>
      </c>
      <c r="L43" s="19"/>
      <c r="M43" s="21">
        <f t="shared" si="26"/>
        <v>0</v>
      </c>
      <c r="N43" s="153">
        <f t="shared" si="45"/>
        <v>0</v>
      </c>
      <c r="O43" s="212"/>
      <c r="P43" s="50">
        <v>7.0000000000000001E-3</v>
      </c>
      <c r="Q43" s="152">
        <f t="shared" si="51"/>
        <v>0.34650738888888888</v>
      </c>
      <c r="R43" s="19"/>
      <c r="S43" s="21">
        <f t="shared" si="10"/>
        <v>0</v>
      </c>
      <c r="T43" s="153">
        <f t="shared" si="46"/>
        <v>0</v>
      </c>
      <c r="U43" s="19"/>
      <c r="V43" s="50">
        <v>7.0000000000000001E-3</v>
      </c>
      <c r="W43" s="152">
        <f t="shared" si="52"/>
        <v>0.34650738888888888</v>
      </c>
      <c r="X43" s="19"/>
      <c r="Y43" s="21">
        <f t="shared" si="11"/>
        <v>0</v>
      </c>
      <c r="Z43" s="153">
        <f t="shared" si="47"/>
        <v>0</v>
      </c>
      <c r="AA43" s="19"/>
      <c r="AB43" s="50">
        <v>7.0000000000000001E-3</v>
      </c>
      <c r="AC43" s="152">
        <f t="shared" si="53"/>
        <v>0.34650738888888888</v>
      </c>
      <c r="AD43" s="19"/>
      <c r="AE43" s="21">
        <f t="shared" si="12"/>
        <v>0</v>
      </c>
      <c r="AF43" s="153">
        <f t="shared" si="48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31.680675555555556</v>
      </c>
      <c r="G44" s="54">
        <v>8.6999999999999994E-2</v>
      </c>
      <c r="H44" s="152">
        <f t="shared" si="49"/>
        <v>2.756218773333333</v>
      </c>
      <c r="I44" s="19"/>
      <c r="J44" s="54">
        <f>+G44</f>
        <v>8.6999999999999994E-2</v>
      </c>
      <c r="K44" s="152">
        <f t="shared" si="50"/>
        <v>2.756218773333333</v>
      </c>
      <c r="L44" s="19"/>
      <c r="M44" s="21">
        <f t="shared" si="26"/>
        <v>0</v>
      </c>
      <c r="N44" s="153">
        <f t="shared" si="45"/>
        <v>0</v>
      </c>
      <c r="O44" s="212"/>
      <c r="P44" s="54">
        <v>0.08</v>
      </c>
      <c r="Q44" s="152">
        <f t="shared" si="51"/>
        <v>2.5344540444444443</v>
      </c>
      <c r="R44" s="19"/>
      <c r="S44" s="21">
        <f t="shared" si="10"/>
        <v>-0.22176472888888865</v>
      </c>
      <c r="T44" s="153">
        <f t="shared" si="46"/>
        <v>-8.0459770114942458E-2</v>
      </c>
      <c r="U44" s="19"/>
      <c r="V44" s="54">
        <v>0.08</v>
      </c>
      <c r="W44" s="152">
        <f t="shared" si="52"/>
        <v>2.5344540444444443</v>
      </c>
      <c r="X44" s="19"/>
      <c r="Y44" s="21">
        <f t="shared" si="11"/>
        <v>0</v>
      </c>
      <c r="Z44" s="153">
        <f t="shared" si="47"/>
        <v>0</v>
      </c>
      <c r="AA44" s="19"/>
      <c r="AB44" s="54">
        <v>0.08</v>
      </c>
      <c r="AC44" s="152">
        <f t="shared" si="53"/>
        <v>2.5344540444444443</v>
      </c>
      <c r="AD44" s="19"/>
      <c r="AE44" s="21">
        <f t="shared" si="12"/>
        <v>0</v>
      </c>
      <c r="AF44" s="153">
        <f t="shared" si="48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8.9101899999999983</v>
      </c>
      <c r="G45" s="54">
        <v>0.13200000000000001</v>
      </c>
      <c r="H45" s="152">
        <f t="shared" si="49"/>
        <v>1.1761450799999997</v>
      </c>
      <c r="I45" s="19"/>
      <c r="J45" s="54">
        <f>+G45</f>
        <v>0.13200000000000001</v>
      </c>
      <c r="K45" s="152">
        <f t="shared" si="50"/>
        <v>1.1761450799999997</v>
      </c>
      <c r="L45" s="19"/>
      <c r="M45" s="21">
        <f t="shared" si="26"/>
        <v>0</v>
      </c>
      <c r="N45" s="153">
        <f t="shared" si="45"/>
        <v>0</v>
      </c>
      <c r="O45" s="212"/>
      <c r="P45" s="54">
        <v>0.122</v>
      </c>
      <c r="Q45" s="152">
        <f t="shared" si="51"/>
        <v>1.0870431799999998</v>
      </c>
      <c r="R45" s="19"/>
      <c r="S45" s="21">
        <f t="shared" si="10"/>
        <v>-8.9101899999999956E-2</v>
      </c>
      <c r="T45" s="153">
        <f t="shared" si="46"/>
        <v>-7.5757575757575732E-2</v>
      </c>
      <c r="U45" s="19"/>
      <c r="V45" s="54">
        <v>0.122</v>
      </c>
      <c r="W45" s="152">
        <f t="shared" si="52"/>
        <v>1.0870431799999998</v>
      </c>
      <c r="X45" s="19"/>
      <c r="Y45" s="21">
        <f t="shared" si="11"/>
        <v>0</v>
      </c>
      <c r="Z45" s="153">
        <f t="shared" si="47"/>
        <v>0</v>
      </c>
      <c r="AA45" s="19"/>
      <c r="AB45" s="54">
        <v>0.122</v>
      </c>
      <c r="AC45" s="152">
        <f t="shared" si="53"/>
        <v>1.0870431799999998</v>
      </c>
      <c r="AD45" s="19"/>
      <c r="AE45" s="21">
        <f t="shared" si="12"/>
        <v>0</v>
      </c>
      <c r="AF45" s="153">
        <f t="shared" si="48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8.9101899999999983</v>
      </c>
      <c r="G46" s="54">
        <v>0.18</v>
      </c>
      <c r="H46" s="152">
        <f t="shared" si="49"/>
        <v>1.6038341999999997</v>
      </c>
      <c r="I46" s="19"/>
      <c r="J46" s="54">
        <f>+G46</f>
        <v>0.18</v>
      </c>
      <c r="K46" s="152">
        <f t="shared" si="50"/>
        <v>1.6038341999999997</v>
      </c>
      <c r="L46" s="19"/>
      <c r="M46" s="21">
        <f t="shared" si="26"/>
        <v>0</v>
      </c>
      <c r="N46" s="153">
        <f t="shared" si="45"/>
        <v>0</v>
      </c>
      <c r="O46" s="212"/>
      <c r="P46" s="54">
        <v>0.161</v>
      </c>
      <c r="Q46" s="152">
        <f t="shared" si="51"/>
        <v>1.4345405899999997</v>
      </c>
      <c r="R46" s="19"/>
      <c r="S46" s="21">
        <f t="shared" si="10"/>
        <v>-0.16929360999999998</v>
      </c>
      <c r="T46" s="153">
        <f t="shared" si="46"/>
        <v>-0.10555555555555557</v>
      </c>
      <c r="U46" s="19"/>
      <c r="V46" s="54">
        <v>0.161</v>
      </c>
      <c r="W46" s="152">
        <f t="shared" si="52"/>
        <v>1.4345405899999997</v>
      </c>
      <c r="X46" s="19"/>
      <c r="Y46" s="21">
        <f t="shared" si="11"/>
        <v>0</v>
      </c>
      <c r="Z46" s="153">
        <f t="shared" si="47"/>
        <v>0</v>
      </c>
      <c r="AA46" s="19"/>
      <c r="AB46" s="54">
        <v>0.161</v>
      </c>
      <c r="AC46" s="152">
        <f t="shared" si="53"/>
        <v>1.4345405899999997</v>
      </c>
      <c r="AD46" s="19"/>
      <c r="AE46" s="21">
        <f t="shared" si="12"/>
        <v>0</v>
      </c>
      <c r="AF46" s="153">
        <f t="shared" si="48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49.501055555555553</v>
      </c>
      <c r="G47" s="54">
        <v>0.10299999999999999</v>
      </c>
      <c r="H47" s="152">
        <f t="shared" si="49"/>
        <v>5.0986087222222221</v>
      </c>
      <c r="I47" s="59"/>
      <c r="J47" s="54">
        <f>+G47</f>
        <v>0.10299999999999999</v>
      </c>
      <c r="K47" s="152">
        <f t="shared" si="50"/>
        <v>5.0986087222222221</v>
      </c>
      <c r="L47" s="59"/>
      <c r="M47" s="60">
        <f t="shared" si="26"/>
        <v>0</v>
      </c>
      <c r="N47" s="153">
        <f>IF((H47)=FALSE,"",(M47/H47))</f>
        <v>0</v>
      </c>
      <c r="O47" s="212"/>
      <c r="P47" s="54">
        <v>9.4E-2</v>
      </c>
      <c r="Q47" s="152">
        <f t="shared" si="51"/>
        <v>4.6530992222222221</v>
      </c>
      <c r="R47" s="59"/>
      <c r="S47" s="60">
        <f t="shared" si="10"/>
        <v>-0.4455095</v>
      </c>
      <c r="T47" s="153">
        <f>IF((K47)=FALSE,"",(S47/K47))</f>
        <v>-8.7378640776699032E-2</v>
      </c>
      <c r="U47" s="59"/>
      <c r="V47" s="54">
        <v>9.4E-2</v>
      </c>
      <c r="W47" s="152">
        <f t="shared" si="52"/>
        <v>4.6530992222222221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53"/>
        <v>4.6530992222222221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0</v>
      </c>
      <c r="G48" s="54">
        <v>0.121</v>
      </c>
      <c r="H48" s="152">
        <f t="shared" si="49"/>
        <v>0</v>
      </c>
      <c r="I48" s="59"/>
      <c r="J48" s="54">
        <f>+G48</f>
        <v>0.121</v>
      </c>
      <c r="K48" s="152">
        <f t="shared" si="50"/>
        <v>0</v>
      </c>
      <c r="L48" s="59"/>
      <c r="M48" s="60">
        <f t="shared" si="26"/>
        <v>0</v>
      </c>
      <c r="N48" s="207" t="str">
        <f>IFERROR(IF((H48)=FALSE,"",(M48/H48)),"n/a")</f>
        <v>n/a</v>
      </c>
      <c r="O48" s="212"/>
      <c r="P48" s="54">
        <v>0.11</v>
      </c>
      <c r="Q48" s="152">
        <f t="shared" si="51"/>
        <v>0</v>
      </c>
      <c r="R48" s="59"/>
      <c r="S48" s="60">
        <f t="shared" si="10"/>
        <v>0</v>
      </c>
      <c r="T48" s="153" t="e">
        <f>IF((K48)=FALSE,"",(S48/K48))</f>
        <v>#DIV/0!</v>
      </c>
      <c r="U48" s="59"/>
      <c r="V48" s="54">
        <v>0.11</v>
      </c>
      <c r="W48" s="152">
        <f t="shared" si="52"/>
        <v>0</v>
      </c>
      <c r="X48" s="59"/>
      <c r="Y48" s="60">
        <f t="shared" si="11"/>
        <v>0</v>
      </c>
      <c r="Z48" s="153" t="e">
        <f>IF((Q48)=FALSE,"",(Y48/Q48))</f>
        <v>#DIV/0!</v>
      </c>
      <c r="AA48" s="59"/>
      <c r="AB48" s="54">
        <v>0.11</v>
      </c>
      <c r="AC48" s="152">
        <f t="shared" si="53"/>
        <v>0</v>
      </c>
      <c r="AD48" s="59"/>
      <c r="AE48" s="60">
        <f t="shared" si="12"/>
        <v>0</v>
      </c>
      <c r="AF48" s="153" t="e">
        <f>IF((W48)=FALSE,"",(AE48/W48))</f>
        <v>#DIV/0!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6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10.480097850487656</v>
      </c>
      <c r="I50" s="75"/>
      <c r="J50" s="72"/>
      <c r="K50" s="74">
        <f>SUM(K40:K46,K39)</f>
        <v>10.071356734274444</v>
      </c>
      <c r="L50" s="75"/>
      <c r="M50" s="76">
        <f t="shared" si="26"/>
        <v>-0.40874111621321241</v>
      </c>
      <c r="N50" s="77">
        <f>IF((H50)=0,"",(M50/H50))</f>
        <v>-3.9001650752162872E-2</v>
      </c>
      <c r="O50" s="212"/>
      <c r="P50" s="72"/>
      <c r="Q50" s="74">
        <f>SUM(Q40:Q46,Q39)</f>
        <v>9.5060896789933338</v>
      </c>
      <c r="R50" s="75"/>
      <c r="S50" s="76">
        <f t="shared" si="10"/>
        <v>-0.56526705528110988</v>
      </c>
      <c r="T50" s="77">
        <f>IF((K50)=0,"",(S50/K50))</f>
        <v>-5.6126207242507394E-2</v>
      </c>
      <c r="U50" s="75"/>
      <c r="V50" s="72"/>
      <c r="W50" s="74">
        <f>SUM(W40:W46,W39)</f>
        <v>9.4522000336322218</v>
      </c>
      <c r="X50" s="75"/>
      <c r="Y50" s="76">
        <f t="shared" si="11"/>
        <v>-5.388964536111196E-2</v>
      </c>
      <c r="Z50" s="77">
        <f>IF((Q50)=0,"",(Y50/Q50))</f>
        <v>-5.6689603381501769E-3</v>
      </c>
      <c r="AA50" s="75"/>
      <c r="AB50" s="72"/>
      <c r="AC50" s="74">
        <f>SUM(AC40:AC46,AC39)</f>
        <v>9.3718772288266674</v>
      </c>
      <c r="AD50" s="75"/>
      <c r="AE50" s="76">
        <f t="shared" si="12"/>
        <v>-8.0322804805554426E-2</v>
      </c>
      <c r="AF50" s="77">
        <f>IF((W50)=0,"",(AE50/W50))</f>
        <v>-8.4977893527173453E-3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1.3624127205633954</v>
      </c>
      <c r="I51" s="81"/>
      <c r="J51" s="79">
        <v>0.13</v>
      </c>
      <c r="K51" s="82">
        <f>K50*J51</f>
        <v>1.3092763754556778</v>
      </c>
      <c r="L51" s="81"/>
      <c r="M51" s="83">
        <f t="shared" si="26"/>
        <v>-5.3136345107717586E-2</v>
      </c>
      <c r="N51" s="84">
        <f>IF((H51)=0,"",(M51/H51))</f>
        <v>-3.9001650752162852E-2</v>
      </c>
      <c r="O51" s="212"/>
      <c r="P51" s="79">
        <v>0.13</v>
      </c>
      <c r="Q51" s="82">
        <f>Q50*P51</f>
        <v>1.2357916582691335</v>
      </c>
      <c r="R51" s="81"/>
      <c r="S51" s="83">
        <f t="shared" si="10"/>
        <v>-7.3484717186544257E-2</v>
      </c>
      <c r="T51" s="84">
        <f>IF((K51)=0,"",(S51/K51))</f>
        <v>-5.6126207242507366E-2</v>
      </c>
      <c r="U51" s="81"/>
      <c r="V51" s="79">
        <v>0.13</v>
      </c>
      <c r="W51" s="82">
        <f>W50*V51</f>
        <v>1.228786004372189</v>
      </c>
      <c r="X51" s="81"/>
      <c r="Y51" s="83">
        <f t="shared" si="11"/>
        <v>-7.0056538969445192E-3</v>
      </c>
      <c r="Z51" s="84">
        <f>IF((Q51)=0,"",(Y51/Q51))</f>
        <v>-5.6689603381501483E-3</v>
      </c>
      <c r="AA51" s="81"/>
      <c r="AB51" s="79">
        <v>0.13</v>
      </c>
      <c r="AC51" s="82">
        <f>AC50*AB51</f>
        <v>1.2183440397474667</v>
      </c>
      <c r="AD51" s="81"/>
      <c r="AE51" s="83">
        <f t="shared" si="12"/>
        <v>-1.0441964624722244E-2</v>
      </c>
      <c r="AF51" s="84">
        <f>IF((W51)=0,"",(AE51/W51))</f>
        <v>-8.4977893527174806E-3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11.842510571051051</v>
      </c>
      <c r="I52" s="81"/>
      <c r="J52" s="86"/>
      <c r="K52" s="82">
        <f>K50+K51</f>
        <v>11.380633109730121</v>
      </c>
      <c r="L52" s="81"/>
      <c r="M52" s="83">
        <f t="shared" si="26"/>
        <v>-0.46187746132092933</v>
      </c>
      <c r="N52" s="84">
        <f>IF((H52)=0,"",(M52/H52))</f>
        <v>-3.9001650752162817E-2</v>
      </c>
      <c r="O52" s="212"/>
      <c r="P52" s="86"/>
      <c r="Q52" s="82">
        <f>Q50+Q51</f>
        <v>10.741881337262468</v>
      </c>
      <c r="R52" s="81"/>
      <c r="S52" s="83">
        <f t="shared" si="10"/>
        <v>-0.63875177246765347</v>
      </c>
      <c r="T52" s="84">
        <f>IF((K52)=0,"",(S52/K52))</f>
        <v>-5.6126207242507331E-2</v>
      </c>
      <c r="U52" s="81"/>
      <c r="V52" s="86"/>
      <c r="W52" s="82">
        <f>W50+W51</f>
        <v>10.680986038004411</v>
      </c>
      <c r="X52" s="81"/>
      <c r="Y52" s="83">
        <f t="shared" si="11"/>
        <v>-6.0895299258056923E-2</v>
      </c>
      <c r="Z52" s="84">
        <f>IF((Q52)=0,"",(Y52/Q52))</f>
        <v>-5.6689603381502151E-3</v>
      </c>
      <c r="AA52" s="81"/>
      <c r="AB52" s="86"/>
      <c r="AC52" s="82">
        <f>AC50+AC51</f>
        <v>10.590221268574133</v>
      </c>
      <c r="AD52" s="81"/>
      <c r="AE52" s="83">
        <f t="shared" si="12"/>
        <v>-9.0764769430277781E-2</v>
      </c>
      <c r="AF52" s="84">
        <f>IF((W52)=0,"",(AE52/W52))</f>
        <v>-8.497789352717465E-3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26"/>
        <v>0</v>
      </c>
      <c r="N53" s="89" t="str">
        <f>IF((H53)=0,"",(M53/H53))</f>
        <v/>
      </c>
      <c r="O53" s="212"/>
      <c r="P53" s="86"/>
      <c r="Q53" s="87">
        <f>ROUND(-Q52*10%,2)</f>
        <v>-1.07</v>
      </c>
      <c r="R53" s="81"/>
      <c r="S53" s="88">
        <f t="shared" si="10"/>
        <v>-1.07</v>
      </c>
      <c r="T53" s="89" t="str">
        <f>IF((K53)=0,"",(S53/K53))</f>
        <v/>
      </c>
      <c r="U53" s="81"/>
      <c r="V53" s="86"/>
      <c r="W53" s="87">
        <f>ROUND(-W52*10%,2)</f>
        <v>-1.07</v>
      </c>
      <c r="X53" s="81"/>
      <c r="Y53" s="88">
        <f t="shared" si="11"/>
        <v>0</v>
      </c>
      <c r="Z53" s="89">
        <f>IF((Q53)=0,"",(Y53/Q53))</f>
        <v>0</v>
      </c>
      <c r="AA53" s="81"/>
      <c r="AB53" s="86"/>
      <c r="AC53" s="87">
        <f>ROUND(-AC52*10%,2)</f>
        <v>-1.06</v>
      </c>
      <c r="AD53" s="81"/>
      <c r="AE53" s="88">
        <f t="shared" si="12"/>
        <v>1.0000000000000009E-2</v>
      </c>
      <c r="AF53" s="89">
        <f>IF((W53)=0,"",(AE53/W53))</f>
        <v>-9.3457943925233725E-3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11.842510571051051</v>
      </c>
      <c r="I54" s="92"/>
      <c r="J54" s="90"/>
      <c r="K54" s="93">
        <f>K52+K53</f>
        <v>11.380633109730121</v>
      </c>
      <c r="L54" s="92"/>
      <c r="M54" s="94">
        <f t="shared" si="26"/>
        <v>-0.46187746132092933</v>
      </c>
      <c r="N54" s="95">
        <f>IF((H54)=0,"",(M54/H54))</f>
        <v>-3.9001650752162817E-2</v>
      </c>
      <c r="O54" s="212"/>
      <c r="P54" s="90"/>
      <c r="Q54" s="93">
        <f>Q52+Q53</f>
        <v>9.6718813372624677</v>
      </c>
      <c r="R54" s="92"/>
      <c r="S54" s="94">
        <f t="shared" si="10"/>
        <v>-1.7087517724676538</v>
      </c>
      <c r="T54" s="95">
        <f>IF((K54)=0,"",(S54/K54))</f>
        <v>-0.15014558118095547</v>
      </c>
      <c r="U54" s="92"/>
      <c r="V54" s="90"/>
      <c r="W54" s="93">
        <f>W52+W53</f>
        <v>9.6109860380044108</v>
      </c>
      <c r="X54" s="92"/>
      <c r="Y54" s="94">
        <f t="shared" si="11"/>
        <v>-6.0895299258056923E-2</v>
      </c>
      <c r="Z54" s="95">
        <f>IF((Q54)=0,"",(Y54/Q54))</f>
        <v>-6.296117284178007E-3</v>
      </c>
      <c r="AA54" s="92"/>
      <c r="AB54" s="90"/>
      <c r="AC54" s="93">
        <f>AC52+AC53</f>
        <v>9.5302212685741328</v>
      </c>
      <c r="AD54" s="92"/>
      <c r="AE54" s="94">
        <f t="shared" si="12"/>
        <v>-8.0764769430277994E-2</v>
      </c>
      <c r="AF54" s="95">
        <f>IF((W54)=0,"",(AE54/W54))</f>
        <v>-8.4033801642112976E-3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6"/>
        <v>0</v>
      </c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10.042508519376545</v>
      </c>
      <c r="I56" s="106"/>
      <c r="J56" s="103"/>
      <c r="K56" s="105">
        <f>SUM(K47:K48,K39,K40:K43)</f>
        <v>9.6337674031633327</v>
      </c>
      <c r="L56" s="106"/>
      <c r="M56" s="107">
        <f t="shared" si="26"/>
        <v>-0.40874111621321241</v>
      </c>
      <c r="N56" s="77">
        <f>IF((H56)=0,"",(M56/H56))</f>
        <v>-4.0701097283070836E-2</v>
      </c>
      <c r="O56" s="212"/>
      <c r="P56" s="103"/>
      <c r="Q56" s="105">
        <f>SUM(Q47:Q48,Q39,Q40:Q43)</f>
        <v>9.1031510867711116</v>
      </c>
      <c r="R56" s="106"/>
      <c r="S56" s="107">
        <f t="shared" si="10"/>
        <v>-0.53061631639222107</v>
      </c>
      <c r="T56" s="77">
        <f>IF((K56)=0,"",(S56/K56))</f>
        <v>-5.5078796714355852E-2</v>
      </c>
      <c r="U56" s="106"/>
      <c r="V56" s="103"/>
      <c r="W56" s="105">
        <f>SUM(W47:W48,W39,W40:W43)</f>
        <v>9.0492614414099997</v>
      </c>
      <c r="X56" s="106"/>
      <c r="Y56" s="107">
        <f t="shared" si="11"/>
        <v>-5.388964536111196E-2</v>
      </c>
      <c r="Z56" s="77">
        <f>IF((Q56)=0,"",(Y56/Q56))</f>
        <v>-5.9198891512880101E-3</v>
      </c>
      <c r="AA56" s="106"/>
      <c r="AB56" s="103"/>
      <c r="AC56" s="105">
        <f>SUM(AC47:AC48,AC39,AC40:AC43)</f>
        <v>8.9689386366044452</v>
      </c>
      <c r="AD56" s="106"/>
      <c r="AE56" s="107">
        <f t="shared" si="12"/>
        <v>-8.0322804805554426E-2</v>
      </c>
      <c r="AF56" s="77">
        <f>IF((W56)=0,"",(AE56/W56))</f>
        <v>-8.8761724175624029E-3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1.3055261075189508</v>
      </c>
      <c r="I57" s="110"/>
      <c r="J57" s="109">
        <v>0.13</v>
      </c>
      <c r="K57" s="111">
        <f>K56*J57</f>
        <v>1.2523897624112332</v>
      </c>
      <c r="L57" s="110"/>
      <c r="M57" s="112">
        <f t="shared" si="26"/>
        <v>-5.3136345107717586E-2</v>
      </c>
      <c r="N57" s="84">
        <f>IF((H57)=0,"",(M57/H57))</f>
        <v>-4.0701097283070815E-2</v>
      </c>
      <c r="O57" s="212"/>
      <c r="P57" s="109">
        <v>0.13</v>
      </c>
      <c r="Q57" s="111">
        <f>Q56*P57</f>
        <v>1.1834096412802446</v>
      </c>
      <c r="R57" s="110"/>
      <c r="S57" s="112">
        <f t="shared" si="10"/>
        <v>-6.8980121130988614E-2</v>
      </c>
      <c r="T57" s="84">
        <f>IF((K57)=0,"",(S57/K57))</f>
        <v>-5.5078796714355754E-2</v>
      </c>
      <c r="U57" s="110"/>
      <c r="V57" s="109">
        <v>0.13</v>
      </c>
      <c r="W57" s="111">
        <f>W56*V57</f>
        <v>1.1764039873833001</v>
      </c>
      <c r="X57" s="110"/>
      <c r="Y57" s="112">
        <f t="shared" si="11"/>
        <v>-7.0056538969445192E-3</v>
      </c>
      <c r="Z57" s="84">
        <f>IF((Q57)=0,"",(Y57/Q57))</f>
        <v>-5.9198891512879789E-3</v>
      </c>
      <c r="AA57" s="110"/>
      <c r="AB57" s="109">
        <v>0.13</v>
      </c>
      <c r="AC57" s="111">
        <f>AC56*AB57</f>
        <v>1.1659620227585779</v>
      </c>
      <c r="AD57" s="110"/>
      <c r="AE57" s="112">
        <f t="shared" si="12"/>
        <v>-1.0441964624722244E-2</v>
      </c>
      <c r="AF57" s="84">
        <f>IF((W57)=0,"",(AE57/W57))</f>
        <v>-8.8761724175625452E-3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11.348034626895496</v>
      </c>
      <c r="I58" s="110"/>
      <c r="J58" s="114"/>
      <c r="K58" s="111">
        <f>K56+K57</f>
        <v>10.886157165574566</v>
      </c>
      <c r="L58" s="110"/>
      <c r="M58" s="112">
        <f t="shared" si="26"/>
        <v>-0.46187746132092933</v>
      </c>
      <c r="N58" s="84">
        <f>IF((H58)=0,"",(M58/H58))</f>
        <v>-4.0701097283070774E-2</v>
      </c>
      <c r="O58" s="212"/>
      <c r="P58" s="114"/>
      <c r="Q58" s="111">
        <f>Q56+Q57</f>
        <v>10.286560728051356</v>
      </c>
      <c r="R58" s="110"/>
      <c r="S58" s="112">
        <f t="shared" si="10"/>
        <v>-0.59959643752321057</v>
      </c>
      <c r="T58" s="84">
        <f>IF((K58)=0,"",(S58/K58))</f>
        <v>-5.5078796714355921E-2</v>
      </c>
      <c r="U58" s="110"/>
      <c r="V58" s="114"/>
      <c r="W58" s="111">
        <f>W56+W57</f>
        <v>10.225665428793299</v>
      </c>
      <c r="X58" s="110"/>
      <c r="Y58" s="112">
        <f t="shared" si="11"/>
        <v>-6.0895299258056923E-2</v>
      </c>
      <c r="Z58" s="84">
        <f>IF((Q58)=0,"",(Y58/Q58))</f>
        <v>-5.91988915128805E-3</v>
      </c>
      <c r="AA58" s="110"/>
      <c r="AB58" s="114"/>
      <c r="AC58" s="111">
        <f>AC56+AC57</f>
        <v>10.134900659363023</v>
      </c>
      <c r="AD58" s="110"/>
      <c r="AE58" s="112">
        <f t="shared" si="12"/>
        <v>-9.0764769430276004E-2</v>
      </c>
      <c r="AF58" s="84">
        <f>IF((W58)=0,"",(AE58/W58))</f>
        <v>-8.8761724175623544E-3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26"/>
        <v>0</v>
      </c>
      <c r="N59" s="89" t="str">
        <f>IF((H59)=0,"",(M59/H59))</f>
        <v/>
      </c>
      <c r="O59" s="212"/>
      <c r="P59" s="114"/>
      <c r="Q59" s="116">
        <f>ROUND(-Q58*10%,2)</f>
        <v>-1.03</v>
      </c>
      <c r="R59" s="110"/>
      <c r="S59" s="117">
        <f t="shared" si="10"/>
        <v>-1.03</v>
      </c>
      <c r="T59" s="89" t="str">
        <f>IF((K59)=0,"",(S59/K59))</f>
        <v/>
      </c>
      <c r="U59" s="110"/>
      <c r="V59" s="114"/>
      <c r="W59" s="116">
        <f>ROUND(-W58*10%,2)</f>
        <v>-1.02</v>
      </c>
      <c r="X59" s="110"/>
      <c r="Y59" s="117">
        <f t="shared" si="11"/>
        <v>1.0000000000000009E-2</v>
      </c>
      <c r="Z59" s="89">
        <f>IF((Q59)=0,"",(Y59/Q59))</f>
        <v>-9.7087378640776777E-3</v>
      </c>
      <c r="AA59" s="110"/>
      <c r="AB59" s="114"/>
      <c r="AC59" s="116">
        <f>ROUND(-AC58*10%,2)</f>
        <v>-1.01</v>
      </c>
      <c r="AD59" s="110"/>
      <c r="AE59" s="117">
        <f t="shared" si="12"/>
        <v>1.0000000000000009E-2</v>
      </c>
      <c r="AF59" s="89">
        <f>IF((W59)=0,"",(AE59/W59))</f>
        <v>-9.8039215686274595E-3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11.348034626895496</v>
      </c>
      <c r="I60" s="120"/>
      <c r="J60" s="118"/>
      <c r="K60" s="121">
        <f>SUM(K58:K59)</f>
        <v>10.886157165574566</v>
      </c>
      <c r="L60" s="120"/>
      <c r="M60" s="122">
        <f t="shared" si="26"/>
        <v>-0.46187746132092933</v>
      </c>
      <c r="N60" s="123">
        <f>IF((H60)=0,"",(M60/H60))</f>
        <v>-4.0701097283070774E-2</v>
      </c>
      <c r="O60" s="212"/>
      <c r="P60" s="118"/>
      <c r="Q60" s="121">
        <f>SUM(Q58:Q59)</f>
        <v>9.2565607280513564</v>
      </c>
      <c r="R60" s="120"/>
      <c r="S60" s="122">
        <f t="shared" si="10"/>
        <v>-1.6295964375232099</v>
      </c>
      <c r="T60" s="123">
        <f>IF((K60)=0,"",(S60/K60))</f>
        <v>-0.14969436989909565</v>
      </c>
      <c r="U60" s="120"/>
      <c r="V60" s="118"/>
      <c r="W60" s="121">
        <f>SUM(W58:W59)</f>
        <v>9.2056654287932993</v>
      </c>
      <c r="X60" s="120"/>
      <c r="Y60" s="122">
        <f t="shared" si="11"/>
        <v>-5.0895299258057136E-2</v>
      </c>
      <c r="Z60" s="123">
        <f>IF((Q60)=0,"",(Y60/Q60))</f>
        <v>-5.4982947504273929E-3</v>
      </c>
      <c r="AA60" s="120"/>
      <c r="AB60" s="118"/>
      <c r="AC60" s="121">
        <f>SUM(AC58:AC59)</f>
        <v>9.1249006593630231</v>
      </c>
      <c r="AD60" s="120"/>
      <c r="AE60" s="122">
        <f t="shared" si="12"/>
        <v>-8.0764769430276218E-2</v>
      </c>
      <c r="AF60" s="123">
        <f>IF((W60)=0,"",(AE60/W60))</f>
        <v>-8.7733765750014937E-3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3.0790000000000001E-2</v>
      </c>
      <c r="Q63" s="142"/>
      <c r="R63" s="142"/>
      <c r="S63" s="142"/>
      <c r="T63" s="142"/>
      <c r="U63" s="142"/>
      <c r="V63" s="129">
        <v>3.0790000000000001E-2</v>
      </c>
      <c r="W63" s="142"/>
      <c r="X63" s="142"/>
      <c r="Y63" s="142"/>
      <c r="Z63" s="142"/>
      <c r="AA63" s="142"/>
      <c r="AB63" s="129">
        <v>3.0790000000000001E-2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</dataValidations>
  <pageMargins left="0.75" right="0.75" top="1" bottom="1" header="0.5" footer="0.5"/>
  <pageSetup scale="49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rgb="FF92D050"/>
    <pageSetUpPr fitToPage="1"/>
  </sheetPr>
  <dimension ref="A1:AP79"/>
  <sheetViews>
    <sheetView showGridLines="0" zoomScale="75" zoomScaleNormal="75" workbookViewId="0">
      <selection activeCell="K58" sqref="K58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4" width="11.28515625" style="1" customWidth="1"/>
    <col min="5" max="5" width="11.28515625" style="1" hidden="1" customWidth="1"/>
    <col min="6" max="6" width="10.42578125" style="1" bestFit="1" customWidth="1"/>
    <col min="7" max="7" width="13.28515625" style="1" customWidth="1"/>
    <col min="8" max="8" width="12.28515625" style="142" customWidth="1"/>
    <col min="9" max="9" width="1.7109375" style="1" customWidth="1"/>
    <col min="10" max="10" width="13.28515625" style="1" customWidth="1"/>
    <col min="11" max="11" width="12.28515625" style="1" customWidth="1"/>
    <col min="12" max="12" width="1.7109375" style="1" customWidth="1"/>
    <col min="13" max="13" width="12.28515625" style="1" customWidth="1"/>
    <col min="14" max="14" width="12.140625" style="1" bestFit="1" customWidth="1"/>
    <col min="15" max="15" width="1.7109375" style="1" customWidth="1"/>
    <col min="16" max="16" width="13.28515625" style="1" hidden="1" customWidth="1"/>
    <col min="17" max="17" width="12.28515625" style="1" hidden="1" customWidth="1"/>
    <col min="18" max="18" width="1.7109375" style="1" hidden="1" customWidth="1"/>
    <col min="19" max="19" width="12.28515625" style="1" hidden="1" customWidth="1"/>
    <col min="20" max="20" width="0" style="1" hidden="1" customWidth="1"/>
    <col min="21" max="21" width="1.7109375" style="1" hidden="1" customWidth="1"/>
    <col min="22" max="22" width="13.28515625" style="1" hidden="1" customWidth="1"/>
    <col min="23" max="23" width="12.28515625" style="1" hidden="1" customWidth="1"/>
    <col min="24" max="24" width="1.7109375" style="1" hidden="1" customWidth="1"/>
    <col min="25" max="25" width="10.42578125" style="1" hidden="1" customWidth="1"/>
    <col min="26" max="26" width="7.5703125" style="1" hidden="1" customWidth="1"/>
    <col min="27" max="27" width="1.7109375" style="1" hidden="1" customWidth="1"/>
    <col min="28" max="28" width="9.85546875" style="1" hidden="1" customWidth="1"/>
    <col min="29" max="29" width="12.42578125" style="1" hidden="1" customWidth="1"/>
    <col min="30" max="30" width="1.7109375" style="1" hidden="1" customWidth="1"/>
    <col min="31" max="31" width="10.42578125" style="1" hidden="1" customWidth="1"/>
    <col min="32" max="32" width="7.5703125" style="1" hidden="1" customWidth="1"/>
    <col min="33" max="33" width="1.7109375" style="1" customWidth="1"/>
    <col min="34" max="34" width="9.85546875" style="1" bestFit="1" customWidth="1"/>
    <col min="35" max="35" width="12.42578125" style="1" bestFit="1" customWidth="1"/>
    <col min="36" max="36" width="1.7109375" style="1" customWidth="1"/>
    <col min="37" max="37" width="10.42578125" style="1" bestFit="1" customWidth="1"/>
    <col min="38" max="38" width="7.5703125" style="1" bestFit="1" customWidth="1"/>
    <col min="39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70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66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8">
        <v>36000</v>
      </c>
      <c r="H6" s="9" t="s">
        <v>101</v>
      </c>
      <c r="J6" s="151"/>
      <c r="K6" s="151"/>
    </row>
    <row r="7" spans="2:42" x14ac:dyDescent="0.2">
      <c r="B7" s="6"/>
      <c r="D7" s="7" t="s">
        <v>3</v>
      </c>
      <c r="E7" s="7"/>
      <c r="F7" s="7"/>
      <c r="G7" s="158">
        <v>4973.63</v>
      </c>
      <c r="H7" s="9" t="s">
        <v>64</v>
      </c>
      <c r="J7" s="151"/>
      <c r="K7" s="151"/>
    </row>
    <row r="8" spans="2:42" x14ac:dyDescent="0.2">
      <c r="B8" s="6"/>
      <c r="G8" s="158">
        <v>1782038</v>
      </c>
      <c r="H8" s="9" t="s">
        <v>4</v>
      </c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59">
        <f>G6</f>
        <v>36000</v>
      </c>
      <c r="G12" s="209">
        <v>2.2799999999999998</v>
      </c>
      <c r="H12" s="18">
        <f t="shared" ref="H12:H27" si="0">$F12*G12</f>
        <v>82080</v>
      </c>
      <c r="I12" s="19"/>
      <c r="J12" s="209">
        <v>2.15</v>
      </c>
      <c r="K12" s="18">
        <f t="shared" ref="K12:K27" si="1">$F12*J12</f>
        <v>77400</v>
      </c>
      <c r="L12" s="19"/>
      <c r="M12" s="21">
        <f t="shared" ref="M12:M21" si="2">K12-H12</f>
        <v>-4680</v>
      </c>
      <c r="N12" s="22">
        <f t="shared" ref="N12:N21" si="3">IF((H12)=0,"",(M12/H12))</f>
        <v>-5.701754385964912E-2</v>
      </c>
      <c r="O12" s="212"/>
      <c r="P12" s="16">
        <v>2.15</v>
      </c>
      <c r="Q12" s="18">
        <f t="shared" ref="Q12:Q27" si="4">$F12*P12</f>
        <v>77400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2.02</v>
      </c>
      <c r="W12" s="18">
        <f t="shared" ref="W12:W27" si="6">$F12*V12</f>
        <v>72720</v>
      </c>
      <c r="X12" s="19"/>
      <c r="Y12" s="21">
        <f>W12-Q12</f>
        <v>-4680</v>
      </c>
      <c r="Z12" s="22">
        <f t="shared" ref="Z12:Z34" si="7">IF((Q12)=0,"",(Y12/Q12))</f>
        <v>-6.0465116279069767E-2</v>
      </c>
      <c r="AA12" s="19"/>
      <c r="AB12" s="16">
        <v>1.96</v>
      </c>
      <c r="AC12" s="18">
        <f t="shared" ref="AC12:AC27" si="8">$F12*AB12</f>
        <v>70560</v>
      </c>
      <c r="AD12" s="19"/>
      <c r="AE12" s="21">
        <f>AC12-W12</f>
        <v>-2160</v>
      </c>
      <c r="AF12" s="22">
        <f t="shared" ref="AF12:AF34" si="9">IF((W12)=0,"",(AE12/W12))</f>
        <v>-2.9702970297029702E-2</v>
      </c>
    </row>
    <row r="13" spans="2:42" ht="12.6" customHeight="1" x14ac:dyDescent="0.2">
      <c r="B13" s="14" t="s">
        <v>13</v>
      </c>
      <c r="C13" s="14"/>
      <c r="D13" s="15" t="s">
        <v>51</v>
      </c>
      <c r="E13" s="15"/>
      <c r="F13" s="159">
        <f>G6</f>
        <v>36000</v>
      </c>
      <c r="G13" s="209"/>
      <c r="H13" s="18">
        <f t="shared" si="0"/>
        <v>0</v>
      </c>
      <c r="I13" s="19"/>
      <c r="J13" s="209"/>
      <c r="K13" s="18">
        <f t="shared" si="1"/>
        <v>0</v>
      </c>
      <c r="L13" s="19"/>
      <c r="M13" s="21">
        <f t="shared" si="2"/>
        <v>0</v>
      </c>
      <c r="N13" s="22" t="str">
        <f t="shared" si="3"/>
        <v/>
      </c>
      <c r="O13" s="212"/>
      <c r="P13" s="16"/>
      <c r="Q13" s="18">
        <f t="shared" si="4"/>
        <v>0</v>
      </c>
      <c r="R13" s="19"/>
      <c r="S13" s="21">
        <f t="shared" ref="S13:S42" si="10">Q13-K13</f>
        <v>0</v>
      </c>
      <c r="T13" s="22" t="str">
        <f t="shared" si="5"/>
        <v/>
      </c>
      <c r="U13" s="19"/>
      <c r="V13" s="16"/>
      <c r="W13" s="18">
        <f t="shared" si="6"/>
        <v>0</v>
      </c>
      <c r="X13" s="19"/>
      <c r="Y13" s="21">
        <f t="shared" ref="Y13:Y42" si="11">W13-Q13</f>
        <v>0</v>
      </c>
      <c r="Z13" s="22" t="str">
        <f t="shared" si="7"/>
        <v/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59">
        <f>G6</f>
        <v>36000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/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/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/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59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59">
        <f>G6</f>
        <v>36000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59">
        <f>G6</f>
        <v>36000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59">
        <f>G6</f>
        <v>36000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65</v>
      </c>
      <c r="E19" s="15"/>
      <c r="F19" s="17">
        <f>$G$7</f>
        <v>4973.63</v>
      </c>
      <c r="G19" s="16">
        <v>6.0732999999999997</v>
      </c>
      <c r="H19" s="18">
        <f t="shared" si="0"/>
        <v>30206.347078999999</v>
      </c>
      <c r="I19" s="19"/>
      <c r="J19" s="16">
        <v>5.7203999999999997</v>
      </c>
      <c r="K19" s="18">
        <f t="shared" si="1"/>
        <v>28451.153051999998</v>
      </c>
      <c r="L19" s="19"/>
      <c r="M19" s="21">
        <f t="shared" si="2"/>
        <v>-1755.1940270000014</v>
      </c>
      <c r="N19" s="22">
        <f t="shared" si="3"/>
        <v>-5.8106795317208151E-2</v>
      </c>
      <c r="O19" s="212"/>
      <c r="P19" s="16">
        <v>5.7203999999999997</v>
      </c>
      <c r="Q19" s="18">
        <f t="shared" si="4"/>
        <v>28451.153051999998</v>
      </c>
      <c r="R19" s="19"/>
      <c r="S19" s="21">
        <f t="shared" si="10"/>
        <v>0</v>
      </c>
      <c r="T19" s="22">
        <f t="shared" si="5"/>
        <v>0</v>
      </c>
      <c r="U19" s="19"/>
      <c r="V19" s="16">
        <v>5.3701999999999996</v>
      </c>
      <c r="W19" s="18">
        <f t="shared" si="6"/>
        <v>26709.387825999998</v>
      </c>
      <c r="X19" s="19"/>
      <c r="Y19" s="21">
        <f t="shared" si="11"/>
        <v>-1741.7652259999995</v>
      </c>
      <c r="Z19" s="22">
        <f t="shared" si="7"/>
        <v>-6.1219495140199975E-2</v>
      </c>
      <c r="AA19" s="19"/>
      <c r="AB19" s="16">
        <v>5.2230999999999996</v>
      </c>
      <c r="AC19" s="18">
        <f t="shared" si="8"/>
        <v>25977.766852999997</v>
      </c>
      <c r="AD19" s="19"/>
      <c r="AE19" s="21">
        <f t="shared" si="12"/>
        <v>-731.62097300000096</v>
      </c>
      <c r="AF19" s="22">
        <f t="shared" si="9"/>
        <v>-2.7391903467282448E-2</v>
      </c>
    </row>
    <row r="20" spans="2:32" ht="12.6" customHeight="1" x14ac:dyDescent="0.2">
      <c r="B20" s="14" t="s">
        <v>106</v>
      </c>
      <c r="C20" s="14"/>
      <c r="D20" s="15" t="s">
        <v>65</v>
      </c>
      <c r="E20" s="15"/>
      <c r="F20" s="17">
        <f t="shared" ref="F20" si="13">$G$7</f>
        <v>4973.63</v>
      </c>
      <c r="G20" s="16"/>
      <c r="H20" s="18">
        <f t="shared" si="0"/>
        <v>0</v>
      </c>
      <c r="I20" s="19"/>
      <c r="J20" s="16">
        <v>-9.9599999999999994E-2</v>
      </c>
      <c r="K20" s="18">
        <f t="shared" si="1"/>
        <v>-495.37354799999997</v>
      </c>
      <c r="L20" s="19"/>
      <c r="M20" s="21">
        <f t="shared" si="2"/>
        <v>-495.37354799999997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495.37354799999997</v>
      </c>
      <c r="T20" s="22">
        <f t="shared" si="5"/>
        <v>-1</v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65</v>
      </c>
      <c r="E21" s="15"/>
      <c r="F21" s="17">
        <f>$G$7</f>
        <v>4973.63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65</v>
      </c>
      <c r="E24" s="15"/>
      <c r="F24" s="17">
        <f t="shared" ref="F24:F27" si="14">$G$7</f>
        <v>4973.63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42" si="15">K24-H24</f>
        <v>0</v>
      </c>
      <c r="N24" s="22" t="str">
        <f t="shared" ref="N24:N34" si="16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4"/>
        <v>4973.63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5"/>
        <v>0</v>
      </c>
      <c r="N25" s="22" t="str">
        <f t="shared" si="16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4"/>
        <v>4973.63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5"/>
        <v>0</v>
      </c>
      <c r="N26" s="22" t="str">
        <f t="shared" si="16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4"/>
        <v>4973.63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5"/>
        <v>0</v>
      </c>
      <c r="N27" s="22" t="str">
        <f t="shared" si="16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112286.347079</v>
      </c>
      <c r="I28" s="31"/>
      <c r="J28" s="28"/>
      <c r="K28" s="30">
        <f>SUM(K12:K27)</f>
        <v>105355.77950399999</v>
      </c>
      <c r="L28" s="31"/>
      <c r="M28" s="32">
        <f t="shared" si="15"/>
        <v>-6930.5675750000082</v>
      </c>
      <c r="N28" s="33">
        <f t="shared" si="16"/>
        <v>-6.1722264151348245E-2</v>
      </c>
      <c r="O28" s="212"/>
      <c r="P28" s="28"/>
      <c r="Q28" s="30">
        <f>SUM(Q12:Q27)</f>
        <v>105851.15305199999</v>
      </c>
      <c r="R28" s="31"/>
      <c r="S28" s="32">
        <f t="shared" si="10"/>
        <v>495.37354800000321</v>
      </c>
      <c r="T28" s="33">
        <f t="shared" si="5"/>
        <v>4.7019114692345432E-3</v>
      </c>
      <c r="U28" s="31"/>
      <c r="V28" s="28"/>
      <c r="W28" s="30">
        <f>SUM(W12:W27)</f>
        <v>99429.387825999991</v>
      </c>
      <c r="X28" s="31"/>
      <c r="Y28" s="32">
        <f t="shared" si="11"/>
        <v>-6421.7652260000032</v>
      </c>
      <c r="Z28" s="33">
        <f t="shared" si="7"/>
        <v>-6.0667881651183087E-2</v>
      </c>
      <c r="AA28" s="31"/>
      <c r="AB28" s="28"/>
      <c r="AC28" s="30">
        <f>SUM(AC12:AC27)</f>
        <v>96537.766852999994</v>
      </c>
      <c r="AD28" s="31"/>
      <c r="AE28" s="32">
        <f t="shared" si="12"/>
        <v>-2891.6209729999973</v>
      </c>
      <c r="AF28" s="33">
        <f t="shared" si="9"/>
        <v>-2.9082156052899499E-2</v>
      </c>
    </row>
    <row r="29" spans="2:32" ht="12.75" customHeight="1" x14ac:dyDescent="0.2">
      <c r="B29" s="134" t="s">
        <v>17</v>
      </c>
      <c r="C29" s="14"/>
      <c r="D29" s="15" t="s">
        <v>65</v>
      </c>
      <c r="E29" s="15"/>
      <c r="F29" s="17">
        <f>$G$7</f>
        <v>4973.63</v>
      </c>
      <c r="G29" s="16">
        <v>0.12203002789749362</v>
      </c>
      <c r="H29" s="18">
        <f t="shared" ref="H29:H35" si="17">$F29*G29</f>
        <v>606.93220765181115</v>
      </c>
      <c r="I29" s="19"/>
      <c r="J29" s="16">
        <v>-0.90269999999999995</v>
      </c>
      <c r="K29" s="18">
        <f t="shared" ref="K29:K35" si="18">$F29*J29</f>
        <v>-4489.6958009999998</v>
      </c>
      <c r="L29" s="19"/>
      <c r="M29" s="21">
        <f t="shared" si="15"/>
        <v>-5096.6280086518109</v>
      </c>
      <c r="N29" s="22">
        <f t="shared" si="16"/>
        <v>-8.397359613473796</v>
      </c>
      <c r="O29" s="212"/>
      <c r="P29" s="16">
        <v>-0.90269999999999995</v>
      </c>
      <c r="Q29" s="18">
        <f t="shared" ref="Q29:Q35" si="19">$F29*P29</f>
        <v>-4489.6958009999998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1"/>
        <v>4489.6958009999998</v>
      </c>
      <c r="Z29" s="22">
        <f t="shared" si="7"/>
        <v>-1</v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12.6" customHeight="1" x14ac:dyDescent="0.2">
      <c r="B30" s="24" t="s">
        <v>52</v>
      </c>
      <c r="C30" s="14"/>
      <c r="D30" s="15" t="s">
        <v>65</v>
      </c>
      <c r="E30" s="15"/>
      <c r="F30" s="17">
        <f t="shared" ref="F30:F33" si="22">$G$7</f>
        <v>4973.63</v>
      </c>
      <c r="G30" s="16">
        <v>1.3267875158586893</v>
      </c>
      <c r="H30" s="18">
        <f t="shared" si="17"/>
        <v>6598.9501925002533</v>
      </c>
      <c r="I30" s="19"/>
      <c r="J30" s="16">
        <v>1.6000000000000001E-3</v>
      </c>
      <c r="K30" s="18">
        <f>(G8*(1+J63))*J30</f>
        <v>2959.3235843200005</v>
      </c>
      <c r="L30" s="19"/>
      <c r="M30" s="21">
        <f t="shared" si="15"/>
        <v>-3639.6266081802528</v>
      </c>
      <c r="N30" s="22">
        <f t="shared" si="16"/>
        <v>-0.55154630691359219</v>
      </c>
      <c r="O30" s="212"/>
      <c r="P30" s="16">
        <v>1.6000000000000001E-3</v>
      </c>
      <c r="Q30" s="18">
        <f t="shared" si="19"/>
        <v>7.9578080000000009</v>
      </c>
      <c r="R30" s="19"/>
      <c r="S30" s="21">
        <f t="shared" si="10"/>
        <v>-2951.3657763200004</v>
      </c>
      <c r="T30" s="22">
        <f t="shared" si="5"/>
        <v>-0.99731093684983807</v>
      </c>
      <c r="U30" s="19"/>
      <c r="V30" s="16">
        <v>0</v>
      </c>
      <c r="W30" s="18">
        <f t="shared" si="20"/>
        <v>0</v>
      </c>
      <c r="X30" s="19"/>
      <c r="Y30" s="21">
        <f t="shared" si="11"/>
        <v>-7.9578080000000009</v>
      </c>
      <c r="Z30" s="22">
        <f t="shared" si="7"/>
        <v>-1</v>
      </c>
      <c r="AA30" s="19"/>
      <c r="AB30" s="16">
        <v>0</v>
      </c>
      <c r="AC30" s="18">
        <f t="shared" si="21"/>
        <v>0</v>
      </c>
      <c r="AD30" s="19"/>
      <c r="AE30" s="21">
        <f t="shared" si="12"/>
        <v>0</v>
      </c>
      <c r="AF30" s="22" t="str">
        <f t="shared" si="9"/>
        <v/>
      </c>
    </row>
    <row r="31" spans="2:32" ht="12.6" customHeight="1" x14ac:dyDescent="0.2">
      <c r="B31" s="132">
        <v>1575</v>
      </c>
      <c r="C31" s="14"/>
      <c r="D31" s="15" t="s">
        <v>65</v>
      </c>
      <c r="E31" s="15"/>
      <c r="F31" s="17">
        <f t="shared" si="22"/>
        <v>4973.63</v>
      </c>
      <c r="G31" s="16">
        <v>0</v>
      </c>
      <c r="H31" s="18">
        <f>$F31*G31</f>
        <v>0</v>
      </c>
      <c r="I31" s="19"/>
      <c r="J31" s="16">
        <v>0</v>
      </c>
      <c r="K31" s="18">
        <f t="shared" si="18"/>
        <v>0</v>
      </c>
      <c r="L31" s="19"/>
      <c r="M31" s="21">
        <f t="shared" si="15"/>
        <v>0</v>
      </c>
      <c r="N31" s="22" t="str">
        <f t="shared" si="16"/>
        <v/>
      </c>
      <c r="O31" s="212"/>
      <c r="P31" s="16">
        <v>0</v>
      </c>
      <c r="Q31" s="18">
        <f t="shared" si="19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20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1"/>
        <v>0</v>
      </c>
      <c r="AD31" s="19"/>
      <c r="AE31" s="21">
        <f t="shared" si="12"/>
        <v>0</v>
      </c>
      <c r="AF31" s="22" t="str">
        <f t="shared" si="9"/>
        <v/>
      </c>
    </row>
    <row r="32" spans="2:32" ht="25.5" x14ac:dyDescent="0.2">
      <c r="B32" s="134" t="s">
        <v>17</v>
      </c>
      <c r="C32" s="14"/>
      <c r="D32" s="15" t="s">
        <v>65</v>
      </c>
      <c r="E32" s="15"/>
      <c r="F32" s="17">
        <f>$G$7</f>
        <v>4973.63</v>
      </c>
      <c r="G32" s="16"/>
      <c r="H32" s="18">
        <f t="shared" ref="H32" si="23">$F32*G32</f>
        <v>0</v>
      </c>
      <c r="I32" s="19"/>
      <c r="J32" s="16"/>
      <c r="K32" s="18">
        <f t="shared" ref="K32" si="24">$F32*J32</f>
        <v>0</v>
      </c>
      <c r="L32" s="19"/>
      <c r="M32" s="21">
        <f t="shared" ref="M32" si="25">K32-H32</f>
        <v>0</v>
      </c>
      <c r="N32" s="22" t="str">
        <f t="shared" ref="N32" si="26">IF((H32)=0,"",(M32/H32))</f>
        <v/>
      </c>
      <c r="O32" s="212"/>
      <c r="P32" s="16"/>
      <c r="Q32" s="18">
        <f t="shared" si="19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20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1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65</v>
      </c>
      <c r="E33" s="15"/>
      <c r="F33" s="17">
        <f t="shared" si="22"/>
        <v>4973.63</v>
      </c>
      <c r="G33" s="133">
        <v>1.702E-2</v>
      </c>
      <c r="H33" s="18">
        <f t="shared" si="17"/>
        <v>84.651182599999999</v>
      </c>
      <c r="I33" s="19"/>
      <c r="J33" s="133">
        <v>1.702E-2</v>
      </c>
      <c r="K33" s="18">
        <f t="shared" si="18"/>
        <v>84.651182599999999</v>
      </c>
      <c r="L33" s="19"/>
      <c r="M33" s="21">
        <f t="shared" si="15"/>
        <v>0</v>
      </c>
      <c r="N33" s="22">
        <f t="shared" si="16"/>
        <v>0</v>
      </c>
      <c r="O33" s="212"/>
      <c r="P33" s="133">
        <v>1.702E-2</v>
      </c>
      <c r="Q33" s="18">
        <f t="shared" si="19"/>
        <v>84.651182599999999</v>
      </c>
      <c r="R33" s="19"/>
      <c r="S33" s="21">
        <f t="shared" si="10"/>
        <v>0</v>
      </c>
      <c r="T33" s="22">
        <f t="shared" si="5"/>
        <v>0</v>
      </c>
      <c r="U33" s="19"/>
      <c r="V33" s="133">
        <v>1.702E-2</v>
      </c>
      <c r="W33" s="18">
        <f t="shared" si="20"/>
        <v>84.651182599999999</v>
      </c>
      <c r="X33" s="19"/>
      <c r="Y33" s="21">
        <f t="shared" si="11"/>
        <v>0</v>
      </c>
      <c r="Z33" s="22">
        <f t="shared" si="7"/>
        <v>0</v>
      </c>
      <c r="AA33" s="19"/>
      <c r="AB33" s="133">
        <v>1.702E-2</v>
      </c>
      <c r="AC33" s="18">
        <f t="shared" si="21"/>
        <v>84.651182599999999</v>
      </c>
      <c r="AD33" s="19"/>
      <c r="AE33" s="21">
        <f t="shared" si="12"/>
        <v>0</v>
      </c>
      <c r="AF33" s="22">
        <f t="shared" si="9"/>
        <v>0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$G$8*(1+G63)-$G$8</f>
        <v>67539.240200000117</v>
      </c>
      <c r="G34" s="38">
        <f>IF(ISBLANK($D$5)=TRUE, 0, IF($D$5="TOU", 0.64*G44+0.18*G45+0.18*G46, IF(AND($D$5="non-TOU", $F$48&gt;0), G48,G47)))</f>
        <v>0.121</v>
      </c>
      <c r="H34" s="18">
        <f t="shared" si="17"/>
        <v>8172.2480642000137</v>
      </c>
      <c r="I34" s="19"/>
      <c r="J34" s="38">
        <f>IF(ISBLANK($D$5)=TRUE, 0, IF($D$5="TOU", 0.64*J44+0.18*J45+0.18*J46, IF(AND($D$5="non-TOU", $F$48&gt;0), J48,J47)))</f>
        <v>0.121</v>
      </c>
      <c r="K34" s="18">
        <f t="shared" si="18"/>
        <v>8172.2480642000137</v>
      </c>
      <c r="L34" s="19"/>
      <c r="M34" s="21">
        <f t="shared" si="15"/>
        <v>0</v>
      </c>
      <c r="N34" s="22">
        <f t="shared" si="16"/>
        <v>0</v>
      </c>
      <c r="O34" s="212"/>
      <c r="P34" s="38">
        <f>IF(ISBLANK($D$5)=TRUE, 0, IF($D$5="TOU", 0.64*P44+0.18*P45+0.18*P46, IF(AND($D$5="non-TOU", $F$48&gt;0), P48,P47)))</f>
        <v>0.11</v>
      </c>
      <c r="Q34" s="18">
        <f t="shared" si="19"/>
        <v>7429.3164220000126</v>
      </c>
      <c r="R34" s="19"/>
      <c r="S34" s="21">
        <f t="shared" si="10"/>
        <v>-742.93164220000108</v>
      </c>
      <c r="T34" s="22">
        <f t="shared" si="5"/>
        <v>-9.0909090909090884E-2</v>
      </c>
      <c r="U34" s="19"/>
      <c r="V34" s="38">
        <f>IF(ISBLANK($D$5)=TRUE, 0, IF($D$5="TOU", 0.64*V44+0.18*V45+0.18*V46, IF(AND($D$5="non-TOU", $F$48&gt;0), V48,V47)))</f>
        <v>0.11</v>
      </c>
      <c r="W34" s="18">
        <f t="shared" si="20"/>
        <v>7429.3164220000126</v>
      </c>
      <c r="X34" s="19"/>
      <c r="Y34" s="21">
        <f t="shared" si="11"/>
        <v>0</v>
      </c>
      <c r="Z34" s="22">
        <f t="shared" si="7"/>
        <v>0</v>
      </c>
      <c r="AA34" s="19"/>
      <c r="AB34" s="38">
        <f>IF(ISBLANK($D$5)=TRUE, 0, IF($D$5="TOU", 0.64*AB44+0.18*AB45+0.18*AB46, IF(AND($D$5="non-TOU", $F$48&gt;0), AB48,AB47)))</f>
        <v>0.11</v>
      </c>
      <c r="AC34" s="18">
        <f t="shared" si="21"/>
        <v>7429.3164220000126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59">
        <f>G6</f>
        <v>36000</v>
      </c>
      <c r="G35" s="38"/>
      <c r="H35" s="18">
        <f t="shared" si="17"/>
        <v>0</v>
      </c>
      <c r="I35" s="19"/>
      <c r="J35" s="38"/>
      <c r="K35" s="18">
        <f t="shared" si="18"/>
        <v>0</v>
      </c>
      <c r="L35" s="19"/>
      <c r="M35" s="21">
        <f t="shared" si="15"/>
        <v>0</v>
      </c>
      <c r="N35" s="22"/>
      <c r="O35" s="212"/>
      <c r="P35" s="38"/>
      <c r="Q35" s="18">
        <f t="shared" si="19"/>
        <v>0</v>
      </c>
      <c r="R35" s="19"/>
      <c r="S35" s="21">
        <f t="shared" si="10"/>
        <v>0</v>
      </c>
      <c r="T35" s="22"/>
      <c r="U35" s="19"/>
      <c r="V35" s="38"/>
      <c r="W35" s="18">
        <f t="shared" si="20"/>
        <v>0</v>
      </c>
      <c r="X35" s="19"/>
      <c r="Y35" s="21">
        <f t="shared" si="11"/>
        <v>0</v>
      </c>
      <c r="Z35" s="22"/>
      <c r="AA35" s="19"/>
      <c r="AB35" s="38"/>
      <c r="AC35" s="18">
        <f t="shared" si="21"/>
        <v>0</v>
      </c>
      <c r="AD35" s="19"/>
      <c r="AE35" s="21">
        <f t="shared" si="12"/>
        <v>0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127749.12872595208</v>
      </c>
      <c r="I36" s="31"/>
      <c r="J36" s="41"/>
      <c r="K36" s="43">
        <f>SUM(K29:K35)+K28</f>
        <v>112082.30653412</v>
      </c>
      <c r="L36" s="31"/>
      <c r="M36" s="32">
        <f t="shared" si="15"/>
        <v>-15666.822191832078</v>
      </c>
      <c r="N36" s="33">
        <f t="shared" ref="N36:N42" si="27">IF((H36)=0,"",(M36/H36))</f>
        <v>-0.12263740933560968</v>
      </c>
      <c r="O36" s="212"/>
      <c r="P36" s="41"/>
      <c r="Q36" s="43">
        <f>SUM(Q29:Q35)+Q28</f>
        <v>108883.3826636</v>
      </c>
      <c r="R36" s="31"/>
      <c r="S36" s="32">
        <f t="shared" si="10"/>
        <v>-3198.9238705199969</v>
      </c>
      <c r="T36" s="33">
        <f t="shared" ref="T36:T42" si="28">IF((K36)=0,"",(S36/K36))</f>
        <v>-2.854084618205268E-2</v>
      </c>
      <c r="U36" s="31"/>
      <c r="V36" s="41"/>
      <c r="W36" s="43">
        <f>SUM(W29:W35)+W28</f>
        <v>106943.3554306</v>
      </c>
      <c r="X36" s="31"/>
      <c r="Y36" s="32">
        <f t="shared" si="11"/>
        <v>-1940.0272330000007</v>
      </c>
      <c r="Z36" s="33">
        <f t="shared" ref="Z36:Z42" si="29">IF((Q36)=0,"",(Y36/Q36))</f>
        <v>-1.7817477612665656E-2</v>
      </c>
      <c r="AA36" s="31"/>
      <c r="AB36" s="41"/>
      <c r="AC36" s="43">
        <f>SUM(AC29:AC35)+AC28</f>
        <v>104051.7344576</v>
      </c>
      <c r="AD36" s="31"/>
      <c r="AE36" s="32">
        <f t="shared" si="12"/>
        <v>-2891.6209729999973</v>
      </c>
      <c r="AF36" s="33">
        <f t="shared" ref="AF36:AF46" si="30">IF((W36)=0,"",(AE36/W36))</f>
        <v>-2.7038809109337238E-2</v>
      </c>
    </row>
    <row r="37" spans="2:32" ht="12.6" customHeight="1" x14ac:dyDescent="0.2">
      <c r="B37" s="19" t="s">
        <v>22</v>
      </c>
      <c r="C37" s="19"/>
      <c r="D37" s="44" t="s">
        <v>65</v>
      </c>
      <c r="E37" s="44"/>
      <c r="F37" s="45">
        <f>G7</f>
        <v>4973.63</v>
      </c>
      <c r="G37" s="20">
        <v>2.1306406631715946</v>
      </c>
      <c r="H37" s="18">
        <f>$F37*G37</f>
        <v>10597.018321570138</v>
      </c>
      <c r="I37" s="19"/>
      <c r="J37" s="20">
        <v>2.0247999999999999</v>
      </c>
      <c r="K37" s="18">
        <f>$F37*J37</f>
        <v>10070.606024000001</v>
      </c>
      <c r="L37" s="19"/>
      <c r="M37" s="21">
        <f t="shared" si="15"/>
        <v>-526.41229757013753</v>
      </c>
      <c r="N37" s="22">
        <f t="shared" si="27"/>
        <v>-4.967551075179609E-2</v>
      </c>
      <c r="O37" s="212"/>
      <c r="P37" s="20">
        <v>2.0247999999999999</v>
      </c>
      <c r="Q37" s="18">
        <f>$F37*P37</f>
        <v>10070.606024000001</v>
      </c>
      <c r="R37" s="19"/>
      <c r="S37" s="21">
        <f t="shared" si="10"/>
        <v>0</v>
      </c>
      <c r="T37" s="22">
        <f t="shared" si="28"/>
        <v>0</v>
      </c>
      <c r="U37" s="19"/>
      <c r="V37" s="20">
        <v>2.0247999999999999</v>
      </c>
      <c r="W37" s="18">
        <f>$F37*V37</f>
        <v>10070.606024000001</v>
      </c>
      <c r="X37" s="19"/>
      <c r="Y37" s="21">
        <f t="shared" si="11"/>
        <v>0</v>
      </c>
      <c r="Z37" s="22">
        <f t="shared" si="29"/>
        <v>0</v>
      </c>
      <c r="AA37" s="19"/>
      <c r="AB37" s="20">
        <v>2.0247999999999999</v>
      </c>
      <c r="AC37" s="18">
        <f>$F37*AB37</f>
        <v>10070.606024000001</v>
      </c>
      <c r="AD37" s="19"/>
      <c r="AE37" s="21">
        <f t="shared" si="12"/>
        <v>0</v>
      </c>
      <c r="AF37" s="22">
        <f t="shared" si="30"/>
        <v>0</v>
      </c>
    </row>
    <row r="38" spans="2:32" ht="25.5" customHeight="1" x14ac:dyDescent="0.2">
      <c r="B38" s="46" t="s">
        <v>23</v>
      </c>
      <c r="C38" s="19"/>
      <c r="D38" s="44" t="s">
        <v>65</v>
      </c>
      <c r="E38" s="44"/>
      <c r="F38" s="45">
        <f>F37</f>
        <v>4973.63</v>
      </c>
      <c r="G38" s="20">
        <v>1.6644226716570096</v>
      </c>
      <c r="H38" s="18">
        <f>$F38*G38</f>
        <v>8278.2225324334522</v>
      </c>
      <c r="I38" s="19"/>
      <c r="J38" s="20">
        <v>1.6641999999999999</v>
      </c>
      <c r="K38" s="18">
        <f>$F38*J38</f>
        <v>8277.115045999999</v>
      </c>
      <c r="L38" s="19"/>
      <c r="M38" s="21">
        <f t="shared" si="15"/>
        <v>-1.1074864334532322</v>
      </c>
      <c r="N38" s="22">
        <f t="shared" si="27"/>
        <v>-1.3378311939721163E-4</v>
      </c>
      <c r="O38" s="212"/>
      <c r="P38" s="20">
        <v>1.6641999999999999</v>
      </c>
      <c r="Q38" s="18">
        <f>$F38*P38</f>
        <v>8277.115045999999</v>
      </c>
      <c r="R38" s="19"/>
      <c r="S38" s="21">
        <f t="shared" si="10"/>
        <v>0</v>
      </c>
      <c r="T38" s="22">
        <f t="shared" si="28"/>
        <v>0</v>
      </c>
      <c r="U38" s="19"/>
      <c r="V38" s="20">
        <v>1.6641999999999999</v>
      </c>
      <c r="W38" s="18">
        <f>$F38*V38</f>
        <v>8277.115045999999</v>
      </c>
      <c r="X38" s="19"/>
      <c r="Y38" s="21">
        <f t="shared" si="11"/>
        <v>0</v>
      </c>
      <c r="Z38" s="22">
        <f t="shared" si="29"/>
        <v>0</v>
      </c>
      <c r="AA38" s="19"/>
      <c r="AB38" s="20">
        <v>1.6641999999999999</v>
      </c>
      <c r="AC38" s="18">
        <f>$F38*AB38</f>
        <v>8277.115045999999</v>
      </c>
      <c r="AD38" s="19"/>
      <c r="AE38" s="21">
        <f t="shared" si="12"/>
        <v>0</v>
      </c>
      <c r="AF38" s="22">
        <f t="shared" si="30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146624.36957995567</v>
      </c>
      <c r="I39" s="48"/>
      <c r="J39" s="47"/>
      <c r="K39" s="43">
        <f>SUM(K36:K38)</f>
        <v>130430.02760412</v>
      </c>
      <c r="L39" s="48"/>
      <c r="M39" s="32">
        <f t="shared" si="15"/>
        <v>-16194.341975835676</v>
      </c>
      <c r="N39" s="33">
        <f t="shared" si="27"/>
        <v>-0.11044781997855238</v>
      </c>
      <c r="O39" s="212"/>
      <c r="P39" s="47"/>
      <c r="Q39" s="43">
        <f>SUM(Q36:Q38)</f>
        <v>127231.1037336</v>
      </c>
      <c r="R39" s="48"/>
      <c r="S39" s="32">
        <f t="shared" si="10"/>
        <v>-3198.9238705199969</v>
      </c>
      <c r="T39" s="33">
        <f t="shared" si="28"/>
        <v>-2.4525977102675626E-2</v>
      </c>
      <c r="U39" s="48"/>
      <c r="V39" s="47"/>
      <c r="W39" s="43">
        <f>SUM(W36:W38)</f>
        <v>125291.0765006</v>
      </c>
      <c r="X39" s="48"/>
      <c r="Y39" s="32">
        <f t="shared" si="11"/>
        <v>-1940.0272330000007</v>
      </c>
      <c r="Z39" s="33">
        <f t="shared" si="29"/>
        <v>-1.5248057873191789E-2</v>
      </c>
      <c r="AA39" s="48"/>
      <c r="AB39" s="47"/>
      <c r="AC39" s="43">
        <f>SUM(AC36:AC38)</f>
        <v>122399.45552759999</v>
      </c>
      <c r="AD39" s="48"/>
      <c r="AE39" s="32">
        <f t="shared" si="12"/>
        <v>-2891.6209730000119</v>
      </c>
      <c r="AF39" s="33">
        <f t="shared" si="30"/>
        <v>-2.307922522308414E-2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154">
        <f>$G$8*(1+G63)</f>
        <v>1849577.2402000001</v>
      </c>
      <c r="G40" s="50">
        <v>4.7000000000000002E-3</v>
      </c>
      <c r="H40" s="152">
        <f t="shared" ref="H40:H42" si="31">$F40*G40</f>
        <v>8693.0130289400004</v>
      </c>
      <c r="I40" s="19"/>
      <c r="J40" s="50">
        <v>4.7000000000000002E-3</v>
      </c>
      <c r="K40" s="152">
        <f t="shared" ref="K40:K42" si="32">$F40*J40</f>
        <v>8693.0130289400004</v>
      </c>
      <c r="L40" s="19"/>
      <c r="M40" s="21">
        <f t="shared" si="15"/>
        <v>0</v>
      </c>
      <c r="N40" s="153">
        <f t="shared" si="27"/>
        <v>0</v>
      </c>
      <c r="O40" s="212"/>
      <c r="P40" s="50">
        <v>4.7000000000000002E-3</v>
      </c>
      <c r="Q40" s="152">
        <f t="shared" ref="Q40:Q42" si="33">$F40*P40</f>
        <v>8693.0130289400004</v>
      </c>
      <c r="R40" s="19"/>
      <c r="S40" s="21">
        <f t="shared" si="10"/>
        <v>0</v>
      </c>
      <c r="T40" s="153">
        <f t="shared" si="28"/>
        <v>0</v>
      </c>
      <c r="U40" s="19"/>
      <c r="V40" s="50">
        <v>4.7000000000000002E-3</v>
      </c>
      <c r="W40" s="152">
        <f t="shared" ref="W40:W42" si="34">$F40*V40</f>
        <v>8693.0130289400004</v>
      </c>
      <c r="X40" s="19"/>
      <c r="Y40" s="21">
        <f t="shared" si="11"/>
        <v>0</v>
      </c>
      <c r="Z40" s="153">
        <f t="shared" si="29"/>
        <v>0</v>
      </c>
      <c r="AA40" s="19"/>
      <c r="AB40" s="50">
        <v>4.7000000000000002E-3</v>
      </c>
      <c r="AC40" s="152">
        <f t="shared" ref="AC40:AC48" si="35">$F40*AB40</f>
        <v>8693.0130289400004</v>
      </c>
      <c r="AD40" s="19"/>
      <c r="AE40" s="21">
        <f t="shared" si="12"/>
        <v>0</v>
      </c>
      <c r="AF40" s="153">
        <f t="shared" si="30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154">
        <f>$G$8*(1+G63)</f>
        <v>1849577.2402000001</v>
      </c>
      <c r="G41" s="50">
        <v>1.2999999999999999E-3</v>
      </c>
      <c r="H41" s="152">
        <f t="shared" si="31"/>
        <v>2404.4504122600001</v>
      </c>
      <c r="I41" s="19"/>
      <c r="J41" s="50">
        <v>2.0999999999999999E-3</v>
      </c>
      <c r="K41" s="152">
        <f t="shared" si="32"/>
        <v>3884.1122044200001</v>
      </c>
      <c r="L41" s="19"/>
      <c r="M41" s="21">
        <f t="shared" si="15"/>
        <v>1479.66179216</v>
      </c>
      <c r="N41" s="153">
        <f t="shared" si="27"/>
        <v>0.61538461538461531</v>
      </c>
      <c r="O41" s="212"/>
      <c r="P41" s="50">
        <v>2.0999999999999999E-3</v>
      </c>
      <c r="Q41" s="152">
        <f t="shared" si="33"/>
        <v>3884.1122044200001</v>
      </c>
      <c r="R41" s="19"/>
      <c r="S41" s="21">
        <f t="shared" si="10"/>
        <v>0</v>
      </c>
      <c r="T41" s="153">
        <f t="shared" si="28"/>
        <v>0</v>
      </c>
      <c r="U41" s="19"/>
      <c r="V41" s="50">
        <v>2.0999999999999999E-3</v>
      </c>
      <c r="W41" s="152">
        <f t="shared" si="34"/>
        <v>3884.1122044200001</v>
      </c>
      <c r="X41" s="19"/>
      <c r="Y41" s="21">
        <f t="shared" si="11"/>
        <v>0</v>
      </c>
      <c r="Z41" s="153">
        <f t="shared" si="29"/>
        <v>0</v>
      </c>
      <c r="AA41" s="19"/>
      <c r="AB41" s="50">
        <v>2.0999999999999999E-3</v>
      </c>
      <c r="AC41" s="152">
        <f t="shared" si="35"/>
        <v>3884.1122044200001</v>
      </c>
      <c r="AD41" s="19"/>
      <c r="AE41" s="21">
        <f t="shared" si="12"/>
        <v>0</v>
      </c>
      <c r="AF41" s="153">
        <f t="shared" si="30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59">
        <v>1</v>
      </c>
      <c r="G42" s="50">
        <v>0.25</v>
      </c>
      <c r="H42" s="152">
        <f t="shared" si="31"/>
        <v>0.25</v>
      </c>
      <c r="I42" s="19"/>
      <c r="J42" s="50">
        <v>0.25</v>
      </c>
      <c r="K42" s="152">
        <f t="shared" si="32"/>
        <v>0.25</v>
      </c>
      <c r="L42" s="19"/>
      <c r="M42" s="21">
        <f t="shared" si="15"/>
        <v>0</v>
      </c>
      <c r="N42" s="153">
        <f t="shared" si="27"/>
        <v>0</v>
      </c>
      <c r="O42" s="212"/>
      <c r="P42" s="50">
        <v>0.25</v>
      </c>
      <c r="Q42" s="152">
        <f t="shared" si="33"/>
        <v>0.25</v>
      </c>
      <c r="R42" s="19"/>
      <c r="S42" s="21">
        <f t="shared" si="10"/>
        <v>0</v>
      </c>
      <c r="T42" s="153">
        <f t="shared" si="28"/>
        <v>0</v>
      </c>
      <c r="U42" s="19"/>
      <c r="V42" s="50">
        <v>0.25</v>
      </c>
      <c r="W42" s="152">
        <f t="shared" si="34"/>
        <v>0.25</v>
      </c>
      <c r="X42" s="19"/>
      <c r="Y42" s="21">
        <f t="shared" si="11"/>
        <v>0</v>
      </c>
      <c r="Z42" s="153">
        <f t="shared" si="29"/>
        <v>0</v>
      </c>
      <c r="AA42" s="19"/>
      <c r="AB42" s="50">
        <v>0.25</v>
      </c>
      <c r="AC42" s="152">
        <f t="shared" si="35"/>
        <v>0.25</v>
      </c>
      <c r="AD42" s="19"/>
      <c r="AE42" s="21">
        <f t="shared" si="12"/>
        <v>0</v>
      </c>
      <c r="AF42" s="153">
        <f t="shared" si="30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155">
        <f>G8</f>
        <v>1782038</v>
      </c>
      <c r="G43" s="50">
        <v>7.0000000000000001E-3</v>
      </c>
      <c r="H43" s="152">
        <f t="shared" ref="H43:H48" si="36">$F43*G43</f>
        <v>12474.266</v>
      </c>
      <c r="I43" s="19"/>
      <c r="J43" s="50">
        <v>7.0000000000000001E-3</v>
      </c>
      <c r="K43" s="152">
        <f t="shared" ref="K43:K48" si="37">$F43*J43</f>
        <v>12474.266</v>
      </c>
      <c r="L43" s="19"/>
      <c r="M43" s="21">
        <f t="shared" ref="M43:M60" si="38">K43-H43</f>
        <v>0</v>
      </c>
      <c r="N43" s="153">
        <f t="shared" ref="N43:N46" si="39">IF((H43)=0,"",(M43/H43))</f>
        <v>0</v>
      </c>
      <c r="O43" s="212"/>
      <c r="P43" s="50">
        <v>7.0000000000000001E-3</v>
      </c>
      <c r="Q43" s="152">
        <f t="shared" ref="Q43:Q48" si="40">$F43*P43</f>
        <v>12474.266</v>
      </c>
      <c r="R43" s="19"/>
      <c r="S43" s="21">
        <f t="shared" ref="S43:S60" si="41">Q43-K43</f>
        <v>0</v>
      </c>
      <c r="T43" s="153">
        <f t="shared" ref="T43:T46" si="42">IF((K43)=0,"",(S43/K43))</f>
        <v>0</v>
      </c>
      <c r="U43" s="19"/>
      <c r="V43" s="50">
        <v>7.0000000000000001E-3</v>
      </c>
      <c r="W43" s="152">
        <f t="shared" ref="W43:W48" si="43">$F43*V43</f>
        <v>12474.266</v>
      </c>
      <c r="X43" s="19"/>
      <c r="Y43" s="21">
        <f t="shared" ref="Y43:Y60" si="44">W43-Q43</f>
        <v>0</v>
      </c>
      <c r="Z43" s="153">
        <f t="shared" ref="Z43:Z46" si="45">IF((Q43)=0,"",(Y43/Q43))</f>
        <v>0</v>
      </c>
      <c r="AA43" s="19"/>
      <c r="AB43" s="50">
        <v>7.0000000000000001E-3</v>
      </c>
      <c r="AC43" s="152">
        <f t="shared" si="35"/>
        <v>12474.266</v>
      </c>
      <c r="AD43" s="19"/>
      <c r="AE43" s="21">
        <f t="shared" si="12"/>
        <v>0</v>
      </c>
      <c r="AF43" s="153">
        <f t="shared" si="30"/>
        <v>0</v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0.64*$G$8</f>
        <v>1140504.32</v>
      </c>
      <c r="G44" s="54">
        <v>8.6999999999999994E-2</v>
      </c>
      <c r="H44" s="152">
        <f t="shared" si="36"/>
        <v>99223.875839999993</v>
      </c>
      <c r="I44" s="19"/>
      <c r="J44" s="54">
        <f>+G44</f>
        <v>8.6999999999999994E-2</v>
      </c>
      <c r="K44" s="152">
        <f t="shared" si="37"/>
        <v>99223.875839999993</v>
      </c>
      <c r="L44" s="19"/>
      <c r="M44" s="21">
        <f t="shared" si="38"/>
        <v>0</v>
      </c>
      <c r="N44" s="153">
        <f t="shared" si="39"/>
        <v>0</v>
      </c>
      <c r="O44" s="212"/>
      <c r="P44" s="54">
        <v>0.08</v>
      </c>
      <c r="Q44" s="152">
        <f t="shared" si="40"/>
        <v>91240.345600000001</v>
      </c>
      <c r="R44" s="19"/>
      <c r="S44" s="21">
        <f t="shared" si="41"/>
        <v>-7983.5302399999928</v>
      </c>
      <c r="T44" s="153">
        <f t="shared" si="42"/>
        <v>-8.0459770114942458E-2</v>
      </c>
      <c r="U44" s="19"/>
      <c r="V44" s="54">
        <v>0.08</v>
      </c>
      <c r="W44" s="152">
        <f t="shared" si="43"/>
        <v>91240.345600000001</v>
      </c>
      <c r="X44" s="19"/>
      <c r="Y44" s="21">
        <f t="shared" si="44"/>
        <v>0</v>
      </c>
      <c r="Z44" s="153">
        <f t="shared" si="45"/>
        <v>0</v>
      </c>
      <c r="AA44" s="19"/>
      <c r="AB44" s="54">
        <v>0.08</v>
      </c>
      <c r="AC44" s="152">
        <f t="shared" si="35"/>
        <v>91240.345600000001</v>
      </c>
      <c r="AD44" s="19"/>
      <c r="AE44" s="21">
        <f t="shared" si="12"/>
        <v>0</v>
      </c>
      <c r="AF44" s="153">
        <f t="shared" si="30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0.18*$G$8</f>
        <v>320766.83999999997</v>
      </c>
      <c r="G45" s="54">
        <v>0.13200000000000001</v>
      </c>
      <c r="H45" s="152">
        <f t="shared" si="36"/>
        <v>42341.222880000001</v>
      </c>
      <c r="I45" s="19"/>
      <c r="J45" s="54">
        <f>+G45</f>
        <v>0.13200000000000001</v>
      </c>
      <c r="K45" s="152">
        <f t="shared" si="37"/>
        <v>42341.222880000001</v>
      </c>
      <c r="L45" s="19"/>
      <c r="M45" s="21">
        <f t="shared" si="38"/>
        <v>0</v>
      </c>
      <c r="N45" s="153">
        <f t="shared" si="39"/>
        <v>0</v>
      </c>
      <c r="O45" s="212"/>
      <c r="P45" s="54">
        <v>0.122</v>
      </c>
      <c r="Q45" s="152">
        <f t="shared" si="40"/>
        <v>39133.554479999992</v>
      </c>
      <c r="R45" s="19"/>
      <c r="S45" s="21">
        <f t="shared" si="41"/>
        <v>-3207.6684000000096</v>
      </c>
      <c r="T45" s="153">
        <f t="shared" si="42"/>
        <v>-7.5757575757575982E-2</v>
      </c>
      <c r="U45" s="19"/>
      <c r="V45" s="54">
        <v>0.122</v>
      </c>
      <c r="W45" s="152">
        <f t="shared" si="43"/>
        <v>39133.554479999992</v>
      </c>
      <c r="X45" s="19"/>
      <c r="Y45" s="21">
        <f t="shared" si="44"/>
        <v>0</v>
      </c>
      <c r="Z45" s="153">
        <f t="shared" si="45"/>
        <v>0</v>
      </c>
      <c r="AA45" s="19"/>
      <c r="AB45" s="54">
        <v>0.122</v>
      </c>
      <c r="AC45" s="152">
        <f t="shared" si="35"/>
        <v>39133.554479999992</v>
      </c>
      <c r="AD45" s="19"/>
      <c r="AE45" s="21">
        <f t="shared" si="12"/>
        <v>0</v>
      </c>
      <c r="AF45" s="153">
        <f t="shared" si="30"/>
        <v>0</v>
      </c>
    </row>
    <row r="46" spans="2:32" ht="12.6" customHeight="1" x14ac:dyDescent="0.2">
      <c r="B46" s="157" t="s">
        <v>31</v>
      </c>
      <c r="C46" s="14"/>
      <c r="D46" s="15" t="s">
        <v>54</v>
      </c>
      <c r="E46" s="15"/>
      <c r="F46" s="55">
        <f>0.18*$G$8</f>
        <v>320766.83999999997</v>
      </c>
      <c r="G46" s="54">
        <v>0.18</v>
      </c>
      <c r="H46" s="152">
        <f t="shared" si="36"/>
        <v>57738.03119999999</v>
      </c>
      <c r="I46" s="19"/>
      <c r="J46" s="54">
        <f>+G46</f>
        <v>0.18</v>
      </c>
      <c r="K46" s="152">
        <f t="shared" si="37"/>
        <v>57738.03119999999</v>
      </c>
      <c r="L46" s="19"/>
      <c r="M46" s="21">
        <f t="shared" si="38"/>
        <v>0</v>
      </c>
      <c r="N46" s="153">
        <f t="shared" si="39"/>
        <v>0</v>
      </c>
      <c r="O46" s="212"/>
      <c r="P46" s="54">
        <v>0.161</v>
      </c>
      <c r="Q46" s="152">
        <f t="shared" si="40"/>
        <v>51643.461239999997</v>
      </c>
      <c r="R46" s="19"/>
      <c r="S46" s="21">
        <f t="shared" si="41"/>
        <v>-6094.5699599999934</v>
      </c>
      <c r="T46" s="153">
        <f t="shared" si="42"/>
        <v>-0.10555555555555546</v>
      </c>
      <c r="U46" s="19"/>
      <c r="V46" s="54">
        <v>0.161</v>
      </c>
      <c r="W46" s="152">
        <f t="shared" si="43"/>
        <v>51643.461239999997</v>
      </c>
      <c r="X46" s="19"/>
      <c r="Y46" s="21">
        <f t="shared" si="44"/>
        <v>0</v>
      </c>
      <c r="Z46" s="153">
        <f t="shared" si="45"/>
        <v>0</v>
      </c>
      <c r="AA46" s="19"/>
      <c r="AB46" s="54">
        <v>0.161</v>
      </c>
      <c r="AC46" s="152">
        <f t="shared" si="35"/>
        <v>51643.461239999997</v>
      </c>
      <c r="AD46" s="19"/>
      <c r="AE46" s="21">
        <f t="shared" si="12"/>
        <v>0</v>
      </c>
      <c r="AF46" s="153">
        <f t="shared" si="30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G8&gt;=750), 750, IF(AND(N3=1, AND(G8&lt;750, G8&gt;=0)), G8, IF(AND(N3=2, G8&gt;=750), 750, IF(AND(N3=2, AND(G8&lt;750, G8&gt;=0)), G8))))</f>
        <v>750</v>
      </c>
      <c r="G47" s="54">
        <v>0.10299999999999999</v>
      </c>
      <c r="H47" s="152">
        <f t="shared" si="36"/>
        <v>77.25</v>
      </c>
      <c r="I47" s="59"/>
      <c r="J47" s="54">
        <f>+G47</f>
        <v>0.10299999999999999</v>
      </c>
      <c r="K47" s="152">
        <f t="shared" si="37"/>
        <v>77.25</v>
      </c>
      <c r="L47" s="59"/>
      <c r="M47" s="60">
        <f t="shared" si="38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70.5</v>
      </c>
      <c r="R47" s="59"/>
      <c r="S47" s="60">
        <f t="shared" si="41"/>
        <v>-6.75</v>
      </c>
      <c r="T47" s="153">
        <f>IF((K47)=FALSE,"",(S47/K47))</f>
        <v>-8.7378640776699032E-2</v>
      </c>
      <c r="U47" s="59"/>
      <c r="V47" s="54">
        <v>9.4E-2</v>
      </c>
      <c r="W47" s="152">
        <f t="shared" si="43"/>
        <v>70.5</v>
      </c>
      <c r="X47" s="59"/>
      <c r="Y47" s="60">
        <f t="shared" si="44"/>
        <v>0</v>
      </c>
      <c r="Z47" s="153">
        <f>IF((Q47)=FALSE,"",(Y47/Q47))</f>
        <v>0</v>
      </c>
      <c r="AA47" s="59"/>
      <c r="AB47" s="54">
        <v>9.4E-2</v>
      </c>
      <c r="AC47" s="152">
        <f t="shared" si="35"/>
        <v>70.5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G8&gt;=750), G8-750, IF(AND(N3=1, AND(G8&lt;750, G8&gt;=0)), 0, IF(AND(N3=2, G8&gt;=750), G8-750, IF(AND(N3=2, AND(G8&lt;750, G8&gt;=0)), 0))))</f>
        <v>1781288</v>
      </c>
      <c r="G48" s="54">
        <v>0.121</v>
      </c>
      <c r="H48" s="152">
        <f t="shared" si="36"/>
        <v>215535.848</v>
      </c>
      <c r="I48" s="59"/>
      <c r="J48" s="54">
        <f>+G48</f>
        <v>0.121</v>
      </c>
      <c r="K48" s="152">
        <f t="shared" si="37"/>
        <v>215535.848</v>
      </c>
      <c r="L48" s="59"/>
      <c r="M48" s="60">
        <f t="shared" si="38"/>
        <v>0</v>
      </c>
      <c r="N48" s="207">
        <f>IFERROR(IF((H48)=FALSE,"",(M48/H48)),"n/a")</f>
        <v>0</v>
      </c>
      <c r="O48" s="212"/>
      <c r="P48" s="54">
        <v>0.11</v>
      </c>
      <c r="Q48" s="152">
        <f t="shared" si="40"/>
        <v>195941.68</v>
      </c>
      <c r="R48" s="59"/>
      <c r="S48" s="60">
        <f t="shared" si="41"/>
        <v>-19594.168000000005</v>
      </c>
      <c r="T48" s="153">
        <f>IF((K48)=FALSE,"",(S48/K48))</f>
        <v>-9.0909090909090939E-2</v>
      </c>
      <c r="U48" s="59"/>
      <c r="V48" s="54">
        <v>0.11</v>
      </c>
      <c r="W48" s="152">
        <f t="shared" si="43"/>
        <v>195941.68</v>
      </c>
      <c r="X48" s="59"/>
      <c r="Y48" s="60">
        <f t="shared" si="44"/>
        <v>0</v>
      </c>
      <c r="Z48" s="153">
        <f>IF((Q48)=FALSE,"",(Y48/Q48))</f>
        <v>0</v>
      </c>
      <c r="AA48" s="59"/>
      <c r="AB48" s="54">
        <v>0.11</v>
      </c>
      <c r="AC48" s="152">
        <f t="shared" si="35"/>
        <v>195941.68</v>
      </c>
      <c r="AD48" s="59"/>
      <c r="AE48" s="60">
        <f t="shared" si="12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38"/>
        <v>0</v>
      </c>
      <c r="N49" s="70"/>
      <c r="O49" s="212"/>
      <c r="P49" s="65"/>
      <c r="Q49" s="67"/>
      <c r="R49" s="68"/>
      <c r="S49" s="69">
        <f t="shared" si="41"/>
        <v>0</v>
      </c>
      <c r="T49" s="70"/>
      <c r="U49" s="68"/>
      <c r="V49" s="65"/>
      <c r="W49" s="67"/>
      <c r="X49" s="68"/>
      <c r="Y49" s="69">
        <f t="shared" si="44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369499.47894115566</v>
      </c>
      <c r="I50" s="75"/>
      <c r="J50" s="72"/>
      <c r="K50" s="74">
        <f>SUM(K40:K46,K39)</f>
        <v>354784.79875747999</v>
      </c>
      <c r="L50" s="75"/>
      <c r="M50" s="76">
        <f t="shared" si="38"/>
        <v>-14714.680183675664</v>
      </c>
      <c r="N50" s="77">
        <f>IF((H50)=0,"",(M50/H50))</f>
        <v>-3.9823277223129831E-2</v>
      </c>
      <c r="O50" s="212"/>
      <c r="P50" s="72"/>
      <c r="Q50" s="74">
        <f>SUM(Q40:Q46,Q39)</f>
        <v>334300.10628695996</v>
      </c>
      <c r="R50" s="75"/>
      <c r="S50" s="76">
        <f t="shared" si="41"/>
        <v>-20484.692470520036</v>
      </c>
      <c r="T50" s="77">
        <f>IF((K50)=0,"",(S50/K50))</f>
        <v>-5.7738360105227461E-2</v>
      </c>
      <c r="U50" s="75"/>
      <c r="V50" s="72"/>
      <c r="W50" s="74">
        <f>SUM(W40:W46,W39)</f>
        <v>332360.07905395998</v>
      </c>
      <c r="X50" s="75"/>
      <c r="Y50" s="76">
        <f t="shared" si="44"/>
        <v>-1940.0272329999716</v>
      </c>
      <c r="Z50" s="77">
        <f>IF((Q50)=0,"",(Y50/Q50))</f>
        <v>-5.8032504223455772E-3</v>
      </c>
      <c r="AA50" s="75"/>
      <c r="AB50" s="72"/>
      <c r="AC50" s="74">
        <f>SUM(AC40:AC46,AC39)</f>
        <v>329468.45808095997</v>
      </c>
      <c r="AD50" s="75"/>
      <c r="AE50" s="76">
        <f t="shared" si="12"/>
        <v>-2891.6209730000119</v>
      </c>
      <c r="AF50" s="77">
        <f>IF((W50)=0,"",(AE50/W50))</f>
        <v>-8.7002656312719969E-3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48034.932262350238</v>
      </c>
      <c r="I51" s="81"/>
      <c r="J51" s="79">
        <v>0.13</v>
      </c>
      <c r="K51" s="82">
        <f>K50*J51</f>
        <v>46122.0238384724</v>
      </c>
      <c r="L51" s="81"/>
      <c r="M51" s="83">
        <f t="shared" si="38"/>
        <v>-1912.9084238778378</v>
      </c>
      <c r="N51" s="84">
        <f>IF((H51)=0,"",(M51/H51))</f>
        <v>-3.9823277223129859E-2</v>
      </c>
      <c r="O51" s="212"/>
      <c r="P51" s="79">
        <v>0.13</v>
      </c>
      <c r="Q51" s="82">
        <f>Q50*P51</f>
        <v>43459.013817304796</v>
      </c>
      <c r="R51" s="81"/>
      <c r="S51" s="83">
        <f t="shared" si="41"/>
        <v>-2663.0100211676036</v>
      </c>
      <c r="T51" s="84">
        <f>IF((K51)=0,"",(S51/K51))</f>
        <v>-5.7738360105227433E-2</v>
      </c>
      <c r="U51" s="81"/>
      <c r="V51" s="79">
        <v>0.13</v>
      </c>
      <c r="W51" s="82">
        <f>W50*V51</f>
        <v>43206.810277014796</v>
      </c>
      <c r="X51" s="81"/>
      <c r="Y51" s="83">
        <f t="shared" si="44"/>
        <v>-252.20354029000009</v>
      </c>
      <c r="Z51" s="84">
        <f>IF((Q51)=0,"",(Y51/Q51))</f>
        <v>-5.8032504223456639E-3</v>
      </c>
      <c r="AA51" s="81"/>
      <c r="AB51" s="79">
        <v>0.13</v>
      </c>
      <c r="AC51" s="82">
        <f>AC50*AB51</f>
        <v>42830.899550524795</v>
      </c>
      <c r="AD51" s="81"/>
      <c r="AE51" s="83">
        <f t="shared" si="12"/>
        <v>-375.91072649000125</v>
      </c>
      <c r="AF51" s="84">
        <f>IF((W51)=0,"",(AE51/W51))</f>
        <v>-8.70026563127199E-3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417534.41120350588</v>
      </c>
      <c r="I52" s="81"/>
      <c r="J52" s="86"/>
      <c r="K52" s="82">
        <f>K50+K51</f>
        <v>400906.82259595237</v>
      </c>
      <c r="L52" s="81"/>
      <c r="M52" s="83">
        <f t="shared" si="38"/>
        <v>-16627.588607553509</v>
      </c>
      <c r="N52" s="84">
        <f>IF((H52)=0,"",(M52/H52))</f>
        <v>-3.9823277223129852E-2</v>
      </c>
      <c r="O52" s="212"/>
      <c r="P52" s="86"/>
      <c r="Q52" s="82">
        <f>Q50+Q51</f>
        <v>377759.12010426476</v>
      </c>
      <c r="R52" s="81"/>
      <c r="S52" s="83">
        <f t="shared" si="41"/>
        <v>-23147.702491687611</v>
      </c>
      <c r="T52" s="84">
        <f>IF((K52)=0,"",(S52/K52))</f>
        <v>-5.7738360105227392E-2</v>
      </c>
      <c r="U52" s="81"/>
      <c r="V52" s="86"/>
      <c r="W52" s="82">
        <f>W50+W51</f>
        <v>375566.88933097478</v>
      </c>
      <c r="X52" s="81"/>
      <c r="Y52" s="83">
        <f t="shared" si="44"/>
        <v>-2192.230773289979</v>
      </c>
      <c r="Z52" s="84">
        <f>IF((Q52)=0,"",(Y52/Q52))</f>
        <v>-5.8032504223456058E-3</v>
      </c>
      <c r="AA52" s="81"/>
      <c r="AB52" s="86"/>
      <c r="AC52" s="82">
        <f>AC50+AC51</f>
        <v>372299.35763148475</v>
      </c>
      <c r="AD52" s="81"/>
      <c r="AE52" s="83">
        <f t="shared" si="12"/>
        <v>-3267.531699490035</v>
      </c>
      <c r="AF52" s="84">
        <f>IF((W52)=0,"",(AE52/W52))</f>
        <v>-8.7002656312720542E-3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v>0</v>
      </c>
      <c r="L53" s="81"/>
      <c r="M53" s="88">
        <f t="shared" si="38"/>
        <v>0</v>
      </c>
      <c r="N53" s="89" t="str">
        <f>IF((H53)=0,"",(M53/H53))</f>
        <v/>
      </c>
      <c r="O53" s="212"/>
      <c r="P53" s="86"/>
      <c r="Q53" s="87">
        <f>ROUND(-Q52*10%,2)</f>
        <v>-37775.910000000003</v>
      </c>
      <c r="R53" s="81"/>
      <c r="S53" s="88">
        <f t="shared" si="41"/>
        <v>-37775.910000000003</v>
      </c>
      <c r="T53" s="89" t="str">
        <f>IF((K53)=0,"",(S53/K53))</f>
        <v/>
      </c>
      <c r="U53" s="81"/>
      <c r="V53" s="86"/>
      <c r="W53" s="87">
        <f>ROUND(-W52*10%,2)</f>
        <v>-37556.69</v>
      </c>
      <c r="X53" s="81"/>
      <c r="Y53" s="88">
        <f t="shared" si="44"/>
        <v>219.22000000000116</v>
      </c>
      <c r="Z53" s="89">
        <f>IF((Q53)=0,"",(Y53/Q53))</f>
        <v>-5.8031692684570972E-3</v>
      </c>
      <c r="AA53" s="81"/>
      <c r="AB53" s="86"/>
      <c r="AC53" s="87">
        <f>ROUND(-AC52*10%,2)</f>
        <v>-37229.94</v>
      </c>
      <c r="AD53" s="81"/>
      <c r="AE53" s="88">
        <f t="shared" si="12"/>
        <v>326.75</v>
      </c>
      <c r="AF53" s="89">
        <f>IF((W53)=0,"",(AE53/W53))</f>
        <v>-8.7001809797402265E-3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417534.41120350588</v>
      </c>
      <c r="I54" s="92"/>
      <c r="J54" s="90"/>
      <c r="K54" s="93">
        <f>K52+K53</f>
        <v>400906.82259595237</v>
      </c>
      <c r="L54" s="92"/>
      <c r="M54" s="94">
        <f t="shared" si="38"/>
        <v>-16627.588607553509</v>
      </c>
      <c r="N54" s="95">
        <f>IF((H54)=0,"",(M54/H54))</f>
        <v>-3.9823277223129852E-2</v>
      </c>
      <c r="O54" s="212"/>
      <c r="P54" s="90"/>
      <c r="Q54" s="93">
        <f>Q52+Q53</f>
        <v>339983.21010426478</v>
      </c>
      <c r="R54" s="92"/>
      <c r="S54" s="94">
        <f t="shared" si="41"/>
        <v>-60923.612491687585</v>
      </c>
      <c r="T54" s="95">
        <f>IF((K54)=0,"",(S54/K54))</f>
        <v>-0.15196451908000699</v>
      </c>
      <c r="U54" s="92"/>
      <c r="V54" s="90"/>
      <c r="W54" s="93">
        <f>W52+W53</f>
        <v>338010.19933097478</v>
      </c>
      <c r="X54" s="92"/>
      <c r="Y54" s="94">
        <f t="shared" si="44"/>
        <v>-1973.0107732900069</v>
      </c>
      <c r="Z54" s="95">
        <f>IF((Q54)=0,"",(Y54/Q54))</f>
        <v>-5.8032594394438813E-3</v>
      </c>
      <c r="AA54" s="92"/>
      <c r="AB54" s="90"/>
      <c r="AC54" s="93">
        <f>AC52+AC53</f>
        <v>335069.41763148474</v>
      </c>
      <c r="AD54" s="92"/>
      <c r="AE54" s="94">
        <f t="shared" si="12"/>
        <v>-2940.781699490035</v>
      </c>
      <c r="AF54" s="95">
        <f>IF((W54)=0,"",(AE54/W54))</f>
        <v>-8.7002750369981098E-3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38"/>
        <v>0</v>
      </c>
      <c r="N55" s="70"/>
      <c r="O55" s="212"/>
      <c r="P55" s="65"/>
      <c r="Q55" s="67"/>
      <c r="R55" s="100"/>
      <c r="S55" s="101">
        <f t="shared" si="41"/>
        <v>0</v>
      </c>
      <c r="T55" s="70"/>
      <c r="U55" s="100"/>
      <c r="V55" s="65"/>
      <c r="W55" s="67"/>
      <c r="X55" s="100"/>
      <c r="Y55" s="101">
        <f t="shared" si="44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385809.44702115573</v>
      </c>
      <c r="I56" s="106"/>
      <c r="J56" s="103"/>
      <c r="K56" s="105">
        <f>SUM(K47:K48,K39,K40:K43)</f>
        <v>371094.76683747995</v>
      </c>
      <c r="L56" s="106"/>
      <c r="M56" s="107">
        <f t="shared" si="38"/>
        <v>-14714.68018367578</v>
      </c>
      <c r="N56" s="77">
        <f>IF((H56)=0,"",(M56/H56))</f>
        <v>-3.8139761214475668E-2</v>
      </c>
      <c r="O56" s="212"/>
      <c r="P56" s="103"/>
      <c r="Q56" s="105">
        <f>SUM(Q47:Q48,Q39,Q40:Q43)</f>
        <v>348294.92496695998</v>
      </c>
      <c r="R56" s="106"/>
      <c r="S56" s="107">
        <f t="shared" si="41"/>
        <v>-22799.841870519973</v>
      </c>
      <c r="T56" s="77">
        <f>IF((K56)=0,"",(S56/K56))</f>
        <v>-6.1439405531970512E-2</v>
      </c>
      <c r="U56" s="106"/>
      <c r="V56" s="103"/>
      <c r="W56" s="105">
        <f>SUM(W47:W48,W39,W40:W43)</f>
        <v>346354.89773396001</v>
      </c>
      <c r="X56" s="106"/>
      <c r="Y56" s="107">
        <f t="shared" si="44"/>
        <v>-1940.0272329999716</v>
      </c>
      <c r="Z56" s="77">
        <f>IF((Q56)=0,"",(Y56/Q56))</f>
        <v>-5.5700703453660915E-3</v>
      </c>
      <c r="AA56" s="106"/>
      <c r="AB56" s="103"/>
      <c r="AC56" s="105">
        <f>SUM(AC47:AC48,AC39,AC40:AC43)</f>
        <v>343463.27676095994</v>
      </c>
      <c r="AD56" s="106"/>
      <c r="AE56" s="107">
        <f t="shared" si="12"/>
        <v>-2891.6209730000701</v>
      </c>
      <c r="AF56" s="77">
        <f>IF((W56)=0,"",(AE56/W56))</f>
        <v>-8.3487226308003992E-3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50155.22811275025</v>
      </c>
      <c r="I57" s="110"/>
      <c r="J57" s="109">
        <v>0.13</v>
      </c>
      <c r="K57" s="111">
        <f>K56*J57</f>
        <v>48242.319688872398</v>
      </c>
      <c r="L57" s="110"/>
      <c r="M57" s="112">
        <f t="shared" si="38"/>
        <v>-1912.9084238778523</v>
      </c>
      <c r="N57" s="84">
        <f>IF((H57)=0,"",(M57/H57))</f>
        <v>-3.8139761214475681E-2</v>
      </c>
      <c r="O57" s="212"/>
      <c r="P57" s="109">
        <v>0.13</v>
      </c>
      <c r="Q57" s="111">
        <f>Q56*P57</f>
        <v>45278.3402457048</v>
      </c>
      <c r="R57" s="110"/>
      <c r="S57" s="112">
        <f t="shared" si="41"/>
        <v>-2963.9794431675982</v>
      </c>
      <c r="T57" s="84">
        <f>IF((K57)=0,"",(S57/K57))</f>
        <v>-6.143940553197054E-2</v>
      </c>
      <c r="U57" s="110"/>
      <c r="V57" s="109">
        <v>0.13</v>
      </c>
      <c r="W57" s="111">
        <f>W56*V57</f>
        <v>45026.1367054148</v>
      </c>
      <c r="X57" s="110"/>
      <c r="Y57" s="112">
        <f t="shared" si="44"/>
        <v>-252.20354029000009</v>
      </c>
      <c r="Z57" s="84">
        <f>IF((Q57)=0,"",(Y57/Q57))</f>
        <v>-5.5700703453661748E-3</v>
      </c>
      <c r="AA57" s="110"/>
      <c r="AB57" s="109">
        <v>0.13</v>
      </c>
      <c r="AC57" s="111">
        <f>AC56*AB57</f>
        <v>44650.225978924791</v>
      </c>
      <c r="AD57" s="110"/>
      <c r="AE57" s="112">
        <f t="shared" si="12"/>
        <v>-375.91072649000853</v>
      </c>
      <c r="AF57" s="84">
        <f>IF((W57)=0,"",(AE57/W57))</f>
        <v>-8.348722630800387E-3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435964.67513390596</v>
      </c>
      <c r="I58" s="110"/>
      <c r="J58" s="114"/>
      <c r="K58" s="111">
        <f>K56+K57</f>
        <v>419337.08652635233</v>
      </c>
      <c r="L58" s="110"/>
      <c r="M58" s="112">
        <f t="shared" si="38"/>
        <v>-16627.588607553625</v>
      </c>
      <c r="N58" s="84">
        <f>IF((H58)=0,"",(M58/H58))</f>
        <v>-3.8139761214475654E-2</v>
      </c>
      <c r="O58" s="212"/>
      <c r="P58" s="114"/>
      <c r="Q58" s="111">
        <f>Q56+Q57</f>
        <v>393573.26521266479</v>
      </c>
      <c r="R58" s="110"/>
      <c r="S58" s="112">
        <f t="shared" si="41"/>
        <v>-25763.821313687542</v>
      </c>
      <c r="T58" s="84">
        <f>IF((K58)=0,"",(S58/K58))</f>
        <v>-6.1439405531970449E-2</v>
      </c>
      <c r="U58" s="110"/>
      <c r="V58" s="114"/>
      <c r="W58" s="111">
        <f>W56+W57</f>
        <v>391381.03443937481</v>
      </c>
      <c r="X58" s="110"/>
      <c r="Y58" s="112">
        <f t="shared" si="44"/>
        <v>-2192.230773289979</v>
      </c>
      <c r="Z58" s="84">
        <f>IF((Q58)=0,"",(Y58/Q58))</f>
        <v>-5.5700703453661193E-3</v>
      </c>
      <c r="AA58" s="110"/>
      <c r="AB58" s="114"/>
      <c r="AC58" s="111">
        <f>AC56+AC57</f>
        <v>388113.50273988472</v>
      </c>
      <c r="AD58" s="110"/>
      <c r="AE58" s="112">
        <f t="shared" si="12"/>
        <v>-3267.5316994900932</v>
      </c>
      <c r="AF58" s="84">
        <f>IF((W58)=0,"",(AE58/W58))</f>
        <v>-8.3487226308004356E-3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v>0</v>
      </c>
      <c r="L59" s="110"/>
      <c r="M59" s="117">
        <f t="shared" si="38"/>
        <v>0</v>
      </c>
      <c r="N59" s="89" t="str">
        <f>IF((H59)=0,"",(M59/H59))</f>
        <v/>
      </c>
      <c r="O59" s="212"/>
      <c r="P59" s="114"/>
      <c r="Q59" s="116">
        <f>ROUND(-Q58*10%,2)</f>
        <v>-39357.33</v>
      </c>
      <c r="R59" s="110"/>
      <c r="S59" s="117">
        <f t="shared" si="41"/>
        <v>-39357.33</v>
      </c>
      <c r="T59" s="89" t="str">
        <f>IF((K59)=0,"",(S59/K59))</f>
        <v/>
      </c>
      <c r="U59" s="110"/>
      <c r="V59" s="114"/>
      <c r="W59" s="116">
        <f>ROUND(-W58*10%,2)</f>
        <v>-39138.1</v>
      </c>
      <c r="X59" s="110"/>
      <c r="Y59" s="117">
        <f t="shared" si="44"/>
        <v>219.2300000000032</v>
      </c>
      <c r="Z59" s="89">
        <f>IF((Q59)=0,"",(Y59/Q59))</f>
        <v>-5.5702457458370064E-3</v>
      </c>
      <c r="AA59" s="110"/>
      <c r="AB59" s="114"/>
      <c r="AC59" s="116">
        <f>ROUND(-AC58*10%,2)</f>
        <v>-38811.35</v>
      </c>
      <c r="AD59" s="110"/>
      <c r="AE59" s="117">
        <f t="shared" si="12"/>
        <v>326.75</v>
      </c>
      <c r="AF59" s="89">
        <f>IF((W59)=0,"",(AE59/W59))</f>
        <v>-8.348642371499895E-3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435964.67513390596</v>
      </c>
      <c r="I60" s="120"/>
      <c r="J60" s="118"/>
      <c r="K60" s="121">
        <f>SUM(K58:K59)</f>
        <v>419337.08652635233</v>
      </c>
      <c r="L60" s="120"/>
      <c r="M60" s="122">
        <f t="shared" si="38"/>
        <v>-16627.588607553625</v>
      </c>
      <c r="N60" s="123">
        <f>IF((H60)=0,"",(M60/H60))</f>
        <v>-3.8139761214475654E-2</v>
      </c>
      <c r="O60" s="212"/>
      <c r="P60" s="118"/>
      <c r="Q60" s="121">
        <f>SUM(Q58:Q59)</f>
        <v>354215.93521266477</v>
      </c>
      <c r="R60" s="120"/>
      <c r="S60" s="122">
        <f t="shared" si="41"/>
        <v>-65121.151313687558</v>
      </c>
      <c r="T60" s="123">
        <f>IF((K60)=0,"",(S60/K60))</f>
        <v>-0.15529547327456608</v>
      </c>
      <c r="U60" s="120"/>
      <c r="V60" s="118"/>
      <c r="W60" s="121">
        <f>SUM(W58:W59)</f>
        <v>352242.93443937483</v>
      </c>
      <c r="X60" s="120"/>
      <c r="Y60" s="122">
        <f t="shared" si="44"/>
        <v>-1973.0007732899394</v>
      </c>
      <c r="Z60" s="123">
        <f>IF((Q60)=0,"",(Y60/Q60))</f>
        <v>-5.5700508564228927E-3</v>
      </c>
      <c r="AA60" s="120"/>
      <c r="AB60" s="118"/>
      <c r="AC60" s="121">
        <f>SUM(AC58:AC59)</f>
        <v>349302.15273988474</v>
      </c>
      <c r="AD60" s="120"/>
      <c r="AE60" s="122">
        <f t="shared" si="12"/>
        <v>-2940.7816994900932</v>
      </c>
      <c r="AF60" s="123">
        <f>IF((W60)=0,"",(AE60/W60))</f>
        <v>-8.3487315484996241E-3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3.0790000000000001E-2</v>
      </c>
      <c r="Q63" s="142"/>
      <c r="R63" s="142"/>
      <c r="S63" s="142"/>
      <c r="T63" s="142"/>
      <c r="U63" s="142"/>
      <c r="V63" s="129">
        <v>3.0790000000000001E-2</v>
      </c>
      <c r="W63" s="142"/>
      <c r="X63" s="142"/>
      <c r="Y63" s="142"/>
      <c r="Z63" s="142"/>
      <c r="AA63" s="142"/>
      <c r="AB63" s="129">
        <v>3.0790000000000001E-2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55:E55 D40:E49 D61:E61 D12:E27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1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10</xdr:col>
                    <xdr:colOff>676275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P79"/>
  <sheetViews>
    <sheetView showGridLines="0" topLeftCell="A40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8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9.140625" style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50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200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18.8</v>
      </c>
      <c r="H12" s="18">
        <f t="shared" ref="H12:H27" si="0">$F12*G12</f>
        <v>18.8</v>
      </c>
      <c r="I12" s="19"/>
      <c r="J12" s="209">
        <v>21.34</v>
      </c>
      <c r="K12" s="18">
        <f t="shared" ref="K12:K27" si="1">$F12*J12</f>
        <v>21.34</v>
      </c>
      <c r="L12" s="19"/>
      <c r="M12" s="21">
        <f t="shared" ref="M12:M21" si="2">K12-H12</f>
        <v>2.5399999999999991</v>
      </c>
      <c r="N12" s="22">
        <f t="shared" ref="N12:N21" si="3">IF((H12)=0,"",(M12/H12))</f>
        <v>0.13510638297872335</v>
      </c>
      <c r="O12" s="212"/>
      <c r="P12" s="16">
        <v>21.34</v>
      </c>
      <c r="Q12" s="18">
        <f t="shared" ref="Q12:Q27" si="4">$F12*P12</f>
        <v>21.34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23.89</v>
      </c>
      <c r="W12" s="18">
        <f t="shared" ref="W12:W27" si="6">$F12*V12</f>
        <v>23.89</v>
      </c>
      <c r="X12" s="19"/>
      <c r="Y12" s="21">
        <f>W12-Q12</f>
        <v>2.5500000000000007</v>
      </c>
      <c r="Z12" s="22">
        <f t="shared" ref="Z12:Z34" si="7">IF((Q12)=0,"",(Y12/Q12))</f>
        <v>0.11949390815370201</v>
      </c>
      <c r="AA12" s="19"/>
      <c r="AB12" s="16">
        <v>27</v>
      </c>
      <c r="AC12" s="18">
        <f t="shared" ref="AC12:AC27" si="8">$F12*AB12</f>
        <v>27</v>
      </c>
      <c r="AD12" s="19"/>
      <c r="AE12" s="21">
        <f>AC12-W12</f>
        <v>3.1099999999999994</v>
      </c>
      <c r="AF12" s="22">
        <f t="shared" ref="AF12:AF34" si="9">IF((W12)=0,"",(AE12/W12))</f>
        <v>0.13017999162829633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0.79</v>
      </c>
      <c r="H13" s="18">
        <f t="shared" si="0"/>
        <v>0.79</v>
      </c>
      <c r="I13" s="19"/>
      <c r="J13" s="209">
        <v>0.79</v>
      </c>
      <c r="K13" s="18">
        <f t="shared" si="1"/>
        <v>0.79</v>
      </c>
      <c r="L13" s="19"/>
      <c r="M13" s="21">
        <f t="shared" si="2"/>
        <v>0</v>
      </c>
      <c r="N13" s="22">
        <f t="shared" si="3"/>
        <v>0</v>
      </c>
      <c r="O13" s="212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200</v>
      </c>
      <c r="G19" s="16">
        <v>1.21E-2</v>
      </c>
      <c r="H19" s="18">
        <f t="shared" si="0"/>
        <v>2.42</v>
      </c>
      <c r="I19" s="19"/>
      <c r="J19" s="16">
        <v>8.0999999999999996E-3</v>
      </c>
      <c r="K19" s="18">
        <f t="shared" si="1"/>
        <v>1.6199999999999999</v>
      </c>
      <c r="L19" s="19"/>
      <c r="M19" s="21">
        <f t="shared" si="2"/>
        <v>-0.8</v>
      </c>
      <c r="N19" s="22">
        <f t="shared" si="3"/>
        <v>-0.33057851239669422</v>
      </c>
      <c r="O19" s="212"/>
      <c r="P19" s="16">
        <v>8.0999999999999996E-3</v>
      </c>
      <c r="Q19" s="18">
        <f t="shared" si="4"/>
        <v>1.6199999999999999</v>
      </c>
      <c r="R19" s="19"/>
      <c r="S19" s="21">
        <f t="shared" si="13"/>
        <v>0</v>
      </c>
      <c r="T19" s="22">
        <f t="shared" si="5"/>
        <v>0</v>
      </c>
      <c r="U19" s="19"/>
      <c r="V19" s="16">
        <v>4.1000000000000003E-3</v>
      </c>
      <c r="W19" s="18">
        <f t="shared" si="6"/>
        <v>0.82000000000000006</v>
      </c>
      <c r="X19" s="19"/>
      <c r="Y19" s="21">
        <f t="shared" si="14"/>
        <v>-0.79999999999999982</v>
      </c>
      <c r="Z19" s="22">
        <f t="shared" si="7"/>
        <v>-0.49382716049382708</v>
      </c>
      <c r="AA19" s="19"/>
      <c r="AB19" s="16">
        <v>0</v>
      </c>
      <c r="AC19" s="18">
        <f t="shared" si="8"/>
        <v>0</v>
      </c>
      <c r="AD19" s="19"/>
      <c r="AE19" s="21">
        <f t="shared" si="15"/>
        <v>-0.82000000000000006</v>
      </c>
      <c r="AF19" s="22">
        <f t="shared" si="9"/>
        <v>-1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200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27" si="16">$G$7</f>
        <v>200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6"/>
        <v>200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212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6"/>
        <v>200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212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6"/>
        <v>200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212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22.009999999999998</v>
      </c>
      <c r="I28" s="31"/>
      <c r="J28" s="28"/>
      <c r="K28" s="30">
        <f>SUM(K12:K27)</f>
        <v>23.75</v>
      </c>
      <c r="L28" s="31"/>
      <c r="M28" s="32">
        <f t="shared" si="17"/>
        <v>1.740000000000002</v>
      </c>
      <c r="N28" s="33">
        <f t="shared" si="18"/>
        <v>7.9054975011358566E-2</v>
      </c>
      <c r="O28" s="212"/>
      <c r="P28" s="28"/>
      <c r="Q28" s="30">
        <f>SUM(Q12:Q27)</f>
        <v>23.75</v>
      </c>
      <c r="R28" s="31"/>
      <c r="S28" s="32">
        <f t="shared" si="13"/>
        <v>0</v>
      </c>
      <c r="T28" s="33">
        <f t="shared" si="5"/>
        <v>0</v>
      </c>
      <c r="U28" s="31"/>
      <c r="V28" s="28"/>
      <c r="W28" s="30">
        <f>SUM(W12:W27)</f>
        <v>24.71</v>
      </c>
      <c r="X28" s="31"/>
      <c r="Y28" s="32">
        <f t="shared" si="14"/>
        <v>0.96000000000000085</v>
      </c>
      <c r="Z28" s="33">
        <f t="shared" si="7"/>
        <v>4.0421052631578983E-2</v>
      </c>
      <c r="AA28" s="31"/>
      <c r="AB28" s="28"/>
      <c r="AC28" s="30">
        <f>SUM(AC12:AC27)</f>
        <v>27</v>
      </c>
      <c r="AD28" s="31"/>
      <c r="AE28" s="32">
        <f t="shared" si="15"/>
        <v>2.2899999999999991</v>
      </c>
      <c r="AF28" s="33">
        <f t="shared" si="9"/>
        <v>9.2675030352084145E-2</v>
      </c>
    </row>
    <row r="29" spans="2:32" ht="25.5" x14ac:dyDescent="0.2">
      <c r="B29" s="134" t="s">
        <v>17</v>
      </c>
      <c r="C29" s="14"/>
      <c r="D29" s="15" t="s">
        <v>54</v>
      </c>
      <c r="E29" s="15"/>
      <c r="F29" s="17">
        <f>$G$7</f>
        <v>200</v>
      </c>
      <c r="G29" s="16">
        <v>3.3021965494891908E-4</v>
      </c>
      <c r="H29" s="18">
        <f t="shared" ref="H29:H35" si="19">$F29*G29</f>
        <v>6.6043930989783811E-2</v>
      </c>
      <c r="I29" s="19"/>
      <c r="J29" s="16">
        <v>-2.5999999999999999E-3</v>
      </c>
      <c r="K29" s="18">
        <f t="shared" ref="K29:K35" si="20">$F29*J29</f>
        <v>-0.52</v>
      </c>
      <c r="L29" s="19"/>
      <c r="M29" s="21">
        <f t="shared" si="17"/>
        <v>-0.5860439309897838</v>
      </c>
      <c r="N29" s="22">
        <f t="shared" si="18"/>
        <v>-8.873547080055511</v>
      </c>
      <c r="O29" s="212"/>
      <c r="P29" s="16">
        <v>-2.5999999999999999E-3</v>
      </c>
      <c r="Q29" s="18">
        <f t="shared" ref="Q29:Q35" si="21">$F29*P29</f>
        <v>-0.52</v>
      </c>
      <c r="R29" s="19"/>
      <c r="S29" s="21">
        <f t="shared" si="13"/>
        <v>0</v>
      </c>
      <c r="T29" s="22">
        <f t="shared" si="5"/>
        <v>0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0.52</v>
      </c>
      <c r="Z29" s="22">
        <f t="shared" si="7"/>
        <v>-1</v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200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ref="F31:F33" si="28">$G$7</f>
        <v>200</v>
      </c>
      <c r="G31" s="16">
        <v>0</v>
      </c>
      <c r="H31" s="18">
        <f t="shared" si="19"/>
        <v>0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0</v>
      </c>
      <c r="N31" s="22" t="str">
        <f>IF((H31)=0,"",(M31/H31))</f>
        <v/>
      </c>
      <c r="O31" s="212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28"/>
        <v>200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212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28"/>
        <v>200</v>
      </c>
      <c r="G33" s="133">
        <v>6.0000002460806063E-5</v>
      </c>
      <c r="H33" s="18">
        <f t="shared" si="19"/>
        <v>1.2000000492161213E-2</v>
      </c>
      <c r="I33" s="19"/>
      <c r="J33" s="133">
        <v>6.0000001057066139E-5</v>
      </c>
      <c r="K33" s="18">
        <f t="shared" si="20"/>
        <v>1.2000000211413227E-2</v>
      </c>
      <c r="L33" s="19"/>
      <c r="M33" s="21">
        <f t="shared" si="29"/>
        <v>-2.8074798562316428E-10</v>
      </c>
      <c r="N33" s="22">
        <f>IF((H33)=0,"",(M33/H33))</f>
        <v>-2.339566450906047E-8</v>
      </c>
      <c r="O33" s="212"/>
      <c r="P33" s="133">
        <v>6.0000001057066139E-5</v>
      </c>
      <c r="Q33" s="18">
        <f t="shared" si="21"/>
        <v>1.2000000211413227E-2</v>
      </c>
      <c r="R33" s="19"/>
      <c r="S33" s="21">
        <f t="shared" si="13"/>
        <v>0</v>
      </c>
      <c r="T33" s="22">
        <f t="shared" si="5"/>
        <v>0</v>
      </c>
      <c r="U33" s="19"/>
      <c r="V33" s="133">
        <v>6.000000141885779E-5</v>
      </c>
      <c r="W33" s="18">
        <f t="shared" si="22"/>
        <v>1.2000000283771559E-2</v>
      </c>
      <c r="X33" s="19"/>
      <c r="Y33" s="21">
        <f t="shared" si="14"/>
        <v>7.2358331132393872E-11</v>
      </c>
      <c r="Z33" s="22">
        <f t="shared" si="7"/>
        <v>6.0298608214667947E-9</v>
      </c>
      <c r="AA33" s="19"/>
      <c r="AB33" s="133">
        <v>5.9748076265468277E-5</v>
      </c>
      <c r="AC33" s="18">
        <f t="shared" si="23"/>
        <v>1.1949615253093656E-2</v>
      </c>
      <c r="AD33" s="19"/>
      <c r="AE33" s="21">
        <f t="shared" si="15"/>
        <v>-5.0385030677902939E-5</v>
      </c>
      <c r="AF33" s="22">
        <f t="shared" si="9"/>
        <v>-4.198752457201368E-3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7.5800000000000125</v>
      </c>
      <c r="G34" s="38">
        <f>0.64*$G$44+0.18*$G$45+0.18*$G$46</f>
        <v>0.11183999999999999</v>
      </c>
      <c r="H34" s="18">
        <f t="shared" si="19"/>
        <v>0.84774720000000137</v>
      </c>
      <c r="I34" s="19"/>
      <c r="J34" s="38">
        <f>0.64*$G$44+0.18*$G$45+0.18*$G$46</f>
        <v>0.11183999999999999</v>
      </c>
      <c r="K34" s="18">
        <f t="shared" si="20"/>
        <v>0.84774720000000137</v>
      </c>
      <c r="L34" s="19"/>
      <c r="M34" s="21">
        <f t="shared" si="29"/>
        <v>0</v>
      </c>
      <c r="N34" s="22">
        <f>IF((H34)=0,"",(M34/H34))</f>
        <v>0</v>
      </c>
      <c r="O34" s="212"/>
      <c r="P34" s="38">
        <f>0.64*$G$44+0.18*$G$45+0.18*$G$46</f>
        <v>0.11183999999999999</v>
      </c>
      <c r="Q34" s="18">
        <f t="shared" si="21"/>
        <v>0.84774720000000137</v>
      </c>
      <c r="R34" s="19"/>
      <c r="S34" s="21">
        <f t="shared" si="13"/>
        <v>0</v>
      </c>
      <c r="T34" s="22">
        <f t="shared" si="5"/>
        <v>0</v>
      </c>
      <c r="U34" s="19"/>
      <c r="V34" s="38">
        <f>0.64*$G$44+0.18*$G$45+0.18*$G$46</f>
        <v>0.11183999999999999</v>
      </c>
      <c r="W34" s="18">
        <f t="shared" si="22"/>
        <v>0.84774720000000137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0.64*$G$44+0.18*$G$45+0.18*$G$46</f>
        <v>0.11183999999999999</v>
      </c>
      <c r="AC34" s="18">
        <f t="shared" si="23"/>
        <v>0.84774720000000137</v>
      </c>
      <c r="AD34" s="19"/>
      <c r="AE34" s="21">
        <f t="shared" si="15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0.79</v>
      </c>
      <c r="H35" s="18">
        <f t="shared" si="19"/>
        <v>0.79</v>
      </c>
      <c r="I35" s="19"/>
      <c r="J35" s="210">
        <v>0.79</v>
      </c>
      <c r="K35" s="18">
        <f t="shared" si="20"/>
        <v>0.79</v>
      </c>
      <c r="L35" s="19"/>
      <c r="M35" s="21">
        <f t="shared" si="29"/>
        <v>0</v>
      </c>
      <c r="N35" s="22"/>
      <c r="O35" s="212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23.725791131481945</v>
      </c>
      <c r="I36" s="31"/>
      <c r="J36" s="41"/>
      <c r="K36" s="43">
        <f>SUM(K29:K35)+K28</f>
        <v>24.879747200211416</v>
      </c>
      <c r="L36" s="31"/>
      <c r="M36" s="32">
        <f t="shared" si="29"/>
        <v>1.153956068729471</v>
      </c>
      <c r="N36" s="33">
        <f t="shared" ref="N36:N46" si="30">IF((H36)=0,"",(M36/H36))</f>
        <v>4.8637200856003378E-2</v>
      </c>
      <c r="O36" s="212"/>
      <c r="P36" s="41"/>
      <c r="Q36" s="43">
        <f>SUM(Q29:Q35)+Q28</f>
        <v>24.879747200211416</v>
      </c>
      <c r="R36" s="31"/>
      <c r="S36" s="32">
        <f t="shared" si="13"/>
        <v>0</v>
      </c>
      <c r="T36" s="33">
        <f t="shared" ref="T36:T46" si="31">IF((K36)=0,"",(S36/K36))</f>
        <v>0</v>
      </c>
      <c r="U36" s="31"/>
      <c r="V36" s="41"/>
      <c r="W36" s="43">
        <f>SUM(W29:W35)+W28</f>
        <v>26.359747200283774</v>
      </c>
      <c r="X36" s="31"/>
      <c r="Y36" s="32">
        <f t="shared" si="14"/>
        <v>1.4800000000723585</v>
      </c>
      <c r="Z36" s="33">
        <f t="shared" ref="Z36:Z46" si="32">IF((Q36)=0,"",(Y36/Q36))</f>
        <v>5.9486134974063652E-2</v>
      </c>
      <c r="AA36" s="31"/>
      <c r="AB36" s="41"/>
      <c r="AC36" s="43">
        <f>SUM(AC29:AC35)+AC28</f>
        <v>27.859696815253095</v>
      </c>
      <c r="AD36" s="31"/>
      <c r="AE36" s="32">
        <f t="shared" si="15"/>
        <v>1.4999496149693208</v>
      </c>
      <c r="AF36" s="33">
        <f t="shared" ref="AF36:AF46" si="33">IF((W36)=0,"",(AE36/W36))</f>
        <v>5.6903034902898206E-2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207.58</v>
      </c>
      <c r="G37" s="20">
        <v>7.7725149591303024E-3</v>
      </c>
      <c r="H37" s="18">
        <f>$F37*G37</f>
        <v>1.6134186552162684</v>
      </c>
      <c r="I37" s="19"/>
      <c r="J37" s="20">
        <v>7.4000000000000003E-3</v>
      </c>
      <c r="K37" s="18">
        <f>$F37*J37</f>
        <v>1.5360920000000002</v>
      </c>
      <c r="L37" s="19"/>
      <c r="M37" s="21">
        <f t="shared" si="29"/>
        <v>-7.7326655216268136E-2</v>
      </c>
      <c r="N37" s="22">
        <f t="shared" si="30"/>
        <v>-4.7927210315975299E-2</v>
      </c>
      <c r="O37" s="212"/>
      <c r="P37" s="20">
        <v>7.4000000000000003E-3</v>
      </c>
      <c r="Q37" s="18">
        <f>$F37*P37</f>
        <v>1.5360920000000002</v>
      </c>
      <c r="R37" s="19"/>
      <c r="S37" s="21">
        <f t="shared" si="13"/>
        <v>0</v>
      </c>
      <c r="T37" s="22">
        <f t="shared" si="31"/>
        <v>0</v>
      </c>
      <c r="U37" s="19"/>
      <c r="V37" s="20">
        <v>7.4000000000000003E-3</v>
      </c>
      <c r="W37" s="18">
        <f>$F37*V37</f>
        <v>1.5360920000000002</v>
      </c>
      <c r="X37" s="19"/>
      <c r="Y37" s="21">
        <f t="shared" si="14"/>
        <v>0</v>
      </c>
      <c r="Z37" s="22">
        <f t="shared" si="32"/>
        <v>0</v>
      </c>
      <c r="AA37" s="19"/>
      <c r="AB37" s="20">
        <v>7.4000000000000003E-3</v>
      </c>
      <c r="AC37" s="18">
        <f>$F37*AB37</f>
        <v>1.5360920000000002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207.58</v>
      </c>
      <c r="G38" s="20">
        <v>5.8885548323693356E-3</v>
      </c>
      <c r="H38" s="18">
        <f>$F38*G38</f>
        <v>1.2223462121032267</v>
      </c>
      <c r="I38" s="19"/>
      <c r="J38" s="20">
        <v>5.8999999999999999E-3</v>
      </c>
      <c r="K38" s="18">
        <f>$F38*J38</f>
        <v>1.2247220000000001</v>
      </c>
      <c r="L38" s="19"/>
      <c r="M38" s="21">
        <f t="shared" si="29"/>
        <v>2.3757878967733959E-3</v>
      </c>
      <c r="N38" s="22">
        <f t="shared" si="30"/>
        <v>1.943629287062217E-3</v>
      </c>
      <c r="O38" s="212"/>
      <c r="P38" s="20">
        <v>5.8999999999999999E-3</v>
      </c>
      <c r="Q38" s="18">
        <f>$F38*P38</f>
        <v>1.2247220000000001</v>
      </c>
      <c r="R38" s="19"/>
      <c r="S38" s="21">
        <f t="shared" si="13"/>
        <v>0</v>
      </c>
      <c r="T38" s="22">
        <f t="shared" si="31"/>
        <v>0</v>
      </c>
      <c r="U38" s="19"/>
      <c r="V38" s="20">
        <v>5.8999999999999999E-3</v>
      </c>
      <c r="W38" s="18">
        <f>$F38*V38</f>
        <v>1.2247220000000001</v>
      </c>
      <c r="X38" s="19"/>
      <c r="Y38" s="21">
        <f t="shared" si="14"/>
        <v>0</v>
      </c>
      <c r="Z38" s="22">
        <f t="shared" si="32"/>
        <v>0</v>
      </c>
      <c r="AA38" s="19"/>
      <c r="AB38" s="20">
        <v>5.8999999999999999E-3</v>
      </c>
      <c r="AC38" s="18">
        <f>$F38*AB38</f>
        <v>1.2247220000000001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26.561555998801438</v>
      </c>
      <c r="I39" s="48"/>
      <c r="J39" s="47"/>
      <c r="K39" s="43">
        <f>SUM(K36:K38)</f>
        <v>27.640561200211415</v>
      </c>
      <c r="L39" s="48"/>
      <c r="M39" s="32">
        <f t="shared" si="29"/>
        <v>1.0790052014099771</v>
      </c>
      <c r="N39" s="33">
        <f t="shared" si="30"/>
        <v>4.0622815977296889E-2</v>
      </c>
      <c r="O39" s="212"/>
      <c r="P39" s="47"/>
      <c r="Q39" s="43">
        <f>SUM(Q36:Q38)</f>
        <v>27.640561200211415</v>
      </c>
      <c r="R39" s="48"/>
      <c r="S39" s="32">
        <f t="shared" si="13"/>
        <v>0</v>
      </c>
      <c r="T39" s="33">
        <f t="shared" si="31"/>
        <v>0</v>
      </c>
      <c r="U39" s="48"/>
      <c r="V39" s="47"/>
      <c r="W39" s="43">
        <f>SUM(W36:W38)</f>
        <v>29.120561200283774</v>
      </c>
      <c r="X39" s="48"/>
      <c r="Y39" s="32">
        <f t="shared" si="14"/>
        <v>1.4800000000723585</v>
      </c>
      <c r="Z39" s="33">
        <f t="shared" si="32"/>
        <v>5.3544498946752152E-2</v>
      </c>
      <c r="AA39" s="48"/>
      <c r="AB39" s="47"/>
      <c r="AC39" s="43">
        <f>SUM(AC36:AC38)</f>
        <v>30.620510815253095</v>
      </c>
      <c r="AD39" s="48"/>
      <c r="AE39" s="32">
        <f t="shared" si="15"/>
        <v>1.4999496149693208</v>
      </c>
      <c r="AF39" s="33">
        <f t="shared" si="33"/>
        <v>5.1508266089140622E-2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207.58</v>
      </c>
      <c r="G40" s="50">
        <v>4.7000000000000002E-3</v>
      </c>
      <c r="H40" s="152">
        <f t="shared" ref="H40:H48" si="34">$F40*G40</f>
        <v>0.9756260000000001</v>
      </c>
      <c r="I40" s="19"/>
      <c r="J40" s="50">
        <v>4.7000000000000002E-3</v>
      </c>
      <c r="K40" s="152">
        <f t="shared" ref="K40:K42" si="35">$F40*J40</f>
        <v>0.9756260000000001</v>
      </c>
      <c r="L40" s="19"/>
      <c r="M40" s="21">
        <f t="shared" si="29"/>
        <v>0</v>
      </c>
      <c r="N40" s="153">
        <f t="shared" si="30"/>
        <v>0</v>
      </c>
      <c r="O40" s="212"/>
      <c r="P40" s="50">
        <v>4.7000000000000002E-3</v>
      </c>
      <c r="Q40" s="152">
        <f t="shared" ref="Q40:Q42" si="36">$F40*P40</f>
        <v>0.9756260000000001</v>
      </c>
      <c r="R40" s="19"/>
      <c r="S40" s="21">
        <f t="shared" si="13"/>
        <v>0</v>
      </c>
      <c r="T40" s="153">
        <f t="shared" si="31"/>
        <v>0</v>
      </c>
      <c r="U40" s="19"/>
      <c r="V40" s="50">
        <v>4.7000000000000002E-3</v>
      </c>
      <c r="W40" s="152">
        <f t="shared" ref="W40:W42" si="37">$F40*V40</f>
        <v>0.9756260000000001</v>
      </c>
      <c r="X40" s="19"/>
      <c r="Y40" s="21">
        <f t="shared" si="14"/>
        <v>0</v>
      </c>
      <c r="Z40" s="153">
        <f t="shared" si="32"/>
        <v>0</v>
      </c>
      <c r="AA40" s="19"/>
      <c r="AB40" s="50">
        <v>4.7000000000000002E-3</v>
      </c>
      <c r="AC40" s="152">
        <f t="shared" ref="AC40:AC48" si="38">$F40*AB40</f>
        <v>0.9756260000000001</v>
      </c>
      <c r="AD40" s="19"/>
      <c r="AE40" s="21">
        <f t="shared" si="15"/>
        <v>0</v>
      </c>
      <c r="AF40" s="153">
        <f t="shared" si="33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207.58</v>
      </c>
      <c r="G41" s="50">
        <v>1.2999999999999999E-3</v>
      </c>
      <c r="H41" s="152">
        <f t="shared" si="34"/>
        <v>0.26985399999999998</v>
      </c>
      <c r="I41" s="19"/>
      <c r="J41" s="50">
        <v>2.0999999999999999E-3</v>
      </c>
      <c r="K41" s="152">
        <f t="shared" si="35"/>
        <v>0.43591799999999997</v>
      </c>
      <c r="L41" s="19"/>
      <c r="M41" s="21">
        <f t="shared" si="29"/>
        <v>0.16606399999999999</v>
      </c>
      <c r="N41" s="153">
        <f t="shared" si="30"/>
        <v>0.61538461538461542</v>
      </c>
      <c r="O41" s="212"/>
      <c r="P41" s="50">
        <v>2.0999999999999999E-3</v>
      </c>
      <c r="Q41" s="152">
        <f t="shared" si="36"/>
        <v>0.43591799999999997</v>
      </c>
      <c r="R41" s="19"/>
      <c r="S41" s="21">
        <f t="shared" si="13"/>
        <v>0</v>
      </c>
      <c r="T41" s="153">
        <f t="shared" si="31"/>
        <v>0</v>
      </c>
      <c r="U41" s="19"/>
      <c r="V41" s="50">
        <v>2.0999999999999999E-3</v>
      </c>
      <c r="W41" s="152">
        <f t="shared" si="37"/>
        <v>0.43591799999999997</v>
      </c>
      <c r="X41" s="19"/>
      <c r="Y41" s="21">
        <f t="shared" si="14"/>
        <v>0</v>
      </c>
      <c r="Z41" s="153">
        <f t="shared" si="32"/>
        <v>0</v>
      </c>
      <c r="AA41" s="19"/>
      <c r="AB41" s="50">
        <v>2.0999999999999999E-3</v>
      </c>
      <c r="AC41" s="152">
        <f t="shared" si="38"/>
        <v>0.43591799999999997</v>
      </c>
      <c r="AD41" s="19"/>
      <c r="AE41" s="21">
        <f t="shared" si="15"/>
        <v>0</v>
      </c>
      <c r="AF41" s="153">
        <f t="shared" si="33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4"/>
        <v>0.25</v>
      </c>
      <c r="I42" s="19"/>
      <c r="J42" s="50">
        <v>0.25</v>
      </c>
      <c r="K42" s="152">
        <f t="shared" si="35"/>
        <v>0.25</v>
      </c>
      <c r="L42" s="19"/>
      <c r="M42" s="21">
        <f t="shared" si="29"/>
        <v>0</v>
      </c>
      <c r="N42" s="153">
        <f t="shared" si="30"/>
        <v>0</v>
      </c>
      <c r="O42" s="212"/>
      <c r="P42" s="50">
        <v>0.25</v>
      </c>
      <c r="Q42" s="152">
        <f t="shared" si="36"/>
        <v>0.25</v>
      </c>
      <c r="R42" s="19"/>
      <c r="S42" s="21">
        <f t="shared" si="13"/>
        <v>0</v>
      </c>
      <c r="T42" s="153">
        <f t="shared" si="31"/>
        <v>0</v>
      </c>
      <c r="U42" s="19"/>
      <c r="V42" s="50">
        <v>0.25</v>
      </c>
      <c r="W42" s="152">
        <f t="shared" si="37"/>
        <v>0.25</v>
      </c>
      <c r="X42" s="19"/>
      <c r="Y42" s="21">
        <f t="shared" si="14"/>
        <v>0</v>
      </c>
      <c r="Z42" s="153">
        <f t="shared" si="32"/>
        <v>0</v>
      </c>
      <c r="AA42" s="19"/>
      <c r="AB42" s="50">
        <v>0.25</v>
      </c>
      <c r="AC42" s="152">
        <f t="shared" si="38"/>
        <v>0.25</v>
      </c>
      <c r="AD42" s="19"/>
      <c r="AE42" s="21">
        <f t="shared" si="15"/>
        <v>0</v>
      </c>
      <c r="AF42" s="153">
        <f t="shared" si="33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200</v>
      </c>
      <c r="G43" s="50">
        <v>0</v>
      </c>
      <c r="H43" s="152">
        <f t="shared" si="34"/>
        <v>0</v>
      </c>
      <c r="I43" s="19"/>
      <c r="J43" s="50">
        <v>0</v>
      </c>
      <c r="K43" s="152">
        <f t="shared" ref="K43:K48" si="39">$F43*J43</f>
        <v>0</v>
      </c>
      <c r="L43" s="19"/>
      <c r="M43" s="21">
        <f t="shared" si="29"/>
        <v>0</v>
      </c>
      <c r="N43" s="153" t="str">
        <f t="shared" si="30"/>
        <v/>
      </c>
      <c r="O43" s="212"/>
      <c r="P43" s="50"/>
      <c r="Q43" s="152">
        <f t="shared" ref="Q43:Q48" si="40">$F43*P43</f>
        <v>0</v>
      </c>
      <c r="R43" s="19"/>
      <c r="S43" s="21">
        <f t="shared" si="13"/>
        <v>0</v>
      </c>
      <c r="T43" s="153" t="str">
        <f t="shared" si="31"/>
        <v/>
      </c>
      <c r="U43" s="19"/>
      <c r="V43" s="50"/>
      <c r="W43" s="152">
        <f t="shared" ref="W43:W48" si="41">$F43*V43</f>
        <v>0</v>
      </c>
      <c r="X43" s="19"/>
      <c r="Y43" s="21">
        <f t="shared" si="14"/>
        <v>0</v>
      </c>
      <c r="Z43" s="153" t="str">
        <f t="shared" si="32"/>
        <v/>
      </c>
      <c r="AA43" s="19"/>
      <c r="AB43" s="50"/>
      <c r="AC43" s="152">
        <f t="shared" si="38"/>
        <v>0</v>
      </c>
      <c r="AD43" s="19"/>
      <c r="AE43" s="21">
        <f t="shared" si="15"/>
        <v>0</v>
      </c>
      <c r="AF43" s="153" t="str">
        <f t="shared" si="33"/>
        <v/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128</v>
      </c>
      <c r="G44" s="54">
        <v>8.6999999999999994E-2</v>
      </c>
      <c r="H44" s="152">
        <f t="shared" si="34"/>
        <v>11.135999999999999</v>
      </c>
      <c r="I44" s="19"/>
      <c r="J44" s="54">
        <f>+G44</f>
        <v>8.6999999999999994E-2</v>
      </c>
      <c r="K44" s="152">
        <f t="shared" si="39"/>
        <v>11.135999999999999</v>
      </c>
      <c r="L44" s="19"/>
      <c r="M44" s="21">
        <f t="shared" si="29"/>
        <v>0</v>
      </c>
      <c r="N44" s="153">
        <f t="shared" si="30"/>
        <v>0</v>
      </c>
      <c r="O44" s="212"/>
      <c r="P44" s="54">
        <v>0.08</v>
      </c>
      <c r="Q44" s="152">
        <f t="shared" si="40"/>
        <v>10.24</v>
      </c>
      <c r="R44" s="19"/>
      <c r="S44" s="21">
        <f t="shared" si="13"/>
        <v>-0.89599999999999902</v>
      </c>
      <c r="T44" s="153">
        <f t="shared" si="31"/>
        <v>-8.0459770114942444E-2</v>
      </c>
      <c r="U44" s="19"/>
      <c r="V44" s="54">
        <v>0.08</v>
      </c>
      <c r="W44" s="152">
        <f t="shared" si="41"/>
        <v>10.24</v>
      </c>
      <c r="X44" s="19"/>
      <c r="Y44" s="21">
        <f t="shared" si="14"/>
        <v>0</v>
      </c>
      <c r="Z44" s="153">
        <f t="shared" si="32"/>
        <v>0</v>
      </c>
      <c r="AA44" s="19"/>
      <c r="AB44" s="54">
        <v>0.08</v>
      </c>
      <c r="AC44" s="152">
        <f t="shared" si="38"/>
        <v>10.24</v>
      </c>
      <c r="AD44" s="19"/>
      <c r="AE44" s="21">
        <f t="shared" si="15"/>
        <v>0</v>
      </c>
      <c r="AF44" s="153">
        <f t="shared" si="33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36</v>
      </c>
      <c r="G45" s="54">
        <v>0.13200000000000001</v>
      </c>
      <c r="H45" s="152">
        <f t="shared" si="34"/>
        <v>4.7520000000000007</v>
      </c>
      <c r="I45" s="19"/>
      <c r="J45" s="54">
        <f>+G45</f>
        <v>0.13200000000000001</v>
      </c>
      <c r="K45" s="152">
        <f t="shared" si="39"/>
        <v>4.7520000000000007</v>
      </c>
      <c r="L45" s="19"/>
      <c r="M45" s="21">
        <f t="shared" si="29"/>
        <v>0</v>
      </c>
      <c r="N45" s="153">
        <f t="shared" si="30"/>
        <v>0</v>
      </c>
      <c r="O45" s="212"/>
      <c r="P45" s="54">
        <v>0.122</v>
      </c>
      <c r="Q45" s="152">
        <f t="shared" si="40"/>
        <v>4.3919999999999995</v>
      </c>
      <c r="R45" s="19"/>
      <c r="S45" s="21">
        <f t="shared" si="13"/>
        <v>-0.36000000000000121</v>
      </c>
      <c r="T45" s="153">
        <f t="shared" si="31"/>
        <v>-7.5757575757575996E-2</v>
      </c>
      <c r="U45" s="19"/>
      <c r="V45" s="54">
        <v>0.122</v>
      </c>
      <c r="W45" s="152">
        <f t="shared" si="41"/>
        <v>4.3919999999999995</v>
      </c>
      <c r="X45" s="19"/>
      <c r="Y45" s="21">
        <f t="shared" si="14"/>
        <v>0</v>
      </c>
      <c r="Z45" s="153">
        <f t="shared" si="32"/>
        <v>0</v>
      </c>
      <c r="AA45" s="19"/>
      <c r="AB45" s="54">
        <v>0.122</v>
      </c>
      <c r="AC45" s="152">
        <f t="shared" si="38"/>
        <v>4.3919999999999995</v>
      </c>
      <c r="AD45" s="19"/>
      <c r="AE45" s="21">
        <f t="shared" si="15"/>
        <v>0</v>
      </c>
      <c r="AF45" s="153">
        <f t="shared" si="33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36</v>
      </c>
      <c r="G46" s="54">
        <v>0.18</v>
      </c>
      <c r="H46" s="152">
        <f t="shared" si="34"/>
        <v>6.4799999999999995</v>
      </c>
      <c r="I46" s="19"/>
      <c r="J46" s="54">
        <f>+G46</f>
        <v>0.18</v>
      </c>
      <c r="K46" s="152">
        <f t="shared" si="39"/>
        <v>6.4799999999999995</v>
      </c>
      <c r="L46" s="19"/>
      <c r="M46" s="21">
        <f t="shared" si="29"/>
        <v>0</v>
      </c>
      <c r="N46" s="153">
        <f t="shared" si="30"/>
        <v>0</v>
      </c>
      <c r="O46" s="212"/>
      <c r="P46" s="54">
        <v>0.161</v>
      </c>
      <c r="Q46" s="152">
        <f t="shared" si="40"/>
        <v>5.7960000000000003</v>
      </c>
      <c r="R46" s="19"/>
      <c r="S46" s="21">
        <f t="shared" si="13"/>
        <v>-0.68399999999999928</v>
      </c>
      <c r="T46" s="153">
        <f t="shared" si="31"/>
        <v>-0.10555555555555546</v>
      </c>
      <c r="U46" s="19"/>
      <c r="V46" s="54">
        <v>0.161</v>
      </c>
      <c r="W46" s="152">
        <f t="shared" si="41"/>
        <v>5.7960000000000003</v>
      </c>
      <c r="X46" s="19"/>
      <c r="Y46" s="21">
        <f t="shared" si="14"/>
        <v>0</v>
      </c>
      <c r="Z46" s="153">
        <f t="shared" si="32"/>
        <v>0</v>
      </c>
      <c r="AA46" s="19"/>
      <c r="AB46" s="54">
        <v>0.161</v>
      </c>
      <c r="AC46" s="152">
        <f t="shared" si="38"/>
        <v>5.7960000000000003</v>
      </c>
      <c r="AD46" s="19"/>
      <c r="AE46" s="21">
        <f t="shared" si="15"/>
        <v>0</v>
      </c>
      <c r="AF46" s="153">
        <f t="shared" si="33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200</v>
      </c>
      <c r="G47" s="54">
        <v>0.10299999999999999</v>
      </c>
      <c r="H47" s="152">
        <f t="shared" si="34"/>
        <v>20.599999999999998</v>
      </c>
      <c r="I47" s="59"/>
      <c r="J47" s="54">
        <f>+G47</f>
        <v>0.10299999999999999</v>
      </c>
      <c r="K47" s="152">
        <f t="shared" si="39"/>
        <v>20.599999999999998</v>
      </c>
      <c r="L47" s="59"/>
      <c r="M47" s="60">
        <f t="shared" si="29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18.8</v>
      </c>
      <c r="R47" s="59"/>
      <c r="S47" s="60">
        <f t="shared" si="13"/>
        <v>-1.7999999999999972</v>
      </c>
      <c r="T47" s="153">
        <f>IF((K47)=FALSE,"",(S47/K47))</f>
        <v>-8.7378640776698907E-2</v>
      </c>
      <c r="U47" s="59"/>
      <c r="V47" s="54">
        <v>9.4E-2</v>
      </c>
      <c r="W47" s="152">
        <f t="shared" si="41"/>
        <v>18.8</v>
      </c>
      <c r="X47" s="59"/>
      <c r="Y47" s="60">
        <f t="shared" si="14"/>
        <v>0</v>
      </c>
      <c r="Z47" s="153">
        <f>IF((Q47)=FALSE,"",(Y47/Q47))</f>
        <v>0</v>
      </c>
      <c r="AA47" s="59"/>
      <c r="AB47" s="54">
        <v>9.4E-2</v>
      </c>
      <c r="AC47" s="152">
        <f t="shared" si="38"/>
        <v>18.8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0.121</v>
      </c>
      <c r="H48" s="152">
        <f t="shared" si="34"/>
        <v>0</v>
      </c>
      <c r="I48" s="59"/>
      <c r="J48" s="54">
        <f>+G48</f>
        <v>0.121</v>
      </c>
      <c r="K48" s="152">
        <f t="shared" si="39"/>
        <v>0</v>
      </c>
      <c r="L48" s="59"/>
      <c r="M48" s="60">
        <f t="shared" si="29"/>
        <v>0</v>
      </c>
      <c r="N48" s="207" t="str">
        <f>IFERROR(IF((H48)=FALSE,"",(M48/H48)),"n/a")</f>
        <v>n/a</v>
      </c>
      <c r="O48" s="212"/>
      <c r="P48" s="54">
        <v>0.11</v>
      </c>
      <c r="Q48" s="152">
        <f t="shared" si="40"/>
        <v>0</v>
      </c>
      <c r="R48" s="59"/>
      <c r="S48" s="60">
        <f t="shared" si="13"/>
        <v>0</v>
      </c>
      <c r="T48" s="153" t="e">
        <f>IF((K48)=FALSE,"",(S48/K48))</f>
        <v>#DIV/0!</v>
      </c>
      <c r="U48" s="59"/>
      <c r="V48" s="54">
        <v>0.11</v>
      </c>
      <c r="W48" s="152">
        <f t="shared" si="41"/>
        <v>0</v>
      </c>
      <c r="X48" s="59"/>
      <c r="Y48" s="60">
        <f t="shared" si="14"/>
        <v>0</v>
      </c>
      <c r="Z48" s="153" t="e">
        <f>IF((Q48)=FALSE,"",(Y48/Q48))</f>
        <v>#DIV/0!</v>
      </c>
      <c r="AA48" s="59"/>
      <c r="AB48" s="54">
        <v>0.11</v>
      </c>
      <c r="AC48" s="152">
        <f t="shared" si="38"/>
        <v>0</v>
      </c>
      <c r="AD48" s="59"/>
      <c r="AE48" s="60">
        <f t="shared" si="15"/>
        <v>0</v>
      </c>
      <c r="AF48" s="153" t="e">
        <f>IF((W48)=FALSE,"",(AE48/W48))</f>
        <v>#DIV/0!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212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50.425035998801434</v>
      </c>
      <c r="I50" s="75"/>
      <c r="J50" s="72"/>
      <c r="K50" s="74">
        <f>SUM(K40:K46,K39)</f>
        <v>51.67010520021141</v>
      </c>
      <c r="L50" s="75"/>
      <c r="M50" s="76">
        <f t="shared" si="29"/>
        <v>1.2450692014099758</v>
      </c>
      <c r="N50" s="77">
        <f>IF((H50)=0,"",(M50/H50))</f>
        <v>2.4691488597837988E-2</v>
      </c>
      <c r="O50" s="212"/>
      <c r="P50" s="72"/>
      <c r="Q50" s="74">
        <f>SUM(Q40:Q46,Q39)</f>
        <v>49.730105200211412</v>
      </c>
      <c r="R50" s="75"/>
      <c r="S50" s="76">
        <f t="shared" si="13"/>
        <v>-1.9399999999999977</v>
      </c>
      <c r="T50" s="77">
        <f>IF((K50)=0,"",(S50/K50))</f>
        <v>-3.7545888332970921E-2</v>
      </c>
      <c r="U50" s="75"/>
      <c r="V50" s="72"/>
      <c r="W50" s="74">
        <f>SUM(W40:W46,W39)</f>
        <v>51.210105200283778</v>
      </c>
      <c r="X50" s="75"/>
      <c r="Y50" s="76">
        <f t="shared" si="14"/>
        <v>1.4800000000723657</v>
      </c>
      <c r="Z50" s="77">
        <f>IF((Q50)=0,"",(Y50/Q50))</f>
        <v>2.9760644867207597E-2</v>
      </c>
      <c r="AA50" s="75"/>
      <c r="AB50" s="72"/>
      <c r="AC50" s="74">
        <f>SUM(AC40:AC46,AC39)</f>
        <v>52.710054815253095</v>
      </c>
      <c r="AD50" s="75"/>
      <c r="AE50" s="76">
        <f t="shared" si="15"/>
        <v>1.4999496149693172</v>
      </c>
      <c r="AF50" s="77">
        <f>IF((W50)=0,"",(AE50/W50))</f>
        <v>2.9290110010572783E-2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6.5552546798441869</v>
      </c>
      <c r="I51" s="81"/>
      <c r="J51" s="79">
        <v>0.13</v>
      </c>
      <c r="K51" s="82">
        <f>K50*J51</f>
        <v>6.7171136760274832</v>
      </c>
      <c r="L51" s="81"/>
      <c r="M51" s="83">
        <f t="shared" si="29"/>
        <v>0.16185899618329636</v>
      </c>
      <c r="N51" s="84">
        <f>IF((H51)=0,"",(M51/H51))</f>
        <v>2.4691488597837912E-2</v>
      </c>
      <c r="O51" s="212"/>
      <c r="P51" s="79">
        <v>0.13</v>
      </c>
      <c r="Q51" s="82">
        <f>Q50*P51</f>
        <v>6.4649136760274839</v>
      </c>
      <c r="R51" s="81"/>
      <c r="S51" s="83">
        <f t="shared" si="13"/>
        <v>-0.25219999999999931</v>
      </c>
      <c r="T51" s="84">
        <f>IF((K51)=0,"",(S51/K51))</f>
        <v>-3.7545888332970866E-2</v>
      </c>
      <c r="U51" s="81"/>
      <c r="V51" s="79">
        <v>0.13</v>
      </c>
      <c r="W51" s="82">
        <f>W50*V51</f>
        <v>6.6573136760368916</v>
      </c>
      <c r="X51" s="81"/>
      <c r="Y51" s="83">
        <f t="shared" si="14"/>
        <v>0.19240000000940771</v>
      </c>
      <c r="Z51" s="84">
        <f>IF((Q51)=0,"",(Y51/Q51))</f>
        <v>2.9760644867207624E-2</v>
      </c>
      <c r="AA51" s="81"/>
      <c r="AB51" s="79">
        <v>0.13</v>
      </c>
      <c r="AC51" s="82">
        <f>AC50*AB51</f>
        <v>6.8523071259829029</v>
      </c>
      <c r="AD51" s="81"/>
      <c r="AE51" s="83">
        <f t="shared" si="15"/>
        <v>0.19499344994601131</v>
      </c>
      <c r="AF51" s="84">
        <f>IF((W51)=0,"",(AE51/W51))</f>
        <v>2.929011001057279E-2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56.980290678645623</v>
      </c>
      <c r="I52" s="81"/>
      <c r="J52" s="86"/>
      <c r="K52" s="82">
        <f>K50+K51</f>
        <v>58.38721887623889</v>
      </c>
      <c r="L52" s="81"/>
      <c r="M52" s="83">
        <f t="shared" si="29"/>
        <v>1.4069281975932668</v>
      </c>
      <c r="N52" s="84">
        <f>IF((H52)=0,"",(M52/H52))</f>
        <v>2.4691488597837888E-2</v>
      </c>
      <c r="O52" s="212"/>
      <c r="P52" s="86"/>
      <c r="Q52" s="82">
        <f>Q50+Q51</f>
        <v>56.195018876238898</v>
      </c>
      <c r="R52" s="81"/>
      <c r="S52" s="83">
        <f t="shared" si="13"/>
        <v>-2.1921999999999926</v>
      </c>
      <c r="T52" s="84">
        <f>IF((K52)=0,"",(S52/K52))</f>
        <v>-3.7545888332970838E-2</v>
      </c>
      <c r="U52" s="81"/>
      <c r="V52" s="86"/>
      <c r="W52" s="82">
        <f>W50+W51</f>
        <v>57.86741887632067</v>
      </c>
      <c r="X52" s="81"/>
      <c r="Y52" s="83">
        <f t="shared" si="14"/>
        <v>1.6724000000817725</v>
      </c>
      <c r="Z52" s="84">
        <f>IF((Q52)=0,"",(Y52/Q52))</f>
        <v>2.9760644867207586E-2</v>
      </c>
      <c r="AA52" s="81"/>
      <c r="AB52" s="86"/>
      <c r="AC52" s="82">
        <f>AC50+AC51</f>
        <v>59.562361941235999</v>
      </c>
      <c r="AD52" s="81"/>
      <c r="AE52" s="83">
        <f t="shared" si="15"/>
        <v>1.6949430649153285</v>
      </c>
      <c r="AF52" s="84">
        <f>IF((W52)=0,"",(AE52/W52))</f>
        <v>2.9290110010572783E-2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-4.1336084160169131</v>
      </c>
      <c r="L53" s="81"/>
      <c r="M53" s="88">
        <f t="shared" si="29"/>
        <v>-4.1336084160169131</v>
      </c>
      <c r="N53" s="89" t="str">
        <f>IF((H53)=0,"",(M53/H53))</f>
        <v/>
      </c>
      <c r="O53" s="212"/>
      <c r="P53" s="86"/>
      <c r="Q53" s="87">
        <f>ROUND(-Q52*10%,2)</f>
        <v>-5.62</v>
      </c>
      <c r="R53" s="81"/>
      <c r="S53" s="88">
        <f t="shared" si="13"/>
        <v>-1.486391583983087</v>
      </c>
      <c r="T53" s="89">
        <f>IF((K53)=0,"",(S53/K53))</f>
        <v>0.35958693576866507</v>
      </c>
      <c r="U53" s="81"/>
      <c r="V53" s="86"/>
      <c r="W53" s="87">
        <f>ROUND(-W52*10%,2)</f>
        <v>-5.79</v>
      </c>
      <c r="X53" s="81"/>
      <c r="Y53" s="88">
        <f t="shared" si="14"/>
        <v>-0.16999999999999993</v>
      </c>
      <c r="Z53" s="89">
        <f>IF((Q53)=0,"",(Y53/Q53))</f>
        <v>3.0249110320284683E-2</v>
      </c>
      <c r="AA53" s="81"/>
      <c r="AB53" s="86"/>
      <c r="AC53" s="87">
        <f>ROUND(-AC52*10%,2)</f>
        <v>-5.96</v>
      </c>
      <c r="AD53" s="81"/>
      <c r="AE53" s="88">
        <f t="shared" si="15"/>
        <v>-0.16999999999999993</v>
      </c>
      <c r="AF53" s="89">
        <f>IF((W53)=0,"",(AE53/W53))</f>
        <v>2.936096718480137E-2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56.980290678645623</v>
      </c>
      <c r="I54" s="92"/>
      <c r="J54" s="90"/>
      <c r="K54" s="93">
        <f>K52+K53</f>
        <v>54.253610460221978</v>
      </c>
      <c r="L54" s="92"/>
      <c r="M54" s="94">
        <f t="shared" si="29"/>
        <v>-2.7266802184236454</v>
      </c>
      <c r="N54" s="95">
        <f>IF((H54)=0,"",(M54/H54))</f>
        <v>-4.7853041568380716E-2</v>
      </c>
      <c r="O54" s="212"/>
      <c r="P54" s="90"/>
      <c r="Q54" s="93">
        <f>Q52+Q53</f>
        <v>50.5750188762389</v>
      </c>
      <c r="R54" s="92"/>
      <c r="S54" s="94">
        <f t="shared" si="13"/>
        <v>-3.6785915839830778</v>
      </c>
      <c r="T54" s="95">
        <f>IF((K54)=0,"",(S54/K54))</f>
        <v>-6.7803627312143067E-2</v>
      </c>
      <c r="U54" s="92"/>
      <c r="V54" s="90"/>
      <c r="W54" s="93">
        <f>W52+W53</f>
        <v>52.077418876320671</v>
      </c>
      <c r="X54" s="92"/>
      <c r="Y54" s="94">
        <f t="shared" si="14"/>
        <v>1.5024000000817708</v>
      </c>
      <c r="Z54" s="95">
        <f>IF((Q54)=0,"",(Y54/Q54))</f>
        <v>2.9706365582547054E-2</v>
      </c>
      <c r="AA54" s="92"/>
      <c r="AB54" s="90"/>
      <c r="AC54" s="93">
        <f>AC52+AC53</f>
        <v>53.602361941235998</v>
      </c>
      <c r="AD54" s="92"/>
      <c r="AE54" s="94">
        <f t="shared" si="15"/>
        <v>1.5249430649153268</v>
      </c>
      <c r="AF54" s="95">
        <f>IF((W54)=0,"",(AE54/W54))</f>
        <v>2.9282232065627786E-2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212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48.657035998801433</v>
      </c>
      <c r="I56" s="106"/>
      <c r="J56" s="103"/>
      <c r="K56" s="105">
        <f>SUM(K47:K48,K39,K40:K43)</f>
        <v>49.902105200211416</v>
      </c>
      <c r="L56" s="106"/>
      <c r="M56" s="107">
        <f t="shared" si="29"/>
        <v>1.2450692014099829</v>
      </c>
      <c r="N56" s="77">
        <f>IF((H56)=0,"",(M56/H56))</f>
        <v>2.5588677482135423E-2</v>
      </c>
      <c r="O56" s="212"/>
      <c r="P56" s="103"/>
      <c r="Q56" s="105">
        <f>SUM(Q47:Q48,Q39,Q40:Q43)</f>
        <v>48.102105200211419</v>
      </c>
      <c r="R56" s="106"/>
      <c r="S56" s="107">
        <f t="shared" si="13"/>
        <v>-1.7999999999999972</v>
      </c>
      <c r="T56" s="77">
        <f>IF((K56)=0,"",(S56/K56))</f>
        <v>-3.6070622527411354E-2</v>
      </c>
      <c r="U56" s="106"/>
      <c r="V56" s="103"/>
      <c r="W56" s="105">
        <f>SUM(W47:W48,W39,W40:W43)</f>
        <v>49.58210520028377</v>
      </c>
      <c r="X56" s="106"/>
      <c r="Y56" s="107">
        <f t="shared" si="14"/>
        <v>1.4800000000723514</v>
      </c>
      <c r="Z56" s="77">
        <f>IF((Q56)=0,"",(Y56/Q56))</f>
        <v>3.0767884147944662E-2</v>
      </c>
      <c r="AA56" s="106"/>
      <c r="AB56" s="103"/>
      <c r="AC56" s="105">
        <f>SUM(AC47:AC48,AC39,AC40:AC43)</f>
        <v>51.082054815253095</v>
      </c>
      <c r="AD56" s="106"/>
      <c r="AE56" s="107">
        <f t="shared" si="15"/>
        <v>1.4999496149693243</v>
      </c>
      <c r="AF56" s="77">
        <f>IF((W56)=0,"",(AE56/W56))</f>
        <v>3.0251833981440945E-2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6.3254146798441866</v>
      </c>
      <c r="I57" s="110"/>
      <c r="J57" s="109">
        <v>0.13</v>
      </c>
      <c r="K57" s="111">
        <f>K56*J57</f>
        <v>6.4872736760274847</v>
      </c>
      <c r="L57" s="110"/>
      <c r="M57" s="112">
        <f t="shared" si="29"/>
        <v>0.16185899618329813</v>
      </c>
      <c r="N57" s="84">
        <f>IF((H57)=0,"",(M57/H57))</f>
        <v>2.5588677482135478E-2</v>
      </c>
      <c r="O57" s="212"/>
      <c r="P57" s="109">
        <v>0.13</v>
      </c>
      <c r="Q57" s="111">
        <f>Q56*P57</f>
        <v>6.2532736760274847</v>
      </c>
      <c r="R57" s="110"/>
      <c r="S57" s="112">
        <f t="shared" si="13"/>
        <v>-0.23399999999999999</v>
      </c>
      <c r="T57" s="84">
        <f>IF((K57)=0,"",(S57/K57))</f>
        <v>-3.6070622527411403E-2</v>
      </c>
      <c r="U57" s="110"/>
      <c r="V57" s="109">
        <v>0.13</v>
      </c>
      <c r="W57" s="111">
        <f>W56*V57</f>
        <v>6.4456736760368907</v>
      </c>
      <c r="X57" s="110"/>
      <c r="Y57" s="112">
        <f t="shared" si="14"/>
        <v>0.19240000000940594</v>
      </c>
      <c r="Z57" s="84">
        <f>IF((Q57)=0,"",(Y57/Q57))</f>
        <v>3.07678841479447E-2</v>
      </c>
      <c r="AA57" s="110"/>
      <c r="AB57" s="109">
        <v>0.13</v>
      </c>
      <c r="AC57" s="111">
        <f>AC56*AB57</f>
        <v>6.6406671259829029</v>
      </c>
      <c r="AD57" s="110"/>
      <c r="AE57" s="112">
        <f t="shared" si="15"/>
        <v>0.1949934499460122</v>
      </c>
      <c r="AF57" s="84">
        <f>IF((W57)=0,"",(AE57/W57))</f>
        <v>3.0251833981440948E-2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54.98245067864562</v>
      </c>
      <c r="I58" s="110"/>
      <c r="J58" s="114"/>
      <c r="K58" s="111">
        <f>K56+K57</f>
        <v>56.389378876238901</v>
      </c>
      <c r="L58" s="110"/>
      <c r="M58" s="112">
        <f t="shared" si="29"/>
        <v>1.406928197593281</v>
      </c>
      <c r="N58" s="84">
        <f>IF((H58)=0,"",(M58/H58))</f>
        <v>2.5588677482135429E-2</v>
      </c>
      <c r="O58" s="212"/>
      <c r="P58" s="114"/>
      <c r="Q58" s="111">
        <f>Q56+Q57</f>
        <v>54.355378876238902</v>
      </c>
      <c r="R58" s="110"/>
      <c r="S58" s="112">
        <f t="shared" si="13"/>
        <v>-2.0339999999999989</v>
      </c>
      <c r="T58" s="84">
        <f>IF((K58)=0,"",(S58/K58))</f>
        <v>-3.6070622527411389E-2</v>
      </c>
      <c r="U58" s="110"/>
      <c r="V58" s="114"/>
      <c r="W58" s="111">
        <f>W56+W57</f>
        <v>56.02777887632066</v>
      </c>
      <c r="X58" s="110"/>
      <c r="Y58" s="112">
        <f t="shared" si="14"/>
        <v>1.6724000000817583</v>
      </c>
      <c r="Z58" s="84">
        <f>IF((Q58)=0,"",(Y58/Q58))</f>
        <v>3.0767884147944683E-2</v>
      </c>
      <c r="AA58" s="110"/>
      <c r="AB58" s="114"/>
      <c r="AC58" s="111">
        <f>AC56+AC57</f>
        <v>57.722721941235996</v>
      </c>
      <c r="AD58" s="110"/>
      <c r="AE58" s="112">
        <f t="shared" si="15"/>
        <v>1.6949430649153356</v>
      </c>
      <c r="AF58" s="84">
        <f>IF((W58)=0,"",(AE58/W58))</f>
        <v>3.0251833981440931E-2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-3.9921684160169133</v>
      </c>
      <c r="L59" s="110"/>
      <c r="M59" s="117">
        <f t="shared" si="29"/>
        <v>-3.9921684160169133</v>
      </c>
      <c r="N59" s="89" t="str">
        <f>IF((H59)=0,"",(M59/H59))</f>
        <v/>
      </c>
      <c r="O59" s="212"/>
      <c r="P59" s="114"/>
      <c r="Q59" s="116">
        <f>ROUND(-Q58*10%,2)</f>
        <v>-5.44</v>
      </c>
      <c r="R59" s="110"/>
      <c r="S59" s="117">
        <f t="shared" si="13"/>
        <v>-1.4478315839830871</v>
      </c>
      <c r="T59" s="89">
        <f>IF((K59)=0,"",(S59/K59))</f>
        <v>0.36266796214665337</v>
      </c>
      <c r="U59" s="110"/>
      <c r="V59" s="114"/>
      <c r="W59" s="116">
        <f>ROUND(-W58*10%,2)</f>
        <v>-5.6</v>
      </c>
      <c r="X59" s="110"/>
      <c r="Y59" s="117">
        <f t="shared" si="14"/>
        <v>-0.15999999999999925</v>
      </c>
      <c r="Z59" s="89">
        <f>IF((Q59)=0,"",(Y59/Q59))</f>
        <v>2.9411764705882214E-2</v>
      </c>
      <c r="AA59" s="110"/>
      <c r="AB59" s="114"/>
      <c r="AC59" s="116">
        <f>ROUND(-AC58*10%,2)</f>
        <v>-5.77</v>
      </c>
      <c r="AD59" s="110"/>
      <c r="AE59" s="117">
        <f t="shared" si="15"/>
        <v>-0.16999999999999993</v>
      </c>
      <c r="AF59" s="89">
        <f>IF((W59)=0,"",(AE59/W59))</f>
        <v>3.0357142857142846E-2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54.98245067864562</v>
      </c>
      <c r="I60" s="120"/>
      <c r="J60" s="118"/>
      <c r="K60" s="121">
        <f>SUM(K58:K59)</f>
        <v>52.397210460221984</v>
      </c>
      <c r="L60" s="120"/>
      <c r="M60" s="122">
        <f t="shared" si="29"/>
        <v>-2.5852402184236354</v>
      </c>
      <c r="N60" s="123">
        <f>IF((H60)=0,"",(M60/H60))</f>
        <v>-4.7019370481201646E-2</v>
      </c>
      <c r="O60" s="212"/>
      <c r="P60" s="118"/>
      <c r="Q60" s="121">
        <f>SUM(Q58:Q59)</f>
        <v>48.915378876238904</v>
      </c>
      <c r="R60" s="120"/>
      <c r="S60" s="122">
        <f t="shared" si="13"/>
        <v>-3.4818315839830802</v>
      </c>
      <c r="T60" s="123">
        <f>IF((K60)=0,"",(S60/K60))</f>
        <v>-6.6450705169244798E-2</v>
      </c>
      <c r="U60" s="120"/>
      <c r="V60" s="118"/>
      <c r="W60" s="121">
        <f>SUM(W58:W59)</f>
        <v>50.427778876320659</v>
      </c>
      <c r="X60" s="120"/>
      <c r="Y60" s="122">
        <f t="shared" si="14"/>
        <v>1.5124000000817546</v>
      </c>
      <c r="Z60" s="123">
        <f>IF((Q60)=0,"",(Y60/Q60))</f>
        <v>3.0918701537777864E-2</v>
      </c>
      <c r="AA60" s="120"/>
      <c r="AB60" s="118"/>
      <c r="AC60" s="121">
        <f>SUM(AC58:AC59)</f>
        <v>51.952721941235993</v>
      </c>
      <c r="AD60" s="120"/>
      <c r="AE60" s="122">
        <f t="shared" si="15"/>
        <v>1.5249430649153339</v>
      </c>
      <c r="AF60" s="123">
        <f>IF((W60)=0,"",(AE60/W60))</f>
        <v>3.0240139440910425E-2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J62" s="142"/>
      <c r="K62" s="142"/>
      <c r="L62" s="142"/>
      <c r="N62" s="145"/>
      <c r="O62" s="212"/>
      <c r="P62" s="142"/>
      <c r="Q62" s="142"/>
      <c r="R62" s="142"/>
      <c r="T62" s="145"/>
      <c r="U62" s="142"/>
      <c r="V62" s="142"/>
      <c r="W62" s="142"/>
      <c r="X62" s="142"/>
      <c r="Z62" s="145"/>
      <c r="AA62" s="142"/>
      <c r="AB62" s="142"/>
      <c r="AC62" s="142"/>
      <c r="AD62" s="142"/>
      <c r="AF62" s="145"/>
      <c r="AG62" s="142"/>
      <c r="AH62" s="142"/>
      <c r="AI62" s="142"/>
    </row>
    <row r="63" spans="2:36" x14ac:dyDescent="0.2">
      <c r="B63" s="7" t="s">
        <v>38</v>
      </c>
      <c r="G63" s="129">
        <v>3.7900000000000003E-2</v>
      </c>
      <c r="I63" s="142"/>
      <c r="J63" s="142"/>
      <c r="K63" s="142"/>
      <c r="L63" s="142"/>
      <c r="M63" s="129">
        <v>3.7900000000000003E-2</v>
      </c>
      <c r="N63" s="142"/>
      <c r="O63" s="142"/>
      <c r="P63" s="142"/>
      <c r="Q63" s="142"/>
      <c r="R63" s="142"/>
      <c r="S63" s="129">
        <v>3.7900000000000003E-2</v>
      </c>
      <c r="T63" s="142"/>
      <c r="U63" s="142"/>
      <c r="V63" s="142"/>
      <c r="W63" s="142"/>
      <c r="X63" s="142"/>
      <c r="Y63" s="129">
        <v>3.7900000000000003E-2</v>
      </c>
      <c r="Z63" s="142"/>
      <c r="AA63" s="142"/>
      <c r="AB63" s="142"/>
      <c r="AC63" s="142"/>
      <c r="AD63" s="142"/>
      <c r="AE63" s="129">
        <v>3.7900000000000003E-2</v>
      </c>
      <c r="AF63" s="142"/>
      <c r="AG63" s="142"/>
      <c r="AH63" s="142"/>
      <c r="AI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scale="53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8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9.140625" style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50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219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18.8</v>
      </c>
      <c r="H12" s="18">
        <f t="shared" ref="H12:H27" si="0">$F12*G12</f>
        <v>18.8</v>
      </c>
      <c r="I12" s="19"/>
      <c r="J12" s="209">
        <v>21.34</v>
      </c>
      <c r="K12" s="18">
        <f t="shared" ref="K12:K27" si="1">$F12*J12</f>
        <v>21.34</v>
      </c>
      <c r="L12" s="19"/>
      <c r="M12" s="21">
        <f t="shared" ref="M12:M21" si="2">K12-H12</f>
        <v>2.5399999999999991</v>
      </c>
      <c r="N12" s="22">
        <f t="shared" ref="N12:N21" si="3">IF((H12)=0,"",(M12/H12))</f>
        <v>0.13510638297872335</v>
      </c>
      <c r="O12" s="212"/>
      <c r="P12" s="16">
        <v>21.34</v>
      </c>
      <c r="Q12" s="18">
        <f t="shared" ref="Q12:Q27" si="4">$F12*P12</f>
        <v>21.34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23.89</v>
      </c>
      <c r="W12" s="18">
        <f t="shared" ref="W12:W27" si="6">$F12*V12</f>
        <v>23.89</v>
      </c>
      <c r="X12" s="19"/>
      <c r="Y12" s="21">
        <f>W12-Q12</f>
        <v>2.5500000000000007</v>
      </c>
      <c r="Z12" s="22">
        <f t="shared" ref="Z12:Z34" si="7">IF((Q12)=0,"",(Y12/Q12))</f>
        <v>0.11949390815370201</v>
      </c>
      <c r="AA12" s="19"/>
      <c r="AB12" s="16">
        <v>27</v>
      </c>
      <c r="AC12" s="18">
        <f t="shared" ref="AC12:AC27" si="8">$F12*AB12</f>
        <v>27</v>
      </c>
      <c r="AD12" s="19"/>
      <c r="AE12" s="21">
        <f>AC12-W12</f>
        <v>3.1099999999999994</v>
      </c>
      <c r="AF12" s="22">
        <f t="shared" ref="AF12:AF34" si="9">IF((W12)=0,"",(AE12/W12))</f>
        <v>0.13017999162829633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0.79</v>
      </c>
      <c r="H13" s="18">
        <f t="shared" si="0"/>
        <v>0.79</v>
      </c>
      <c r="I13" s="19"/>
      <c r="J13" s="209">
        <v>0.79</v>
      </c>
      <c r="K13" s="18">
        <f t="shared" si="1"/>
        <v>0.79</v>
      </c>
      <c r="L13" s="19"/>
      <c r="M13" s="21">
        <f t="shared" si="2"/>
        <v>0</v>
      </c>
      <c r="N13" s="22">
        <f t="shared" si="3"/>
        <v>0</v>
      </c>
      <c r="O13" s="212"/>
      <c r="P13" s="16">
        <v>0.79</v>
      </c>
      <c r="Q13" s="18">
        <f t="shared" si="4"/>
        <v>0.79</v>
      </c>
      <c r="R13" s="19"/>
      <c r="S13" s="21">
        <f t="shared" ref="S13:S60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:Y60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:AE60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si="10"/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si="11"/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si="12"/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0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1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2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0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1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2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0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1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2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0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1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2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219</v>
      </c>
      <c r="G19" s="16">
        <v>1.21E-2</v>
      </c>
      <c r="H19" s="18">
        <f t="shared" si="0"/>
        <v>2.6498999999999997</v>
      </c>
      <c r="I19" s="19"/>
      <c r="J19" s="16">
        <v>8.0999999999999996E-3</v>
      </c>
      <c r="K19" s="18">
        <f t="shared" si="1"/>
        <v>1.7738999999999998</v>
      </c>
      <c r="L19" s="19"/>
      <c r="M19" s="21">
        <f t="shared" si="2"/>
        <v>-0.87599999999999989</v>
      </c>
      <c r="N19" s="22">
        <f t="shared" si="3"/>
        <v>-0.33057851239669422</v>
      </c>
      <c r="O19" s="212"/>
      <c r="P19" s="16">
        <v>8.0999999999999996E-3</v>
      </c>
      <c r="Q19" s="18">
        <f t="shared" si="4"/>
        <v>1.7738999999999998</v>
      </c>
      <c r="R19" s="19"/>
      <c r="S19" s="21">
        <f t="shared" si="10"/>
        <v>0</v>
      </c>
      <c r="T19" s="22">
        <f t="shared" si="5"/>
        <v>0</v>
      </c>
      <c r="U19" s="19"/>
      <c r="V19" s="16">
        <v>4.1000000000000003E-3</v>
      </c>
      <c r="W19" s="18">
        <f t="shared" si="6"/>
        <v>0.89790000000000003</v>
      </c>
      <c r="X19" s="19"/>
      <c r="Y19" s="21">
        <f t="shared" si="11"/>
        <v>-0.87599999999999978</v>
      </c>
      <c r="Z19" s="22">
        <f t="shared" si="7"/>
        <v>-0.49382716049382708</v>
      </c>
      <c r="AA19" s="19"/>
      <c r="AB19" s="16">
        <v>0</v>
      </c>
      <c r="AC19" s="18">
        <f t="shared" si="8"/>
        <v>0</v>
      </c>
      <c r="AD19" s="19"/>
      <c r="AE19" s="21">
        <f t="shared" si="12"/>
        <v>-0.89790000000000003</v>
      </c>
      <c r="AF19" s="22">
        <f t="shared" si="9"/>
        <v>-1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0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1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2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219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0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1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2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27" si="13">$G$7</f>
        <v>219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60" si="14">K24-H24</f>
        <v>0</v>
      </c>
      <c r="N24" s="22" t="str">
        <f t="shared" ref="N24:N30" si="15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0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1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2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3"/>
        <v>219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4"/>
        <v>0</v>
      </c>
      <c r="N25" s="22" t="str">
        <f t="shared" si="15"/>
        <v/>
      </c>
      <c r="O25" s="212"/>
      <c r="P25" s="16"/>
      <c r="Q25" s="18">
        <f t="shared" si="4"/>
        <v>0</v>
      </c>
      <c r="R25" s="19"/>
      <c r="S25" s="21">
        <f t="shared" si="10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1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2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3"/>
        <v>219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4"/>
        <v>0</v>
      </c>
      <c r="N26" s="22" t="str">
        <f t="shared" si="15"/>
        <v/>
      </c>
      <c r="O26" s="212"/>
      <c r="P26" s="16"/>
      <c r="Q26" s="18">
        <f t="shared" si="4"/>
        <v>0</v>
      </c>
      <c r="R26" s="19"/>
      <c r="S26" s="21">
        <f t="shared" si="10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1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2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3"/>
        <v>219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4"/>
        <v>0</v>
      </c>
      <c r="N27" s="22" t="str">
        <f t="shared" si="15"/>
        <v/>
      </c>
      <c r="O27" s="212"/>
      <c r="P27" s="16"/>
      <c r="Q27" s="18">
        <f t="shared" si="4"/>
        <v>0</v>
      </c>
      <c r="R27" s="19"/>
      <c r="S27" s="21">
        <f t="shared" si="10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1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2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22.239899999999999</v>
      </c>
      <c r="I28" s="31"/>
      <c r="J28" s="28"/>
      <c r="K28" s="30">
        <f>SUM(K12:K27)</f>
        <v>23.9039</v>
      </c>
      <c r="L28" s="31"/>
      <c r="M28" s="32">
        <f t="shared" si="14"/>
        <v>1.6640000000000015</v>
      </c>
      <c r="N28" s="33">
        <f t="shared" si="15"/>
        <v>7.4820480307915119E-2</v>
      </c>
      <c r="O28" s="212"/>
      <c r="P28" s="28"/>
      <c r="Q28" s="30">
        <f>SUM(Q12:Q27)</f>
        <v>23.9039</v>
      </c>
      <c r="R28" s="31"/>
      <c r="S28" s="32">
        <f t="shared" si="10"/>
        <v>0</v>
      </c>
      <c r="T28" s="33">
        <f t="shared" si="5"/>
        <v>0</v>
      </c>
      <c r="U28" s="31"/>
      <c r="V28" s="28"/>
      <c r="W28" s="30">
        <f>SUM(W12:W27)</f>
        <v>24.7879</v>
      </c>
      <c r="X28" s="31"/>
      <c r="Y28" s="32">
        <f t="shared" si="11"/>
        <v>0.88400000000000034</v>
      </c>
      <c r="Z28" s="33">
        <f t="shared" si="7"/>
        <v>3.6981413074853905E-2</v>
      </c>
      <c r="AA28" s="31"/>
      <c r="AB28" s="28"/>
      <c r="AC28" s="30">
        <f>SUM(AC12:AC27)</f>
        <v>27</v>
      </c>
      <c r="AD28" s="31"/>
      <c r="AE28" s="32">
        <f t="shared" si="12"/>
        <v>2.2120999999999995</v>
      </c>
      <c r="AF28" s="33">
        <f t="shared" si="9"/>
        <v>8.9241121676301716E-2</v>
      </c>
    </row>
    <row r="29" spans="2:32" ht="25.5" x14ac:dyDescent="0.2">
      <c r="B29" s="134" t="s">
        <v>17</v>
      </c>
      <c r="C29" s="14"/>
      <c r="D29" s="15" t="s">
        <v>54</v>
      </c>
      <c r="E29" s="15"/>
      <c r="F29" s="17">
        <f>$G$7</f>
        <v>219</v>
      </c>
      <c r="G29" s="16">
        <v>3.3021965494891908E-4</v>
      </c>
      <c r="H29" s="18">
        <f t="shared" ref="H29:H35" si="16">$F29*G29</f>
        <v>7.2318104433813271E-2</v>
      </c>
      <c r="I29" s="19"/>
      <c r="J29" s="16">
        <v>-2.5999999999999999E-3</v>
      </c>
      <c r="K29" s="18">
        <f t="shared" ref="K29:K35" si="17">$F29*J29</f>
        <v>-0.56940000000000002</v>
      </c>
      <c r="L29" s="19"/>
      <c r="M29" s="21">
        <f t="shared" si="14"/>
        <v>-0.64171810443381327</v>
      </c>
      <c r="N29" s="22">
        <f t="shared" si="15"/>
        <v>-8.873547080055511</v>
      </c>
      <c r="O29" s="212"/>
      <c r="P29" s="16">
        <v>-2.5999999999999999E-3</v>
      </c>
      <c r="Q29" s="18">
        <f t="shared" ref="Q29:Q35" si="18">$F29*P29</f>
        <v>-0.56940000000000002</v>
      </c>
      <c r="R29" s="19"/>
      <c r="S29" s="21">
        <f t="shared" si="10"/>
        <v>0</v>
      </c>
      <c r="T29" s="22">
        <f t="shared" si="5"/>
        <v>0</v>
      </c>
      <c r="U29" s="19"/>
      <c r="V29" s="16">
        <v>0</v>
      </c>
      <c r="W29" s="18">
        <f t="shared" ref="W29:W35" si="19">$F29*V29</f>
        <v>0</v>
      </c>
      <c r="X29" s="19"/>
      <c r="Y29" s="21">
        <f t="shared" si="11"/>
        <v>0.56940000000000002</v>
      </c>
      <c r="Z29" s="22">
        <f t="shared" si="7"/>
        <v>-1</v>
      </c>
      <c r="AA29" s="19"/>
      <c r="AB29" s="16">
        <v>0</v>
      </c>
      <c r="AC29" s="18">
        <f t="shared" ref="AC29:AC35" si="20">$F29*AB29</f>
        <v>0</v>
      </c>
      <c r="AD29" s="19"/>
      <c r="AE29" s="21">
        <f t="shared" si="12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219</v>
      </c>
      <c r="G30" s="16"/>
      <c r="H30" s="18">
        <f t="shared" si="16"/>
        <v>0</v>
      </c>
      <c r="I30" s="19"/>
      <c r="J30" s="16"/>
      <c r="K30" s="18">
        <f t="shared" si="17"/>
        <v>0</v>
      </c>
      <c r="L30" s="19"/>
      <c r="M30" s="21">
        <f t="shared" si="14"/>
        <v>0</v>
      </c>
      <c r="N30" s="22" t="str">
        <f t="shared" si="15"/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ref="F31:F33" si="21">$G$7</f>
        <v>219</v>
      </c>
      <c r="G31" s="16">
        <v>0</v>
      </c>
      <c r="H31" s="18">
        <f t="shared" si="16"/>
        <v>0</v>
      </c>
      <c r="I31" s="19"/>
      <c r="J31" s="16">
        <v>0</v>
      </c>
      <c r="K31" s="18">
        <f t="shared" si="17"/>
        <v>0</v>
      </c>
      <c r="L31" s="19"/>
      <c r="M31" s="21">
        <f t="shared" si="14"/>
        <v>0</v>
      </c>
      <c r="N31" s="22" t="str">
        <f>IF((H31)=0,"",(M31/H31))</f>
        <v/>
      </c>
      <c r="O31" s="212"/>
      <c r="P31" s="16">
        <v>0</v>
      </c>
      <c r="Q31" s="18">
        <f t="shared" si="18"/>
        <v>0</v>
      </c>
      <c r="R31" s="19"/>
      <c r="S31" s="21">
        <f t="shared" si="10"/>
        <v>0</v>
      </c>
      <c r="T31" s="22" t="str">
        <f t="shared" si="5"/>
        <v/>
      </c>
      <c r="U31" s="19"/>
      <c r="V31" s="16">
        <v>0</v>
      </c>
      <c r="W31" s="18">
        <f t="shared" si="19"/>
        <v>0</v>
      </c>
      <c r="X31" s="19"/>
      <c r="Y31" s="21">
        <f t="shared" si="11"/>
        <v>0</v>
      </c>
      <c r="Z31" s="22" t="str">
        <f t="shared" si="7"/>
        <v/>
      </c>
      <c r="AA31" s="19"/>
      <c r="AB31" s="16">
        <v>0</v>
      </c>
      <c r="AC31" s="18">
        <f t="shared" si="20"/>
        <v>0</v>
      </c>
      <c r="AD31" s="19"/>
      <c r="AE31" s="21">
        <f t="shared" si="12"/>
        <v>0</v>
      </c>
      <c r="AF31" s="22" t="str">
        <f t="shared" si="9"/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21"/>
        <v>219</v>
      </c>
      <c r="G32" s="16"/>
      <c r="H32" s="18">
        <f t="shared" si="16"/>
        <v>0</v>
      </c>
      <c r="I32" s="36"/>
      <c r="J32" s="16"/>
      <c r="K32" s="18">
        <f t="shared" si="17"/>
        <v>0</v>
      </c>
      <c r="L32" s="36"/>
      <c r="M32" s="21">
        <f t="shared" si="14"/>
        <v>0</v>
      </c>
      <c r="N32" s="22" t="str">
        <f>IF((H32)=0,"",(M32/H32))</f>
        <v/>
      </c>
      <c r="O32" s="212"/>
      <c r="P32" s="16"/>
      <c r="Q32" s="18">
        <f t="shared" si="18"/>
        <v>0</v>
      </c>
      <c r="R32" s="36"/>
      <c r="S32" s="21">
        <f t="shared" si="10"/>
        <v>0</v>
      </c>
      <c r="T32" s="22" t="str">
        <f t="shared" si="5"/>
        <v/>
      </c>
      <c r="U32" s="36"/>
      <c r="V32" s="16"/>
      <c r="W32" s="18">
        <f t="shared" si="19"/>
        <v>0</v>
      </c>
      <c r="X32" s="36"/>
      <c r="Y32" s="21">
        <f t="shared" si="11"/>
        <v>0</v>
      </c>
      <c r="Z32" s="22" t="str">
        <f t="shared" si="7"/>
        <v/>
      </c>
      <c r="AA32" s="36"/>
      <c r="AB32" s="16"/>
      <c r="AC32" s="18">
        <f t="shared" si="20"/>
        <v>0</v>
      </c>
      <c r="AD32" s="36"/>
      <c r="AE32" s="21">
        <f t="shared" si="12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21"/>
        <v>219</v>
      </c>
      <c r="G33" s="133">
        <v>6.0000002460806063E-5</v>
      </c>
      <c r="H33" s="18">
        <f t="shared" si="16"/>
        <v>1.3140000538916528E-2</v>
      </c>
      <c r="I33" s="19"/>
      <c r="J33" s="133">
        <v>6.0000001057066139E-5</v>
      </c>
      <c r="K33" s="18">
        <f t="shared" si="17"/>
        <v>1.3140000231497485E-2</v>
      </c>
      <c r="L33" s="19"/>
      <c r="M33" s="21">
        <f t="shared" si="14"/>
        <v>-3.0741904334663506E-10</v>
      </c>
      <c r="N33" s="22">
        <f>IF((H33)=0,"",(M33/H33))</f>
        <v>-2.3395664439750745E-8</v>
      </c>
      <c r="O33" s="212"/>
      <c r="P33" s="133">
        <v>6.0000001057066139E-5</v>
      </c>
      <c r="Q33" s="18">
        <f t="shared" si="18"/>
        <v>1.3140000231497485E-2</v>
      </c>
      <c r="R33" s="19"/>
      <c r="S33" s="21">
        <f t="shared" si="10"/>
        <v>0</v>
      </c>
      <c r="T33" s="22">
        <f t="shared" si="5"/>
        <v>0</v>
      </c>
      <c r="U33" s="19"/>
      <c r="V33" s="133">
        <v>6.000000141885779E-5</v>
      </c>
      <c r="W33" s="18">
        <f t="shared" si="19"/>
        <v>1.3140000310729856E-2</v>
      </c>
      <c r="X33" s="19"/>
      <c r="Y33" s="21">
        <f t="shared" si="11"/>
        <v>7.9232370664428231E-11</v>
      </c>
      <c r="Z33" s="22">
        <f t="shared" si="7"/>
        <v>6.0298606749262295E-9</v>
      </c>
      <c r="AA33" s="19"/>
      <c r="AB33" s="133">
        <v>5.9748076265468277E-5</v>
      </c>
      <c r="AC33" s="18">
        <f t="shared" si="20"/>
        <v>1.3084828702137553E-2</v>
      </c>
      <c r="AD33" s="19"/>
      <c r="AE33" s="21">
        <f t="shared" si="12"/>
        <v>-5.5171608592302981E-5</v>
      </c>
      <c r="AF33" s="22">
        <f t="shared" si="9"/>
        <v>-4.1987524572013116E-3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8.3001000000000147</v>
      </c>
      <c r="G34" s="38">
        <f>0.64*$G$44+0.18*$G$45+0.18*$G$46</f>
        <v>0.11183999999999999</v>
      </c>
      <c r="H34" s="18">
        <f t="shared" si="16"/>
        <v>0.92828318400000165</v>
      </c>
      <c r="I34" s="19"/>
      <c r="J34" s="38">
        <f>0.64*$G$44+0.18*$G$45+0.18*$G$46</f>
        <v>0.11183999999999999</v>
      </c>
      <c r="K34" s="18">
        <f t="shared" si="17"/>
        <v>0.92828318400000165</v>
      </c>
      <c r="L34" s="19"/>
      <c r="M34" s="21">
        <f t="shared" si="14"/>
        <v>0</v>
      </c>
      <c r="N34" s="22">
        <f>IF((H34)=0,"",(M34/H34))</f>
        <v>0</v>
      </c>
      <c r="O34" s="212"/>
      <c r="P34" s="38">
        <f>0.64*$G$44+0.18*$G$45+0.18*$G$46</f>
        <v>0.11183999999999999</v>
      </c>
      <c r="Q34" s="18">
        <f t="shared" si="18"/>
        <v>0.92828318400000165</v>
      </c>
      <c r="R34" s="19"/>
      <c r="S34" s="21">
        <f t="shared" si="10"/>
        <v>0</v>
      </c>
      <c r="T34" s="22">
        <f t="shared" si="5"/>
        <v>0</v>
      </c>
      <c r="U34" s="19"/>
      <c r="V34" s="38">
        <f>0.64*$G$44+0.18*$G$45+0.18*$G$46</f>
        <v>0.11183999999999999</v>
      </c>
      <c r="W34" s="18">
        <f t="shared" si="19"/>
        <v>0.92828318400000165</v>
      </c>
      <c r="X34" s="19"/>
      <c r="Y34" s="21">
        <f t="shared" si="11"/>
        <v>0</v>
      </c>
      <c r="Z34" s="22">
        <f t="shared" si="7"/>
        <v>0</v>
      </c>
      <c r="AA34" s="19"/>
      <c r="AB34" s="38">
        <f>0.64*$G$44+0.18*$G$45+0.18*$G$46</f>
        <v>0.11183999999999999</v>
      </c>
      <c r="AC34" s="18">
        <f t="shared" si="20"/>
        <v>0.92828318400000165</v>
      </c>
      <c r="AD34" s="19"/>
      <c r="AE34" s="21">
        <f t="shared" si="12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0.79</v>
      </c>
      <c r="H35" s="18">
        <f t="shared" si="16"/>
        <v>0.79</v>
      </c>
      <c r="I35" s="19"/>
      <c r="J35" s="210">
        <v>0.79</v>
      </c>
      <c r="K35" s="18">
        <f t="shared" si="17"/>
        <v>0.79</v>
      </c>
      <c r="L35" s="19"/>
      <c r="M35" s="21">
        <f t="shared" si="14"/>
        <v>0</v>
      </c>
      <c r="N35" s="22"/>
      <c r="O35" s="212"/>
      <c r="P35" s="38">
        <v>0.79</v>
      </c>
      <c r="Q35" s="18">
        <f t="shared" si="18"/>
        <v>0.79</v>
      </c>
      <c r="R35" s="19"/>
      <c r="S35" s="21">
        <f t="shared" si="10"/>
        <v>0</v>
      </c>
      <c r="T35" s="22"/>
      <c r="U35" s="19"/>
      <c r="V35" s="38">
        <v>0.79</v>
      </c>
      <c r="W35" s="18">
        <f t="shared" si="19"/>
        <v>0.79</v>
      </c>
      <c r="X35" s="19"/>
      <c r="Y35" s="21">
        <f t="shared" si="11"/>
        <v>0</v>
      </c>
      <c r="Z35" s="22"/>
      <c r="AA35" s="19"/>
      <c r="AB35" s="38">
        <v>0</v>
      </c>
      <c r="AC35" s="18">
        <f t="shared" si="20"/>
        <v>0</v>
      </c>
      <c r="AD35" s="19"/>
      <c r="AE35" s="21">
        <f t="shared" si="12"/>
        <v>-0.79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24.043641288972729</v>
      </c>
      <c r="I36" s="31"/>
      <c r="J36" s="41"/>
      <c r="K36" s="43">
        <f>SUM(K29:K35)+K28</f>
        <v>25.065923184231501</v>
      </c>
      <c r="L36" s="31"/>
      <c r="M36" s="32">
        <f t="shared" si="14"/>
        <v>1.0222818952587716</v>
      </c>
      <c r="N36" s="33">
        <f t="shared" ref="N36:N46" si="22">IF((H36)=0,"",(M36/H36))</f>
        <v>4.251776521585466E-2</v>
      </c>
      <c r="O36" s="212"/>
      <c r="P36" s="41"/>
      <c r="Q36" s="43">
        <f>SUM(Q29:Q35)+Q28</f>
        <v>25.065923184231501</v>
      </c>
      <c r="R36" s="31"/>
      <c r="S36" s="32">
        <f t="shared" si="10"/>
        <v>0</v>
      </c>
      <c r="T36" s="33">
        <f t="shared" ref="T36:T46" si="23">IF((K36)=0,"",(S36/K36))</f>
        <v>0</v>
      </c>
      <c r="U36" s="31"/>
      <c r="V36" s="41"/>
      <c r="W36" s="43">
        <f>SUM(W29:W35)+W28</f>
        <v>26.519323184310732</v>
      </c>
      <c r="X36" s="31"/>
      <c r="Y36" s="32">
        <f t="shared" si="11"/>
        <v>1.4534000000792311</v>
      </c>
      <c r="Z36" s="33">
        <f t="shared" ref="Z36:Z46" si="24">IF((Q36)=0,"",(Y36/Q36))</f>
        <v>5.7983102772513784E-2</v>
      </c>
      <c r="AA36" s="31"/>
      <c r="AB36" s="41"/>
      <c r="AC36" s="43">
        <f>SUM(AC29:AC35)+AC28</f>
        <v>27.941368012702139</v>
      </c>
      <c r="AD36" s="31"/>
      <c r="AE36" s="32">
        <f t="shared" si="12"/>
        <v>1.4220448283914067</v>
      </c>
      <c r="AF36" s="33">
        <f t="shared" ref="AF36:AF46" si="25">IF((W36)=0,"",(AE36/W36))</f>
        <v>5.3622968373216694E-2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227.30010000000001</v>
      </c>
      <c r="G37" s="20">
        <v>7.7725149591303024E-3</v>
      </c>
      <c r="H37" s="18">
        <f>$F37*G37</f>
        <v>1.7666934274618138</v>
      </c>
      <c r="I37" s="19"/>
      <c r="J37" s="20">
        <v>7.4000000000000003E-3</v>
      </c>
      <c r="K37" s="18">
        <f>$F37*J37</f>
        <v>1.6820207400000002</v>
      </c>
      <c r="L37" s="19"/>
      <c r="M37" s="21">
        <f t="shared" si="14"/>
        <v>-8.4672687461813556E-2</v>
      </c>
      <c r="N37" s="22">
        <f t="shared" si="22"/>
        <v>-4.7927210315975272E-2</v>
      </c>
      <c r="O37" s="212"/>
      <c r="P37" s="20">
        <v>7.4000000000000003E-3</v>
      </c>
      <c r="Q37" s="18">
        <f>$F37*P37</f>
        <v>1.6820207400000002</v>
      </c>
      <c r="R37" s="19"/>
      <c r="S37" s="21">
        <f t="shared" si="10"/>
        <v>0</v>
      </c>
      <c r="T37" s="22">
        <f t="shared" si="23"/>
        <v>0</v>
      </c>
      <c r="U37" s="19"/>
      <c r="V37" s="20">
        <v>7.4000000000000003E-3</v>
      </c>
      <c r="W37" s="18">
        <f>$F37*V37</f>
        <v>1.6820207400000002</v>
      </c>
      <c r="X37" s="19"/>
      <c r="Y37" s="21">
        <f t="shared" si="11"/>
        <v>0</v>
      </c>
      <c r="Z37" s="22">
        <f t="shared" si="24"/>
        <v>0</v>
      </c>
      <c r="AA37" s="19"/>
      <c r="AB37" s="20">
        <v>7.4000000000000003E-3</v>
      </c>
      <c r="AC37" s="18">
        <f>$F37*AB37</f>
        <v>1.6820207400000002</v>
      </c>
      <c r="AD37" s="19"/>
      <c r="AE37" s="21">
        <f t="shared" si="12"/>
        <v>0</v>
      </c>
      <c r="AF37" s="22">
        <f t="shared" si="25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227.30010000000001</v>
      </c>
      <c r="G38" s="20">
        <v>5.8885548323693356E-3</v>
      </c>
      <c r="H38" s="18">
        <f>$F38*G38</f>
        <v>1.3384691022530333</v>
      </c>
      <c r="I38" s="19"/>
      <c r="J38" s="20">
        <v>5.8999999999999999E-3</v>
      </c>
      <c r="K38" s="18">
        <f>$F38*J38</f>
        <v>1.34107059</v>
      </c>
      <c r="L38" s="19"/>
      <c r="M38" s="21">
        <f t="shared" si="14"/>
        <v>2.6014877469666686E-3</v>
      </c>
      <c r="N38" s="22">
        <f t="shared" si="22"/>
        <v>1.9436292870620676E-3</v>
      </c>
      <c r="O38" s="212"/>
      <c r="P38" s="20">
        <v>5.8999999999999999E-3</v>
      </c>
      <c r="Q38" s="18">
        <f>$F38*P38</f>
        <v>1.34107059</v>
      </c>
      <c r="R38" s="19"/>
      <c r="S38" s="21">
        <f t="shared" si="10"/>
        <v>0</v>
      </c>
      <c r="T38" s="22">
        <f t="shared" si="23"/>
        <v>0</v>
      </c>
      <c r="U38" s="19"/>
      <c r="V38" s="20">
        <v>5.8999999999999999E-3</v>
      </c>
      <c r="W38" s="18">
        <f>$F38*V38</f>
        <v>1.34107059</v>
      </c>
      <c r="X38" s="19"/>
      <c r="Y38" s="21">
        <f t="shared" si="11"/>
        <v>0</v>
      </c>
      <c r="Z38" s="22">
        <f t="shared" si="24"/>
        <v>0</v>
      </c>
      <c r="AA38" s="19"/>
      <c r="AB38" s="20">
        <v>5.8999999999999999E-3</v>
      </c>
      <c r="AC38" s="18">
        <f>$F38*AB38</f>
        <v>1.34107059</v>
      </c>
      <c r="AD38" s="19"/>
      <c r="AE38" s="21">
        <f t="shared" si="12"/>
        <v>0</v>
      </c>
      <c r="AF38" s="22">
        <f t="shared" si="25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27.148803818687576</v>
      </c>
      <c r="I39" s="48"/>
      <c r="J39" s="47"/>
      <c r="K39" s="43">
        <f>SUM(K36:K38)</f>
        <v>28.089014514231501</v>
      </c>
      <c r="L39" s="48"/>
      <c r="M39" s="32">
        <f t="shared" si="14"/>
        <v>0.94021069554392511</v>
      </c>
      <c r="N39" s="33">
        <f t="shared" si="22"/>
        <v>3.463175401108249E-2</v>
      </c>
      <c r="O39" s="212"/>
      <c r="P39" s="47"/>
      <c r="Q39" s="43">
        <f>SUM(Q36:Q38)</f>
        <v>28.089014514231501</v>
      </c>
      <c r="R39" s="48"/>
      <c r="S39" s="32">
        <f t="shared" si="10"/>
        <v>0</v>
      </c>
      <c r="T39" s="33">
        <f t="shared" si="23"/>
        <v>0</v>
      </c>
      <c r="U39" s="48"/>
      <c r="V39" s="47"/>
      <c r="W39" s="43">
        <f>SUM(W36:W38)</f>
        <v>29.542414514310732</v>
      </c>
      <c r="X39" s="48"/>
      <c r="Y39" s="32">
        <f t="shared" si="11"/>
        <v>1.4534000000792311</v>
      </c>
      <c r="Z39" s="33">
        <f t="shared" si="24"/>
        <v>5.1742648334737962E-2</v>
      </c>
      <c r="AA39" s="48"/>
      <c r="AB39" s="47"/>
      <c r="AC39" s="43">
        <f>SUM(AC36:AC38)</f>
        <v>30.964459342702138</v>
      </c>
      <c r="AD39" s="48"/>
      <c r="AE39" s="32">
        <f t="shared" si="12"/>
        <v>1.4220448283914067</v>
      </c>
      <c r="AF39" s="33">
        <f t="shared" si="25"/>
        <v>4.8135700881948885E-2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227.30010000000001</v>
      </c>
      <c r="G40" s="50">
        <v>4.7000000000000002E-3</v>
      </c>
      <c r="H40" s="152">
        <f t="shared" ref="H40:H48" si="26">$F40*G40</f>
        <v>1.0683104700000001</v>
      </c>
      <c r="I40" s="19"/>
      <c r="J40" s="50">
        <v>4.7000000000000002E-3</v>
      </c>
      <c r="K40" s="152">
        <f t="shared" ref="K40:K48" si="27">$F40*J40</f>
        <v>1.0683104700000001</v>
      </c>
      <c r="L40" s="19"/>
      <c r="M40" s="21">
        <f t="shared" si="14"/>
        <v>0</v>
      </c>
      <c r="N40" s="153">
        <f t="shared" si="22"/>
        <v>0</v>
      </c>
      <c r="O40" s="212"/>
      <c r="P40" s="50">
        <v>4.7000000000000002E-3</v>
      </c>
      <c r="Q40" s="152">
        <f t="shared" ref="Q40:Q48" si="28">$F40*P40</f>
        <v>1.0683104700000001</v>
      </c>
      <c r="R40" s="19"/>
      <c r="S40" s="21">
        <f t="shared" si="10"/>
        <v>0</v>
      </c>
      <c r="T40" s="153">
        <f t="shared" si="23"/>
        <v>0</v>
      </c>
      <c r="U40" s="19"/>
      <c r="V40" s="50">
        <v>4.7000000000000002E-3</v>
      </c>
      <c r="W40" s="152">
        <f t="shared" ref="W40:W48" si="29">$F40*V40</f>
        <v>1.0683104700000001</v>
      </c>
      <c r="X40" s="19"/>
      <c r="Y40" s="21">
        <f t="shared" si="11"/>
        <v>0</v>
      </c>
      <c r="Z40" s="153">
        <f t="shared" si="24"/>
        <v>0</v>
      </c>
      <c r="AA40" s="19"/>
      <c r="AB40" s="50">
        <v>4.7000000000000002E-3</v>
      </c>
      <c r="AC40" s="152">
        <f t="shared" ref="AC40:AC48" si="30">$F40*AB40</f>
        <v>1.0683104700000001</v>
      </c>
      <c r="AD40" s="19"/>
      <c r="AE40" s="21">
        <f t="shared" si="12"/>
        <v>0</v>
      </c>
      <c r="AF40" s="153">
        <f t="shared" si="25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227.30010000000001</v>
      </c>
      <c r="G41" s="50">
        <v>1.2999999999999999E-3</v>
      </c>
      <c r="H41" s="152">
        <f t="shared" si="26"/>
        <v>0.29549013000000002</v>
      </c>
      <c r="I41" s="19"/>
      <c r="J41" s="50">
        <v>2.0999999999999999E-3</v>
      </c>
      <c r="K41" s="152">
        <f t="shared" si="27"/>
        <v>0.47733020999999998</v>
      </c>
      <c r="L41" s="19"/>
      <c r="M41" s="21">
        <f t="shared" si="14"/>
        <v>0.18184007999999996</v>
      </c>
      <c r="N41" s="153">
        <f t="shared" si="22"/>
        <v>0.6153846153846152</v>
      </c>
      <c r="O41" s="212"/>
      <c r="P41" s="50">
        <v>2.0999999999999999E-3</v>
      </c>
      <c r="Q41" s="152">
        <f t="shared" si="28"/>
        <v>0.47733020999999998</v>
      </c>
      <c r="R41" s="19"/>
      <c r="S41" s="21">
        <f t="shared" si="10"/>
        <v>0</v>
      </c>
      <c r="T41" s="153">
        <f t="shared" si="23"/>
        <v>0</v>
      </c>
      <c r="U41" s="19"/>
      <c r="V41" s="50">
        <v>2.0999999999999999E-3</v>
      </c>
      <c r="W41" s="152">
        <f t="shared" si="29"/>
        <v>0.47733020999999998</v>
      </c>
      <c r="X41" s="19"/>
      <c r="Y41" s="21">
        <f t="shared" si="11"/>
        <v>0</v>
      </c>
      <c r="Z41" s="153">
        <f t="shared" si="24"/>
        <v>0</v>
      </c>
      <c r="AA41" s="19"/>
      <c r="AB41" s="50">
        <v>2.0999999999999999E-3</v>
      </c>
      <c r="AC41" s="152">
        <f t="shared" si="30"/>
        <v>0.47733020999999998</v>
      </c>
      <c r="AD41" s="19"/>
      <c r="AE41" s="21">
        <f t="shared" si="12"/>
        <v>0</v>
      </c>
      <c r="AF41" s="153">
        <f t="shared" si="25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26"/>
        <v>0.25</v>
      </c>
      <c r="I42" s="19"/>
      <c r="J42" s="50">
        <v>0.25</v>
      </c>
      <c r="K42" s="152">
        <f t="shared" si="27"/>
        <v>0.25</v>
      </c>
      <c r="L42" s="19"/>
      <c r="M42" s="21">
        <f t="shared" si="14"/>
        <v>0</v>
      </c>
      <c r="N42" s="153">
        <f t="shared" si="22"/>
        <v>0</v>
      </c>
      <c r="O42" s="212"/>
      <c r="P42" s="50">
        <v>0.25</v>
      </c>
      <c r="Q42" s="152">
        <f t="shared" si="28"/>
        <v>0.25</v>
      </c>
      <c r="R42" s="19"/>
      <c r="S42" s="21">
        <f t="shared" si="10"/>
        <v>0</v>
      </c>
      <c r="T42" s="153">
        <f t="shared" si="23"/>
        <v>0</v>
      </c>
      <c r="U42" s="19"/>
      <c r="V42" s="50">
        <v>0.25</v>
      </c>
      <c r="W42" s="152">
        <f t="shared" si="29"/>
        <v>0.25</v>
      </c>
      <c r="X42" s="19"/>
      <c r="Y42" s="21">
        <f t="shared" si="11"/>
        <v>0</v>
      </c>
      <c r="Z42" s="153">
        <f t="shared" si="24"/>
        <v>0</v>
      </c>
      <c r="AA42" s="19"/>
      <c r="AB42" s="50">
        <v>0.25</v>
      </c>
      <c r="AC42" s="152">
        <f t="shared" si="30"/>
        <v>0.25</v>
      </c>
      <c r="AD42" s="19"/>
      <c r="AE42" s="21">
        <f t="shared" si="12"/>
        <v>0</v>
      </c>
      <c r="AF42" s="153">
        <f t="shared" si="25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219</v>
      </c>
      <c r="G43" s="50">
        <v>0</v>
      </c>
      <c r="H43" s="152">
        <f t="shared" si="26"/>
        <v>0</v>
      </c>
      <c r="I43" s="19"/>
      <c r="J43" s="50">
        <v>0</v>
      </c>
      <c r="K43" s="152">
        <f t="shared" si="27"/>
        <v>0</v>
      </c>
      <c r="L43" s="19"/>
      <c r="M43" s="21">
        <f t="shared" si="14"/>
        <v>0</v>
      </c>
      <c r="N43" s="153" t="str">
        <f t="shared" si="22"/>
        <v/>
      </c>
      <c r="O43" s="212"/>
      <c r="P43" s="50"/>
      <c r="Q43" s="152">
        <f t="shared" si="28"/>
        <v>0</v>
      </c>
      <c r="R43" s="19"/>
      <c r="S43" s="21">
        <f t="shared" si="10"/>
        <v>0</v>
      </c>
      <c r="T43" s="153" t="str">
        <f t="shared" si="23"/>
        <v/>
      </c>
      <c r="U43" s="19"/>
      <c r="V43" s="50"/>
      <c r="W43" s="152">
        <f t="shared" si="29"/>
        <v>0</v>
      </c>
      <c r="X43" s="19"/>
      <c r="Y43" s="21">
        <f t="shared" si="11"/>
        <v>0</v>
      </c>
      <c r="Z43" s="153" t="str">
        <f t="shared" si="24"/>
        <v/>
      </c>
      <c r="AA43" s="19"/>
      <c r="AB43" s="50"/>
      <c r="AC43" s="152">
        <f t="shared" si="30"/>
        <v>0</v>
      </c>
      <c r="AD43" s="19"/>
      <c r="AE43" s="21">
        <f t="shared" si="12"/>
        <v>0</v>
      </c>
      <c r="AF43" s="153" t="str">
        <f t="shared" si="25"/>
        <v/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140.16</v>
      </c>
      <c r="G44" s="54">
        <v>8.6999999999999994E-2</v>
      </c>
      <c r="H44" s="152">
        <f t="shared" si="26"/>
        <v>12.193919999999999</v>
      </c>
      <c r="I44" s="19"/>
      <c r="J44" s="54">
        <f>+G44</f>
        <v>8.6999999999999994E-2</v>
      </c>
      <c r="K44" s="152">
        <f t="shared" si="27"/>
        <v>12.193919999999999</v>
      </c>
      <c r="L44" s="19"/>
      <c r="M44" s="21">
        <f t="shared" si="14"/>
        <v>0</v>
      </c>
      <c r="N44" s="153">
        <f t="shared" si="22"/>
        <v>0</v>
      </c>
      <c r="O44" s="212"/>
      <c r="P44" s="54">
        <v>0.08</v>
      </c>
      <c r="Q44" s="152">
        <f t="shared" si="28"/>
        <v>11.2128</v>
      </c>
      <c r="R44" s="19"/>
      <c r="S44" s="21">
        <f t="shared" si="10"/>
        <v>-0.98111999999999888</v>
      </c>
      <c r="T44" s="153">
        <f t="shared" si="23"/>
        <v>-8.0459770114942444E-2</v>
      </c>
      <c r="U44" s="19"/>
      <c r="V44" s="54">
        <v>0.08</v>
      </c>
      <c r="W44" s="152">
        <f t="shared" si="29"/>
        <v>11.2128</v>
      </c>
      <c r="X44" s="19"/>
      <c r="Y44" s="21">
        <f t="shared" si="11"/>
        <v>0</v>
      </c>
      <c r="Z44" s="153">
        <f t="shared" si="24"/>
        <v>0</v>
      </c>
      <c r="AA44" s="19"/>
      <c r="AB44" s="54">
        <v>0.08</v>
      </c>
      <c r="AC44" s="152">
        <f t="shared" si="30"/>
        <v>11.2128</v>
      </c>
      <c r="AD44" s="19"/>
      <c r="AE44" s="21">
        <f t="shared" si="12"/>
        <v>0</v>
      </c>
      <c r="AF44" s="153">
        <f t="shared" si="25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39.42</v>
      </c>
      <c r="G45" s="54">
        <v>0.13200000000000001</v>
      </c>
      <c r="H45" s="152">
        <f t="shared" si="26"/>
        <v>5.2034400000000005</v>
      </c>
      <c r="I45" s="19"/>
      <c r="J45" s="54">
        <f>+G45</f>
        <v>0.13200000000000001</v>
      </c>
      <c r="K45" s="152">
        <f t="shared" si="27"/>
        <v>5.2034400000000005</v>
      </c>
      <c r="L45" s="19"/>
      <c r="M45" s="21">
        <f t="shared" si="14"/>
        <v>0</v>
      </c>
      <c r="N45" s="153">
        <f t="shared" si="22"/>
        <v>0</v>
      </c>
      <c r="O45" s="212"/>
      <c r="P45" s="54">
        <v>0.122</v>
      </c>
      <c r="Q45" s="152">
        <f t="shared" si="28"/>
        <v>4.80924</v>
      </c>
      <c r="R45" s="19"/>
      <c r="S45" s="21">
        <f t="shared" si="10"/>
        <v>-0.39420000000000055</v>
      </c>
      <c r="T45" s="153">
        <f t="shared" si="23"/>
        <v>-7.5757575757575857E-2</v>
      </c>
      <c r="U45" s="19"/>
      <c r="V45" s="54">
        <v>0.122</v>
      </c>
      <c r="W45" s="152">
        <f t="shared" si="29"/>
        <v>4.80924</v>
      </c>
      <c r="X45" s="19"/>
      <c r="Y45" s="21">
        <f t="shared" si="11"/>
        <v>0</v>
      </c>
      <c r="Z45" s="153">
        <f t="shared" si="24"/>
        <v>0</v>
      </c>
      <c r="AA45" s="19"/>
      <c r="AB45" s="54">
        <v>0.122</v>
      </c>
      <c r="AC45" s="152">
        <f t="shared" si="30"/>
        <v>4.80924</v>
      </c>
      <c r="AD45" s="19"/>
      <c r="AE45" s="21">
        <f t="shared" si="12"/>
        <v>0</v>
      </c>
      <c r="AF45" s="153">
        <f t="shared" si="25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39.42</v>
      </c>
      <c r="G46" s="54">
        <v>0.18</v>
      </c>
      <c r="H46" s="152">
        <f t="shared" si="26"/>
        <v>7.0956000000000001</v>
      </c>
      <c r="I46" s="19"/>
      <c r="J46" s="54">
        <f>+G46</f>
        <v>0.18</v>
      </c>
      <c r="K46" s="152">
        <f t="shared" si="27"/>
        <v>7.0956000000000001</v>
      </c>
      <c r="L46" s="19"/>
      <c r="M46" s="21">
        <f t="shared" si="14"/>
        <v>0</v>
      </c>
      <c r="N46" s="153">
        <f t="shared" si="22"/>
        <v>0</v>
      </c>
      <c r="O46" s="212"/>
      <c r="P46" s="54">
        <v>0.161</v>
      </c>
      <c r="Q46" s="152">
        <f t="shared" si="28"/>
        <v>6.3466200000000006</v>
      </c>
      <c r="R46" s="19"/>
      <c r="S46" s="21">
        <f t="shared" si="10"/>
        <v>-0.74897999999999954</v>
      </c>
      <c r="T46" s="153">
        <f t="shared" si="23"/>
        <v>-0.10555555555555549</v>
      </c>
      <c r="U46" s="19"/>
      <c r="V46" s="54">
        <v>0.161</v>
      </c>
      <c r="W46" s="152">
        <f t="shared" si="29"/>
        <v>6.3466200000000006</v>
      </c>
      <c r="X46" s="19"/>
      <c r="Y46" s="21">
        <f t="shared" si="11"/>
        <v>0</v>
      </c>
      <c r="Z46" s="153">
        <f t="shared" si="24"/>
        <v>0</v>
      </c>
      <c r="AA46" s="19"/>
      <c r="AB46" s="54">
        <v>0.161</v>
      </c>
      <c r="AC46" s="152">
        <f t="shared" si="30"/>
        <v>6.3466200000000006</v>
      </c>
      <c r="AD46" s="19"/>
      <c r="AE46" s="21">
        <f t="shared" si="12"/>
        <v>0</v>
      </c>
      <c r="AF46" s="153">
        <f t="shared" si="25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219</v>
      </c>
      <c r="G47" s="54">
        <v>0.10299999999999999</v>
      </c>
      <c r="H47" s="152">
        <f t="shared" si="26"/>
        <v>22.556999999999999</v>
      </c>
      <c r="I47" s="59"/>
      <c r="J47" s="54">
        <f>+G47</f>
        <v>0.10299999999999999</v>
      </c>
      <c r="K47" s="152">
        <f t="shared" si="27"/>
        <v>22.556999999999999</v>
      </c>
      <c r="L47" s="59"/>
      <c r="M47" s="60">
        <f t="shared" si="14"/>
        <v>0</v>
      </c>
      <c r="N47" s="207">
        <f>IF((H47)=FALSE,"",(M47/H47))</f>
        <v>0</v>
      </c>
      <c r="O47" s="212"/>
      <c r="P47" s="54">
        <v>9.4E-2</v>
      </c>
      <c r="Q47" s="152">
        <f t="shared" si="28"/>
        <v>20.585999999999999</v>
      </c>
      <c r="R47" s="59"/>
      <c r="S47" s="60">
        <f t="shared" si="10"/>
        <v>-1.9710000000000001</v>
      </c>
      <c r="T47" s="153">
        <f>IF((K47)=FALSE,"",(S47/K47))</f>
        <v>-8.7378640776699032E-2</v>
      </c>
      <c r="U47" s="59"/>
      <c r="V47" s="54">
        <v>9.4E-2</v>
      </c>
      <c r="W47" s="152">
        <f t="shared" si="29"/>
        <v>20.585999999999999</v>
      </c>
      <c r="X47" s="59"/>
      <c r="Y47" s="60">
        <f t="shared" si="11"/>
        <v>0</v>
      </c>
      <c r="Z47" s="153">
        <f>IF((Q47)=FALSE,"",(Y47/Q47))</f>
        <v>0</v>
      </c>
      <c r="AA47" s="59"/>
      <c r="AB47" s="54">
        <v>9.4E-2</v>
      </c>
      <c r="AC47" s="152">
        <f t="shared" si="30"/>
        <v>20.585999999999999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0.121</v>
      </c>
      <c r="H48" s="152">
        <f t="shared" si="26"/>
        <v>0</v>
      </c>
      <c r="I48" s="59"/>
      <c r="J48" s="54">
        <f>+G48</f>
        <v>0.121</v>
      </c>
      <c r="K48" s="152">
        <f t="shared" si="27"/>
        <v>0</v>
      </c>
      <c r="L48" s="59"/>
      <c r="M48" s="60">
        <f t="shared" si="14"/>
        <v>0</v>
      </c>
      <c r="N48" s="207" t="str">
        <f>IFERROR(IF((H48)=FALSE,"",(M48/H48)),"n/a")</f>
        <v>n/a</v>
      </c>
      <c r="O48" s="212"/>
      <c r="P48" s="54">
        <v>0.11</v>
      </c>
      <c r="Q48" s="152">
        <f t="shared" si="28"/>
        <v>0</v>
      </c>
      <c r="R48" s="59"/>
      <c r="S48" s="60">
        <f t="shared" si="10"/>
        <v>0</v>
      </c>
      <c r="T48" s="153" t="e">
        <f>IF((K48)=FALSE,"",(S48/K48))</f>
        <v>#DIV/0!</v>
      </c>
      <c r="U48" s="59"/>
      <c r="V48" s="54">
        <v>0.11</v>
      </c>
      <c r="W48" s="152">
        <f t="shared" si="29"/>
        <v>0</v>
      </c>
      <c r="X48" s="59"/>
      <c r="Y48" s="60">
        <f t="shared" si="11"/>
        <v>0</v>
      </c>
      <c r="Z48" s="153" t="e">
        <f>IF((Q48)=FALSE,"",(Y48/Q48))</f>
        <v>#DIV/0!</v>
      </c>
      <c r="AA48" s="59"/>
      <c r="AB48" s="54">
        <v>0.11</v>
      </c>
      <c r="AC48" s="152">
        <f t="shared" si="30"/>
        <v>0</v>
      </c>
      <c r="AD48" s="59"/>
      <c r="AE48" s="60">
        <f t="shared" si="12"/>
        <v>0</v>
      </c>
      <c r="AF48" s="153" t="e">
        <f>IF((W48)=FALSE,"",(AE48/W48))</f>
        <v>#DIV/0!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14"/>
        <v>0</v>
      </c>
      <c r="N49" s="70"/>
      <c r="O49" s="212"/>
      <c r="P49" s="65"/>
      <c r="Q49" s="67"/>
      <c r="R49" s="68"/>
      <c r="S49" s="69">
        <f t="shared" si="10"/>
        <v>0</v>
      </c>
      <c r="T49" s="70"/>
      <c r="U49" s="68"/>
      <c r="V49" s="65"/>
      <c r="W49" s="67"/>
      <c r="X49" s="68"/>
      <c r="Y49" s="69">
        <f t="shared" si="11"/>
        <v>0</v>
      </c>
      <c r="Z49" s="70"/>
      <c r="AA49" s="68"/>
      <c r="AB49" s="65"/>
      <c r="AC49" s="67"/>
      <c r="AD49" s="68"/>
      <c r="AE49" s="69">
        <f t="shared" si="12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53.255564418687577</v>
      </c>
      <c r="I50" s="75"/>
      <c r="J50" s="72"/>
      <c r="K50" s="74">
        <f>SUM(K40:K46,K39)</f>
        <v>54.377615194231495</v>
      </c>
      <c r="L50" s="75"/>
      <c r="M50" s="76">
        <f t="shared" si="14"/>
        <v>1.1220507755439186</v>
      </c>
      <c r="N50" s="77">
        <f>IF((H50)=0,"",(M50/H50))</f>
        <v>2.1069174419456285E-2</v>
      </c>
      <c r="O50" s="212"/>
      <c r="P50" s="72"/>
      <c r="Q50" s="74">
        <f>SUM(Q40:Q46,Q39)</f>
        <v>52.253315194231504</v>
      </c>
      <c r="R50" s="75"/>
      <c r="S50" s="76">
        <f t="shared" si="10"/>
        <v>-2.124299999999991</v>
      </c>
      <c r="T50" s="77">
        <f>IF((K50)=0,"",(S50/K50))</f>
        <v>-3.9065707321150445E-2</v>
      </c>
      <c r="U50" s="75"/>
      <c r="V50" s="72"/>
      <c r="W50" s="74">
        <f>SUM(W40:W46,W39)</f>
        <v>53.706715194310732</v>
      </c>
      <c r="X50" s="75"/>
      <c r="Y50" s="76">
        <f t="shared" si="11"/>
        <v>1.4534000000792275</v>
      </c>
      <c r="Z50" s="77">
        <f>IF((Q50)=0,"",(Y50/Q50))</f>
        <v>2.7814503150216874E-2</v>
      </c>
      <c r="AA50" s="75"/>
      <c r="AB50" s="72"/>
      <c r="AC50" s="74">
        <f>SUM(AC40:AC46,AC39)</f>
        <v>55.128760022702139</v>
      </c>
      <c r="AD50" s="75"/>
      <c r="AE50" s="76">
        <f t="shared" si="12"/>
        <v>1.4220448283914067</v>
      </c>
      <c r="AF50" s="77">
        <f>IF((W50)=0,"",(AE50/W50))</f>
        <v>2.6477970645690262E-2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6.9232233744293854</v>
      </c>
      <c r="I51" s="81"/>
      <c r="J51" s="79">
        <v>0.13</v>
      </c>
      <c r="K51" s="82">
        <f>K50*J51</f>
        <v>7.0690899752500949</v>
      </c>
      <c r="L51" s="81"/>
      <c r="M51" s="83">
        <f t="shared" si="14"/>
        <v>0.14586660082070946</v>
      </c>
      <c r="N51" s="84">
        <f>IF((H51)=0,"",(M51/H51))</f>
        <v>2.1069174419456289E-2</v>
      </c>
      <c r="O51" s="212"/>
      <c r="P51" s="79">
        <v>0.13</v>
      </c>
      <c r="Q51" s="82">
        <f>Q50*P51</f>
        <v>6.7929309752500959</v>
      </c>
      <c r="R51" s="81"/>
      <c r="S51" s="83">
        <f t="shared" si="10"/>
        <v>-0.27615899999999893</v>
      </c>
      <c r="T51" s="84">
        <f>IF((K51)=0,"",(S51/K51))</f>
        <v>-3.9065707321150459E-2</v>
      </c>
      <c r="U51" s="81"/>
      <c r="V51" s="79">
        <v>0.13</v>
      </c>
      <c r="W51" s="82">
        <f>W50*V51</f>
        <v>6.9818729752603952</v>
      </c>
      <c r="X51" s="81"/>
      <c r="Y51" s="83">
        <f t="shared" si="11"/>
        <v>0.18894200001029926</v>
      </c>
      <c r="Z51" s="84">
        <f>IF((Q51)=0,"",(Y51/Q51))</f>
        <v>2.7814503150216826E-2</v>
      </c>
      <c r="AA51" s="81"/>
      <c r="AB51" s="79">
        <v>0.13</v>
      </c>
      <c r="AC51" s="82">
        <f>AC50*AB51</f>
        <v>7.1667388029512784</v>
      </c>
      <c r="AD51" s="81"/>
      <c r="AE51" s="83">
        <f t="shared" si="12"/>
        <v>0.18486582769088322</v>
      </c>
      <c r="AF51" s="84">
        <f>IF((W51)=0,"",(AE51/W51))</f>
        <v>2.647797064569031E-2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60.17878779311696</v>
      </c>
      <c r="I52" s="81"/>
      <c r="J52" s="86"/>
      <c r="K52" s="82">
        <f>K50+K51</f>
        <v>61.446705169481589</v>
      </c>
      <c r="L52" s="81"/>
      <c r="M52" s="83">
        <f t="shared" si="14"/>
        <v>1.267917376364629</v>
      </c>
      <c r="N52" s="84">
        <f>IF((H52)=0,"",(M52/H52))</f>
        <v>2.1069174419456303E-2</v>
      </c>
      <c r="O52" s="212"/>
      <c r="P52" s="86"/>
      <c r="Q52" s="82">
        <f>Q50+Q51</f>
        <v>59.046246169481599</v>
      </c>
      <c r="R52" s="81"/>
      <c r="S52" s="83">
        <f t="shared" si="10"/>
        <v>-2.4004589999999908</v>
      </c>
      <c r="T52" s="84">
        <f>IF((K52)=0,"",(S52/K52))</f>
        <v>-3.9065707321150459E-2</v>
      </c>
      <c r="U52" s="81"/>
      <c r="V52" s="86"/>
      <c r="W52" s="82">
        <f>W50+W51</f>
        <v>60.688588169571126</v>
      </c>
      <c r="X52" s="81"/>
      <c r="Y52" s="83">
        <f t="shared" si="11"/>
        <v>1.6423420000895277</v>
      </c>
      <c r="Z52" s="84">
        <f>IF((Q52)=0,"",(Y52/Q52))</f>
        <v>2.7814503150216885E-2</v>
      </c>
      <c r="AA52" s="81"/>
      <c r="AB52" s="86"/>
      <c r="AC52" s="82">
        <f>AC50+AC51</f>
        <v>62.295498825653418</v>
      </c>
      <c r="AD52" s="81"/>
      <c r="AE52" s="83">
        <f t="shared" si="12"/>
        <v>1.6069106560822917</v>
      </c>
      <c r="AF52" s="84">
        <f>IF((W52)=0,"",(AE52/W52))</f>
        <v>2.6477970645690296E-2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-4.3502092155385199</v>
      </c>
      <c r="L53" s="81"/>
      <c r="M53" s="88">
        <f t="shared" si="14"/>
        <v>-4.3502092155385199</v>
      </c>
      <c r="N53" s="89" t="str">
        <f>IF((H53)=0,"",(M53/H53))</f>
        <v/>
      </c>
      <c r="O53" s="212"/>
      <c r="P53" s="86"/>
      <c r="Q53" s="87">
        <f>ROUND(-Q52*10%,2)</f>
        <v>-5.9</v>
      </c>
      <c r="R53" s="81"/>
      <c r="S53" s="88">
        <f t="shared" si="10"/>
        <v>-1.5497907844614804</v>
      </c>
      <c r="T53" s="89">
        <f>IF((K53)=0,"",(S53/K53))</f>
        <v>0.35625660920531821</v>
      </c>
      <c r="U53" s="81"/>
      <c r="V53" s="86"/>
      <c r="W53" s="87">
        <f>ROUND(-W52*10%,2)</f>
        <v>-6.07</v>
      </c>
      <c r="X53" s="81"/>
      <c r="Y53" s="88">
        <f t="shared" si="11"/>
        <v>-0.16999999999999993</v>
      </c>
      <c r="Z53" s="89">
        <f>IF((Q53)=0,"",(Y53/Q53))</f>
        <v>2.8813559322033885E-2</v>
      </c>
      <c r="AA53" s="81"/>
      <c r="AB53" s="86"/>
      <c r="AC53" s="87">
        <f>ROUND(-AC52*10%,2)</f>
        <v>-6.23</v>
      </c>
      <c r="AD53" s="81"/>
      <c r="AE53" s="88">
        <f t="shared" si="12"/>
        <v>-0.16000000000000014</v>
      </c>
      <c r="AF53" s="89">
        <f>IF((W53)=0,"",(AE53/W53))</f>
        <v>2.6359143327841866E-2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60.17878779311696</v>
      </c>
      <c r="I54" s="92"/>
      <c r="J54" s="90"/>
      <c r="K54" s="93">
        <f>K52+K53</f>
        <v>57.096495953943069</v>
      </c>
      <c r="L54" s="92"/>
      <c r="M54" s="94">
        <f t="shared" si="14"/>
        <v>-3.0822918391738909</v>
      </c>
      <c r="N54" s="95">
        <f>IF((H54)=0,"",(M54/H54))</f>
        <v>-5.1218908725283972E-2</v>
      </c>
      <c r="O54" s="212"/>
      <c r="P54" s="90"/>
      <c r="Q54" s="93">
        <f>Q52+Q53</f>
        <v>53.1462461694816</v>
      </c>
      <c r="R54" s="92"/>
      <c r="S54" s="94">
        <f t="shared" si="10"/>
        <v>-3.9502497844614695</v>
      </c>
      <c r="T54" s="95">
        <f>IF((K54)=0,"",(S54/K54))</f>
        <v>-6.9185502866024234E-2</v>
      </c>
      <c r="U54" s="92"/>
      <c r="V54" s="90"/>
      <c r="W54" s="93">
        <f>W52+W53</f>
        <v>54.618588169571126</v>
      </c>
      <c r="X54" s="92"/>
      <c r="Y54" s="94">
        <f t="shared" si="11"/>
        <v>1.472342000089526</v>
      </c>
      <c r="Z54" s="95">
        <f>IF((Q54)=0,"",(Y54/Q54))</f>
        <v>2.7703593502996931E-2</v>
      </c>
      <c r="AA54" s="92"/>
      <c r="AB54" s="90"/>
      <c r="AC54" s="93">
        <f>AC52+AC53</f>
        <v>56.065498825653421</v>
      </c>
      <c r="AD54" s="92"/>
      <c r="AE54" s="94">
        <f t="shared" si="12"/>
        <v>1.4469106560822951</v>
      </c>
      <c r="AF54" s="95">
        <f>IF((W54)=0,"",(AE54/W54))</f>
        <v>2.6491176439606173E-2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/>
      <c r="N55" s="70"/>
      <c r="O55" s="212"/>
      <c r="P55" s="65"/>
      <c r="Q55" s="67"/>
      <c r="R55" s="100"/>
      <c r="S55" s="101">
        <f t="shared" si="10"/>
        <v>0</v>
      </c>
      <c r="T55" s="70"/>
      <c r="U55" s="100"/>
      <c r="V55" s="65"/>
      <c r="W55" s="67"/>
      <c r="X55" s="100"/>
      <c r="Y55" s="101">
        <f t="shared" si="11"/>
        <v>0</v>
      </c>
      <c r="Z55" s="70"/>
      <c r="AA55" s="100"/>
      <c r="AB55" s="65"/>
      <c r="AC55" s="67"/>
      <c r="AD55" s="100"/>
      <c r="AE55" s="101">
        <f t="shared" si="12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51.319604418687568</v>
      </c>
      <c r="I56" s="106"/>
      <c r="J56" s="103"/>
      <c r="K56" s="105">
        <f>SUM(K47:K48,K39,K40:K43)</f>
        <v>52.441655194231494</v>
      </c>
      <c r="L56" s="106"/>
      <c r="M56" s="107">
        <f t="shared" si="14"/>
        <v>1.1220507755439257</v>
      </c>
      <c r="N56" s="77">
        <f>IF((H56)=0,"",(M56/H56))</f>
        <v>2.1863979433468531E-2</v>
      </c>
      <c r="O56" s="212"/>
      <c r="P56" s="103"/>
      <c r="Q56" s="105">
        <f>SUM(Q47:Q48,Q39,Q40:Q43)</f>
        <v>50.470655194231497</v>
      </c>
      <c r="R56" s="106"/>
      <c r="S56" s="107">
        <f t="shared" si="10"/>
        <v>-1.9709999999999965</v>
      </c>
      <c r="T56" s="77">
        <f>IF((K56)=0,"",(S56/K56))</f>
        <v>-3.7584626051559177E-2</v>
      </c>
      <c r="U56" s="106"/>
      <c r="V56" s="103"/>
      <c r="W56" s="105">
        <f>SUM(W47:W48,W39,W40:W43)</f>
        <v>51.924055194310732</v>
      </c>
      <c r="X56" s="106"/>
      <c r="Y56" s="107">
        <f t="shared" si="11"/>
        <v>1.4534000000792346</v>
      </c>
      <c r="Z56" s="77">
        <f>IF((Q56)=0,"",(Y56/Q56))</f>
        <v>2.8796931493874283E-2</v>
      </c>
      <c r="AA56" s="106"/>
      <c r="AB56" s="103"/>
      <c r="AC56" s="105">
        <f>SUM(AC47:AC48,AC39,AC40:AC43)</f>
        <v>53.346100022702139</v>
      </c>
      <c r="AD56" s="106"/>
      <c r="AE56" s="107">
        <f t="shared" si="12"/>
        <v>1.4220448283914067</v>
      </c>
      <c r="AF56" s="77">
        <f>IF((W56)=0,"",(AE56/W56))</f>
        <v>2.7387014035591326E-2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6.6715485744293836</v>
      </c>
      <c r="I57" s="110"/>
      <c r="J57" s="109">
        <v>0.13</v>
      </c>
      <c r="K57" s="111">
        <f>K56*J57</f>
        <v>6.8174151752500949</v>
      </c>
      <c r="L57" s="110"/>
      <c r="M57" s="112">
        <f t="shared" si="14"/>
        <v>0.14586660082071123</v>
      </c>
      <c r="N57" s="84">
        <f>IF((H57)=0,"",(M57/H57))</f>
        <v>2.1863979433468666E-2</v>
      </c>
      <c r="O57" s="212"/>
      <c r="P57" s="109">
        <v>0.13</v>
      </c>
      <c r="Q57" s="111">
        <f>Q56*P57</f>
        <v>6.5611851752500945</v>
      </c>
      <c r="R57" s="110"/>
      <c r="S57" s="112">
        <f t="shared" si="10"/>
        <v>-0.2562300000000004</v>
      </c>
      <c r="T57" s="84">
        <f>IF((K57)=0,"",(S57/K57))</f>
        <v>-3.7584626051559294E-2</v>
      </c>
      <c r="U57" s="110"/>
      <c r="V57" s="109">
        <v>0.13</v>
      </c>
      <c r="W57" s="111">
        <f>W56*V57</f>
        <v>6.7501271752603955</v>
      </c>
      <c r="X57" s="110"/>
      <c r="Y57" s="112">
        <f t="shared" si="11"/>
        <v>0.18894200001030104</v>
      </c>
      <c r="Z57" s="84">
        <f>IF((Q57)=0,"",(Y57/Q57))</f>
        <v>2.8796931493874363E-2</v>
      </c>
      <c r="AA57" s="110"/>
      <c r="AB57" s="109">
        <v>0.13</v>
      </c>
      <c r="AC57" s="111">
        <f>AC56*AB57</f>
        <v>6.9349930029512779</v>
      </c>
      <c r="AD57" s="110"/>
      <c r="AE57" s="112">
        <f t="shared" si="12"/>
        <v>0.18486582769088233</v>
      </c>
      <c r="AF57" s="84">
        <f>IF((W57)=0,"",(AE57/W57))</f>
        <v>2.7387014035591246E-2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57.991152993116955</v>
      </c>
      <c r="I58" s="110"/>
      <c r="J58" s="114"/>
      <c r="K58" s="111">
        <f>K56+K57</f>
        <v>59.259070369481591</v>
      </c>
      <c r="L58" s="110"/>
      <c r="M58" s="112">
        <f t="shared" si="14"/>
        <v>1.2679173763646361</v>
      </c>
      <c r="N58" s="84">
        <f>IF((H58)=0,"",(M58/H58))</f>
        <v>2.1863979433468531E-2</v>
      </c>
      <c r="O58" s="212"/>
      <c r="P58" s="114"/>
      <c r="Q58" s="111">
        <f>Q56+Q57</f>
        <v>57.031840369481593</v>
      </c>
      <c r="R58" s="110"/>
      <c r="S58" s="112">
        <f t="shared" si="10"/>
        <v>-2.2272299999999987</v>
      </c>
      <c r="T58" s="84">
        <f>IF((K58)=0,"",(S58/K58))</f>
        <v>-3.7584626051559218E-2</v>
      </c>
      <c r="U58" s="110"/>
      <c r="V58" s="114"/>
      <c r="W58" s="111">
        <f>W56+W57</f>
        <v>58.674182369571128</v>
      </c>
      <c r="X58" s="110"/>
      <c r="Y58" s="112">
        <f t="shared" si="11"/>
        <v>1.6423420000895348</v>
      </c>
      <c r="Z58" s="84">
        <f>IF((Q58)=0,"",(Y58/Q58))</f>
        <v>2.8796931493874276E-2</v>
      </c>
      <c r="AA58" s="110"/>
      <c r="AB58" s="114"/>
      <c r="AC58" s="111">
        <f>AC56+AC57</f>
        <v>60.281093025653419</v>
      </c>
      <c r="AD58" s="110"/>
      <c r="AE58" s="112">
        <f t="shared" si="12"/>
        <v>1.6069106560822917</v>
      </c>
      <c r="AF58" s="84">
        <f>IF((W58)=0,"",(AE58/W58))</f>
        <v>2.7387014035591361E-2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-4.1953324155385197</v>
      </c>
      <c r="L59" s="110"/>
      <c r="M59" s="117">
        <f t="shared" si="14"/>
        <v>-4.1953324155385197</v>
      </c>
      <c r="N59" s="89" t="str">
        <f>IF((H59)=0,"",(M59/H59))</f>
        <v/>
      </c>
      <c r="O59" s="212"/>
      <c r="P59" s="114"/>
      <c r="Q59" s="116">
        <f>ROUND(-Q58*10%,2)</f>
        <v>-5.7</v>
      </c>
      <c r="R59" s="110"/>
      <c r="S59" s="117">
        <f t="shared" si="10"/>
        <v>-1.5046675844614805</v>
      </c>
      <c r="T59" s="89">
        <f>IF((K59)=0,"",(S59/K59))</f>
        <v>0.35865276822607606</v>
      </c>
      <c r="U59" s="110"/>
      <c r="V59" s="114"/>
      <c r="W59" s="116">
        <f>ROUND(-W58*10%,2)</f>
        <v>-5.87</v>
      </c>
      <c r="X59" s="110"/>
      <c r="Y59" s="117">
        <f t="shared" si="11"/>
        <v>-0.16999999999999993</v>
      </c>
      <c r="Z59" s="89">
        <f>IF((Q59)=0,"",(Y59/Q59))</f>
        <v>2.9824561403508757E-2</v>
      </c>
      <c r="AA59" s="110"/>
      <c r="AB59" s="114"/>
      <c r="AC59" s="116">
        <f>ROUND(-AC58*10%,2)</f>
        <v>-6.03</v>
      </c>
      <c r="AD59" s="110"/>
      <c r="AE59" s="117">
        <f t="shared" si="12"/>
        <v>-0.16000000000000014</v>
      </c>
      <c r="AF59" s="89">
        <f>IF((W59)=0,"",(AE59/W59))</f>
        <v>2.7257240204429326E-2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57.991152993116955</v>
      </c>
      <c r="I60" s="120"/>
      <c r="J60" s="118"/>
      <c r="K60" s="121">
        <f>SUM(K58:K59)</f>
        <v>55.063737953943075</v>
      </c>
      <c r="L60" s="120"/>
      <c r="M60" s="122">
        <f t="shared" si="14"/>
        <v>-2.92741503917388</v>
      </c>
      <c r="N60" s="123">
        <f>IF((H60)=0,"",(M60/H60))</f>
        <v>-5.0480373092794663E-2</v>
      </c>
      <c r="O60" s="212"/>
      <c r="P60" s="118"/>
      <c r="Q60" s="121">
        <f>SUM(Q58:Q59)</f>
        <v>51.33184036948159</v>
      </c>
      <c r="R60" s="120"/>
      <c r="S60" s="122">
        <f t="shared" si="10"/>
        <v>-3.7318975844614855</v>
      </c>
      <c r="T60" s="123">
        <f>IF((K60)=0,"",(S60/K60))</f>
        <v>-6.7774141806045823E-2</v>
      </c>
      <c r="U60" s="120"/>
      <c r="V60" s="118"/>
      <c r="W60" s="121">
        <f>SUM(W58:W59)</f>
        <v>52.80418236957113</v>
      </c>
      <c r="X60" s="120"/>
      <c r="Y60" s="122">
        <f t="shared" si="11"/>
        <v>1.4723420000895402</v>
      </c>
      <c r="Z60" s="123">
        <f>IF((Q60)=0,"",(Y60/Q60))</f>
        <v>2.8682821217625665E-2</v>
      </c>
      <c r="AA60" s="120"/>
      <c r="AB60" s="118"/>
      <c r="AC60" s="121">
        <f>SUM(AC58:AC59)</f>
        <v>54.251093025653418</v>
      </c>
      <c r="AD60" s="120"/>
      <c r="AE60" s="122">
        <f t="shared" si="12"/>
        <v>1.446910656082288</v>
      </c>
      <c r="AF60" s="123">
        <f>IF((W60)=0,"",(AE60/W60))</f>
        <v>2.7401440400222594E-2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J62" s="142"/>
      <c r="K62" s="142"/>
      <c r="L62" s="142"/>
      <c r="N62" s="145"/>
      <c r="O62" s="212"/>
      <c r="P62" s="142"/>
      <c r="Q62" s="142"/>
      <c r="R62" s="142"/>
      <c r="T62" s="145"/>
      <c r="U62" s="142"/>
      <c r="V62" s="142"/>
      <c r="W62" s="142"/>
      <c r="X62" s="142"/>
      <c r="Z62" s="145"/>
      <c r="AA62" s="142"/>
      <c r="AB62" s="142"/>
      <c r="AC62" s="142"/>
      <c r="AD62" s="142"/>
      <c r="AF62" s="145"/>
      <c r="AG62" s="142"/>
      <c r="AH62" s="142"/>
      <c r="AI62" s="142"/>
    </row>
    <row r="63" spans="2:36" x14ac:dyDescent="0.2">
      <c r="B63" s="7" t="s">
        <v>38</v>
      </c>
      <c r="G63" s="129">
        <v>3.7900000000000003E-2</v>
      </c>
      <c r="I63" s="142"/>
      <c r="J63" s="142"/>
      <c r="K63" s="142"/>
      <c r="L63" s="142"/>
      <c r="M63" s="129">
        <v>3.7900000000000003E-2</v>
      </c>
      <c r="N63" s="142"/>
      <c r="O63" s="59"/>
      <c r="P63" s="142"/>
      <c r="Q63" s="142"/>
      <c r="R63" s="142"/>
      <c r="S63" s="129">
        <v>3.7900000000000003E-2</v>
      </c>
      <c r="T63" s="142"/>
      <c r="U63" s="142"/>
      <c r="V63" s="142"/>
      <c r="W63" s="142"/>
      <c r="X63" s="142"/>
      <c r="Y63" s="129">
        <v>3.7900000000000003E-2</v>
      </c>
      <c r="Z63" s="142"/>
      <c r="AA63" s="142"/>
      <c r="AB63" s="142"/>
      <c r="AC63" s="142"/>
      <c r="AD63" s="142"/>
      <c r="AE63" s="129">
        <v>3.7900000000000003E-2</v>
      </c>
      <c r="AF63" s="142"/>
      <c r="AG63" s="142"/>
      <c r="AH63" s="142"/>
      <c r="AI63" s="142"/>
    </row>
    <row r="64" spans="2:36" ht="10.5" customHeight="1" x14ac:dyDescent="0.2">
      <c r="I64" s="142"/>
      <c r="K64" s="142"/>
      <c r="L64" s="142"/>
      <c r="M64" s="142"/>
      <c r="N64" s="142"/>
      <c r="O64" s="59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59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G9:H9"/>
    <mergeCell ref="J9:K9"/>
    <mergeCell ref="M9:N9"/>
    <mergeCell ref="P9:Q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3" orientation="portrait" r:id="rId1"/>
  <headerFooter alignWithMargins="0">
    <oddFooter>&amp;C9</oddFooter>
  </headerFooter>
  <ignoredErrors>
    <ignoredError sqref="G66:AH73 P48:AH48 P56:AH65 P55:AH55 P54:AH54 P53:AH53 P49:AH52 P16:AH18 Q29:U29 P30:AH30 P44:AH44 P45:AH45 P46:AH46 P47:AH47 P32:AH32 Q12:U12 Q13:AH13 Q14:U14 Q15:U15 P20:AH23 Q19:U19 P25:AH28 Q24:U24 Q31:U31 P34:AH34 Q33:U33 P36:AH36 Q35:U35 P39:AH39 Q37:U37 Q38:U38 Q40:U40 Q41:U41 Q42:U42 P43:AH43 L59:N59 I59:J59 G59 G60:N65 L53:N53 K24:N24 H24:I24 H25:N27 K19:N19 H19:I19 H20:N23 K15:N15 H15:I15 K14:N14 H14:I14 K13:N13 H13:I13 K12:N12 H12:I12 G56:N58 G49:N52 I53:J53 G53 G54:N54 N55 G55:L55 H16:N18 G16:G18 H59 M55 H53 G46 G43 G30 G48 G47 G44 G45 G32 G20:G23 G25:G28 G34 G36 G39 W12:AA12 W14:AA14 W15:AA15 AC12:AH12 AC14:AH14 AC15:AH15 W19:AA19 AC19:AH19 W24:AA24 AC24:AH24 W29:AA29 W31:AA31 W33:AA33 W35:AA35 W37:AA37 W38:AA38 W40:AA40 W41:AA41 W42:AA42 AC29:AH29 AC31:AH31 AC33:AH33 AC35:AH35 AC37:AH37 AC38:AH38 AC40:AH40 AC41:AH41 AC42:AH42" unlockedFormula="1"/>
    <ignoredError sqref="N48 J46 J45 J44 J47 J48 J30 J43 H43:I43 H29:I29 K29:N29 H30:I30 K30:N30 H48:I48 H47:I47 H44:I44 K44:N44 H45:I45 K45:N45 H46:I46 K46:N46 K48:M48 K47:N47 H32:N32 H28:N28 H31:I31 K31:N31 H34:N34 H33:I33 K33:N33 H36:N36 H35:I35 K35:N35 H39:N39 H37:I37 K37:N37 H38:I38 K38:N38 H41:I41 H40:I40 K40:N40 K41:N41 H42:I42 K42:N42 K43:N43" formula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P79"/>
  <sheetViews>
    <sheetView showGridLines="0" topLeftCell="A9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8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10.5703125" style="1" hidden="1" customWidth="1"/>
    <col min="18" max="18" width="1.7109375" style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hidden="1" customWidth="1"/>
    <col min="34" max="34" width="9.85546875" style="1" hidden="1" customWidth="1"/>
    <col min="35" max="35" width="0" style="1" hidden="1" customWidth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50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500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55</v>
      </c>
      <c r="Q9" s="242"/>
      <c r="R9" s="148"/>
      <c r="S9" s="241" t="s">
        <v>57</v>
      </c>
      <c r="T9" s="242"/>
      <c r="U9" s="148"/>
      <c r="V9" s="241" t="s">
        <v>58</v>
      </c>
      <c r="W9" s="242"/>
      <c r="X9" s="148"/>
      <c r="Y9" s="241" t="s">
        <v>59</v>
      </c>
      <c r="Z9" s="242"/>
      <c r="AA9" s="148"/>
      <c r="AB9" s="241" t="s">
        <v>60</v>
      </c>
      <c r="AC9" s="242"/>
      <c r="AD9" s="148"/>
      <c r="AE9" s="241" t="s">
        <v>61</v>
      </c>
      <c r="AF9" s="242"/>
      <c r="AG9" s="148"/>
      <c r="AH9" s="241" t="s">
        <v>62</v>
      </c>
      <c r="AI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43" t="s">
        <v>9</v>
      </c>
      <c r="Q10" s="139" t="s">
        <v>10</v>
      </c>
      <c r="R10" s="142"/>
      <c r="S10" s="10" t="s">
        <v>6</v>
      </c>
      <c r="T10" s="11" t="s">
        <v>8</v>
      </c>
      <c r="U10" s="142"/>
      <c r="V10" s="143" t="s">
        <v>9</v>
      </c>
      <c r="W10" s="139" t="s">
        <v>56</v>
      </c>
      <c r="X10" s="142"/>
      <c r="Y10" s="10" t="s">
        <v>6</v>
      </c>
      <c r="Z10" s="11" t="s">
        <v>8</v>
      </c>
      <c r="AA10" s="142"/>
      <c r="AB10" s="143" t="s">
        <v>9</v>
      </c>
      <c r="AC10" s="139" t="s">
        <v>56</v>
      </c>
      <c r="AD10" s="142"/>
      <c r="AE10" s="10" t="s">
        <v>6</v>
      </c>
      <c r="AF10" s="11" t="s">
        <v>8</v>
      </c>
      <c r="AG10" s="142"/>
      <c r="AH10" s="143" t="s">
        <v>9</v>
      </c>
      <c r="AI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44"/>
      <c r="Q11" s="140"/>
      <c r="R11" s="142"/>
      <c r="S11" s="12" t="s">
        <v>11</v>
      </c>
      <c r="T11" s="13" t="s">
        <v>11</v>
      </c>
      <c r="U11" s="142"/>
      <c r="V11" s="144"/>
      <c r="W11" s="140"/>
      <c r="X11" s="142"/>
      <c r="Y11" s="12" t="s">
        <v>11</v>
      </c>
      <c r="Z11" s="13" t="s">
        <v>11</v>
      </c>
      <c r="AA11" s="142"/>
      <c r="AB11" s="144"/>
      <c r="AC11" s="140"/>
      <c r="AD11" s="142"/>
      <c r="AE11" s="12" t="s">
        <v>11</v>
      </c>
      <c r="AF11" s="13" t="s">
        <v>11</v>
      </c>
      <c r="AG11" s="142"/>
      <c r="AH11" s="144"/>
      <c r="AI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18.8</v>
      </c>
      <c r="H12" s="18">
        <f t="shared" ref="H12:H27" si="0">$F12*G12</f>
        <v>18.8</v>
      </c>
      <c r="I12" s="19"/>
      <c r="J12" s="209">
        <v>21.34</v>
      </c>
      <c r="K12" s="18">
        <f t="shared" ref="K12:K27" si="1">$F12*J12</f>
        <v>21.34</v>
      </c>
      <c r="L12" s="19"/>
      <c r="M12" s="21">
        <f t="shared" ref="M12:M21" si="2">K12-H12</f>
        <v>2.5399999999999991</v>
      </c>
      <c r="N12" s="22">
        <f t="shared" ref="N12:N21" si="3">IF((H12)=0,"",(M12/H12))</f>
        <v>0.13510638297872335</v>
      </c>
      <c r="O12" s="212"/>
      <c r="P12" s="16">
        <v>21.34</v>
      </c>
      <c r="Q12" s="18">
        <f t="shared" ref="Q12:Q27" si="4">$F12*P12</f>
        <v>21.34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23.89</v>
      </c>
      <c r="W12" s="18">
        <f t="shared" ref="W12:W27" si="6">$F12*V12</f>
        <v>23.89</v>
      </c>
      <c r="X12" s="19"/>
      <c r="Y12" s="21">
        <f>W12-Q12</f>
        <v>2.5500000000000007</v>
      </c>
      <c r="Z12" s="22">
        <f t="shared" ref="Z12:Z34" si="7">IF((Q12)=0,"",(Y12/Q12))</f>
        <v>0.11949390815370201</v>
      </c>
      <c r="AA12" s="19"/>
      <c r="AB12" s="16">
        <v>27</v>
      </c>
      <c r="AC12" s="18">
        <f t="shared" ref="AC12:AC27" si="8">$F12*AB12</f>
        <v>27</v>
      </c>
      <c r="AD12" s="19"/>
      <c r="AE12" s="21">
        <f>AC12-W12</f>
        <v>3.1099999999999994</v>
      </c>
      <c r="AF12" s="22">
        <f t="shared" ref="AF12:AF34" si="9">IF((W12)=0,"",(AE12/W12))</f>
        <v>0.13017999162829633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0.79</v>
      </c>
      <c r="H13" s="18">
        <f t="shared" si="0"/>
        <v>0.79</v>
      </c>
      <c r="I13" s="19"/>
      <c r="J13" s="209">
        <v>0.79</v>
      </c>
      <c r="K13" s="18">
        <f t="shared" si="1"/>
        <v>0.79</v>
      </c>
      <c r="L13" s="19"/>
      <c r="M13" s="21">
        <f t="shared" si="2"/>
        <v>0</v>
      </c>
      <c r="N13" s="22">
        <f t="shared" si="3"/>
        <v>0</v>
      </c>
      <c r="O13" s="212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500</v>
      </c>
      <c r="G19" s="16">
        <v>1.21E-2</v>
      </c>
      <c r="H19" s="18">
        <f t="shared" si="0"/>
        <v>6.05</v>
      </c>
      <c r="I19" s="19"/>
      <c r="J19" s="16">
        <v>8.0999999999999996E-3</v>
      </c>
      <c r="K19" s="18">
        <f t="shared" si="1"/>
        <v>4.05</v>
      </c>
      <c r="L19" s="19"/>
      <c r="M19" s="21">
        <f t="shared" si="2"/>
        <v>-2</v>
      </c>
      <c r="N19" s="22">
        <f t="shared" si="3"/>
        <v>-0.33057851239669422</v>
      </c>
      <c r="O19" s="212"/>
      <c r="P19" s="16">
        <v>8.0999999999999996E-3</v>
      </c>
      <c r="Q19" s="18">
        <f t="shared" si="4"/>
        <v>4.05</v>
      </c>
      <c r="R19" s="19"/>
      <c r="S19" s="21">
        <f t="shared" si="13"/>
        <v>0</v>
      </c>
      <c r="T19" s="22">
        <f t="shared" si="5"/>
        <v>0</v>
      </c>
      <c r="U19" s="19"/>
      <c r="V19" s="16">
        <v>4.1000000000000003E-3</v>
      </c>
      <c r="W19" s="18">
        <f t="shared" si="6"/>
        <v>2.0500000000000003</v>
      </c>
      <c r="X19" s="19"/>
      <c r="Y19" s="21">
        <f t="shared" si="14"/>
        <v>-1.9999999999999996</v>
      </c>
      <c r="Z19" s="22">
        <f t="shared" si="7"/>
        <v>-0.49382716049382708</v>
      </c>
      <c r="AA19" s="19"/>
      <c r="AB19" s="16">
        <v>0</v>
      </c>
      <c r="AC19" s="18">
        <f t="shared" si="8"/>
        <v>0</v>
      </c>
      <c r="AD19" s="19"/>
      <c r="AE19" s="21">
        <f t="shared" si="15"/>
        <v>-2.0500000000000003</v>
      </c>
      <c r="AF19" s="22">
        <f t="shared" si="9"/>
        <v>-1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27" si="16">$G$7</f>
        <v>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6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212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6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212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6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212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25.64</v>
      </c>
      <c r="I28" s="31"/>
      <c r="J28" s="28"/>
      <c r="K28" s="30">
        <f>SUM(K12:K27)</f>
        <v>26.18</v>
      </c>
      <c r="L28" s="31"/>
      <c r="M28" s="32">
        <f t="shared" si="17"/>
        <v>0.53999999999999915</v>
      </c>
      <c r="N28" s="33">
        <f t="shared" si="18"/>
        <v>2.1060842433697314E-2</v>
      </c>
      <c r="O28" s="212"/>
      <c r="P28" s="28"/>
      <c r="Q28" s="30">
        <f>SUM(Q12:Q27)</f>
        <v>26.18</v>
      </c>
      <c r="R28" s="31"/>
      <c r="S28" s="32">
        <f t="shared" si="13"/>
        <v>0</v>
      </c>
      <c r="T28" s="33">
        <f t="shared" si="5"/>
        <v>0</v>
      </c>
      <c r="U28" s="31"/>
      <c r="V28" s="28"/>
      <c r="W28" s="30">
        <f>SUM(W12:W27)</f>
        <v>25.94</v>
      </c>
      <c r="X28" s="31"/>
      <c r="Y28" s="32">
        <f t="shared" si="14"/>
        <v>-0.23999999999999844</v>
      </c>
      <c r="Z28" s="33">
        <f t="shared" si="7"/>
        <v>-9.1673032849502838E-3</v>
      </c>
      <c r="AA28" s="31"/>
      <c r="AB28" s="28"/>
      <c r="AC28" s="30">
        <f>SUM(AC12:AC27)</f>
        <v>27</v>
      </c>
      <c r="AD28" s="31"/>
      <c r="AE28" s="32">
        <f t="shared" si="15"/>
        <v>1.0599999999999987</v>
      </c>
      <c r="AF28" s="33">
        <f t="shared" si="9"/>
        <v>4.0863531225905886E-2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500</v>
      </c>
      <c r="G29" s="16">
        <v>3.3021965494891908E-4</v>
      </c>
      <c r="H29" s="18">
        <f t="shared" ref="H29:H35" si="19">$F29*G29</f>
        <v>0.16510982747445954</v>
      </c>
      <c r="I29" s="19"/>
      <c r="J29" s="16">
        <v>-2.5999999999999999E-3</v>
      </c>
      <c r="K29" s="18">
        <f t="shared" ref="K29:K35" si="20">$F29*J29</f>
        <v>-1.3</v>
      </c>
      <c r="L29" s="19"/>
      <c r="M29" s="21">
        <f t="shared" si="17"/>
        <v>-1.4651098274744596</v>
      </c>
      <c r="N29" s="22">
        <f t="shared" si="18"/>
        <v>-8.873547080055511</v>
      </c>
      <c r="O29" s="212"/>
      <c r="P29" s="16">
        <v>-2.5999999999999999E-3</v>
      </c>
      <c r="Q29" s="18">
        <f t="shared" ref="Q29:Q35" si="21">$F29*P29</f>
        <v>-1.3</v>
      </c>
      <c r="R29" s="19"/>
      <c r="S29" s="21">
        <f t="shared" si="13"/>
        <v>0</v>
      </c>
      <c r="T29" s="22">
        <f t="shared" si="5"/>
        <v>0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1.3</v>
      </c>
      <c r="Z29" s="22">
        <f t="shared" si="7"/>
        <v>-1</v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500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ref="F31:F33" si="28">$G$7</f>
        <v>500</v>
      </c>
      <c r="G31" s="16">
        <v>0</v>
      </c>
      <c r="H31" s="18">
        <f t="shared" si="19"/>
        <v>0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0</v>
      </c>
      <c r="N31" s="22" t="str">
        <f>IF((H31)=0,"",(M31/H31))</f>
        <v/>
      </c>
      <c r="O31" s="212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28"/>
        <v>500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212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28"/>
        <v>500</v>
      </c>
      <c r="G33" s="133">
        <v>6.0000002460806063E-5</v>
      </c>
      <c r="H33" s="18">
        <f t="shared" si="19"/>
        <v>3.0000001230403032E-2</v>
      </c>
      <c r="I33" s="19"/>
      <c r="J33" s="133">
        <v>6.0000001057066139E-5</v>
      </c>
      <c r="K33" s="18">
        <f t="shared" si="20"/>
        <v>3.000000052853307E-2</v>
      </c>
      <c r="L33" s="19"/>
      <c r="M33" s="21">
        <f t="shared" si="29"/>
        <v>-7.0186996145582548E-10</v>
      </c>
      <c r="N33" s="22">
        <f>IF((H33)=0,"",(M33/H33))</f>
        <v>-2.33956644223243E-8</v>
      </c>
      <c r="O33" s="212"/>
      <c r="P33" s="133">
        <v>6.0000001057066139E-5</v>
      </c>
      <c r="Q33" s="18">
        <f t="shared" si="21"/>
        <v>3.000000052853307E-2</v>
      </c>
      <c r="R33" s="19"/>
      <c r="S33" s="21">
        <f t="shared" si="13"/>
        <v>0</v>
      </c>
      <c r="T33" s="22">
        <f t="shared" si="5"/>
        <v>0</v>
      </c>
      <c r="U33" s="19"/>
      <c r="V33" s="133">
        <v>6.000000141885779E-5</v>
      </c>
      <c r="W33" s="18">
        <f t="shared" si="22"/>
        <v>3.0000000709428896E-2</v>
      </c>
      <c r="X33" s="19"/>
      <c r="Y33" s="21">
        <f t="shared" si="14"/>
        <v>1.808958260962612E-10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2.9874038132734138E-2</v>
      </c>
      <c r="AD33" s="19"/>
      <c r="AE33" s="21">
        <f t="shared" si="15"/>
        <v>-1.2596257669475822E-4</v>
      </c>
      <c r="AF33" s="22">
        <f t="shared" si="9"/>
        <v>-4.1987524572013966E-3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18.950000000000045</v>
      </c>
      <c r="G34" s="38">
        <f>0.64*G44+0.18*G45+0.18*G46</f>
        <v>0.11183999999999999</v>
      </c>
      <c r="H34" s="18">
        <f t="shared" si="19"/>
        <v>2.119368000000005</v>
      </c>
      <c r="I34" s="19"/>
      <c r="J34" s="38">
        <f>0.64*J44+0.18*J45+0.18*J46</f>
        <v>0.11183999999999999</v>
      </c>
      <c r="K34" s="18">
        <f t="shared" si="20"/>
        <v>2.119368000000005</v>
      </c>
      <c r="L34" s="19"/>
      <c r="M34" s="21">
        <f t="shared" si="29"/>
        <v>0</v>
      </c>
      <c r="N34" s="22">
        <f>IF((H34)=0,"",(M34/H34))</f>
        <v>0</v>
      </c>
      <c r="O34" s="212"/>
      <c r="P34" s="38">
        <f>0.64*P44+0.18*P45+0.18*P46</f>
        <v>0.10214000000000001</v>
      </c>
      <c r="Q34" s="18">
        <f t="shared" si="21"/>
        <v>1.9355530000000047</v>
      </c>
      <c r="R34" s="19"/>
      <c r="S34" s="21">
        <f t="shared" si="13"/>
        <v>-0.18381500000000028</v>
      </c>
      <c r="T34" s="22">
        <f t="shared" si="5"/>
        <v>-8.673104434907003E-2</v>
      </c>
      <c r="U34" s="19"/>
      <c r="V34" s="38">
        <f>0.64*V44+0.18*V45+0.18*V46</f>
        <v>0.10214000000000001</v>
      </c>
      <c r="W34" s="18">
        <f t="shared" si="22"/>
        <v>1.9355530000000047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1.9355530000000047</v>
      </c>
      <c r="AD34" s="19"/>
      <c r="AE34" s="21">
        <f t="shared" si="15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0.79</v>
      </c>
      <c r="H35" s="18">
        <f t="shared" si="19"/>
        <v>0.79</v>
      </c>
      <c r="I35" s="19"/>
      <c r="J35" s="210">
        <v>0.79</v>
      </c>
      <c r="K35" s="18">
        <f t="shared" si="20"/>
        <v>0.79</v>
      </c>
      <c r="L35" s="19"/>
      <c r="M35" s="21">
        <f t="shared" si="29"/>
        <v>0</v>
      </c>
      <c r="N35" s="22"/>
      <c r="O35" s="212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28.744477828704866</v>
      </c>
      <c r="I36" s="31"/>
      <c r="J36" s="41"/>
      <c r="K36" s="43">
        <f>SUM(K29:K35)+K28</f>
        <v>27.819368000528538</v>
      </c>
      <c r="L36" s="31"/>
      <c r="M36" s="32">
        <f t="shared" si="29"/>
        <v>-0.92510982817632836</v>
      </c>
      <c r="N36" s="33">
        <f t="shared" ref="N36:N46" si="30">IF((H36)=0,"",(M36/H36))</f>
        <v>-3.2183914896255078E-2</v>
      </c>
      <c r="O36" s="212"/>
      <c r="P36" s="41"/>
      <c r="Q36" s="43">
        <f>SUM(Q29:Q35)+Q28</f>
        <v>27.635553000528539</v>
      </c>
      <c r="R36" s="31"/>
      <c r="S36" s="32">
        <f t="shared" si="13"/>
        <v>-0.18381499999999917</v>
      </c>
      <c r="T36" s="33">
        <f t="shared" ref="T36:T46" si="31">IF((K36)=0,"",(S36/K36))</f>
        <v>-6.6074470130488543E-3</v>
      </c>
      <c r="U36" s="31"/>
      <c r="V36" s="41"/>
      <c r="W36" s="43">
        <f>SUM(W29:W35)+W28</f>
        <v>28.695553000709435</v>
      </c>
      <c r="X36" s="31"/>
      <c r="Y36" s="32">
        <f t="shared" si="14"/>
        <v>1.0600000001808958</v>
      </c>
      <c r="Z36" s="33">
        <f t="shared" ref="Z36:Z46" si="32">IF((Q36)=0,"",(Y36/Q36))</f>
        <v>3.8356388242371087E-2</v>
      </c>
      <c r="AA36" s="31"/>
      <c r="AB36" s="41"/>
      <c r="AC36" s="43">
        <f>SUM(AC29:AC35)+AC28</f>
        <v>28.965427038132738</v>
      </c>
      <c r="AD36" s="31"/>
      <c r="AE36" s="32">
        <f t="shared" si="15"/>
        <v>0.26987403742330329</v>
      </c>
      <c r="AF36" s="33">
        <f t="shared" ref="AF36:AF46" si="33">IF((W36)=0,"",(AE36/W36))</f>
        <v>9.4047338072429289E-3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518.95000000000005</v>
      </c>
      <c r="G37" s="20">
        <v>7.7725149591303024E-3</v>
      </c>
      <c r="H37" s="18">
        <f>$F37*G37</f>
        <v>4.0335466380406704</v>
      </c>
      <c r="I37" s="19"/>
      <c r="J37" s="20">
        <v>7.4000000000000003E-3</v>
      </c>
      <c r="K37" s="18">
        <f>$F37*J37</f>
        <v>3.8402300000000005</v>
      </c>
      <c r="L37" s="19"/>
      <c r="M37" s="21">
        <f t="shared" si="29"/>
        <v>-0.1933166380406699</v>
      </c>
      <c r="N37" s="22">
        <f t="shared" si="30"/>
        <v>-4.7927210315975195E-2</v>
      </c>
      <c r="O37" s="212"/>
      <c r="P37" s="20">
        <v>7.4000000000000003E-3</v>
      </c>
      <c r="Q37" s="18">
        <f>$F37*P37</f>
        <v>3.8402300000000005</v>
      </c>
      <c r="R37" s="19"/>
      <c r="S37" s="21">
        <f t="shared" si="13"/>
        <v>0</v>
      </c>
      <c r="T37" s="22">
        <f t="shared" si="31"/>
        <v>0</v>
      </c>
      <c r="U37" s="19"/>
      <c r="V37" s="20">
        <v>7.4000000000000003E-3</v>
      </c>
      <c r="W37" s="18">
        <f>$F37*V37</f>
        <v>3.8402300000000005</v>
      </c>
      <c r="X37" s="19"/>
      <c r="Y37" s="21">
        <f t="shared" si="14"/>
        <v>0</v>
      </c>
      <c r="Z37" s="22">
        <f t="shared" si="32"/>
        <v>0</v>
      </c>
      <c r="AA37" s="19"/>
      <c r="AB37" s="20">
        <v>7.4000000000000003E-3</v>
      </c>
      <c r="AC37" s="18">
        <f>$F37*AB37</f>
        <v>3.8402300000000005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518.95000000000005</v>
      </c>
      <c r="G38" s="20">
        <v>5.8885548323693356E-3</v>
      </c>
      <c r="H38" s="18">
        <f>$F38*G38</f>
        <v>3.0558655302580671</v>
      </c>
      <c r="I38" s="19"/>
      <c r="J38" s="20">
        <v>5.8999999999999999E-3</v>
      </c>
      <c r="K38" s="18">
        <f>$F38*J38</f>
        <v>3.0618050000000001</v>
      </c>
      <c r="L38" s="19"/>
      <c r="M38" s="21">
        <f t="shared" si="29"/>
        <v>5.9394697419330456E-3</v>
      </c>
      <c r="N38" s="22">
        <f t="shared" si="30"/>
        <v>1.9436292870620713E-3</v>
      </c>
      <c r="O38" s="212"/>
      <c r="P38" s="20">
        <v>5.8999999999999999E-3</v>
      </c>
      <c r="Q38" s="18">
        <f>$F38*P38</f>
        <v>3.0618050000000001</v>
      </c>
      <c r="R38" s="19"/>
      <c r="S38" s="21">
        <f t="shared" si="13"/>
        <v>0</v>
      </c>
      <c r="T38" s="22">
        <f t="shared" si="31"/>
        <v>0</v>
      </c>
      <c r="U38" s="19"/>
      <c r="V38" s="20">
        <v>5.8999999999999999E-3</v>
      </c>
      <c r="W38" s="18">
        <f>$F38*V38</f>
        <v>3.0618050000000001</v>
      </c>
      <c r="X38" s="19"/>
      <c r="Y38" s="21">
        <f t="shared" si="14"/>
        <v>0</v>
      </c>
      <c r="Z38" s="22">
        <f t="shared" si="32"/>
        <v>0</v>
      </c>
      <c r="AA38" s="19"/>
      <c r="AB38" s="20">
        <v>5.8999999999999999E-3</v>
      </c>
      <c r="AC38" s="18">
        <f>$F38*AB38</f>
        <v>3.0618050000000001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35.833889997003602</v>
      </c>
      <c r="I39" s="48"/>
      <c r="J39" s="47"/>
      <c r="K39" s="43">
        <f>SUM(K36:K38)</f>
        <v>34.721403000528539</v>
      </c>
      <c r="L39" s="48"/>
      <c r="M39" s="32">
        <f t="shared" si="29"/>
        <v>-1.112486996475063</v>
      </c>
      <c r="N39" s="33">
        <f t="shared" si="30"/>
        <v>-3.1045666450616669E-2</v>
      </c>
      <c r="O39" s="212"/>
      <c r="P39" s="47"/>
      <c r="Q39" s="43">
        <f>SUM(Q36:Q38)</f>
        <v>34.537588000528544</v>
      </c>
      <c r="R39" s="48"/>
      <c r="S39" s="32">
        <f t="shared" si="13"/>
        <v>-0.18381499999999562</v>
      </c>
      <c r="T39" s="33">
        <f t="shared" si="31"/>
        <v>-5.2939969043646522E-3</v>
      </c>
      <c r="U39" s="48"/>
      <c r="V39" s="47"/>
      <c r="W39" s="43">
        <f>SUM(W36:W38)</f>
        <v>35.597588000709436</v>
      </c>
      <c r="X39" s="48"/>
      <c r="Y39" s="32">
        <f t="shared" si="14"/>
        <v>1.0600000001808922</v>
      </c>
      <c r="Z39" s="33">
        <f t="shared" si="32"/>
        <v>3.069119940178424E-2</v>
      </c>
      <c r="AA39" s="48"/>
      <c r="AB39" s="47"/>
      <c r="AC39" s="43">
        <f>SUM(AC36:AC38)</f>
        <v>35.867462038132736</v>
      </c>
      <c r="AD39" s="48"/>
      <c r="AE39" s="32">
        <f t="shared" si="15"/>
        <v>0.26987403742329974</v>
      </c>
      <c r="AF39" s="33">
        <f t="shared" si="33"/>
        <v>7.5812450387908676E-3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518.95000000000005</v>
      </c>
      <c r="G40" s="50">
        <v>4.7000000000000002E-3</v>
      </c>
      <c r="H40" s="152">
        <f t="shared" ref="H40:H48" si="34">$F40*G40</f>
        <v>2.4390650000000003</v>
      </c>
      <c r="I40" s="19"/>
      <c r="J40" s="50">
        <v>4.7000000000000002E-3</v>
      </c>
      <c r="K40" s="152">
        <f t="shared" ref="K40:K42" si="35">$F40*J40</f>
        <v>2.4390650000000003</v>
      </c>
      <c r="L40" s="19"/>
      <c r="M40" s="21">
        <f t="shared" si="29"/>
        <v>0</v>
      </c>
      <c r="N40" s="153">
        <f t="shared" si="30"/>
        <v>0</v>
      </c>
      <c r="O40" s="212"/>
      <c r="P40" s="50">
        <v>4.7000000000000002E-3</v>
      </c>
      <c r="Q40" s="152">
        <f t="shared" ref="Q40:Q42" si="36">$F40*P40</f>
        <v>2.4390650000000003</v>
      </c>
      <c r="R40" s="19"/>
      <c r="S40" s="21">
        <f t="shared" si="13"/>
        <v>0</v>
      </c>
      <c r="T40" s="153">
        <f t="shared" si="31"/>
        <v>0</v>
      </c>
      <c r="U40" s="19"/>
      <c r="V40" s="50">
        <v>4.7000000000000002E-3</v>
      </c>
      <c r="W40" s="152">
        <f t="shared" ref="W40:W42" si="37">$F40*V40</f>
        <v>2.4390650000000003</v>
      </c>
      <c r="X40" s="19"/>
      <c r="Y40" s="21">
        <f t="shared" si="14"/>
        <v>0</v>
      </c>
      <c r="Z40" s="153">
        <f t="shared" si="32"/>
        <v>0</v>
      </c>
      <c r="AA40" s="19"/>
      <c r="AB40" s="50">
        <v>4.7000000000000002E-3</v>
      </c>
      <c r="AC40" s="152">
        <f t="shared" ref="AC40:AC48" si="38">$F40*AB40</f>
        <v>2.4390650000000003</v>
      </c>
      <c r="AD40" s="19"/>
      <c r="AE40" s="21">
        <f t="shared" si="15"/>
        <v>0</v>
      </c>
      <c r="AF40" s="153">
        <f t="shared" si="33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518.95000000000005</v>
      </c>
      <c r="G41" s="50">
        <v>1.2999999999999999E-3</v>
      </c>
      <c r="H41" s="152">
        <f t="shared" si="34"/>
        <v>0.67463499999999998</v>
      </c>
      <c r="I41" s="19"/>
      <c r="J41" s="50">
        <v>2.0999999999999999E-3</v>
      </c>
      <c r="K41" s="152">
        <f t="shared" si="35"/>
        <v>1.0897950000000001</v>
      </c>
      <c r="L41" s="19"/>
      <c r="M41" s="21">
        <f t="shared" si="29"/>
        <v>0.41516000000000008</v>
      </c>
      <c r="N41" s="153">
        <f t="shared" si="30"/>
        <v>0.61538461538461553</v>
      </c>
      <c r="O41" s="212"/>
      <c r="P41" s="50">
        <v>2.0999999999999999E-3</v>
      </c>
      <c r="Q41" s="152">
        <f t="shared" si="36"/>
        <v>1.0897950000000001</v>
      </c>
      <c r="R41" s="19"/>
      <c r="S41" s="21">
        <f t="shared" si="13"/>
        <v>0</v>
      </c>
      <c r="T41" s="153">
        <f t="shared" si="31"/>
        <v>0</v>
      </c>
      <c r="U41" s="19"/>
      <c r="V41" s="50">
        <v>2.0999999999999999E-3</v>
      </c>
      <c r="W41" s="152">
        <f t="shared" si="37"/>
        <v>1.0897950000000001</v>
      </c>
      <c r="X41" s="19"/>
      <c r="Y41" s="21">
        <f t="shared" si="14"/>
        <v>0</v>
      </c>
      <c r="Z41" s="153">
        <f t="shared" si="32"/>
        <v>0</v>
      </c>
      <c r="AA41" s="19"/>
      <c r="AB41" s="50">
        <v>2.0999999999999999E-3</v>
      </c>
      <c r="AC41" s="152">
        <f t="shared" si="38"/>
        <v>1.0897950000000001</v>
      </c>
      <c r="AD41" s="19"/>
      <c r="AE41" s="21">
        <f t="shared" si="15"/>
        <v>0</v>
      </c>
      <c r="AF41" s="153">
        <f t="shared" si="33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4"/>
        <v>0.25</v>
      </c>
      <c r="I42" s="19"/>
      <c r="J42" s="50">
        <v>0.25</v>
      </c>
      <c r="K42" s="152">
        <f t="shared" si="35"/>
        <v>0.25</v>
      </c>
      <c r="L42" s="19"/>
      <c r="M42" s="21">
        <f t="shared" si="29"/>
        <v>0</v>
      </c>
      <c r="N42" s="153">
        <f t="shared" si="30"/>
        <v>0</v>
      </c>
      <c r="O42" s="212"/>
      <c r="P42" s="50">
        <v>0.25</v>
      </c>
      <c r="Q42" s="152">
        <f t="shared" si="36"/>
        <v>0.25</v>
      </c>
      <c r="R42" s="19"/>
      <c r="S42" s="21">
        <f t="shared" si="13"/>
        <v>0</v>
      </c>
      <c r="T42" s="153">
        <f t="shared" si="31"/>
        <v>0</v>
      </c>
      <c r="U42" s="19"/>
      <c r="V42" s="50">
        <v>0.25</v>
      </c>
      <c r="W42" s="152">
        <f t="shared" si="37"/>
        <v>0.25</v>
      </c>
      <c r="X42" s="19"/>
      <c r="Y42" s="21">
        <f t="shared" si="14"/>
        <v>0</v>
      </c>
      <c r="Z42" s="153">
        <f t="shared" si="32"/>
        <v>0</v>
      </c>
      <c r="AA42" s="19"/>
      <c r="AB42" s="50">
        <v>0.25</v>
      </c>
      <c r="AC42" s="152">
        <f t="shared" si="38"/>
        <v>0.25</v>
      </c>
      <c r="AD42" s="19"/>
      <c r="AE42" s="21">
        <f t="shared" si="15"/>
        <v>0</v>
      </c>
      <c r="AF42" s="153">
        <f t="shared" si="33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500</v>
      </c>
      <c r="G43" s="50">
        <v>0</v>
      </c>
      <c r="H43" s="152">
        <f t="shared" si="34"/>
        <v>0</v>
      </c>
      <c r="I43" s="19"/>
      <c r="J43" s="50">
        <v>0</v>
      </c>
      <c r="K43" s="152">
        <f t="shared" ref="K43:K48" si="39">$F43*J43</f>
        <v>0</v>
      </c>
      <c r="L43" s="19"/>
      <c r="M43" s="21">
        <f t="shared" si="29"/>
        <v>0</v>
      </c>
      <c r="N43" s="153" t="str">
        <f t="shared" si="30"/>
        <v/>
      </c>
      <c r="O43" s="212"/>
      <c r="P43" s="50"/>
      <c r="Q43" s="152">
        <f t="shared" ref="Q43:Q48" si="40">$F43*P43</f>
        <v>0</v>
      </c>
      <c r="R43" s="19"/>
      <c r="S43" s="21">
        <f t="shared" si="13"/>
        <v>0</v>
      </c>
      <c r="T43" s="153" t="str">
        <f t="shared" si="31"/>
        <v/>
      </c>
      <c r="U43" s="19"/>
      <c r="V43" s="50"/>
      <c r="W43" s="152">
        <f t="shared" ref="W43:W48" si="41">$F43*V43</f>
        <v>0</v>
      </c>
      <c r="X43" s="19"/>
      <c r="Y43" s="21">
        <f t="shared" si="14"/>
        <v>0</v>
      </c>
      <c r="Z43" s="153" t="str">
        <f t="shared" si="32"/>
        <v/>
      </c>
      <c r="AA43" s="19"/>
      <c r="AB43" s="50"/>
      <c r="AC43" s="152">
        <f t="shared" si="38"/>
        <v>0</v>
      </c>
      <c r="AD43" s="19"/>
      <c r="AE43" s="21">
        <f t="shared" si="15"/>
        <v>0</v>
      </c>
      <c r="AF43" s="153" t="str">
        <f t="shared" si="33"/>
        <v/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320</v>
      </c>
      <c r="G44" s="54">
        <v>8.6999999999999994E-2</v>
      </c>
      <c r="H44" s="152">
        <f t="shared" si="34"/>
        <v>27.839999999999996</v>
      </c>
      <c r="I44" s="19"/>
      <c r="J44" s="54">
        <f>+G44</f>
        <v>8.6999999999999994E-2</v>
      </c>
      <c r="K44" s="152">
        <f t="shared" si="39"/>
        <v>27.839999999999996</v>
      </c>
      <c r="L44" s="19"/>
      <c r="M44" s="21">
        <f t="shared" si="29"/>
        <v>0</v>
      </c>
      <c r="N44" s="153">
        <f t="shared" si="30"/>
        <v>0</v>
      </c>
      <c r="O44" s="212"/>
      <c r="P44" s="54">
        <v>0.08</v>
      </c>
      <c r="Q44" s="152">
        <f t="shared" si="40"/>
        <v>25.6</v>
      </c>
      <c r="R44" s="19"/>
      <c r="S44" s="21">
        <f t="shared" si="13"/>
        <v>-2.2399999999999949</v>
      </c>
      <c r="T44" s="153">
        <f t="shared" si="31"/>
        <v>-8.0459770114942361E-2</v>
      </c>
      <c r="U44" s="19"/>
      <c r="V44" s="54">
        <v>0.08</v>
      </c>
      <c r="W44" s="152">
        <f t="shared" si="41"/>
        <v>25.6</v>
      </c>
      <c r="X44" s="19"/>
      <c r="Y44" s="21">
        <f t="shared" si="14"/>
        <v>0</v>
      </c>
      <c r="Z44" s="153">
        <f t="shared" si="32"/>
        <v>0</v>
      </c>
      <c r="AA44" s="19"/>
      <c r="AB44" s="54">
        <v>0.08</v>
      </c>
      <c r="AC44" s="152">
        <f t="shared" si="38"/>
        <v>25.6</v>
      </c>
      <c r="AD44" s="19"/>
      <c r="AE44" s="21">
        <f t="shared" si="15"/>
        <v>0</v>
      </c>
      <c r="AF44" s="153">
        <f t="shared" si="33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90</v>
      </c>
      <c r="G45" s="54">
        <v>0.13200000000000001</v>
      </c>
      <c r="H45" s="152">
        <f t="shared" si="34"/>
        <v>11.88</v>
      </c>
      <c r="I45" s="19"/>
      <c r="J45" s="54">
        <f>+G45</f>
        <v>0.13200000000000001</v>
      </c>
      <c r="K45" s="152">
        <f t="shared" si="39"/>
        <v>11.88</v>
      </c>
      <c r="L45" s="19"/>
      <c r="M45" s="21">
        <f t="shared" si="29"/>
        <v>0</v>
      </c>
      <c r="N45" s="153">
        <f t="shared" si="30"/>
        <v>0</v>
      </c>
      <c r="O45" s="212"/>
      <c r="P45" s="54">
        <v>0.122</v>
      </c>
      <c r="Q45" s="152">
        <f t="shared" si="40"/>
        <v>10.98</v>
      </c>
      <c r="R45" s="19"/>
      <c r="S45" s="21">
        <f t="shared" si="13"/>
        <v>-0.90000000000000036</v>
      </c>
      <c r="T45" s="153">
        <f t="shared" si="31"/>
        <v>-7.5757575757575787E-2</v>
      </c>
      <c r="U45" s="19"/>
      <c r="V45" s="54">
        <v>0.122</v>
      </c>
      <c r="W45" s="152">
        <f t="shared" si="41"/>
        <v>10.98</v>
      </c>
      <c r="X45" s="19"/>
      <c r="Y45" s="21">
        <f t="shared" si="14"/>
        <v>0</v>
      </c>
      <c r="Z45" s="153">
        <f t="shared" si="32"/>
        <v>0</v>
      </c>
      <c r="AA45" s="19"/>
      <c r="AB45" s="54">
        <v>0.122</v>
      </c>
      <c r="AC45" s="152">
        <f t="shared" si="38"/>
        <v>10.98</v>
      </c>
      <c r="AD45" s="19"/>
      <c r="AE45" s="21">
        <f t="shared" si="15"/>
        <v>0</v>
      </c>
      <c r="AF45" s="153">
        <f t="shared" si="33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90</v>
      </c>
      <c r="G46" s="54">
        <v>0.18</v>
      </c>
      <c r="H46" s="152">
        <f t="shared" si="34"/>
        <v>16.2</v>
      </c>
      <c r="I46" s="19"/>
      <c r="J46" s="54">
        <f>+G46</f>
        <v>0.18</v>
      </c>
      <c r="K46" s="152">
        <f t="shared" si="39"/>
        <v>16.2</v>
      </c>
      <c r="L46" s="19"/>
      <c r="M46" s="21">
        <f t="shared" si="29"/>
        <v>0</v>
      </c>
      <c r="N46" s="153">
        <f t="shared" si="30"/>
        <v>0</v>
      </c>
      <c r="O46" s="212"/>
      <c r="P46" s="54">
        <v>0.161</v>
      </c>
      <c r="Q46" s="152">
        <f t="shared" si="40"/>
        <v>14.49</v>
      </c>
      <c r="R46" s="19"/>
      <c r="S46" s="21">
        <f t="shared" si="13"/>
        <v>-1.7099999999999991</v>
      </c>
      <c r="T46" s="153">
        <f t="shared" si="31"/>
        <v>-0.1055555555555555</v>
      </c>
      <c r="U46" s="19"/>
      <c r="V46" s="54">
        <v>0.161</v>
      </c>
      <c r="W46" s="152">
        <f t="shared" si="41"/>
        <v>14.49</v>
      </c>
      <c r="X46" s="19"/>
      <c r="Y46" s="21">
        <f t="shared" si="14"/>
        <v>0</v>
      </c>
      <c r="Z46" s="153">
        <f t="shared" si="32"/>
        <v>0</v>
      </c>
      <c r="AA46" s="19"/>
      <c r="AB46" s="54">
        <v>0.161</v>
      </c>
      <c r="AC46" s="152">
        <f t="shared" si="38"/>
        <v>14.49</v>
      </c>
      <c r="AD46" s="19"/>
      <c r="AE46" s="21">
        <f t="shared" si="15"/>
        <v>0</v>
      </c>
      <c r="AF46" s="153">
        <f t="shared" si="33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500</v>
      </c>
      <c r="G47" s="54">
        <v>0.10299999999999999</v>
      </c>
      <c r="H47" s="152">
        <f t="shared" si="34"/>
        <v>51.5</v>
      </c>
      <c r="I47" s="59"/>
      <c r="J47" s="54">
        <f>+G47</f>
        <v>0.10299999999999999</v>
      </c>
      <c r="K47" s="152">
        <f t="shared" si="39"/>
        <v>51.5</v>
      </c>
      <c r="L47" s="59"/>
      <c r="M47" s="60">
        <f t="shared" si="29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47</v>
      </c>
      <c r="R47" s="59"/>
      <c r="S47" s="60">
        <f t="shared" si="13"/>
        <v>-4.5</v>
      </c>
      <c r="T47" s="153">
        <f>IF((K47)=FALSE,"",(S47/K47))</f>
        <v>-8.7378640776699032E-2</v>
      </c>
      <c r="U47" s="59"/>
      <c r="V47" s="54">
        <v>9.4E-2</v>
      </c>
      <c r="W47" s="152">
        <f t="shared" si="41"/>
        <v>47</v>
      </c>
      <c r="X47" s="59"/>
      <c r="Y47" s="60">
        <f t="shared" si="14"/>
        <v>0</v>
      </c>
      <c r="Z47" s="153">
        <f>IF((Q47)=FALSE,"",(Y47/Q47))</f>
        <v>0</v>
      </c>
      <c r="AA47" s="59"/>
      <c r="AB47" s="54">
        <v>9.4E-2</v>
      </c>
      <c r="AC47" s="152">
        <f t="shared" si="38"/>
        <v>47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0</v>
      </c>
      <c r="G48" s="54">
        <v>0.121</v>
      </c>
      <c r="H48" s="152">
        <f t="shared" si="34"/>
        <v>0</v>
      </c>
      <c r="I48" s="59"/>
      <c r="J48" s="54">
        <f>+G48</f>
        <v>0.121</v>
      </c>
      <c r="K48" s="152">
        <f t="shared" si="39"/>
        <v>0</v>
      </c>
      <c r="L48" s="59"/>
      <c r="M48" s="60">
        <f t="shared" si="29"/>
        <v>0</v>
      </c>
      <c r="N48" s="207" t="str">
        <f>IFERROR(IF((H48)=FALSE,"",(M48/H48)),"n/a")</f>
        <v>n/a</v>
      </c>
      <c r="O48" s="212"/>
      <c r="P48" s="54">
        <v>0.11</v>
      </c>
      <c r="Q48" s="152">
        <f t="shared" si="40"/>
        <v>0</v>
      </c>
      <c r="R48" s="59"/>
      <c r="S48" s="60">
        <f t="shared" si="13"/>
        <v>0</v>
      </c>
      <c r="T48" s="153" t="e">
        <f>IF((K48)=FALSE,"",(S48/K48))</f>
        <v>#DIV/0!</v>
      </c>
      <c r="U48" s="59"/>
      <c r="V48" s="54">
        <v>0.11</v>
      </c>
      <c r="W48" s="152">
        <f t="shared" si="41"/>
        <v>0</v>
      </c>
      <c r="X48" s="59"/>
      <c r="Y48" s="60">
        <f t="shared" si="14"/>
        <v>0</v>
      </c>
      <c r="Z48" s="153" t="e">
        <f>IF((Q48)=FALSE,"",(Y48/Q48))</f>
        <v>#DIV/0!</v>
      </c>
      <c r="AA48" s="59"/>
      <c r="AB48" s="54">
        <v>0.11</v>
      </c>
      <c r="AC48" s="152">
        <f t="shared" si="38"/>
        <v>0</v>
      </c>
      <c r="AD48" s="59"/>
      <c r="AE48" s="60">
        <f t="shared" si="15"/>
        <v>0</v>
      </c>
      <c r="AF48" s="153" t="e">
        <f>IF((W48)=FALSE,"",(AE48/W48))</f>
        <v>#DIV/0!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212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95.117589997003591</v>
      </c>
      <c r="I50" s="75"/>
      <c r="J50" s="72"/>
      <c r="K50" s="74">
        <f>SUM(K40:K46,K39)</f>
        <v>94.420263000528536</v>
      </c>
      <c r="L50" s="75"/>
      <c r="M50" s="76">
        <f t="shared" si="29"/>
        <v>-0.69732699647505569</v>
      </c>
      <c r="N50" s="77">
        <f>IF((H50)=0,"",(M50/H50))</f>
        <v>-7.3312096794822387E-3</v>
      </c>
      <c r="O50" s="212"/>
      <c r="P50" s="72"/>
      <c r="Q50" s="74">
        <f>SUM(Q40:Q46,Q39)</f>
        <v>89.38644800052856</v>
      </c>
      <c r="R50" s="75"/>
      <c r="S50" s="76">
        <f t="shared" si="13"/>
        <v>-5.0338149999999757</v>
      </c>
      <c r="T50" s="77">
        <f>IF((K50)=0,"",(S50/K50))</f>
        <v>-5.3312867810713448E-2</v>
      </c>
      <c r="U50" s="75"/>
      <c r="V50" s="72"/>
      <c r="W50" s="74">
        <f>SUM(W40:W46,W39)</f>
        <v>90.446448000709438</v>
      </c>
      <c r="X50" s="75"/>
      <c r="Y50" s="76">
        <f t="shared" si="14"/>
        <v>1.060000000180878</v>
      </c>
      <c r="Z50" s="77">
        <f>IF((Q50)=0,"",(Y50/Q50))</f>
        <v>1.1858620897147742E-2</v>
      </c>
      <c r="AA50" s="75"/>
      <c r="AB50" s="72"/>
      <c r="AC50" s="74">
        <f>SUM(AC40:AC46,AC39)</f>
        <v>90.716322038132745</v>
      </c>
      <c r="AD50" s="75"/>
      <c r="AE50" s="76">
        <f t="shared" si="15"/>
        <v>0.26987403742330685</v>
      </c>
      <c r="AF50" s="77">
        <f>IF((W50)=0,"",(AE50/W50))</f>
        <v>2.9837991804961763E-3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12.365286699610467</v>
      </c>
      <c r="I51" s="81"/>
      <c r="J51" s="79">
        <v>0.13</v>
      </c>
      <c r="K51" s="82">
        <f>K50*J51</f>
        <v>12.27463419006871</v>
      </c>
      <c r="L51" s="81"/>
      <c r="M51" s="83">
        <f t="shared" si="29"/>
        <v>-9.0652509541756743E-2</v>
      </c>
      <c r="N51" s="84">
        <f>IF((H51)=0,"",(M51/H51))</f>
        <v>-7.3312096794821988E-3</v>
      </c>
      <c r="O51" s="212"/>
      <c r="P51" s="79">
        <v>0.13</v>
      </c>
      <c r="Q51" s="82">
        <f>Q50*P51</f>
        <v>11.620238240068714</v>
      </c>
      <c r="R51" s="81"/>
      <c r="S51" s="83">
        <f t="shared" si="13"/>
        <v>-0.65439594999999606</v>
      </c>
      <c r="T51" s="84">
        <f>IF((K51)=0,"",(S51/K51))</f>
        <v>-5.3312867810713385E-2</v>
      </c>
      <c r="U51" s="81"/>
      <c r="V51" s="79">
        <v>0.13</v>
      </c>
      <c r="W51" s="82">
        <f>W50*V51</f>
        <v>11.758038240092228</v>
      </c>
      <c r="X51" s="81"/>
      <c r="Y51" s="83">
        <f t="shared" si="14"/>
        <v>0.137800000023514</v>
      </c>
      <c r="Z51" s="84">
        <f>IF((Q51)=0,"",(Y51/Q51))</f>
        <v>1.185862089714773E-2</v>
      </c>
      <c r="AA51" s="81"/>
      <c r="AB51" s="79">
        <v>0.13</v>
      </c>
      <c r="AC51" s="82">
        <f>AC50*AB51</f>
        <v>11.793121864957257</v>
      </c>
      <c r="AD51" s="81"/>
      <c r="AE51" s="83">
        <f t="shared" si="15"/>
        <v>3.508362486502925E-2</v>
      </c>
      <c r="AF51" s="84">
        <f>IF((W51)=0,"",(AE51/W51))</f>
        <v>2.9837991804961216E-3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107.48287669661406</v>
      </c>
      <c r="I52" s="81"/>
      <c r="J52" s="86"/>
      <c r="K52" s="82">
        <f>K50+K51</f>
        <v>106.69489719059725</v>
      </c>
      <c r="L52" s="81"/>
      <c r="M52" s="83">
        <f t="shared" si="29"/>
        <v>-0.78797950601681066</v>
      </c>
      <c r="N52" s="84">
        <f>IF((H52)=0,"",(M52/H52))</f>
        <v>-7.3312096794822179E-3</v>
      </c>
      <c r="O52" s="212"/>
      <c r="P52" s="86"/>
      <c r="Q52" s="82">
        <f>Q50+Q51</f>
        <v>101.00668624059728</v>
      </c>
      <c r="R52" s="81"/>
      <c r="S52" s="83">
        <f t="shared" si="13"/>
        <v>-5.68821094999997</v>
      </c>
      <c r="T52" s="84">
        <f>IF((K52)=0,"",(S52/K52))</f>
        <v>-5.3312867810713427E-2</v>
      </c>
      <c r="U52" s="81"/>
      <c r="V52" s="86"/>
      <c r="W52" s="82">
        <f>W50+W51</f>
        <v>102.20448624080167</v>
      </c>
      <c r="X52" s="81"/>
      <c r="Y52" s="83">
        <f t="shared" si="14"/>
        <v>1.1978000002043956</v>
      </c>
      <c r="Z52" s="84">
        <f>IF((Q52)=0,"",(Y52/Q52))</f>
        <v>1.1858620897147776E-2</v>
      </c>
      <c r="AA52" s="81"/>
      <c r="AB52" s="86"/>
      <c r="AC52" s="82">
        <f>AC50+AC51</f>
        <v>102.50944390309</v>
      </c>
      <c r="AD52" s="81"/>
      <c r="AE52" s="83">
        <f t="shared" si="15"/>
        <v>0.30495766228833077</v>
      </c>
      <c r="AF52" s="84">
        <f>IF((W52)=0,"",(AE52/W52))</f>
        <v>2.9837991804961177E-3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-7.553621040042283</v>
      </c>
      <c r="L53" s="81"/>
      <c r="M53" s="88">
        <f t="shared" si="29"/>
        <v>-7.553621040042283</v>
      </c>
      <c r="N53" s="89" t="str">
        <f>IF((H53)=0,"",(M53/H53))</f>
        <v/>
      </c>
      <c r="O53" s="212"/>
      <c r="P53" s="86"/>
      <c r="Q53" s="87">
        <f>ROUND(-Q52*10%,2)</f>
        <v>-10.1</v>
      </c>
      <c r="R53" s="81"/>
      <c r="S53" s="88">
        <f t="shared" si="13"/>
        <v>-2.5463789599577167</v>
      </c>
      <c r="T53" s="89">
        <f>IF((K53)=0,"",(S53/K53))</f>
        <v>0.3371070571927266</v>
      </c>
      <c r="U53" s="81"/>
      <c r="V53" s="86"/>
      <c r="W53" s="87">
        <f>ROUND(-W52*10%,2)</f>
        <v>-10.220000000000001</v>
      </c>
      <c r="X53" s="81"/>
      <c r="Y53" s="88">
        <f t="shared" si="14"/>
        <v>-0.12000000000000099</v>
      </c>
      <c r="Z53" s="89">
        <f>IF((Q53)=0,"",(Y53/Q53))</f>
        <v>1.188118811881198E-2</v>
      </c>
      <c r="AA53" s="81"/>
      <c r="AB53" s="86"/>
      <c r="AC53" s="87">
        <f>ROUND(-AC52*10%,2)</f>
        <v>-10.25</v>
      </c>
      <c r="AD53" s="81"/>
      <c r="AE53" s="88">
        <f t="shared" si="15"/>
        <v>-2.9999999999999361E-2</v>
      </c>
      <c r="AF53" s="89">
        <f>IF((W53)=0,"",(AE53/W53))</f>
        <v>2.9354207436398591E-3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107.48287669661406</v>
      </c>
      <c r="I54" s="92"/>
      <c r="J54" s="90"/>
      <c r="K54" s="93">
        <f>K52+K53</f>
        <v>99.141276150554958</v>
      </c>
      <c r="L54" s="92"/>
      <c r="M54" s="94">
        <f t="shared" si="29"/>
        <v>-8.3416005460590981</v>
      </c>
      <c r="N54" s="95">
        <f>IF((H54)=0,"",(M54/H54))</f>
        <v>-7.7608646162350775E-2</v>
      </c>
      <c r="O54" s="212"/>
      <c r="P54" s="90"/>
      <c r="Q54" s="93">
        <f>Q52+Q53</f>
        <v>90.906686240597281</v>
      </c>
      <c r="R54" s="92"/>
      <c r="S54" s="94">
        <f t="shared" si="13"/>
        <v>-8.2345899099576769</v>
      </c>
      <c r="T54" s="95">
        <f>IF((K54)=0,"",(S54/K54))</f>
        <v>-8.3059147810975426E-2</v>
      </c>
      <c r="U54" s="92"/>
      <c r="V54" s="90"/>
      <c r="W54" s="93">
        <f>W52+W53</f>
        <v>91.984486240801672</v>
      </c>
      <c r="X54" s="92"/>
      <c r="Y54" s="94">
        <f t="shared" si="14"/>
        <v>1.077800000204391</v>
      </c>
      <c r="Z54" s="95">
        <f>IF((Q54)=0,"",(Y54/Q54))</f>
        <v>1.1856113612499771E-2</v>
      </c>
      <c r="AA54" s="92"/>
      <c r="AB54" s="90"/>
      <c r="AC54" s="93">
        <f>AC52+AC53</f>
        <v>92.259443903090002</v>
      </c>
      <c r="AD54" s="92"/>
      <c r="AE54" s="94">
        <f t="shared" si="15"/>
        <v>0.27495766228832963</v>
      </c>
      <c r="AF54" s="95">
        <f>IF((W54)=0,"",(AE54/W54))</f>
        <v>2.9891743002024435E-3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212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90.697589997003604</v>
      </c>
      <c r="I56" s="106"/>
      <c r="J56" s="103"/>
      <c r="K56" s="105">
        <f>SUM(K47:K48,K39,K40:K43)</f>
        <v>90.000263000528534</v>
      </c>
      <c r="L56" s="106"/>
      <c r="M56" s="107">
        <f t="shared" si="29"/>
        <v>-0.6973269964750699</v>
      </c>
      <c r="N56" s="77">
        <f>IF((H56)=0,"",(M56/H56))</f>
        <v>-7.6884842970811867E-3</v>
      </c>
      <c r="O56" s="212"/>
      <c r="P56" s="103"/>
      <c r="Q56" s="105">
        <f>SUM(Q47:Q48,Q39,Q40:Q43)</f>
        <v>85.316448000528538</v>
      </c>
      <c r="R56" s="106"/>
      <c r="S56" s="107">
        <f t="shared" si="13"/>
        <v>-4.6838149999999956</v>
      </c>
      <c r="T56" s="77">
        <f>IF((K56)=0,"",(S56/K56))</f>
        <v>-5.2042236809602314E-2</v>
      </c>
      <c r="U56" s="106"/>
      <c r="V56" s="103"/>
      <c r="W56" s="105">
        <f>SUM(W47:W48,W39,W40:W43)</f>
        <v>86.376448000709431</v>
      </c>
      <c r="X56" s="106"/>
      <c r="Y56" s="107">
        <f t="shared" si="14"/>
        <v>1.0600000001808922</v>
      </c>
      <c r="Z56" s="77">
        <f>IF((Q56)=0,"",(Y56/Q56))</f>
        <v>1.2424333467027666E-2</v>
      </c>
      <c r="AA56" s="106"/>
      <c r="AB56" s="103"/>
      <c r="AC56" s="105">
        <f>SUM(AC47:AC48,AC39,AC40:AC43)</f>
        <v>86.646322038132737</v>
      </c>
      <c r="AD56" s="106"/>
      <c r="AE56" s="107">
        <f t="shared" si="15"/>
        <v>0.26987403742330685</v>
      </c>
      <c r="AF56" s="77">
        <f>IF((W56)=0,"",(AE56/W56))</f>
        <v>3.1243937863836484E-3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11.790686699610468</v>
      </c>
      <c r="I57" s="110"/>
      <c r="J57" s="109">
        <v>0.13</v>
      </c>
      <c r="K57" s="111">
        <f>K56*J57</f>
        <v>11.70003419006871</v>
      </c>
      <c r="L57" s="110"/>
      <c r="M57" s="112">
        <f t="shared" si="29"/>
        <v>-9.0652509541758519E-2</v>
      </c>
      <c r="N57" s="84">
        <f>IF((H57)=0,"",(M57/H57))</f>
        <v>-7.6884842970811381E-3</v>
      </c>
      <c r="O57" s="212"/>
      <c r="P57" s="109">
        <v>0.13</v>
      </c>
      <c r="Q57" s="111">
        <f>Q56*P57</f>
        <v>11.091138240068711</v>
      </c>
      <c r="R57" s="110"/>
      <c r="S57" s="112">
        <f t="shared" si="13"/>
        <v>-0.60889594999999908</v>
      </c>
      <c r="T57" s="84">
        <f>IF((K57)=0,"",(S57/K57))</f>
        <v>-5.2042236809602287E-2</v>
      </c>
      <c r="U57" s="110"/>
      <c r="V57" s="109">
        <v>0.13</v>
      </c>
      <c r="W57" s="111">
        <f>W56*V57</f>
        <v>11.228938240092226</v>
      </c>
      <c r="X57" s="110"/>
      <c r="Y57" s="112">
        <f t="shared" si="14"/>
        <v>0.13780000002351578</v>
      </c>
      <c r="Z57" s="84">
        <f>IF((Q57)=0,"",(Y57/Q57))</f>
        <v>1.2424333467027645E-2</v>
      </c>
      <c r="AA57" s="110"/>
      <c r="AB57" s="109">
        <v>0.13</v>
      </c>
      <c r="AC57" s="111">
        <f>AC56*AB57</f>
        <v>11.264021864957256</v>
      </c>
      <c r="AD57" s="110"/>
      <c r="AE57" s="112">
        <f t="shared" si="15"/>
        <v>3.508362486502925E-2</v>
      </c>
      <c r="AF57" s="84">
        <f>IF((W57)=0,"",(AE57/W57))</f>
        <v>3.1243937863835911E-3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102.48827669661407</v>
      </c>
      <c r="I58" s="110"/>
      <c r="J58" s="114"/>
      <c r="K58" s="111">
        <f>K56+K57</f>
        <v>101.70029719059724</v>
      </c>
      <c r="L58" s="110"/>
      <c r="M58" s="112">
        <f t="shared" si="29"/>
        <v>-0.78797950601682487</v>
      </c>
      <c r="N58" s="84">
        <f>IF((H58)=0,"",(M58/H58))</f>
        <v>-7.6884842970811468E-3</v>
      </c>
      <c r="O58" s="212"/>
      <c r="P58" s="114"/>
      <c r="Q58" s="111">
        <f>Q56+Q57</f>
        <v>96.407586240597254</v>
      </c>
      <c r="R58" s="110"/>
      <c r="S58" s="112">
        <f t="shared" si="13"/>
        <v>-5.2927109499999858</v>
      </c>
      <c r="T58" s="84">
        <f>IF((K58)=0,"",(S58/K58))</f>
        <v>-5.2042236809602231E-2</v>
      </c>
      <c r="U58" s="110"/>
      <c r="V58" s="114"/>
      <c r="W58" s="111">
        <f>W56+W57</f>
        <v>97.605386240801664</v>
      </c>
      <c r="X58" s="110"/>
      <c r="Y58" s="112">
        <f t="shared" si="14"/>
        <v>1.1978000002044098</v>
      </c>
      <c r="Z58" s="84">
        <f>IF((Q58)=0,"",(Y58/Q58))</f>
        <v>1.2424333467027681E-2</v>
      </c>
      <c r="AA58" s="110"/>
      <c r="AB58" s="114"/>
      <c r="AC58" s="111">
        <f>AC56+AC57</f>
        <v>97.910343903089995</v>
      </c>
      <c r="AD58" s="110"/>
      <c r="AE58" s="112">
        <f t="shared" si="15"/>
        <v>0.30495766228833077</v>
      </c>
      <c r="AF58" s="84">
        <f>IF((W58)=0,"",(AE58/W58))</f>
        <v>3.1243937863835868E-3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-7.2000210400422828</v>
      </c>
      <c r="L59" s="110"/>
      <c r="M59" s="117">
        <f t="shared" si="29"/>
        <v>-7.2000210400422828</v>
      </c>
      <c r="N59" s="89" t="str">
        <f>IF((H59)=0,"",(M59/H59))</f>
        <v/>
      </c>
      <c r="O59" s="212"/>
      <c r="P59" s="114"/>
      <c r="Q59" s="116">
        <f>ROUND(-Q58*10%,2)</f>
        <v>-9.64</v>
      </c>
      <c r="R59" s="110"/>
      <c r="S59" s="117">
        <f t="shared" si="13"/>
        <v>-2.4399789599577177</v>
      </c>
      <c r="T59" s="89">
        <f>IF((K59)=0,"",(S59/K59))</f>
        <v>0.33888497636159531</v>
      </c>
      <c r="U59" s="110"/>
      <c r="V59" s="114"/>
      <c r="W59" s="116">
        <f>ROUND(-W58*10%,2)</f>
        <v>-9.76</v>
      </c>
      <c r="X59" s="110"/>
      <c r="Y59" s="117">
        <f t="shared" si="14"/>
        <v>-0.11999999999999922</v>
      </c>
      <c r="Z59" s="89">
        <f>IF((Q59)=0,"",(Y59/Q59))</f>
        <v>1.2448132780082905E-2</v>
      </c>
      <c r="AA59" s="110"/>
      <c r="AB59" s="114"/>
      <c r="AC59" s="116">
        <f>ROUND(-AC58*10%,2)</f>
        <v>-9.7899999999999991</v>
      </c>
      <c r="AD59" s="110"/>
      <c r="AE59" s="117">
        <f t="shared" si="15"/>
        <v>-2.9999999999999361E-2</v>
      </c>
      <c r="AF59" s="89">
        <f>IF((W59)=0,"",(AE59/W59))</f>
        <v>3.0737704918032131E-3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102.48827669661407</v>
      </c>
      <c r="I60" s="120"/>
      <c r="J60" s="118"/>
      <c r="K60" s="121">
        <f>SUM(K58:K59)</f>
        <v>94.500276150554953</v>
      </c>
      <c r="L60" s="120"/>
      <c r="M60" s="122">
        <f t="shared" si="29"/>
        <v>-7.9880005460591121</v>
      </c>
      <c r="N60" s="123">
        <f>IF((H60)=0,"",(M60/H60))</f>
        <v>-7.7940627001712615E-2</v>
      </c>
      <c r="O60" s="212"/>
      <c r="P60" s="118"/>
      <c r="Q60" s="121">
        <f>SUM(Q58:Q59)</f>
        <v>86.767586240597254</v>
      </c>
      <c r="R60" s="120"/>
      <c r="S60" s="122">
        <f t="shared" si="13"/>
        <v>-7.7326899099576991</v>
      </c>
      <c r="T60" s="123">
        <f>IF((K60)=0,"",(S60/K60))</f>
        <v>-8.1827167336931517E-2</v>
      </c>
      <c r="U60" s="120"/>
      <c r="V60" s="118"/>
      <c r="W60" s="121">
        <f>SUM(W58:W59)</f>
        <v>87.845386240801659</v>
      </c>
      <c r="X60" s="120"/>
      <c r="Y60" s="122">
        <f t="shared" si="14"/>
        <v>1.0778000002044053</v>
      </c>
      <c r="Z60" s="123">
        <f>IF((Q60)=0,"",(Y60/Q60))</f>
        <v>1.2421689330112064E-2</v>
      </c>
      <c r="AA60" s="120"/>
      <c r="AB60" s="118"/>
      <c r="AC60" s="121">
        <f>SUM(AC58:AC59)</f>
        <v>88.120343903090003</v>
      </c>
      <c r="AD60" s="120"/>
      <c r="AE60" s="122">
        <f t="shared" si="15"/>
        <v>0.27495766228834384</v>
      </c>
      <c r="AF60" s="123">
        <f>IF((W60)=0,"",(AE60/W60))</f>
        <v>3.1300182520073421E-3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4">
    <mergeCell ref="AE9:AF9"/>
    <mergeCell ref="AH9:AI9"/>
    <mergeCell ref="S9:T9"/>
    <mergeCell ref="G9:H9"/>
    <mergeCell ref="J9:K9"/>
    <mergeCell ref="M9:N9"/>
    <mergeCell ref="P9:Q9"/>
    <mergeCell ref="B54:D54"/>
    <mergeCell ref="B60:D60"/>
    <mergeCell ref="V9:W9"/>
    <mergeCell ref="Y9:Z9"/>
    <mergeCell ref="AB9:AC9"/>
    <mergeCell ref="B53:E53"/>
    <mergeCell ref="B59:E59"/>
  </mergeCells>
  <dataValidations disablePrompts="1"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60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AP79"/>
  <sheetViews>
    <sheetView showGridLines="0" topLeftCell="A43" zoomScale="90" zoomScaleNormal="9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8.5703125" style="1" bestFit="1" customWidth="1"/>
    <col min="7" max="7" width="12.28515625" style="1" customWidth="1"/>
    <col min="8" max="8" width="9.5703125" style="142" bestFit="1" customWidth="1"/>
    <col min="9" max="9" width="1.7109375" style="1" customWidth="1"/>
    <col min="10" max="10" width="11.140625" style="1" customWidth="1"/>
    <col min="11" max="11" width="9.570312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9.140625" style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50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750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18.8</v>
      </c>
      <c r="H12" s="18">
        <f t="shared" ref="H12:H27" si="0">$F12*G12</f>
        <v>18.8</v>
      </c>
      <c r="I12" s="19"/>
      <c r="J12" s="209">
        <v>21.34</v>
      </c>
      <c r="K12" s="18">
        <f t="shared" ref="K12:K27" si="1">$F12*J12</f>
        <v>21.34</v>
      </c>
      <c r="L12" s="19"/>
      <c r="M12" s="21">
        <f t="shared" ref="M12:M21" si="2">K12-H12</f>
        <v>2.5399999999999991</v>
      </c>
      <c r="N12" s="22">
        <f t="shared" ref="N12:N21" si="3">IF((H12)=0,"",(M12/H12))</f>
        <v>0.13510638297872335</v>
      </c>
      <c r="O12" s="212"/>
      <c r="P12" s="16">
        <v>21.34</v>
      </c>
      <c r="Q12" s="18">
        <f t="shared" ref="Q12:Q27" si="4">$F12*P12</f>
        <v>21.34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23.89</v>
      </c>
      <c r="W12" s="18">
        <f t="shared" ref="W12:W27" si="6">$F12*V12</f>
        <v>23.89</v>
      </c>
      <c r="X12" s="19"/>
      <c r="Y12" s="21">
        <f>W12-Q12</f>
        <v>2.5500000000000007</v>
      </c>
      <c r="Z12" s="22">
        <f t="shared" ref="Z12:Z34" si="7">IF((Q12)=0,"",(Y12/Q12))</f>
        <v>0.11949390815370201</v>
      </c>
      <c r="AA12" s="19"/>
      <c r="AB12" s="16">
        <v>27</v>
      </c>
      <c r="AC12" s="18">
        <f t="shared" ref="AC12:AC27" si="8">$F12*AB12</f>
        <v>27</v>
      </c>
      <c r="AD12" s="19"/>
      <c r="AE12" s="21">
        <f>AC12-W12</f>
        <v>3.1099999999999994</v>
      </c>
      <c r="AF12" s="22">
        <f t="shared" ref="AF12:AF34" si="9">IF((W12)=0,"",(AE12/W12))</f>
        <v>0.13017999162829633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0.79</v>
      </c>
      <c r="H13" s="18">
        <f t="shared" si="0"/>
        <v>0.79</v>
      </c>
      <c r="I13" s="19"/>
      <c r="J13" s="209">
        <v>0.79</v>
      </c>
      <c r="K13" s="18">
        <f t="shared" si="1"/>
        <v>0.79</v>
      </c>
      <c r="L13" s="19"/>
      <c r="M13" s="21">
        <f t="shared" si="2"/>
        <v>0</v>
      </c>
      <c r="N13" s="22">
        <f t="shared" si="3"/>
        <v>0</v>
      </c>
      <c r="O13" s="212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750</v>
      </c>
      <c r="G19" s="16">
        <v>1.21E-2</v>
      </c>
      <c r="H19" s="18">
        <f t="shared" si="0"/>
        <v>9.0749999999999993</v>
      </c>
      <c r="I19" s="19"/>
      <c r="J19" s="16">
        <v>8.0999999999999996E-3</v>
      </c>
      <c r="K19" s="18">
        <f t="shared" si="1"/>
        <v>6.0749999999999993</v>
      </c>
      <c r="L19" s="19"/>
      <c r="M19" s="21">
        <f t="shared" si="2"/>
        <v>-3</v>
      </c>
      <c r="N19" s="22">
        <f t="shared" si="3"/>
        <v>-0.33057851239669422</v>
      </c>
      <c r="O19" s="212"/>
      <c r="P19" s="16">
        <v>8.0999999999999996E-3</v>
      </c>
      <c r="Q19" s="18">
        <f t="shared" si="4"/>
        <v>6.0749999999999993</v>
      </c>
      <c r="R19" s="19"/>
      <c r="S19" s="21">
        <f t="shared" si="13"/>
        <v>0</v>
      </c>
      <c r="T19" s="22">
        <f t="shared" si="5"/>
        <v>0</v>
      </c>
      <c r="U19" s="19"/>
      <c r="V19" s="16">
        <v>4.1000000000000003E-3</v>
      </c>
      <c r="W19" s="18">
        <f t="shared" si="6"/>
        <v>3.0750000000000002</v>
      </c>
      <c r="X19" s="19"/>
      <c r="Y19" s="21">
        <f t="shared" si="14"/>
        <v>-2.9999999999999991</v>
      </c>
      <c r="Z19" s="22">
        <f t="shared" si="7"/>
        <v>-0.49382716049382708</v>
      </c>
      <c r="AA19" s="19"/>
      <c r="AB19" s="16">
        <v>0</v>
      </c>
      <c r="AC19" s="18">
        <f t="shared" si="8"/>
        <v>0</v>
      </c>
      <c r="AD19" s="19"/>
      <c r="AE19" s="21">
        <f t="shared" si="15"/>
        <v>-3.0750000000000002</v>
      </c>
      <c r="AF19" s="22">
        <f t="shared" si="9"/>
        <v>-1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750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27" si="16">$G$7</f>
        <v>750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6"/>
        <v>750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212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6"/>
        <v>750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212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6"/>
        <v>750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212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28.664999999999999</v>
      </c>
      <c r="I28" s="31"/>
      <c r="J28" s="28"/>
      <c r="K28" s="30">
        <f>SUM(K12:K27)</f>
        <v>28.204999999999998</v>
      </c>
      <c r="L28" s="31"/>
      <c r="M28" s="32">
        <f t="shared" si="17"/>
        <v>-0.46000000000000085</v>
      </c>
      <c r="N28" s="33">
        <f t="shared" si="18"/>
        <v>-1.6047444618873221E-2</v>
      </c>
      <c r="O28" s="212"/>
      <c r="P28" s="28"/>
      <c r="Q28" s="30">
        <f>SUM(Q12:Q27)</f>
        <v>28.204999999999998</v>
      </c>
      <c r="R28" s="31"/>
      <c r="S28" s="32">
        <f t="shared" si="13"/>
        <v>0</v>
      </c>
      <c r="T28" s="33">
        <f t="shared" si="5"/>
        <v>0</v>
      </c>
      <c r="U28" s="31"/>
      <c r="V28" s="28"/>
      <c r="W28" s="30">
        <f>SUM(W12:W27)</f>
        <v>26.965</v>
      </c>
      <c r="X28" s="31"/>
      <c r="Y28" s="32">
        <f t="shared" si="14"/>
        <v>-1.2399999999999984</v>
      </c>
      <c r="Z28" s="33">
        <f t="shared" si="7"/>
        <v>-4.3963836199255396E-2</v>
      </c>
      <c r="AA28" s="31"/>
      <c r="AB28" s="28"/>
      <c r="AC28" s="30">
        <f>SUM(AC12:AC27)</f>
        <v>27</v>
      </c>
      <c r="AD28" s="31"/>
      <c r="AE28" s="32">
        <f t="shared" si="15"/>
        <v>3.5000000000000142E-2</v>
      </c>
      <c r="AF28" s="33">
        <f t="shared" si="9"/>
        <v>1.2979788614871182E-3</v>
      </c>
    </row>
    <row r="29" spans="2:32" ht="25.5" x14ac:dyDescent="0.2">
      <c r="B29" s="134" t="s">
        <v>17</v>
      </c>
      <c r="C29" s="14"/>
      <c r="D29" s="15" t="s">
        <v>54</v>
      </c>
      <c r="E29" s="15"/>
      <c r="F29" s="17">
        <f>$G$7</f>
        <v>750</v>
      </c>
      <c r="G29" s="16">
        <v>3.3021965494891908E-4</v>
      </c>
      <c r="H29" s="18">
        <f t="shared" ref="H29:H35" si="19">$F29*G29</f>
        <v>0.2476647412116893</v>
      </c>
      <c r="I29" s="19"/>
      <c r="J29" s="16">
        <v>-2.5999999999999999E-3</v>
      </c>
      <c r="K29" s="18">
        <f t="shared" ref="K29:K35" si="20">$F29*J29</f>
        <v>-1.95</v>
      </c>
      <c r="L29" s="19"/>
      <c r="M29" s="21">
        <f t="shared" si="17"/>
        <v>-2.1976647412116894</v>
      </c>
      <c r="N29" s="22">
        <f t="shared" si="18"/>
        <v>-8.873547080055511</v>
      </c>
      <c r="O29" s="212"/>
      <c r="P29" s="16">
        <v>-2.5999999999999999E-3</v>
      </c>
      <c r="Q29" s="18">
        <f t="shared" ref="Q29:Q35" si="21">$F29*P29</f>
        <v>-1.95</v>
      </c>
      <c r="R29" s="19"/>
      <c r="S29" s="21">
        <f t="shared" si="13"/>
        <v>0</v>
      </c>
      <c r="T29" s="22">
        <f t="shared" si="5"/>
        <v>0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1.95</v>
      </c>
      <c r="Z29" s="22">
        <f t="shared" si="7"/>
        <v>-1</v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750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ref="F31:F33" si="28">$G$7</f>
        <v>750</v>
      </c>
      <c r="G31" s="16">
        <v>0</v>
      </c>
      <c r="H31" s="18">
        <f t="shared" si="19"/>
        <v>0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0</v>
      </c>
      <c r="N31" s="22" t="str">
        <f>IF((H31)=0,"",(M31/H31))</f>
        <v/>
      </c>
      <c r="O31" s="212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28"/>
        <v>750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212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28"/>
        <v>750</v>
      </c>
      <c r="G33" s="133">
        <v>6.0000002460806063E-5</v>
      </c>
      <c r="H33" s="18">
        <f t="shared" si="19"/>
        <v>4.5000001845604549E-2</v>
      </c>
      <c r="I33" s="19"/>
      <c r="J33" s="133">
        <v>6.0000001057066139E-5</v>
      </c>
      <c r="K33" s="18">
        <f t="shared" si="20"/>
        <v>4.5000000792799602E-2</v>
      </c>
      <c r="L33" s="19"/>
      <c r="M33" s="21">
        <f t="shared" si="29"/>
        <v>-1.0528049473879086E-9</v>
      </c>
      <c r="N33" s="22">
        <f>IF((H33)=0,"",(M33/H33))</f>
        <v>-2.3395664537972527E-8</v>
      </c>
      <c r="O33" s="212"/>
      <c r="P33" s="133">
        <v>6.0000001057066139E-5</v>
      </c>
      <c r="Q33" s="18">
        <f t="shared" si="21"/>
        <v>4.5000000792799602E-2</v>
      </c>
      <c r="R33" s="19"/>
      <c r="S33" s="21">
        <f t="shared" si="13"/>
        <v>0</v>
      </c>
      <c r="T33" s="22">
        <f t="shared" si="5"/>
        <v>0</v>
      </c>
      <c r="U33" s="19"/>
      <c r="V33" s="133">
        <v>6.000000141885779E-5</v>
      </c>
      <c r="W33" s="18">
        <f t="shared" si="22"/>
        <v>4.5000001064143341E-2</v>
      </c>
      <c r="X33" s="19"/>
      <c r="Y33" s="21">
        <f t="shared" si="14"/>
        <v>2.713437391443918E-10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4.4811057199101209E-2</v>
      </c>
      <c r="AD33" s="19"/>
      <c r="AE33" s="21">
        <f t="shared" si="15"/>
        <v>-1.8894386504213212E-4</v>
      </c>
      <c r="AF33" s="22">
        <f t="shared" si="9"/>
        <v>-4.1987524572012812E-3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28.425000000000068</v>
      </c>
      <c r="G34" s="38">
        <f>0.64*G44+0.18*G45+0.18*G46</f>
        <v>0.11183999999999999</v>
      </c>
      <c r="H34" s="18">
        <f t="shared" si="19"/>
        <v>3.1790520000000075</v>
      </c>
      <c r="I34" s="19"/>
      <c r="J34" s="38">
        <f>0.64*J44+0.18*J45+0.18*J46</f>
        <v>0.11183999999999999</v>
      </c>
      <c r="K34" s="18">
        <f t="shared" si="20"/>
        <v>3.1790520000000075</v>
      </c>
      <c r="L34" s="19"/>
      <c r="M34" s="21">
        <f t="shared" si="29"/>
        <v>0</v>
      </c>
      <c r="N34" s="22">
        <f>IF((H34)=0,"",(M34/H34))</f>
        <v>0</v>
      </c>
      <c r="O34" s="212"/>
      <c r="P34" s="38">
        <f>0.64*P44+0.18*P45+0.18*P46</f>
        <v>0.10214000000000001</v>
      </c>
      <c r="Q34" s="18">
        <f t="shared" si="21"/>
        <v>2.903329500000007</v>
      </c>
      <c r="R34" s="19"/>
      <c r="S34" s="21">
        <f t="shared" si="13"/>
        <v>-0.27572250000000054</v>
      </c>
      <c r="T34" s="22">
        <f t="shared" si="5"/>
        <v>-8.6731044349070058E-2</v>
      </c>
      <c r="U34" s="19"/>
      <c r="V34" s="38">
        <f>0.64*V44+0.18*V45+0.18*V46</f>
        <v>0.10214000000000001</v>
      </c>
      <c r="W34" s="18">
        <f t="shared" si="22"/>
        <v>2.903329500000007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2.903329500000007</v>
      </c>
      <c r="AD34" s="19"/>
      <c r="AE34" s="21">
        <f t="shared" si="15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0.79</v>
      </c>
      <c r="H35" s="18">
        <f t="shared" si="19"/>
        <v>0.79</v>
      </c>
      <c r="I35" s="19"/>
      <c r="J35" s="210">
        <v>0.79</v>
      </c>
      <c r="K35" s="18">
        <f t="shared" si="20"/>
        <v>0.79</v>
      </c>
      <c r="L35" s="19"/>
      <c r="M35" s="21">
        <f t="shared" si="29"/>
        <v>0</v>
      </c>
      <c r="N35" s="22"/>
      <c r="O35" s="212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32.926716743057298</v>
      </c>
      <c r="I36" s="31"/>
      <c r="J36" s="41"/>
      <c r="K36" s="43">
        <f>SUM(K29:K35)+K28</f>
        <v>30.269052000792804</v>
      </c>
      <c r="L36" s="31"/>
      <c r="M36" s="32">
        <f t="shared" si="29"/>
        <v>-2.6576647422644939</v>
      </c>
      <c r="N36" s="33">
        <f t="shared" ref="N36:N46" si="30">IF((H36)=0,"",(M36/H36))</f>
        <v>-8.0714538379380654E-2</v>
      </c>
      <c r="O36" s="212"/>
      <c r="P36" s="41"/>
      <c r="Q36" s="43">
        <f>SUM(Q29:Q35)+Q28</f>
        <v>29.993329500792804</v>
      </c>
      <c r="R36" s="31"/>
      <c r="S36" s="32">
        <f t="shared" si="13"/>
        <v>-0.27572250000000054</v>
      </c>
      <c r="T36" s="33">
        <f t="shared" ref="T36:T46" si="31">IF((K36)=0,"",(S36/K36))</f>
        <v>-9.1090563388895977E-3</v>
      </c>
      <c r="U36" s="31"/>
      <c r="V36" s="41"/>
      <c r="W36" s="43">
        <f>SUM(W29:W35)+W28</f>
        <v>30.70332950106415</v>
      </c>
      <c r="X36" s="31"/>
      <c r="Y36" s="32">
        <f t="shared" si="14"/>
        <v>0.71000000027134647</v>
      </c>
      <c r="Z36" s="33">
        <f t="shared" ref="Z36:Z46" si="32">IF((Q36)=0,"",(Y36/Q36))</f>
        <v>2.3671930128750102E-2</v>
      </c>
      <c r="AA36" s="31"/>
      <c r="AB36" s="41"/>
      <c r="AC36" s="43">
        <f>SUM(AC29:AC35)+AC28</f>
        <v>29.948140557199107</v>
      </c>
      <c r="AD36" s="31"/>
      <c r="AE36" s="32">
        <f t="shared" si="15"/>
        <v>-0.75518894386504343</v>
      </c>
      <c r="AF36" s="33">
        <f t="shared" ref="AF36:AF46" si="33">IF((W36)=0,"",(AE36/W36))</f>
        <v>-2.4596320859562454E-2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778.42500000000007</v>
      </c>
      <c r="G37" s="20">
        <v>7.7725149591303024E-3</v>
      </c>
      <c r="H37" s="18">
        <f>$F37*G37</f>
        <v>6.0503199570610064</v>
      </c>
      <c r="I37" s="19"/>
      <c r="J37" s="20">
        <v>7.4000000000000003E-3</v>
      </c>
      <c r="K37" s="18">
        <f>$F37*J37</f>
        <v>5.7603450000000009</v>
      </c>
      <c r="L37" s="19"/>
      <c r="M37" s="21">
        <f t="shared" si="29"/>
        <v>-0.28997495706100551</v>
      </c>
      <c r="N37" s="22">
        <f t="shared" si="30"/>
        <v>-4.7927210315975299E-2</v>
      </c>
      <c r="O37" s="212"/>
      <c r="P37" s="20">
        <v>7.4000000000000003E-3</v>
      </c>
      <c r="Q37" s="18">
        <f>$F37*P37</f>
        <v>5.7603450000000009</v>
      </c>
      <c r="R37" s="19"/>
      <c r="S37" s="21">
        <f t="shared" si="13"/>
        <v>0</v>
      </c>
      <c r="T37" s="22">
        <f t="shared" si="31"/>
        <v>0</v>
      </c>
      <c r="U37" s="19"/>
      <c r="V37" s="20">
        <v>7.4000000000000003E-3</v>
      </c>
      <c r="W37" s="18">
        <f>$F37*V37</f>
        <v>5.7603450000000009</v>
      </c>
      <c r="X37" s="19"/>
      <c r="Y37" s="21">
        <f t="shared" si="14"/>
        <v>0</v>
      </c>
      <c r="Z37" s="22">
        <f t="shared" si="32"/>
        <v>0</v>
      </c>
      <c r="AA37" s="19"/>
      <c r="AB37" s="20">
        <v>7.4000000000000003E-3</v>
      </c>
      <c r="AC37" s="18">
        <f>$F37*AB37</f>
        <v>5.7603450000000009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778.42500000000007</v>
      </c>
      <c r="G38" s="20">
        <v>5.8885548323693356E-3</v>
      </c>
      <c r="H38" s="18">
        <f>$F38*G38</f>
        <v>4.5837982953871004</v>
      </c>
      <c r="I38" s="19"/>
      <c r="J38" s="20">
        <v>5.8999999999999999E-3</v>
      </c>
      <c r="K38" s="18">
        <f>$F38*J38</f>
        <v>4.5927075000000004</v>
      </c>
      <c r="L38" s="19"/>
      <c r="M38" s="21">
        <f t="shared" si="29"/>
        <v>8.9092046129000124E-3</v>
      </c>
      <c r="N38" s="22">
        <f t="shared" si="30"/>
        <v>1.9436292870621684E-3</v>
      </c>
      <c r="O38" s="212"/>
      <c r="P38" s="20">
        <v>5.8999999999999999E-3</v>
      </c>
      <c r="Q38" s="18">
        <f>$F38*P38</f>
        <v>4.5927075000000004</v>
      </c>
      <c r="R38" s="19"/>
      <c r="S38" s="21">
        <f t="shared" si="13"/>
        <v>0</v>
      </c>
      <c r="T38" s="22">
        <f t="shared" si="31"/>
        <v>0</v>
      </c>
      <c r="U38" s="19"/>
      <c r="V38" s="20">
        <v>5.8999999999999999E-3</v>
      </c>
      <c r="W38" s="18">
        <f>$F38*V38</f>
        <v>4.5927075000000004</v>
      </c>
      <c r="X38" s="19"/>
      <c r="Y38" s="21">
        <f t="shared" si="14"/>
        <v>0</v>
      </c>
      <c r="Z38" s="22">
        <f t="shared" si="32"/>
        <v>0</v>
      </c>
      <c r="AA38" s="19"/>
      <c r="AB38" s="20">
        <v>5.8999999999999999E-3</v>
      </c>
      <c r="AC38" s="18">
        <f>$F38*AB38</f>
        <v>4.5927075000000004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43.560834995505402</v>
      </c>
      <c r="I39" s="48"/>
      <c r="J39" s="47"/>
      <c r="K39" s="43">
        <f>SUM(K36:K38)</f>
        <v>40.622104500792808</v>
      </c>
      <c r="L39" s="48"/>
      <c r="M39" s="32">
        <f t="shared" si="29"/>
        <v>-2.9387304947125941</v>
      </c>
      <c r="N39" s="33">
        <f t="shared" si="30"/>
        <v>-6.7462675933916597E-2</v>
      </c>
      <c r="O39" s="212"/>
      <c r="P39" s="47"/>
      <c r="Q39" s="43">
        <f>SUM(Q36:Q38)</f>
        <v>40.346382000792808</v>
      </c>
      <c r="R39" s="48"/>
      <c r="S39" s="32">
        <f t="shared" si="13"/>
        <v>-0.27572250000000054</v>
      </c>
      <c r="T39" s="33">
        <f t="shared" si="31"/>
        <v>-6.7874991556535272E-3</v>
      </c>
      <c r="U39" s="48"/>
      <c r="V39" s="47"/>
      <c r="W39" s="43">
        <f>SUM(W36:W38)</f>
        <v>41.056382001064151</v>
      </c>
      <c r="X39" s="48"/>
      <c r="Y39" s="32">
        <f t="shared" si="14"/>
        <v>0.71000000027134291</v>
      </c>
      <c r="Z39" s="33">
        <f t="shared" si="32"/>
        <v>1.7597612600242354E-2</v>
      </c>
      <c r="AA39" s="48"/>
      <c r="AB39" s="47"/>
      <c r="AC39" s="43">
        <f>SUM(AC36:AC38)</f>
        <v>40.301193057199114</v>
      </c>
      <c r="AD39" s="48"/>
      <c r="AE39" s="32">
        <f t="shared" si="15"/>
        <v>-0.75518894386503632</v>
      </c>
      <c r="AF39" s="33">
        <f t="shared" si="33"/>
        <v>-1.8393947714278925E-2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778.42500000000007</v>
      </c>
      <c r="G40" s="50">
        <v>4.7000000000000002E-3</v>
      </c>
      <c r="H40" s="152">
        <f t="shared" ref="H40:H48" si="34">$F40*G40</f>
        <v>3.6585975000000004</v>
      </c>
      <c r="I40" s="19"/>
      <c r="J40" s="50">
        <v>4.7000000000000002E-3</v>
      </c>
      <c r="K40" s="152">
        <f t="shared" ref="K40:K42" si="35">$F40*J40</f>
        <v>3.6585975000000004</v>
      </c>
      <c r="L40" s="19"/>
      <c r="M40" s="21">
        <f t="shared" si="29"/>
        <v>0</v>
      </c>
      <c r="N40" s="153">
        <f t="shared" si="30"/>
        <v>0</v>
      </c>
      <c r="O40" s="212"/>
      <c r="P40" s="50">
        <v>4.7000000000000002E-3</v>
      </c>
      <c r="Q40" s="152">
        <f t="shared" ref="Q40:Q42" si="36">$F40*P40</f>
        <v>3.6585975000000004</v>
      </c>
      <c r="R40" s="19"/>
      <c r="S40" s="21">
        <f t="shared" si="13"/>
        <v>0</v>
      </c>
      <c r="T40" s="153">
        <f t="shared" si="31"/>
        <v>0</v>
      </c>
      <c r="U40" s="19"/>
      <c r="V40" s="50">
        <v>4.7000000000000002E-3</v>
      </c>
      <c r="W40" s="152">
        <f t="shared" ref="W40:W42" si="37">$F40*V40</f>
        <v>3.6585975000000004</v>
      </c>
      <c r="X40" s="19"/>
      <c r="Y40" s="21">
        <f t="shared" si="14"/>
        <v>0</v>
      </c>
      <c r="Z40" s="153">
        <f t="shared" si="32"/>
        <v>0</v>
      </c>
      <c r="AA40" s="19"/>
      <c r="AB40" s="50">
        <v>4.7000000000000002E-3</v>
      </c>
      <c r="AC40" s="152">
        <f t="shared" ref="AC40:AC48" si="38">$F40*AB40</f>
        <v>3.6585975000000004</v>
      </c>
      <c r="AD40" s="19"/>
      <c r="AE40" s="21">
        <f t="shared" si="15"/>
        <v>0</v>
      </c>
      <c r="AF40" s="153">
        <f t="shared" si="33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778.42500000000007</v>
      </c>
      <c r="G41" s="50">
        <v>1.2999999999999999E-3</v>
      </c>
      <c r="H41" s="152">
        <f t="shared" si="34"/>
        <v>1.0119525</v>
      </c>
      <c r="I41" s="19"/>
      <c r="J41" s="50">
        <v>2.0999999999999999E-3</v>
      </c>
      <c r="K41" s="152">
        <f t="shared" si="35"/>
        <v>1.6346925000000001</v>
      </c>
      <c r="L41" s="19"/>
      <c r="M41" s="21">
        <f t="shared" si="29"/>
        <v>0.62274000000000007</v>
      </c>
      <c r="N41" s="153">
        <f t="shared" si="30"/>
        <v>0.61538461538461542</v>
      </c>
      <c r="O41" s="212"/>
      <c r="P41" s="50">
        <v>2.0999999999999999E-3</v>
      </c>
      <c r="Q41" s="152">
        <f t="shared" si="36"/>
        <v>1.6346925000000001</v>
      </c>
      <c r="R41" s="19"/>
      <c r="S41" s="21">
        <f t="shared" si="13"/>
        <v>0</v>
      </c>
      <c r="T41" s="153">
        <f t="shared" si="31"/>
        <v>0</v>
      </c>
      <c r="U41" s="19"/>
      <c r="V41" s="50">
        <v>2.0999999999999999E-3</v>
      </c>
      <c r="W41" s="152">
        <f t="shared" si="37"/>
        <v>1.6346925000000001</v>
      </c>
      <c r="X41" s="19"/>
      <c r="Y41" s="21">
        <f t="shared" si="14"/>
        <v>0</v>
      </c>
      <c r="Z41" s="153">
        <f t="shared" si="32"/>
        <v>0</v>
      </c>
      <c r="AA41" s="19"/>
      <c r="AB41" s="50">
        <v>2.0999999999999999E-3</v>
      </c>
      <c r="AC41" s="152">
        <f t="shared" si="38"/>
        <v>1.6346925000000001</v>
      </c>
      <c r="AD41" s="19"/>
      <c r="AE41" s="21">
        <f t="shared" si="15"/>
        <v>0</v>
      </c>
      <c r="AF41" s="153">
        <f t="shared" si="33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4"/>
        <v>0.25</v>
      </c>
      <c r="I42" s="19"/>
      <c r="J42" s="50">
        <v>0.25</v>
      </c>
      <c r="K42" s="152">
        <f t="shared" si="35"/>
        <v>0.25</v>
      </c>
      <c r="L42" s="19"/>
      <c r="M42" s="21">
        <f t="shared" si="29"/>
        <v>0</v>
      </c>
      <c r="N42" s="153">
        <f t="shared" si="30"/>
        <v>0</v>
      </c>
      <c r="O42" s="212"/>
      <c r="P42" s="50">
        <v>0.25</v>
      </c>
      <c r="Q42" s="152">
        <f t="shared" si="36"/>
        <v>0.25</v>
      </c>
      <c r="R42" s="19"/>
      <c r="S42" s="21">
        <f t="shared" si="13"/>
        <v>0</v>
      </c>
      <c r="T42" s="153">
        <f t="shared" si="31"/>
        <v>0</v>
      </c>
      <c r="U42" s="19"/>
      <c r="V42" s="50">
        <v>0.25</v>
      </c>
      <c r="W42" s="152">
        <f t="shared" si="37"/>
        <v>0.25</v>
      </c>
      <c r="X42" s="19"/>
      <c r="Y42" s="21">
        <f t="shared" si="14"/>
        <v>0</v>
      </c>
      <c r="Z42" s="153">
        <f t="shared" si="32"/>
        <v>0</v>
      </c>
      <c r="AA42" s="19"/>
      <c r="AB42" s="50">
        <v>0.25</v>
      </c>
      <c r="AC42" s="152">
        <f t="shared" si="38"/>
        <v>0.25</v>
      </c>
      <c r="AD42" s="19"/>
      <c r="AE42" s="21">
        <f t="shared" si="15"/>
        <v>0</v>
      </c>
      <c r="AF42" s="153">
        <f t="shared" si="33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750</v>
      </c>
      <c r="G43" s="50">
        <v>0</v>
      </c>
      <c r="H43" s="152">
        <f t="shared" si="34"/>
        <v>0</v>
      </c>
      <c r="I43" s="19"/>
      <c r="J43" s="50">
        <v>0</v>
      </c>
      <c r="K43" s="152">
        <f t="shared" ref="K43:K48" si="39">$F43*J43</f>
        <v>0</v>
      </c>
      <c r="L43" s="19"/>
      <c r="M43" s="21">
        <f t="shared" si="29"/>
        <v>0</v>
      </c>
      <c r="N43" s="153" t="str">
        <f t="shared" si="30"/>
        <v/>
      </c>
      <c r="O43" s="212"/>
      <c r="P43" s="50"/>
      <c r="Q43" s="152">
        <f t="shared" ref="Q43:Q48" si="40">$F43*P43</f>
        <v>0</v>
      </c>
      <c r="R43" s="19"/>
      <c r="S43" s="21">
        <f t="shared" si="13"/>
        <v>0</v>
      </c>
      <c r="T43" s="153" t="str">
        <f t="shared" si="31"/>
        <v/>
      </c>
      <c r="U43" s="19"/>
      <c r="V43" s="50"/>
      <c r="W43" s="152">
        <f t="shared" ref="W43:W48" si="41">$F43*V43</f>
        <v>0</v>
      </c>
      <c r="X43" s="19"/>
      <c r="Y43" s="21">
        <f t="shared" si="14"/>
        <v>0</v>
      </c>
      <c r="Z43" s="153" t="str">
        <f t="shared" si="32"/>
        <v/>
      </c>
      <c r="AA43" s="19"/>
      <c r="AB43" s="50"/>
      <c r="AC43" s="152">
        <f t="shared" si="38"/>
        <v>0</v>
      </c>
      <c r="AD43" s="19"/>
      <c r="AE43" s="21">
        <f t="shared" si="15"/>
        <v>0</v>
      </c>
      <c r="AF43" s="153" t="str">
        <f t="shared" si="33"/>
        <v/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480</v>
      </c>
      <c r="G44" s="54">
        <v>8.6999999999999994E-2</v>
      </c>
      <c r="H44" s="152">
        <f t="shared" si="34"/>
        <v>41.76</v>
      </c>
      <c r="I44" s="19"/>
      <c r="J44" s="54">
        <f>+G44</f>
        <v>8.6999999999999994E-2</v>
      </c>
      <c r="K44" s="152">
        <f t="shared" si="39"/>
        <v>41.76</v>
      </c>
      <c r="L44" s="19"/>
      <c r="M44" s="21">
        <f t="shared" si="29"/>
        <v>0</v>
      </c>
      <c r="N44" s="153">
        <f t="shared" si="30"/>
        <v>0</v>
      </c>
      <c r="O44" s="212"/>
      <c r="P44" s="54">
        <v>0.08</v>
      </c>
      <c r="Q44" s="152">
        <f t="shared" si="40"/>
        <v>38.4</v>
      </c>
      <c r="R44" s="19"/>
      <c r="S44" s="21">
        <f t="shared" si="13"/>
        <v>-3.3599999999999994</v>
      </c>
      <c r="T44" s="153">
        <f t="shared" si="31"/>
        <v>-8.0459770114942514E-2</v>
      </c>
      <c r="U44" s="19"/>
      <c r="V44" s="54">
        <v>0.08</v>
      </c>
      <c r="W44" s="152">
        <f t="shared" si="41"/>
        <v>38.4</v>
      </c>
      <c r="X44" s="19"/>
      <c r="Y44" s="21">
        <f t="shared" si="14"/>
        <v>0</v>
      </c>
      <c r="Z44" s="153">
        <f t="shared" si="32"/>
        <v>0</v>
      </c>
      <c r="AA44" s="19"/>
      <c r="AB44" s="54">
        <v>0.08</v>
      </c>
      <c r="AC44" s="152">
        <f t="shared" si="38"/>
        <v>38.4</v>
      </c>
      <c r="AD44" s="19"/>
      <c r="AE44" s="21">
        <f t="shared" si="15"/>
        <v>0</v>
      </c>
      <c r="AF44" s="153">
        <f t="shared" si="33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135</v>
      </c>
      <c r="G45" s="54">
        <v>0.13200000000000001</v>
      </c>
      <c r="H45" s="152">
        <f t="shared" si="34"/>
        <v>17.82</v>
      </c>
      <c r="I45" s="19"/>
      <c r="J45" s="54">
        <f>+G45</f>
        <v>0.13200000000000001</v>
      </c>
      <c r="K45" s="152">
        <f t="shared" si="39"/>
        <v>17.82</v>
      </c>
      <c r="L45" s="19"/>
      <c r="M45" s="21">
        <f t="shared" si="29"/>
        <v>0</v>
      </c>
      <c r="N45" s="153">
        <f t="shared" si="30"/>
        <v>0</v>
      </c>
      <c r="O45" s="212"/>
      <c r="P45" s="54">
        <v>0.122</v>
      </c>
      <c r="Q45" s="152">
        <f t="shared" si="40"/>
        <v>16.47</v>
      </c>
      <c r="R45" s="19"/>
      <c r="S45" s="21">
        <f t="shared" si="13"/>
        <v>-1.3500000000000014</v>
      </c>
      <c r="T45" s="153">
        <f t="shared" si="31"/>
        <v>-7.5757575757575843E-2</v>
      </c>
      <c r="U45" s="19"/>
      <c r="V45" s="54">
        <v>0.122</v>
      </c>
      <c r="W45" s="152">
        <f t="shared" si="41"/>
        <v>16.47</v>
      </c>
      <c r="X45" s="19"/>
      <c r="Y45" s="21">
        <f t="shared" si="14"/>
        <v>0</v>
      </c>
      <c r="Z45" s="153">
        <f t="shared" si="32"/>
        <v>0</v>
      </c>
      <c r="AA45" s="19"/>
      <c r="AB45" s="54">
        <v>0.122</v>
      </c>
      <c r="AC45" s="152">
        <f t="shared" si="38"/>
        <v>16.47</v>
      </c>
      <c r="AD45" s="19"/>
      <c r="AE45" s="21">
        <f t="shared" si="15"/>
        <v>0</v>
      </c>
      <c r="AF45" s="153">
        <f t="shared" si="33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135</v>
      </c>
      <c r="G46" s="54">
        <v>0.18</v>
      </c>
      <c r="H46" s="152">
        <f t="shared" si="34"/>
        <v>24.3</v>
      </c>
      <c r="I46" s="19"/>
      <c r="J46" s="54">
        <f>+G46</f>
        <v>0.18</v>
      </c>
      <c r="K46" s="152">
        <f t="shared" si="39"/>
        <v>24.3</v>
      </c>
      <c r="L46" s="19"/>
      <c r="M46" s="21">
        <f t="shared" si="29"/>
        <v>0</v>
      </c>
      <c r="N46" s="153">
        <f t="shared" si="30"/>
        <v>0</v>
      </c>
      <c r="O46" s="212"/>
      <c r="P46" s="54">
        <v>0.161</v>
      </c>
      <c r="Q46" s="152">
        <f t="shared" si="40"/>
        <v>21.734999999999999</v>
      </c>
      <c r="R46" s="19"/>
      <c r="S46" s="21">
        <f t="shared" si="13"/>
        <v>-2.5650000000000013</v>
      </c>
      <c r="T46" s="153">
        <f t="shared" si="31"/>
        <v>-0.10555555555555561</v>
      </c>
      <c r="U46" s="19"/>
      <c r="V46" s="54">
        <v>0.161</v>
      </c>
      <c r="W46" s="152">
        <f t="shared" si="41"/>
        <v>21.734999999999999</v>
      </c>
      <c r="X46" s="19"/>
      <c r="Y46" s="21">
        <f t="shared" si="14"/>
        <v>0</v>
      </c>
      <c r="Z46" s="153">
        <f t="shared" si="32"/>
        <v>0</v>
      </c>
      <c r="AA46" s="19"/>
      <c r="AB46" s="54">
        <v>0.161</v>
      </c>
      <c r="AC46" s="152">
        <f t="shared" si="38"/>
        <v>21.734999999999999</v>
      </c>
      <c r="AD46" s="19"/>
      <c r="AE46" s="21">
        <f t="shared" si="15"/>
        <v>0</v>
      </c>
      <c r="AF46" s="153">
        <f t="shared" si="33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0.10299999999999999</v>
      </c>
      <c r="H47" s="152">
        <f t="shared" si="34"/>
        <v>61.8</v>
      </c>
      <c r="I47" s="59"/>
      <c r="J47" s="54">
        <f>+G47</f>
        <v>0.10299999999999999</v>
      </c>
      <c r="K47" s="152">
        <f t="shared" si="39"/>
        <v>61.8</v>
      </c>
      <c r="L47" s="59"/>
      <c r="M47" s="60">
        <f t="shared" si="29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56.4</v>
      </c>
      <c r="R47" s="59"/>
      <c r="S47" s="60">
        <f t="shared" si="13"/>
        <v>-5.3999999999999986</v>
      </c>
      <c r="T47" s="153">
        <f>IF((K47)=FALSE,"",(S47/K47))</f>
        <v>-8.7378640776699004E-2</v>
      </c>
      <c r="U47" s="59"/>
      <c r="V47" s="54">
        <v>9.4E-2</v>
      </c>
      <c r="W47" s="152">
        <f t="shared" si="41"/>
        <v>56.4</v>
      </c>
      <c r="X47" s="59"/>
      <c r="Y47" s="60">
        <f t="shared" si="14"/>
        <v>0</v>
      </c>
      <c r="Z47" s="153">
        <f>IF((Q47)=FALSE,"",(Y47/Q47))</f>
        <v>0</v>
      </c>
      <c r="AA47" s="59"/>
      <c r="AB47" s="54">
        <v>9.4E-2</v>
      </c>
      <c r="AC47" s="152">
        <f t="shared" si="38"/>
        <v>56.4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150</v>
      </c>
      <c r="G48" s="54">
        <v>0.121</v>
      </c>
      <c r="H48" s="152">
        <f t="shared" si="34"/>
        <v>18.149999999999999</v>
      </c>
      <c r="I48" s="59"/>
      <c r="J48" s="54">
        <f>+G48</f>
        <v>0.121</v>
      </c>
      <c r="K48" s="152">
        <f t="shared" si="39"/>
        <v>18.149999999999999</v>
      </c>
      <c r="L48" s="59"/>
      <c r="M48" s="60">
        <f t="shared" si="29"/>
        <v>0</v>
      </c>
      <c r="N48" s="207">
        <f>IFERROR(IF((H48)=FALSE,"",(M48/H48)),"n/a")</f>
        <v>0</v>
      </c>
      <c r="O48" s="212"/>
      <c r="P48" s="54">
        <v>0.11</v>
      </c>
      <c r="Q48" s="152">
        <f t="shared" si="40"/>
        <v>16.5</v>
      </c>
      <c r="R48" s="59"/>
      <c r="S48" s="60">
        <f t="shared" si="13"/>
        <v>-1.6499999999999986</v>
      </c>
      <c r="T48" s="153">
        <f>IF((K48)=FALSE,"",(S48/K48))</f>
        <v>-9.0909090909090842E-2</v>
      </c>
      <c r="U48" s="59"/>
      <c r="V48" s="54">
        <v>0.11</v>
      </c>
      <c r="W48" s="152">
        <f t="shared" si="41"/>
        <v>16.5</v>
      </c>
      <c r="X48" s="59"/>
      <c r="Y48" s="60">
        <f t="shared" si="14"/>
        <v>0</v>
      </c>
      <c r="Z48" s="153">
        <f>IF((Q48)=FALSE,"",(Y48/Q48))</f>
        <v>0</v>
      </c>
      <c r="AA48" s="59"/>
      <c r="AB48" s="54">
        <v>0.11</v>
      </c>
      <c r="AC48" s="152">
        <f t="shared" si="38"/>
        <v>16.5</v>
      </c>
      <c r="AD48" s="59"/>
      <c r="AE48" s="60">
        <f t="shared" si="15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212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132.3613849955054</v>
      </c>
      <c r="I50" s="75"/>
      <c r="J50" s="72"/>
      <c r="K50" s="74">
        <f>SUM(K40:K46,K39)</f>
        <v>130.04539450079281</v>
      </c>
      <c r="L50" s="75"/>
      <c r="M50" s="76">
        <f t="shared" si="29"/>
        <v>-2.3159904947125938</v>
      </c>
      <c r="N50" s="77">
        <f>IF((H50)=0,"",(M50/H50))</f>
        <v>-1.7497478549285638E-2</v>
      </c>
      <c r="O50" s="212"/>
      <c r="P50" s="72"/>
      <c r="Q50" s="74">
        <f>SUM(Q40:Q46,Q39)</f>
        <v>122.4946720007928</v>
      </c>
      <c r="R50" s="75"/>
      <c r="S50" s="76">
        <f t="shared" si="13"/>
        <v>-7.5507225000000062</v>
      </c>
      <c r="T50" s="77">
        <f>IF((K50)=0,"",(S50/K50))</f>
        <v>-5.806220611644939E-2</v>
      </c>
      <c r="U50" s="75"/>
      <c r="V50" s="72"/>
      <c r="W50" s="74">
        <f>SUM(W40:W46,W39)</f>
        <v>123.20467200106415</v>
      </c>
      <c r="X50" s="75"/>
      <c r="Y50" s="76">
        <f t="shared" si="14"/>
        <v>0.71000000027135002</v>
      </c>
      <c r="Z50" s="77">
        <f>IF((Q50)=0,"",(Y50/Q50))</f>
        <v>5.7961704674531055E-3</v>
      </c>
      <c r="AA50" s="75"/>
      <c r="AB50" s="72"/>
      <c r="AC50" s="74">
        <f>SUM(AC40:AC46,AC39)</f>
        <v>122.44948305719912</v>
      </c>
      <c r="AD50" s="75"/>
      <c r="AE50" s="76">
        <f t="shared" si="15"/>
        <v>-0.75518894386503632</v>
      </c>
      <c r="AF50" s="77">
        <f>IF((W50)=0,"",(AE50/W50))</f>
        <v>-6.129547943267229E-3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17.206980049415701</v>
      </c>
      <c r="I51" s="81"/>
      <c r="J51" s="79">
        <v>0.13</v>
      </c>
      <c r="K51" s="82">
        <f>K50*J51</f>
        <v>16.905901285103067</v>
      </c>
      <c r="L51" s="81"/>
      <c r="M51" s="83">
        <f t="shared" si="29"/>
        <v>-0.30107876431263492</v>
      </c>
      <c r="N51" s="84">
        <f>IF((H51)=0,"",(M51/H51))</f>
        <v>-1.7497478549285506E-2</v>
      </c>
      <c r="O51" s="212"/>
      <c r="P51" s="79">
        <v>0.13</v>
      </c>
      <c r="Q51" s="82">
        <f>Q50*P51</f>
        <v>15.924307360103064</v>
      </c>
      <c r="R51" s="81"/>
      <c r="S51" s="83">
        <f t="shared" si="13"/>
        <v>-0.98159392500000209</v>
      </c>
      <c r="T51" s="84">
        <f>IF((K51)=0,"",(S51/K51))</f>
        <v>-5.8062206116449459E-2</v>
      </c>
      <c r="U51" s="81"/>
      <c r="V51" s="79">
        <v>0.13</v>
      </c>
      <c r="W51" s="82">
        <f>W50*V51</f>
        <v>16.016607360138341</v>
      </c>
      <c r="X51" s="81"/>
      <c r="Y51" s="83">
        <f t="shared" si="14"/>
        <v>9.2300000035276497E-2</v>
      </c>
      <c r="Z51" s="84">
        <f>IF((Q51)=0,"",(Y51/Q51))</f>
        <v>5.796170467453168E-3</v>
      </c>
      <c r="AA51" s="81"/>
      <c r="AB51" s="79">
        <v>0.13</v>
      </c>
      <c r="AC51" s="82">
        <f>AC50*AB51</f>
        <v>15.918432797435885</v>
      </c>
      <c r="AD51" s="81"/>
      <c r="AE51" s="83">
        <f t="shared" si="15"/>
        <v>-9.8174562702455503E-2</v>
      </c>
      <c r="AF51" s="84">
        <f>IF((W51)=0,"",(AE51/W51))</f>
        <v>-6.1295479432672776E-3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149.56836504492111</v>
      </c>
      <c r="I52" s="81"/>
      <c r="J52" s="86"/>
      <c r="K52" s="82">
        <f>K50+K51</f>
        <v>146.95129578589587</v>
      </c>
      <c r="L52" s="81"/>
      <c r="M52" s="83">
        <f t="shared" si="29"/>
        <v>-2.6170692590252429</v>
      </c>
      <c r="N52" s="84">
        <f>IF((H52)=0,"",(M52/H52))</f>
        <v>-1.7497478549285718E-2</v>
      </c>
      <c r="O52" s="212"/>
      <c r="P52" s="86"/>
      <c r="Q52" s="82">
        <f>Q50+Q51</f>
        <v>138.41897936089586</v>
      </c>
      <c r="R52" s="81"/>
      <c r="S52" s="83">
        <f t="shared" si="13"/>
        <v>-8.5323164250000048</v>
      </c>
      <c r="T52" s="84">
        <f>IF((K52)=0,"",(S52/K52))</f>
        <v>-5.8062206116449376E-2</v>
      </c>
      <c r="U52" s="81"/>
      <c r="V52" s="86"/>
      <c r="W52" s="82">
        <f>W50+W51</f>
        <v>139.22127936120251</v>
      </c>
      <c r="X52" s="81"/>
      <c r="Y52" s="83">
        <f t="shared" si="14"/>
        <v>0.80230000030664428</v>
      </c>
      <c r="Z52" s="84">
        <f>IF((Q52)=0,"",(Y52/Q52))</f>
        <v>5.7961704674532408E-3</v>
      </c>
      <c r="AA52" s="81"/>
      <c r="AB52" s="86"/>
      <c r="AC52" s="82">
        <f>AC50+AC51</f>
        <v>138.36791585463502</v>
      </c>
      <c r="AD52" s="81"/>
      <c r="AE52" s="83">
        <f t="shared" si="15"/>
        <v>-0.85336350656749005</v>
      </c>
      <c r="AF52" s="84">
        <f>IF((W52)=0,"",(AE52/W52))</f>
        <v>-6.1295479432672212E-3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-10.403631560063426</v>
      </c>
      <c r="L53" s="81"/>
      <c r="M53" s="88">
        <f t="shared" si="29"/>
        <v>-10.403631560063426</v>
      </c>
      <c r="N53" s="89" t="str">
        <f>IF((H53)=0,"",(M53/H53))</f>
        <v/>
      </c>
      <c r="O53" s="212"/>
      <c r="P53" s="86"/>
      <c r="Q53" s="87">
        <f>ROUND(-Q52*10%,2)</f>
        <v>-13.84</v>
      </c>
      <c r="R53" s="81"/>
      <c r="S53" s="88">
        <f t="shared" si="13"/>
        <v>-3.4363684399365741</v>
      </c>
      <c r="T53" s="89">
        <f>IF((K53)=0,"",(S53/K53))</f>
        <v>0.33030470370825243</v>
      </c>
      <c r="U53" s="81"/>
      <c r="V53" s="86"/>
      <c r="W53" s="87">
        <f>ROUND(-W52*10%,2)</f>
        <v>-13.92</v>
      </c>
      <c r="X53" s="81"/>
      <c r="Y53" s="88">
        <f t="shared" si="14"/>
        <v>-8.0000000000000071E-2</v>
      </c>
      <c r="Z53" s="89">
        <f>IF((Q53)=0,"",(Y53/Q53))</f>
        <v>5.7803468208092535E-3</v>
      </c>
      <c r="AA53" s="81"/>
      <c r="AB53" s="86"/>
      <c r="AC53" s="87">
        <f>ROUND(-AC52*10%,2)</f>
        <v>-13.84</v>
      </c>
      <c r="AD53" s="81"/>
      <c r="AE53" s="88">
        <f t="shared" si="15"/>
        <v>8.0000000000000071E-2</v>
      </c>
      <c r="AF53" s="89">
        <f>IF((W53)=0,"",(AE53/W53))</f>
        <v>-5.7471264367816143E-3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149.56836504492111</v>
      </c>
      <c r="I54" s="92"/>
      <c r="J54" s="90"/>
      <c r="K54" s="93">
        <f>K52+K53</f>
        <v>136.54766422583245</v>
      </c>
      <c r="L54" s="92"/>
      <c r="M54" s="94">
        <f t="shared" si="29"/>
        <v>-13.02070081908866</v>
      </c>
      <c r="N54" s="95">
        <f>IF((H54)=0,"",(M54/H54))</f>
        <v>-8.7055179182964557E-2</v>
      </c>
      <c r="O54" s="212"/>
      <c r="P54" s="90"/>
      <c r="Q54" s="93">
        <f>Q52+Q53</f>
        <v>124.57897936089586</v>
      </c>
      <c r="R54" s="92"/>
      <c r="S54" s="94">
        <f t="shared" si="13"/>
        <v>-11.968684864936591</v>
      </c>
      <c r="T54" s="95">
        <f>IF((K54)=0,"",(S54/K54))</f>
        <v>-8.7652065912617233E-2</v>
      </c>
      <c r="U54" s="92"/>
      <c r="V54" s="90"/>
      <c r="W54" s="93">
        <f>W52+W53</f>
        <v>125.3012793612025</v>
      </c>
      <c r="X54" s="92"/>
      <c r="Y54" s="94">
        <f t="shared" si="14"/>
        <v>0.72230000030664598</v>
      </c>
      <c r="Z54" s="95">
        <f>IF((Q54)=0,"",(Y54/Q54))</f>
        <v>5.7979283825580052E-3</v>
      </c>
      <c r="AA54" s="92"/>
      <c r="AB54" s="90"/>
      <c r="AC54" s="93">
        <f>AC52+AC53</f>
        <v>124.52791585463501</v>
      </c>
      <c r="AD54" s="92"/>
      <c r="AE54" s="94">
        <f t="shared" si="15"/>
        <v>-0.77336350656749175</v>
      </c>
      <c r="AF54" s="95">
        <f>IF((W54)=0,"",(AE54/W54))</f>
        <v>-6.1720320056600411E-3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212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128.4313849955054</v>
      </c>
      <c r="I56" s="106"/>
      <c r="J56" s="103"/>
      <c r="K56" s="105">
        <f>SUM(K47:K48,K39,K40:K43)</f>
        <v>126.11539450079279</v>
      </c>
      <c r="L56" s="106"/>
      <c r="M56" s="107">
        <f t="shared" si="29"/>
        <v>-2.315990494712608</v>
      </c>
      <c r="N56" s="77">
        <f>IF((H56)=0,"",(M56/H56))</f>
        <v>-1.8032901341005228E-2</v>
      </c>
      <c r="O56" s="212"/>
      <c r="P56" s="103"/>
      <c r="Q56" s="105">
        <f>SUM(Q47:Q48,Q39,Q40:Q43)</f>
        <v>118.78967200079281</v>
      </c>
      <c r="R56" s="106"/>
      <c r="S56" s="107">
        <f t="shared" si="13"/>
        <v>-7.3257224999999835</v>
      </c>
      <c r="T56" s="77">
        <f>IF((K56)=0,"",(S56/K56))</f>
        <v>-5.8087456563075908E-2</v>
      </c>
      <c r="U56" s="106"/>
      <c r="V56" s="103"/>
      <c r="W56" s="105">
        <f>SUM(W47:W48,W39,W40:W43)</f>
        <v>119.49967200106416</v>
      </c>
      <c r="X56" s="106"/>
      <c r="Y56" s="107">
        <f t="shared" si="14"/>
        <v>0.71000000027135002</v>
      </c>
      <c r="Z56" s="77">
        <f>IF((Q56)=0,"",(Y56/Q56))</f>
        <v>5.9769505910127561E-3</v>
      </c>
      <c r="AA56" s="106"/>
      <c r="AB56" s="103"/>
      <c r="AC56" s="105">
        <f>SUM(AC47:AC48,AC39,AC40:AC43)</f>
        <v>118.74448305719912</v>
      </c>
      <c r="AD56" s="106"/>
      <c r="AE56" s="107">
        <f t="shared" si="15"/>
        <v>-0.75518894386503632</v>
      </c>
      <c r="AF56" s="77">
        <f>IF((W56)=0,"",(AE56/W56))</f>
        <v>-6.3195900977729156E-3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16.696080049415702</v>
      </c>
      <c r="I57" s="110"/>
      <c r="J57" s="109">
        <v>0.13</v>
      </c>
      <c r="K57" s="111">
        <f>K56*J57</f>
        <v>16.395001285103064</v>
      </c>
      <c r="L57" s="110"/>
      <c r="M57" s="112">
        <f t="shared" si="29"/>
        <v>-0.30107876431263847</v>
      </c>
      <c r="N57" s="84">
        <f>IF((H57)=0,"",(M57/H57))</f>
        <v>-1.8032901341005193E-2</v>
      </c>
      <c r="O57" s="212"/>
      <c r="P57" s="109">
        <v>0.13</v>
      </c>
      <c r="Q57" s="111">
        <f>Q56*P57</f>
        <v>15.442657360103064</v>
      </c>
      <c r="R57" s="110"/>
      <c r="S57" s="112">
        <f t="shared" si="13"/>
        <v>-0.9523439249999992</v>
      </c>
      <c r="T57" s="84">
        <f>IF((K57)=0,"",(S57/K57))</f>
        <v>-5.8087456563075991E-2</v>
      </c>
      <c r="U57" s="110"/>
      <c r="V57" s="109">
        <v>0.13</v>
      </c>
      <c r="W57" s="111">
        <f>W56*V57</f>
        <v>15.534957360138341</v>
      </c>
      <c r="X57" s="110"/>
      <c r="Y57" s="112">
        <f t="shared" si="14"/>
        <v>9.2300000035276497E-2</v>
      </c>
      <c r="Z57" s="84">
        <f>IF((Q57)=0,"",(Y57/Q57))</f>
        <v>5.9769505910128211E-3</v>
      </c>
      <c r="AA57" s="110"/>
      <c r="AB57" s="109">
        <v>0.13</v>
      </c>
      <c r="AC57" s="111">
        <f>AC56*AB57</f>
        <v>15.436782797435885</v>
      </c>
      <c r="AD57" s="110"/>
      <c r="AE57" s="112">
        <f t="shared" si="15"/>
        <v>-9.8174562702455503E-2</v>
      </c>
      <c r="AF57" s="84">
        <f>IF((W57)=0,"",(AE57/W57))</f>
        <v>-6.319590097772965E-3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145.12746504492111</v>
      </c>
      <c r="I58" s="110"/>
      <c r="J58" s="114"/>
      <c r="K58" s="111">
        <f>K56+K57</f>
        <v>142.51039578589587</v>
      </c>
      <c r="L58" s="110"/>
      <c r="M58" s="112">
        <f t="shared" si="29"/>
        <v>-2.6170692590252429</v>
      </c>
      <c r="N58" s="84">
        <f>IF((H58)=0,"",(M58/H58))</f>
        <v>-1.8032901341005197E-2</v>
      </c>
      <c r="O58" s="212"/>
      <c r="P58" s="114"/>
      <c r="Q58" s="111">
        <f>Q56+Q57</f>
        <v>134.23232936089587</v>
      </c>
      <c r="R58" s="110"/>
      <c r="S58" s="112">
        <f t="shared" si="13"/>
        <v>-8.2780664249999916</v>
      </c>
      <c r="T58" s="84">
        <f>IF((K58)=0,"",(S58/K58))</f>
        <v>-5.8087456563075977E-2</v>
      </c>
      <c r="U58" s="110"/>
      <c r="V58" s="114"/>
      <c r="W58" s="111">
        <f>W56+W57</f>
        <v>135.03462936120249</v>
      </c>
      <c r="X58" s="110"/>
      <c r="Y58" s="112">
        <f t="shared" si="14"/>
        <v>0.80230000030661586</v>
      </c>
      <c r="Z58" s="84">
        <f>IF((Q58)=0,"",(Y58/Q58))</f>
        <v>5.9769505910126841E-3</v>
      </c>
      <c r="AA58" s="110"/>
      <c r="AB58" s="114"/>
      <c r="AC58" s="111">
        <f>AC56+AC57</f>
        <v>134.181265854635</v>
      </c>
      <c r="AD58" s="110"/>
      <c r="AE58" s="112">
        <f t="shared" si="15"/>
        <v>-0.85336350656749005</v>
      </c>
      <c r="AF58" s="84">
        <f>IF((W58)=0,"",(AE58/W58))</f>
        <v>-6.3195900977729078E-3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-10.089231560063423</v>
      </c>
      <c r="L59" s="110"/>
      <c r="M59" s="117">
        <f t="shared" si="29"/>
        <v>-10.089231560063423</v>
      </c>
      <c r="N59" s="89" t="str">
        <f>IF((H59)=0,"",(M59/H59))</f>
        <v/>
      </c>
      <c r="O59" s="212"/>
      <c r="P59" s="114"/>
      <c r="Q59" s="116">
        <f>ROUND(-Q58*10%,2)</f>
        <v>-13.42</v>
      </c>
      <c r="R59" s="110"/>
      <c r="S59" s="117">
        <f t="shared" si="13"/>
        <v>-3.3307684399365769</v>
      </c>
      <c r="T59" s="89">
        <f>IF((K59)=0,"",(S59/K59))</f>
        <v>0.33013103328115495</v>
      </c>
      <c r="U59" s="110"/>
      <c r="V59" s="114"/>
      <c r="W59" s="116">
        <f>ROUND(-W58*10%,2)</f>
        <v>-13.5</v>
      </c>
      <c r="X59" s="110"/>
      <c r="Y59" s="117">
        <f t="shared" si="14"/>
        <v>-8.0000000000000071E-2</v>
      </c>
      <c r="Z59" s="89">
        <f>IF((Q59)=0,"",(Y59/Q59))</f>
        <v>5.9612518628912124E-3</v>
      </c>
      <c r="AA59" s="110"/>
      <c r="AB59" s="114"/>
      <c r="AC59" s="116">
        <f>ROUND(-AC58*10%,2)</f>
        <v>-13.42</v>
      </c>
      <c r="AD59" s="110"/>
      <c r="AE59" s="117">
        <f t="shared" si="15"/>
        <v>8.0000000000000071E-2</v>
      </c>
      <c r="AF59" s="89">
        <f>IF((W59)=0,"",(AE59/W59))</f>
        <v>-5.9259259259259308E-3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145.12746504492111</v>
      </c>
      <c r="I60" s="120"/>
      <c r="J60" s="118"/>
      <c r="K60" s="121">
        <f>SUM(K58:K59)</f>
        <v>132.42116422583246</v>
      </c>
      <c r="L60" s="120"/>
      <c r="M60" s="122">
        <f t="shared" si="29"/>
        <v>-12.706300819088653</v>
      </c>
      <c r="N60" s="123">
        <f>IF((H60)=0,"",(M60/H60))</f>
        <v>-8.7552695936332164E-2</v>
      </c>
      <c r="O60" s="212"/>
      <c r="P60" s="118"/>
      <c r="Q60" s="121">
        <f>SUM(Q58:Q59)</f>
        <v>120.81232936089587</v>
      </c>
      <c r="R60" s="120"/>
      <c r="S60" s="122">
        <f t="shared" si="13"/>
        <v>-11.608834864936583</v>
      </c>
      <c r="T60" s="123">
        <f>IF((K60)=0,"",(S60/K60))</f>
        <v>-8.7666008170255563E-2</v>
      </c>
      <c r="U60" s="120"/>
      <c r="V60" s="118"/>
      <c r="W60" s="121">
        <f>SUM(W58:W59)</f>
        <v>121.53462936120249</v>
      </c>
      <c r="X60" s="120"/>
      <c r="Y60" s="122">
        <f t="shared" si="14"/>
        <v>0.72230000030661756</v>
      </c>
      <c r="Z60" s="123">
        <f>IF((Q60)=0,"",(Y60/Q60))</f>
        <v>5.9786944273620569E-3</v>
      </c>
      <c r="AA60" s="120"/>
      <c r="AB60" s="118"/>
      <c r="AC60" s="121">
        <f>SUM(AC58:AC59)</f>
        <v>120.761265854635</v>
      </c>
      <c r="AD60" s="120"/>
      <c r="AE60" s="122">
        <f t="shared" si="15"/>
        <v>-0.77336350656749175</v>
      </c>
      <c r="AF60" s="123">
        <f>IF((W60)=0,"",(AE60/W60))</f>
        <v>-6.363318098161516E-3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J65" s="181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disablePrompts="1"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scale="52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76200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AP79"/>
  <sheetViews>
    <sheetView showGridLines="0" topLeftCell="A7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8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9.140625" style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50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1000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18.8</v>
      </c>
      <c r="H12" s="18">
        <f t="shared" ref="H12:H27" si="0">$F12*G12</f>
        <v>18.8</v>
      </c>
      <c r="I12" s="19"/>
      <c r="J12" s="209">
        <v>21.34</v>
      </c>
      <c r="K12" s="18">
        <f t="shared" ref="K12:K27" si="1">$F12*J12</f>
        <v>21.34</v>
      </c>
      <c r="L12" s="19"/>
      <c r="M12" s="21">
        <f t="shared" ref="M12:M21" si="2">K12-H12</f>
        <v>2.5399999999999991</v>
      </c>
      <c r="N12" s="22">
        <f t="shared" ref="N12:N21" si="3">IF((H12)=0,"",(M12/H12))</f>
        <v>0.13510638297872335</v>
      </c>
      <c r="O12" s="212"/>
      <c r="P12" s="16">
        <v>21.34</v>
      </c>
      <c r="Q12" s="18">
        <f t="shared" ref="Q12:Q27" si="4">$F12*P12</f>
        <v>21.34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23.89</v>
      </c>
      <c r="W12" s="18">
        <f t="shared" ref="W12:W27" si="6">$F12*V12</f>
        <v>23.89</v>
      </c>
      <c r="X12" s="19"/>
      <c r="Y12" s="21">
        <f>W12-Q12</f>
        <v>2.5500000000000007</v>
      </c>
      <c r="Z12" s="22">
        <f t="shared" ref="Z12:Z34" si="7">IF((Q12)=0,"",(Y12/Q12))</f>
        <v>0.11949390815370201</v>
      </c>
      <c r="AA12" s="19"/>
      <c r="AB12" s="16">
        <v>27</v>
      </c>
      <c r="AC12" s="18">
        <f t="shared" ref="AC12:AC27" si="8">$F12*AB12</f>
        <v>27</v>
      </c>
      <c r="AD12" s="19"/>
      <c r="AE12" s="21">
        <f>AC12-W12</f>
        <v>3.1099999999999994</v>
      </c>
      <c r="AF12" s="22">
        <f t="shared" ref="AF12:AF34" si="9">IF((W12)=0,"",(AE12/W12))</f>
        <v>0.13017999162829633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0.79</v>
      </c>
      <c r="H13" s="18">
        <f t="shared" si="0"/>
        <v>0.79</v>
      </c>
      <c r="I13" s="19"/>
      <c r="J13" s="209">
        <v>0.79</v>
      </c>
      <c r="K13" s="18">
        <f t="shared" si="1"/>
        <v>0.79</v>
      </c>
      <c r="L13" s="19"/>
      <c r="M13" s="21">
        <f t="shared" si="2"/>
        <v>0</v>
      </c>
      <c r="N13" s="22">
        <f t="shared" si="3"/>
        <v>0</v>
      </c>
      <c r="O13" s="212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1000</v>
      </c>
      <c r="G19" s="16">
        <v>1.21E-2</v>
      </c>
      <c r="H19" s="18">
        <f t="shared" si="0"/>
        <v>12.1</v>
      </c>
      <c r="I19" s="19"/>
      <c r="J19" s="16">
        <v>8.0999999999999996E-3</v>
      </c>
      <c r="K19" s="18">
        <f t="shared" si="1"/>
        <v>8.1</v>
      </c>
      <c r="L19" s="19"/>
      <c r="M19" s="21">
        <f t="shared" si="2"/>
        <v>-4</v>
      </c>
      <c r="N19" s="22">
        <f t="shared" si="3"/>
        <v>-0.33057851239669422</v>
      </c>
      <c r="O19" s="212"/>
      <c r="P19" s="16">
        <v>8.0999999999999996E-3</v>
      </c>
      <c r="Q19" s="18">
        <f t="shared" si="4"/>
        <v>8.1</v>
      </c>
      <c r="R19" s="19"/>
      <c r="S19" s="21">
        <f t="shared" si="13"/>
        <v>0</v>
      </c>
      <c r="T19" s="22">
        <f t="shared" si="5"/>
        <v>0</v>
      </c>
      <c r="U19" s="19"/>
      <c r="V19" s="16">
        <v>4.1000000000000003E-3</v>
      </c>
      <c r="W19" s="18">
        <f t="shared" si="6"/>
        <v>4.1000000000000005</v>
      </c>
      <c r="X19" s="19"/>
      <c r="Y19" s="21">
        <f t="shared" si="14"/>
        <v>-3.9999999999999991</v>
      </c>
      <c r="Z19" s="22">
        <f t="shared" si="7"/>
        <v>-0.49382716049382708</v>
      </c>
      <c r="AA19" s="19"/>
      <c r="AB19" s="16">
        <v>0</v>
      </c>
      <c r="AC19" s="18">
        <f t="shared" si="8"/>
        <v>0</v>
      </c>
      <c r="AD19" s="19"/>
      <c r="AE19" s="21">
        <f t="shared" si="15"/>
        <v>-4.1000000000000005</v>
      </c>
      <c r="AF19" s="22">
        <f t="shared" si="9"/>
        <v>-1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1000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27" si="16">$G$7</f>
        <v>1000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6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212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6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212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6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212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31.689999999999998</v>
      </c>
      <c r="I28" s="31"/>
      <c r="J28" s="28"/>
      <c r="K28" s="30">
        <f>SUM(K12:K27)</f>
        <v>30.229999999999997</v>
      </c>
      <c r="L28" s="31"/>
      <c r="M28" s="32">
        <f t="shared" si="17"/>
        <v>-1.4600000000000009</v>
      </c>
      <c r="N28" s="33">
        <f t="shared" si="18"/>
        <v>-4.607131587251502E-2</v>
      </c>
      <c r="O28" s="212"/>
      <c r="P28" s="28"/>
      <c r="Q28" s="30">
        <f>SUM(Q12:Q27)</f>
        <v>30.229999999999997</v>
      </c>
      <c r="R28" s="31"/>
      <c r="S28" s="32">
        <f t="shared" si="13"/>
        <v>0</v>
      </c>
      <c r="T28" s="33">
        <f t="shared" si="5"/>
        <v>0</v>
      </c>
      <c r="U28" s="31"/>
      <c r="V28" s="28"/>
      <c r="W28" s="30">
        <f>SUM(W12:W27)</f>
        <v>27.990000000000002</v>
      </c>
      <c r="X28" s="31"/>
      <c r="Y28" s="32">
        <f t="shared" si="14"/>
        <v>-2.2399999999999949</v>
      </c>
      <c r="Z28" s="33">
        <f t="shared" si="7"/>
        <v>-7.4098577571948238E-2</v>
      </c>
      <c r="AA28" s="31"/>
      <c r="AB28" s="28"/>
      <c r="AC28" s="30">
        <f>SUM(AC12:AC27)</f>
        <v>27</v>
      </c>
      <c r="AD28" s="31"/>
      <c r="AE28" s="32">
        <f t="shared" si="15"/>
        <v>-0.99000000000000199</v>
      </c>
      <c r="AF28" s="33">
        <f t="shared" si="9"/>
        <v>-3.5369774919614218E-2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1000</v>
      </c>
      <c r="G29" s="16">
        <v>3.3021965494891908E-4</v>
      </c>
      <c r="H29" s="18">
        <f t="shared" ref="H29:H35" si="19">$F29*G29</f>
        <v>0.33021965494891908</v>
      </c>
      <c r="I29" s="19"/>
      <c r="J29" s="16">
        <v>-2.5999999999999999E-3</v>
      </c>
      <c r="K29" s="18">
        <f t="shared" ref="K29:K35" si="20">$F29*J29</f>
        <v>-2.6</v>
      </c>
      <c r="L29" s="19"/>
      <c r="M29" s="21">
        <f t="shared" si="17"/>
        <v>-2.9302196549489192</v>
      </c>
      <c r="N29" s="22">
        <f t="shared" si="18"/>
        <v>-8.873547080055511</v>
      </c>
      <c r="O29" s="212"/>
      <c r="P29" s="16">
        <v>-2.5999999999999999E-3</v>
      </c>
      <c r="Q29" s="18">
        <f t="shared" ref="Q29:Q35" si="21">$F29*P29</f>
        <v>-2.6</v>
      </c>
      <c r="R29" s="19"/>
      <c r="S29" s="21">
        <f t="shared" si="13"/>
        <v>0</v>
      </c>
      <c r="T29" s="22">
        <f t="shared" si="5"/>
        <v>0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2.6</v>
      </c>
      <c r="Z29" s="22">
        <f t="shared" si="7"/>
        <v>-1</v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1000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ref="F31:F33" si="28">$G$7</f>
        <v>1000</v>
      </c>
      <c r="G31" s="16">
        <v>0</v>
      </c>
      <c r="H31" s="18">
        <f t="shared" si="19"/>
        <v>0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0</v>
      </c>
      <c r="N31" s="22" t="str">
        <f>IF((H31)=0,"",(M31/H31))</f>
        <v/>
      </c>
      <c r="O31" s="212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28"/>
        <v>1000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212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28"/>
        <v>1000</v>
      </c>
      <c r="G33" s="133">
        <v>6.0000002460806063E-5</v>
      </c>
      <c r="H33" s="18">
        <f t="shared" si="19"/>
        <v>6.0000002460806064E-2</v>
      </c>
      <c r="I33" s="19"/>
      <c r="J33" s="133">
        <v>6.0000001057066139E-5</v>
      </c>
      <c r="K33" s="18">
        <f t="shared" si="20"/>
        <v>6.0000001057066141E-2</v>
      </c>
      <c r="L33" s="19"/>
      <c r="M33" s="21">
        <f t="shared" si="29"/>
        <v>-1.403739922911651E-9</v>
      </c>
      <c r="N33" s="22">
        <f>IF((H33)=0,"",(M33/H33))</f>
        <v>-2.33956644223243E-8</v>
      </c>
      <c r="O33" s="212"/>
      <c r="P33" s="133">
        <v>6.0000001057066139E-5</v>
      </c>
      <c r="Q33" s="18">
        <f t="shared" si="21"/>
        <v>6.0000001057066141E-2</v>
      </c>
      <c r="R33" s="19"/>
      <c r="S33" s="21">
        <f t="shared" si="13"/>
        <v>0</v>
      </c>
      <c r="T33" s="22">
        <f t="shared" si="5"/>
        <v>0</v>
      </c>
      <c r="U33" s="19"/>
      <c r="V33" s="133">
        <v>6.000000141885779E-5</v>
      </c>
      <c r="W33" s="18">
        <f t="shared" si="22"/>
        <v>6.0000001418857793E-2</v>
      </c>
      <c r="X33" s="19"/>
      <c r="Y33" s="21">
        <f t="shared" si="14"/>
        <v>3.6179165219252241E-10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5.9748076265468276E-2</v>
      </c>
      <c r="AD33" s="19"/>
      <c r="AE33" s="21">
        <f t="shared" si="15"/>
        <v>-2.5192515338951643E-4</v>
      </c>
      <c r="AF33" s="22">
        <f t="shared" si="9"/>
        <v>-4.1987524572013966E-3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37.900000000000091</v>
      </c>
      <c r="G34" s="38">
        <f>0.64*G44+0.18*G45+0.18*G46</f>
        <v>0.11183999999999999</v>
      </c>
      <c r="H34" s="18">
        <f t="shared" si="19"/>
        <v>4.2387360000000101</v>
      </c>
      <c r="I34" s="19"/>
      <c r="J34" s="38">
        <f>0.64*J44+0.18*J45+0.18*J46</f>
        <v>0.11183999999999999</v>
      </c>
      <c r="K34" s="18">
        <f t="shared" si="20"/>
        <v>4.2387360000000101</v>
      </c>
      <c r="L34" s="19"/>
      <c r="M34" s="21">
        <f t="shared" si="29"/>
        <v>0</v>
      </c>
      <c r="N34" s="22">
        <f>IF((H34)=0,"",(M34/H34))</f>
        <v>0</v>
      </c>
      <c r="O34" s="212"/>
      <c r="P34" s="38">
        <f>0.64*P44+0.18*P45+0.18*P46</f>
        <v>0.10214000000000001</v>
      </c>
      <c r="Q34" s="18">
        <f t="shared" si="21"/>
        <v>3.8711060000000095</v>
      </c>
      <c r="R34" s="19"/>
      <c r="S34" s="21">
        <f t="shared" si="13"/>
        <v>-0.36763000000000057</v>
      </c>
      <c r="T34" s="22">
        <f t="shared" si="5"/>
        <v>-8.673104434907003E-2</v>
      </c>
      <c r="U34" s="19"/>
      <c r="V34" s="38">
        <f>0.64*V44+0.18*V45+0.18*V46</f>
        <v>0.10214000000000001</v>
      </c>
      <c r="W34" s="18">
        <f t="shared" si="22"/>
        <v>3.8711060000000095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3.8711060000000095</v>
      </c>
      <c r="AD34" s="19"/>
      <c r="AE34" s="21">
        <f t="shared" si="15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0.79</v>
      </c>
      <c r="H35" s="18">
        <f t="shared" si="19"/>
        <v>0.79</v>
      </c>
      <c r="I35" s="19"/>
      <c r="J35" s="210">
        <v>0.79</v>
      </c>
      <c r="K35" s="18">
        <f t="shared" si="20"/>
        <v>0.79</v>
      </c>
      <c r="L35" s="19"/>
      <c r="M35" s="21">
        <f t="shared" si="29"/>
        <v>0</v>
      </c>
      <c r="N35" s="22"/>
      <c r="O35" s="212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37.10895565740973</v>
      </c>
      <c r="I36" s="31"/>
      <c r="J36" s="41"/>
      <c r="K36" s="43">
        <f>SUM(K29:K35)+K28</f>
        <v>32.718736001057074</v>
      </c>
      <c r="L36" s="31"/>
      <c r="M36" s="32">
        <f t="shared" si="29"/>
        <v>-4.3902196563526559</v>
      </c>
      <c r="N36" s="33">
        <f t="shared" ref="N36:N46" si="30">IF((H36)=0,"",(M36/H36))</f>
        <v>-0.11830620341038993</v>
      </c>
      <c r="O36" s="212"/>
      <c r="P36" s="41"/>
      <c r="Q36" s="43">
        <f>SUM(Q29:Q35)+Q28</f>
        <v>32.351106001057076</v>
      </c>
      <c r="R36" s="31"/>
      <c r="S36" s="32">
        <f t="shared" si="13"/>
        <v>-0.36762999999999835</v>
      </c>
      <c r="T36" s="33">
        <f t="shared" ref="T36:T46" si="31">IF((K36)=0,"",(S36/K36))</f>
        <v>-1.1236069754898874E-2</v>
      </c>
      <c r="U36" s="31"/>
      <c r="V36" s="41"/>
      <c r="W36" s="43">
        <f>SUM(W29:W35)+W28</f>
        <v>32.711106001418869</v>
      </c>
      <c r="X36" s="31"/>
      <c r="Y36" s="32">
        <f t="shared" si="14"/>
        <v>0.36000000036179358</v>
      </c>
      <c r="Z36" s="33">
        <f t="shared" ref="Z36:Z46" si="32">IF((Q36)=0,"",(Y36/Q36))</f>
        <v>1.1127903953269187E-2</v>
      </c>
      <c r="AA36" s="31"/>
      <c r="AB36" s="41"/>
      <c r="AC36" s="43">
        <f>SUM(AC29:AC35)+AC28</f>
        <v>30.930854076265476</v>
      </c>
      <c r="AD36" s="31"/>
      <c r="AE36" s="32">
        <f t="shared" si="15"/>
        <v>-1.7802519251533937</v>
      </c>
      <c r="AF36" s="33">
        <f t="shared" ref="AF36:AF46" si="33">IF((W36)=0,"",(AE36/W36))</f>
        <v>-5.4423470887110144E-2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1037.9000000000001</v>
      </c>
      <c r="G37" s="20">
        <v>7.7725149591303024E-3</v>
      </c>
      <c r="H37" s="18">
        <f>$F37*G37</f>
        <v>8.0670932760813407</v>
      </c>
      <c r="I37" s="19"/>
      <c r="J37" s="20">
        <v>7.4000000000000003E-3</v>
      </c>
      <c r="K37" s="18">
        <f>$F37*J37</f>
        <v>7.680460000000001</v>
      </c>
      <c r="L37" s="19"/>
      <c r="M37" s="21">
        <f t="shared" si="29"/>
        <v>-0.38663327608133979</v>
      </c>
      <c r="N37" s="22">
        <f t="shared" si="30"/>
        <v>-4.7927210315975195E-2</v>
      </c>
      <c r="O37" s="212"/>
      <c r="P37" s="20">
        <v>7.4000000000000003E-3</v>
      </c>
      <c r="Q37" s="18">
        <f>$F37*P37</f>
        <v>7.680460000000001</v>
      </c>
      <c r="R37" s="19"/>
      <c r="S37" s="21">
        <f t="shared" si="13"/>
        <v>0</v>
      </c>
      <c r="T37" s="22">
        <f t="shared" si="31"/>
        <v>0</v>
      </c>
      <c r="U37" s="19"/>
      <c r="V37" s="20">
        <v>7.4000000000000003E-3</v>
      </c>
      <c r="W37" s="18">
        <f>$F37*V37</f>
        <v>7.680460000000001</v>
      </c>
      <c r="X37" s="19"/>
      <c r="Y37" s="21">
        <f t="shared" si="14"/>
        <v>0</v>
      </c>
      <c r="Z37" s="22">
        <f t="shared" si="32"/>
        <v>0</v>
      </c>
      <c r="AA37" s="19"/>
      <c r="AB37" s="20">
        <v>7.4000000000000003E-3</v>
      </c>
      <c r="AC37" s="18">
        <f>$F37*AB37</f>
        <v>7.680460000000001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1037.9000000000001</v>
      </c>
      <c r="G38" s="20">
        <v>5.8885548323693356E-3</v>
      </c>
      <c r="H38" s="18">
        <f>$F38*G38</f>
        <v>6.1117310605161341</v>
      </c>
      <c r="I38" s="19"/>
      <c r="J38" s="20">
        <v>5.8999999999999999E-3</v>
      </c>
      <c r="K38" s="18">
        <f>$F38*J38</f>
        <v>6.1236100000000002</v>
      </c>
      <c r="L38" s="19"/>
      <c r="M38" s="21">
        <f t="shared" si="29"/>
        <v>1.1878939483866091E-2</v>
      </c>
      <c r="N38" s="22">
        <f t="shared" si="30"/>
        <v>1.9436292870620713E-3</v>
      </c>
      <c r="O38" s="212"/>
      <c r="P38" s="20">
        <v>5.8999999999999999E-3</v>
      </c>
      <c r="Q38" s="18">
        <f>$F38*P38</f>
        <v>6.1236100000000002</v>
      </c>
      <c r="R38" s="19"/>
      <c r="S38" s="21">
        <f t="shared" si="13"/>
        <v>0</v>
      </c>
      <c r="T38" s="22">
        <f t="shared" si="31"/>
        <v>0</v>
      </c>
      <c r="U38" s="19"/>
      <c r="V38" s="20">
        <v>5.8999999999999999E-3</v>
      </c>
      <c r="W38" s="18">
        <f>$F38*V38</f>
        <v>6.1236100000000002</v>
      </c>
      <c r="X38" s="19"/>
      <c r="Y38" s="21">
        <f t="shared" si="14"/>
        <v>0</v>
      </c>
      <c r="Z38" s="22">
        <f t="shared" si="32"/>
        <v>0</v>
      </c>
      <c r="AA38" s="19"/>
      <c r="AB38" s="20">
        <v>5.8999999999999999E-3</v>
      </c>
      <c r="AC38" s="18">
        <f>$F38*AB38</f>
        <v>6.1236100000000002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51.287779994007209</v>
      </c>
      <c r="I39" s="48"/>
      <c r="J39" s="47"/>
      <c r="K39" s="43">
        <f>SUM(K36:K38)</f>
        <v>46.522806001057077</v>
      </c>
      <c r="L39" s="48"/>
      <c r="M39" s="32">
        <f t="shared" si="29"/>
        <v>-4.7649739929501322</v>
      </c>
      <c r="N39" s="33">
        <f t="shared" si="30"/>
        <v>-9.2906614275503868E-2</v>
      </c>
      <c r="O39" s="212"/>
      <c r="P39" s="47"/>
      <c r="Q39" s="43">
        <f>SUM(Q36:Q38)</f>
        <v>46.155176001057079</v>
      </c>
      <c r="R39" s="48"/>
      <c r="S39" s="32">
        <f t="shared" si="13"/>
        <v>-0.36762999999999835</v>
      </c>
      <c r="T39" s="33">
        <f t="shared" si="31"/>
        <v>-7.9021458850019738E-3</v>
      </c>
      <c r="U39" s="48"/>
      <c r="V39" s="47"/>
      <c r="W39" s="43">
        <f>SUM(W36:W38)</f>
        <v>46.515176001418872</v>
      </c>
      <c r="X39" s="48"/>
      <c r="Y39" s="32">
        <f t="shared" si="14"/>
        <v>0.36000000036179358</v>
      </c>
      <c r="Z39" s="33">
        <f t="shared" si="32"/>
        <v>7.7997752701354358E-3</v>
      </c>
      <c r="AA39" s="48"/>
      <c r="AB39" s="47"/>
      <c r="AC39" s="43">
        <f>SUM(AC36:AC38)</f>
        <v>44.734924076265479</v>
      </c>
      <c r="AD39" s="48"/>
      <c r="AE39" s="32">
        <f t="shared" si="15"/>
        <v>-1.7802519251533937</v>
      </c>
      <c r="AF39" s="33">
        <f t="shared" si="33"/>
        <v>-3.8272496810483739E-2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1037.9000000000001</v>
      </c>
      <c r="G40" s="50">
        <v>4.7000000000000002E-3</v>
      </c>
      <c r="H40" s="152">
        <f t="shared" ref="H40:H48" si="34">$F40*G40</f>
        <v>4.8781300000000005</v>
      </c>
      <c r="I40" s="19"/>
      <c r="J40" s="50">
        <v>4.7000000000000002E-3</v>
      </c>
      <c r="K40" s="152">
        <f t="shared" ref="K40:K42" si="35">$F40*J40</f>
        <v>4.8781300000000005</v>
      </c>
      <c r="L40" s="19"/>
      <c r="M40" s="21">
        <f t="shared" si="29"/>
        <v>0</v>
      </c>
      <c r="N40" s="153">
        <f t="shared" si="30"/>
        <v>0</v>
      </c>
      <c r="O40" s="212"/>
      <c r="P40" s="50">
        <v>4.7000000000000002E-3</v>
      </c>
      <c r="Q40" s="152">
        <f t="shared" ref="Q40:Q42" si="36">$F40*P40</f>
        <v>4.8781300000000005</v>
      </c>
      <c r="R40" s="19"/>
      <c r="S40" s="21">
        <f t="shared" si="13"/>
        <v>0</v>
      </c>
      <c r="T40" s="153">
        <f t="shared" si="31"/>
        <v>0</v>
      </c>
      <c r="U40" s="19"/>
      <c r="V40" s="50">
        <v>4.7000000000000002E-3</v>
      </c>
      <c r="W40" s="152">
        <f t="shared" ref="W40:W42" si="37">$F40*V40</f>
        <v>4.8781300000000005</v>
      </c>
      <c r="X40" s="19"/>
      <c r="Y40" s="21">
        <f t="shared" si="14"/>
        <v>0</v>
      </c>
      <c r="Z40" s="153">
        <f t="shared" si="32"/>
        <v>0</v>
      </c>
      <c r="AA40" s="19"/>
      <c r="AB40" s="50">
        <v>4.7000000000000002E-3</v>
      </c>
      <c r="AC40" s="152">
        <f t="shared" ref="AC40:AC48" si="38">$F40*AB40</f>
        <v>4.8781300000000005</v>
      </c>
      <c r="AD40" s="19"/>
      <c r="AE40" s="21">
        <f t="shared" si="15"/>
        <v>0</v>
      </c>
      <c r="AF40" s="153">
        <f t="shared" si="33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1037.9000000000001</v>
      </c>
      <c r="G41" s="50">
        <v>1.2999999999999999E-3</v>
      </c>
      <c r="H41" s="152">
        <f t="shared" si="34"/>
        <v>1.34927</v>
      </c>
      <c r="I41" s="19"/>
      <c r="J41" s="50">
        <v>2.0999999999999999E-3</v>
      </c>
      <c r="K41" s="152">
        <f t="shared" si="35"/>
        <v>2.1795900000000001</v>
      </c>
      <c r="L41" s="19"/>
      <c r="M41" s="21">
        <f t="shared" si="29"/>
        <v>0.83032000000000017</v>
      </c>
      <c r="N41" s="153">
        <f t="shared" si="30"/>
        <v>0.61538461538461553</v>
      </c>
      <c r="O41" s="212"/>
      <c r="P41" s="50">
        <v>2.0999999999999999E-3</v>
      </c>
      <c r="Q41" s="152">
        <f t="shared" si="36"/>
        <v>2.1795900000000001</v>
      </c>
      <c r="R41" s="19"/>
      <c r="S41" s="21">
        <f t="shared" si="13"/>
        <v>0</v>
      </c>
      <c r="T41" s="153">
        <f t="shared" si="31"/>
        <v>0</v>
      </c>
      <c r="U41" s="19"/>
      <c r="V41" s="50">
        <v>2.0999999999999999E-3</v>
      </c>
      <c r="W41" s="152">
        <f t="shared" si="37"/>
        <v>2.1795900000000001</v>
      </c>
      <c r="X41" s="19"/>
      <c r="Y41" s="21">
        <f t="shared" si="14"/>
        <v>0</v>
      </c>
      <c r="Z41" s="153">
        <f t="shared" si="32"/>
        <v>0</v>
      </c>
      <c r="AA41" s="19"/>
      <c r="AB41" s="50">
        <v>2.0999999999999999E-3</v>
      </c>
      <c r="AC41" s="152">
        <f t="shared" si="38"/>
        <v>2.1795900000000001</v>
      </c>
      <c r="AD41" s="19"/>
      <c r="AE41" s="21">
        <f t="shared" si="15"/>
        <v>0</v>
      </c>
      <c r="AF41" s="153">
        <f t="shared" si="33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4"/>
        <v>0.25</v>
      </c>
      <c r="I42" s="19"/>
      <c r="J42" s="50">
        <v>0.25</v>
      </c>
      <c r="K42" s="152">
        <f t="shared" si="35"/>
        <v>0.25</v>
      </c>
      <c r="L42" s="19"/>
      <c r="M42" s="21">
        <f t="shared" si="29"/>
        <v>0</v>
      </c>
      <c r="N42" s="153">
        <f t="shared" si="30"/>
        <v>0</v>
      </c>
      <c r="O42" s="212"/>
      <c r="P42" s="50">
        <v>0.25</v>
      </c>
      <c r="Q42" s="152">
        <f t="shared" si="36"/>
        <v>0.25</v>
      </c>
      <c r="R42" s="19"/>
      <c r="S42" s="21">
        <f t="shared" si="13"/>
        <v>0</v>
      </c>
      <c r="T42" s="153">
        <f t="shared" si="31"/>
        <v>0</v>
      </c>
      <c r="U42" s="19"/>
      <c r="V42" s="50">
        <v>0.25</v>
      </c>
      <c r="W42" s="152">
        <f t="shared" si="37"/>
        <v>0.25</v>
      </c>
      <c r="X42" s="19"/>
      <c r="Y42" s="21">
        <f t="shared" si="14"/>
        <v>0</v>
      </c>
      <c r="Z42" s="153">
        <f t="shared" si="32"/>
        <v>0</v>
      </c>
      <c r="AA42" s="19"/>
      <c r="AB42" s="50">
        <v>0.25</v>
      </c>
      <c r="AC42" s="152">
        <f t="shared" si="38"/>
        <v>0.25</v>
      </c>
      <c r="AD42" s="19"/>
      <c r="AE42" s="21">
        <f t="shared" si="15"/>
        <v>0</v>
      </c>
      <c r="AF42" s="153">
        <f t="shared" si="33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1000</v>
      </c>
      <c r="G43" s="50">
        <v>0</v>
      </c>
      <c r="H43" s="152">
        <f t="shared" si="34"/>
        <v>0</v>
      </c>
      <c r="I43" s="19"/>
      <c r="J43" s="50">
        <v>0</v>
      </c>
      <c r="K43" s="152">
        <f t="shared" ref="K43:K48" si="39">$F43*J43</f>
        <v>0</v>
      </c>
      <c r="L43" s="19"/>
      <c r="M43" s="21">
        <f t="shared" si="29"/>
        <v>0</v>
      </c>
      <c r="N43" s="153" t="str">
        <f t="shared" si="30"/>
        <v/>
      </c>
      <c r="O43" s="212"/>
      <c r="P43" s="50"/>
      <c r="Q43" s="152">
        <f t="shared" ref="Q43:Q48" si="40">$F43*P43</f>
        <v>0</v>
      </c>
      <c r="R43" s="19"/>
      <c r="S43" s="21">
        <f t="shared" si="13"/>
        <v>0</v>
      </c>
      <c r="T43" s="153" t="str">
        <f t="shared" si="31"/>
        <v/>
      </c>
      <c r="U43" s="19"/>
      <c r="V43" s="50"/>
      <c r="W43" s="152">
        <f t="shared" ref="W43:W48" si="41">$F43*V43</f>
        <v>0</v>
      </c>
      <c r="X43" s="19"/>
      <c r="Y43" s="21">
        <f t="shared" si="14"/>
        <v>0</v>
      </c>
      <c r="Z43" s="153" t="str">
        <f t="shared" si="32"/>
        <v/>
      </c>
      <c r="AA43" s="19"/>
      <c r="AB43" s="50"/>
      <c r="AC43" s="152">
        <f t="shared" si="38"/>
        <v>0</v>
      </c>
      <c r="AD43" s="19"/>
      <c r="AE43" s="21">
        <f t="shared" si="15"/>
        <v>0</v>
      </c>
      <c r="AF43" s="153" t="str">
        <f t="shared" si="33"/>
        <v/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640</v>
      </c>
      <c r="G44" s="54">
        <v>8.6999999999999994E-2</v>
      </c>
      <c r="H44" s="152">
        <f t="shared" si="34"/>
        <v>55.679999999999993</v>
      </c>
      <c r="I44" s="19"/>
      <c r="J44" s="54">
        <f>+G44</f>
        <v>8.6999999999999994E-2</v>
      </c>
      <c r="K44" s="152">
        <f t="shared" si="39"/>
        <v>55.679999999999993</v>
      </c>
      <c r="L44" s="19"/>
      <c r="M44" s="21">
        <f t="shared" si="29"/>
        <v>0</v>
      </c>
      <c r="N44" s="153">
        <f t="shared" si="30"/>
        <v>0</v>
      </c>
      <c r="O44" s="212"/>
      <c r="P44" s="54">
        <v>0.08</v>
      </c>
      <c r="Q44" s="152">
        <f t="shared" si="40"/>
        <v>51.2</v>
      </c>
      <c r="R44" s="19"/>
      <c r="S44" s="21">
        <f t="shared" si="13"/>
        <v>-4.4799999999999898</v>
      </c>
      <c r="T44" s="153">
        <f t="shared" si="31"/>
        <v>-8.0459770114942361E-2</v>
      </c>
      <c r="U44" s="19"/>
      <c r="V44" s="54">
        <v>0.08</v>
      </c>
      <c r="W44" s="152">
        <f t="shared" si="41"/>
        <v>51.2</v>
      </c>
      <c r="X44" s="19"/>
      <c r="Y44" s="21">
        <f t="shared" si="14"/>
        <v>0</v>
      </c>
      <c r="Z44" s="153">
        <f t="shared" si="32"/>
        <v>0</v>
      </c>
      <c r="AA44" s="19"/>
      <c r="AB44" s="54">
        <v>0.08</v>
      </c>
      <c r="AC44" s="152">
        <f t="shared" si="38"/>
        <v>51.2</v>
      </c>
      <c r="AD44" s="19"/>
      <c r="AE44" s="21">
        <f t="shared" si="15"/>
        <v>0</v>
      </c>
      <c r="AF44" s="153">
        <f t="shared" si="33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180</v>
      </c>
      <c r="G45" s="54">
        <v>0.13200000000000001</v>
      </c>
      <c r="H45" s="152">
        <f t="shared" si="34"/>
        <v>23.76</v>
      </c>
      <c r="I45" s="19"/>
      <c r="J45" s="54">
        <f>+G45</f>
        <v>0.13200000000000001</v>
      </c>
      <c r="K45" s="152">
        <f t="shared" si="39"/>
        <v>23.76</v>
      </c>
      <c r="L45" s="19"/>
      <c r="M45" s="21">
        <f t="shared" si="29"/>
        <v>0</v>
      </c>
      <c r="N45" s="153">
        <f t="shared" si="30"/>
        <v>0</v>
      </c>
      <c r="O45" s="212"/>
      <c r="P45" s="54">
        <v>0.122</v>
      </c>
      <c r="Q45" s="152">
        <f t="shared" si="40"/>
        <v>21.96</v>
      </c>
      <c r="R45" s="19"/>
      <c r="S45" s="21">
        <f t="shared" si="13"/>
        <v>-1.8000000000000007</v>
      </c>
      <c r="T45" s="153">
        <f t="shared" si="31"/>
        <v>-7.5757575757575787E-2</v>
      </c>
      <c r="U45" s="19"/>
      <c r="V45" s="54">
        <v>0.122</v>
      </c>
      <c r="W45" s="152">
        <f t="shared" si="41"/>
        <v>21.96</v>
      </c>
      <c r="X45" s="19"/>
      <c r="Y45" s="21">
        <f t="shared" si="14"/>
        <v>0</v>
      </c>
      <c r="Z45" s="153">
        <f t="shared" si="32"/>
        <v>0</v>
      </c>
      <c r="AA45" s="19"/>
      <c r="AB45" s="54">
        <v>0.122</v>
      </c>
      <c r="AC45" s="152">
        <f t="shared" si="38"/>
        <v>21.96</v>
      </c>
      <c r="AD45" s="19"/>
      <c r="AE45" s="21">
        <f t="shared" si="15"/>
        <v>0</v>
      </c>
      <c r="AF45" s="153">
        <f t="shared" si="33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180</v>
      </c>
      <c r="G46" s="54">
        <v>0.18</v>
      </c>
      <c r="H46" s="152">
        <f t="shared" si="34"/>
        <v>32.4</v>
      </c>
      <c r="I46" s="19"/>
      <c r="J46" s="54">
        <f>+G46</f>
        <v>0.18</v>
      </c>
      <c r="K46" s="152">
        <f t="shared" si="39"/>
        <v>32.4</v>
      </c>
      <c r="L46" s="19"/>
      <c r="M46" s="21">
        <f t="shared" si="29"/>
        <v>0</v>
      </c>
      <c r="N46" s="153">
        <f t="shared" si="30"/>
        <v>0</v>
      </c>
      <c r="O46" s="212"/>
      <c r="P46" s="54">
        <v>0.161</v>
      </c>
      <c r="Q46" s="152">
        <f t="shared" si="40"/>
        <v>28.98</v>
      </c>
      <c r="R46" s="19"/>
      <c r="S46" s="21">
        <f t="shared" si="13"/>
        <v>-3.4199999999999982</v>
      </c>
      <c r="T46" s="153">
        <f t="shared" si="31"/>
        <v>-0.1055555555555555</v>
      </c>
      <c r="U46" s="19"/>
      <c r="V46" s="54">
        <v>0.161</v>
      </c>
      <c r="W46" s="152">
        <f t="shared" si="41"/>
        <v>28.98</v>
      </c>
      <c r="X46" s="19"/>
      <c r="Y46" s="21">
        <f t="shared" si="14"/>
        <v>0</v>
      </c>
      <c r="Z46" s="153">
        <f t="shared" si="32"/>
        <v>0</v>
      </c>
      <c r="AA46" s="19"/>
      <c r="AB46" s="54">
        <v>0.161</v>
      </c>
      <c r="AC46" s="152">
        <f t="shared" si="38"/>
        <v>28.98</v>
      </c>
      <c r="AD46" s="19"/>
      <c r="AE46" s="21">
        <f t="shared" si="15"/>
        <v>0</v>
      </c>
      <c r="AF46" s="153">
        <f t="shared" si="33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0.10299999999999999</v>
      </c>
      <c r="H47" s="152">
        <f t="shared" si="34"/>
        <v>61.8</v>
      </c>
      <c r="I47" s="59"/>
      <c r="J47" s="54">
        <f>+G47</f>
        <v>0.10299999999999999</v>
      </c>
      <c r="K47" s="152">
        <f t="shared" si="39"/>
        <v>61.8</v>
      </c>
      <c r="L47" s="59"/>
      <c r="M47" s="60">
        <f t="shared" si="29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56.4</v>
      </c>
      <c r="R47" s="59"/>
      <c r="S47" s="60">
        <f t="shared" si="13"/>
        <v>-5.3999999999999986</v>
      </c>
      <c r="T47" s="153">
        <f>IF((K47)=FALSE,"",(S47/K47))</f>
        <v>-8.7378640776699004E-2</v>
      </c>
      <c r="U47" s="59"/>
      <c r="V47" s="54">
        <v>9.4E-2</v>
      </c>
      <c r="W47" s="152">
        <f t="shared" si="41"/>
        <v>56.4</v>
      </c>
      <c r="X47" s="59"/>
      <c r="Y47" s="60">
        <f t="shared" si="14"/>
        <v>0</v>
      </c>
      <c r="Z47" s="153">
        <f>IF((Q47)=FALSE,"",(Y47/Q47))</f>
        <v>0</v>
      </c>
      <c r="AA47" s="59"/>
      <c r="AB47" s="54">
        <v>9.4E-2</v>
      </c>
      <c r="AC47" s="152">
        <f t="shared" si="38"/>
        <v>56.4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400</v>
      </c>
      <c r="G48" s="54">
        <v>0.121</v>
      </c>
      <c r="H48" s="152">
        <f t="shared" si="34"/>
        <v>48.4</v>
      </c>
      <c r="I48" s="59"/>
      <c r="J48" s="54">
        <f>+G48</f>
        <v>0.121</v>
      </c>
      <c r="K48" s="152">
        <f t="shared" si="39"/>
        <v>48.4</v>
      </c>
      <c r="L48" s="59"/>
      <c r="M48" s="60">
        <f t="shared" si="29"/>
        <v>0</v>
      </c>
      <c r="N48" s="207">
        <f>IFERROR(IF((H48)=FALSE,"",(M48/H48)),"n/a")</f>
        <v>0</v>
      </c>
      <c r="O48" s="212"/>
      <c r="P48" s="54">
        <v>0.11</v>
      </c>
      <c r="Q48" s="152">
        <f t="shared" si="40"/>
        <v>44</v>
      </c>
      <c r="R48" s="59"/>
      <c r="S48" s="60">
        <f t="shared" si="13"/>
        <v>-4.3999999999999986</v>
      </c>
      <c r="T48" s="153">
        <f>IF((K48)=FALSE,"",(S48/K48))</f>
        <v>-9.0909090909090884E-2</v>
      </c>
      <c r="U48" s="59"/>
      <c r="V48" s="54">
        <v>0.11</v>
      </c>
      <c r="W48" s="152">
        <f t="shared" si="41"/>
        <v>44</v>
      </c>
      <c r="X48" s="59"/>
      <c r="Y48" s="60">
        <f t="shared" si="14"/>
        <v>0</v>
      </c>
      <c r="Z48" s="153">
        <f>IF((Q48)=FALSE,"",(Y48/Q48))</f>
        <v>0</v>
      </c>
      <c r="AA48" s="59"/>
      <c r="AB48" s="54">
        <v>0.11</v>
      </c>
      <c r="AC48" s="152">
        <f t="shared" si="38"/>
        <v>44</v>
      </c>
      <c r="AD48" s="59"/>
      <c r="AE48" s="60">
        <f t="shared" si="15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212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169.60517999400719</v>
      </c>
      <c r="I50" s="75"/>
      <c r="J50" s="72"/>
      <c r="K50" s="74">
        <f>SUM(K40:K46,K39)</f>
        <v>165.67052600105706</v>
      </c>
      <c r="L50" s="75"/>
      <c r="M50" s="76">
        <f t="shared" si="29"/>
        <v>-3.9346539929501319</v>
      </c>
      <c r="N50" s="77">
        <f>IF((H50)=0,"",(M50/H50))</f>
        <v>-2.3198902256930824E-2</v>
      </c>
      <c r="O50" s="212"/>
      <c r="P50" s="72"/>
      <c r="Q50" s="74">
        <f>SUM(Q40:Q46,Q39)</f>
        <v>155.6028960010571</v>
      </c>
      <c r="R50" s="75"/>
      <c r="S50" s="76">
        <f t="shared" si="13"/>
        <v>-10.067629999999951</v>
      </c>
      <c r="T50" s="77">
        <f>IF((K50)=0,"",(S50/K50))</f>
        <v>-6.0768986753477895E-2</v>
      </c>
      <c r="U50" s="75"/>
      <c r="V50" s="72"/>
      <c r="W50" s="74">
        <f>SUM(W40:W46,W39)</f>
        <v>155.9628960014189</v>
      </c>
      <c r="X50" s="75"/>
      <c r="Y50" s="76">
        <f t="shared" si="14"/>
        <v>0.36000000036179358</v>
      </c>
      <c r="Z50" s="77">
        <f>IF((Q50)=0,"",(Y50/Q50))</f>
        <v>2.3135816209959737E-3</v>
      </c>
      <c r="AA50" s="75"/>
      <c r="AB50" s="72"/>
      <c r="AC50" s="74">
        <f>SUM(AC40:AC46,AC39)</f>
        <v>154.18264407626549</v>
      </c>
      <c r="AD50" s="75"/>
      <c r="AE50" s="76">
        <f t="shared" si="15"/>
        <v>-1.7802519251534079</v>
      </c>
      <c r="AF50" s="77">
        <f>IF((W50)=0,"",(AE50/W50))</f>
        <v>-1.1414586230414777E-2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22.048673399220934</v>
      </c>
      <c r="I51" s="81"/>
      <c r="J51" s="79">
        <v>0.13</v>
      </c>
      <c r="K51" s="82">
        <f>K50*J51</f>
        <v>21.53716838013742</v>
      </c>
      <c r="L51" s="81"/>
      <c r="M51" s="83">
        <f t="shared" si="29"/>
        <v>-0.51150501908351487</v>
      </c>
      <c r="N51" s="84">
        <f>IF((H51)=0,"",(M51/H51))</f>
        <v>-2.319890225693072E-2</v>
      </c>
      <c r="O51" s="212"/>
      <c r="P51" s="79">
        <v>0.13</v>
      </c>
      <c r="Q51" s="82">
        <f>Q50*P51</f>
        <v>20.228376480137424</v>
      </c>
      <c r="R51" s="81"/>
      <c r="S51" s="83">
        <f t="shared" si="13"/>
        <v>-1.3087918999999957</v>
      </c>
      <c r="T51" s="84">
        <f>IF((K51)=0,"",(S51/K51))</f>
        <v>-6.0768986753477978E-2</v>
      </c>
      <c r="U51" s="81"/>
      <c r="V51" s="79">
        <v>0.13</v>
      </c>
      <c r="W51" s="82">
        <f>W50*V51</f>
        <v>20.275176480184456</v>
      </c>
      <c r="X51" s="81"/>
      <c r="Y51" s="83">
        <f t="shared" si="14"/>
        <v>4.6800000047031887E-2</v>
      </c>
      <c r="Z51" s="84">
        <f>IF((Q51)=0,"",(Y51/Q51))</f>
        <v>2.3135816209959104E-3</v>
      </c>
      <c r="AA51" s="81"/>
      <c r="AB51" s="79">
        <v>0.13</v>
      </c>
      <c r="AC51" s="82">
        <f>AC50*AB51</f>
        <v>20.043743729914514</v>
      </c>
      <c r="AD51" s="81"/>
      <c r="AE51" s="83">
        <f t="shared" si="15"/>
        <v>-0.23143275026994203</v>
      </c>
      <c r="AF51" s="84">
        <f>IF((W51)=0,"",(AE51/W51))</f>
        <v>-1.1414586230414728E-2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191.65385339322813</v>
      </c>
      <c r="I52" s="81"/>
      <c r="J52" s="86"/>
      <c r="K52" s="82">
        <f>K50+K51</f>
        <v>187.20769438119447</v>
      </c>
      <c r="L52" s="81"/>
      <c r="M52" s="83">
        <f t="shared" si="29"/>
        <v>-4.4461590120336609</v>
      </c>
      <c r="N52" s="84">
        <f>IF((H52)=0,"",(M52/H52))</f>
        <v>-2.3198902256930883E-2</v>
      </c>
      <c r="O52" s="212"/>
      <c r="P52" s="86"/>
      <c r="Q52" s="82">
        <f>Q50+Q51</f>
        <v>175.83127248119453</v>
      </c>
      <c r="R52" s="81"/>
      <c r="S52" s="83">
        <f t="shared" si="13"/>
        <v>-11.37642189999994</v>
      </c>
      <c r="T52" s="84">
        <f>IF((K52)=0,"",(S52/K52))</f>
        <v>-6.0768986753477867E-2</v>
      </c>
      <c r="U52" s="81"/>
      <c r="V52" s="86"/>
      <c r="W52" s="82">
        <f>W50+W51</f>
        <v>176.23807248160335</v>
      </c>
      <c r="X52" s="81"/>
      <c r="Y52" s="83">
        <f t="shared" si="14"/>
        <v>0.40680000040882192</v>
      </c>
      <c r="Z52" s="84">
        <f>IF((Q52)=0,"",(Y52/Q52))</f>
        <v>2.313581620995946E-3</v>
      </c>
      <c r="AA52" s="81"/>
      <c r="AB52" s="86"/>
      <c r="AC52" s="82">
        <f>AC50+AC51</f>
        <v>174.22638780618001</v>
      </c>
      <c r="AD52" s="81"/>
      <c r="AE52" s="83">
        <f t="shared" si="15"/>
        <v>-2.0116846754233393</v>
      </c>
      <c r="AF52" s="84">
        <f>IF((W52)=0,"",(AE52/W52))</f>
        <v>-1.1414586230414711E-2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-13.253642080084564</v>
      </c>
      <c r="L53" s="81"/>
      <c r="M53" s="88">
        <f t="shared" si="29"/>
        <v>-13.253642080084564</v>
      </c>
      <c r="N53" s="89" t="str">
        <f>IF((H53)=0,"",(M53/H53))</f>
        <v/>
      </c>
      <c r="O53" s="212"/>
      <c r="P53" s="86"/>
      <c r="Q53" s="87">
        <f>ROUND(-Q52*10%,2)</f>
        <v>-17.579999999999998</v>
      </c>
      <c r="R53" s="81"/>
      <c r="S53" s="88">
        <f t="shared" si="13"/>
        <v>-4.3263579199154343</v>
      </c>
      <c r="T53" s="89">
        <f>IF((K53)=0,"",(S53/K53))</f>
        <v>0.32642785234229216</v>
      </c>
      <c r="U53" s="81"/>
      <c r="V53" s="86"/>
      <c r="W53" s="87">
        <f>ROUND(-W52*10%,2)</f>
        <v>-17.62</v>
      </c>
      <c r="X53" s="81"/>
      <c r="Y53" s="88">
        <f t="shared" si="14"/>
        <v>-4.00000000000027E-2</v>
      </c>
      <c r="Z53" s="89">
        <f>IF((Q53)=0,"",(Y53/Q53))</f>
        <v>2.2753128555177875E-3</v>
      </c>
      <c r="AA53" s="81"/>
      <c r="AB53" s="86"/>
      <c r="AC53" s="87">
        <f>ROUND(-AC52*10%,2)</f>
        <v>-17.420000000000002</v>
      </c>
      <c r="AD53" s="81"/>
      <c r="AE53" s="88">
        <f t="shared" si="15"/>
        <v>0.19999999999999929</v>
      </c>
      <c r="AF53" s="89">
        <f>IF((W53)=0,"",(AE53/W53))</f>
        <v>-1.1350737797956827E-2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191.65385339322813</v>
      </c>
      <c r="I54" s="92"/>
      <c r="J54" s="90"/>
      <c r="K54" s="93">
        <f>K52+K53</f>
        <v>173.9540523011099</v>
      </c>
      <c r="L54" s="92"/>
      <c r="M54" s="94">
        <f t="shared" si="29"/>
        <v>-17.699801092118236</v>
      </c>
      <c r="N54" s="95">
        <f>IF((H54)=0,"",(M54/H54))</f>
        <v>-9.2352962274139375E-2</v>
      </c>
      <c r="O54" s="212"/>
      <c r="P54" s="90"/>
      <c r="Q54" s="93">
        <f>Q52+Q53</f>
        <v>158.25127248119452</v>
      </c>
      <c r="R54" s="92"/>
      <c r="S54" s="94">
        <f t="shared" si="13"/>
        <v>-15.702779819915378</v>
      </c>
      <c r="T54" s="95">
        <f>IF((K54)=0,"",(S54/K54))</f>
        <v>-9.0269698303631796E-2</v>
      </c>
      <c r="U54" s="92"/>
      <c r="V54" s="90"/>
      <c r="W54" s="93">
        <f>W52+W53</f>
        <v>158.61807248160335</v>
      </c>
      <c r="X54" s="92"/>
      <c r="Y54" s="94">
        <f t="shared" si="14"/>
        <v>0.36680000040882987</v>
      </c>
      <c r="Z54" s="95">
        <f>IF((Q54)=0,"",(Y54/Q54))</f>
        <v>2.3178328657825981E-3</v>
      </c>
      <c r="AA54" s="92"/>
      <c r="AB54" s="90"/>
      <c r="AC54" s="93">
        <f>AC52+AC53</f>
        <v>156.80638780618</v>
      </c>
      <c r="AD54" s="92"/>
      <c r="AE54" s="94">
        <f t="shared" si="15"/>
        <v>-1.8116846754233507</v>
      </c>
      <c r="AF54" s="95">
        <f>IF((W54)=0,"",(AE54/W54))</f>
        <v>-1.1421678797877659E-2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212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167.9651799940072</v>
      </c>
      <c r="I56" s="106"/>
      <c r="J56" s="103"/>
      <c r="K56" s="105">
        <f>SUM(K47:K48,K39,K40:K43)</f>
        <v>164.03052600105704</v>
      </c>
      <c r="L56" s="106"/>
      <c r="M56" s="107">
        <f t="shared" si="29"/>
        <v>-3.9346539929501603</v>
      </c>
      <c r="N56" s="77">
        <f>IF((H56)=0,"",(M56/H56))</f>
        <v>-2.3425414678747966E-2</v>
      </c>
      <c r="O56" s="212"/>
      <c r="P56" s="103"/>
      <c r="Q56" s="105">
        <f>SUM(Q47:Q48,Q39,Q40:Q43)</f>
        <v>153.86289600105707</v>
      </c>
      <c r="R56" s="106"/>
      <c r="S56" s="107">
        <f t="shared" si="13"/>
        <v>-10.167629999999974</v>
      </c>
      <c r="T56" s="77">
        <f>IF((K56)=0,"",(S56/K56))</f>
        <v>-6.1986206152472204E-2</v>
      </c>
      <c r="U56" s="106"/>
      <c r="V56" s="103"/>
      <c r="W56" s="105">
        <f>SUM(W47:W48,W39,W40:W43)</f>
        <v>154.22289600141886</v>
      </c>
      <c r="X56" s="106"/>
      <c r="Y56" s="107">
        <f t="shared" si="14"/>
        <v>0.36000000036179358</v>
      </c>
      <c r="Z56" s="77">
        <f>IF((Q56)=0,"",(Y56/Q56))</f>
        <v>2.3397453818841439E-3</v>
      </c>
      <c r="AA56" s="106"/>
      <c r="AB56" s="103"/>
      <c r="AC56" s="105">
        <f>SUM(AC47:AC48,AC39,AC40:AC43)</f>
        <v>152.44264407626548</v>
      </c>
      <c r="AD56" s="106"/>
      <c r="AE56" s="107">
        <f t="shared" si="15"/>
        <v>-1.7802519251533795</v>
      </c>
      <c r="AF56" s="77">
        <f>IF((W56)=0,"",(AE56/W56))</f>
        <v>-1.1543369832304284E-2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21.835473399220938</v>
      </c>
      <c r="I57" s="110"/>
      <c r="J57" s="109">
        <v>0.13</v>
      </c>
      <c r="K57" s="111">
        <f>K56*J57</f>
        <v>21.323968380137416</v>
      </c>
      <c r="L57" s="110"/>
      <c r="M57" s="112">
        <f t="shared" si="29"/>
        <v>-0.51150501908352197</v>
      </c>
      <c r="N57" s="84">
        <f>IF((H57)=0,"",(M57/H57))</f>
        <v>-2.3425414678748015E-2</v>
      </c>
      <c r="O57" s="212"/>
      <c r="P57" s="109">
        <v>0.13</v>
      </c>
      <c r="Q57" s="111">
        <f>Q56*P57</f>
        <v>20.002176480137418</v>
      </c>
      <c r="R57" s="110"/>
      <c r="S57" s="112">
        <f t="shared" si="13"/>
        <v>-1.3217918999999974</v>
      </c>
      <c r="T57" s="84">
        <f>IF((K57)=0,"",(S57/K57))</f>
        <v>-6.1986206152472238E-2</v>
      </c>
      <c r="U57" s="110"/>
      <c r="V57" s="109">
        <v>0.13</v>
      </c>
      <c r="W57" s="111">
        <f>W56*V57</f>
        <v>20.048976480184454</v>
      </c>
      <c r="X57" s="110"/>
      <c r="Y57" s="112">
        <f t="shared" si="14"/>
        <v>4.6800000047035439E-2</v>
      </c>
      <c r="Z57" s="84">
        <f>IF((Q57)=0,"",(Y57/Q57))</f>
        <v>2.3397453818842576E-3</v>
      </c>
      <c r="AA57" s="110"/>
      <c r="AB57" s="109">
        <v>0.13</v>
      </c>
      <c r="AC57" s="111">
        <f>AC56*AB57</f>
        <v>19.817543729914512</v>
      </c>
      <c r="AD57" s="110"/>
      <c r="AE57" s="112">
        <f t="shared" si="15"/>
        <v>-0.23143275026994203</v>
      </c>
      <c r="AF57" s="84">
        <f>IF((W57)=0,"",(AE57/W57))</f>
        <v>-1.1543369832304418E-2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189.80065339322815</v>
      </c>
      <c r="I58" s="110"/>
      <c r="J58" s="114"/>
      <c r="K58" s="111">
        <f>K56+K57</f>
        <v>185.35449438119446</v>
      </c>
      <c r="L58" s="110"/>
      <c r="M58" s="112">
        <f t="shared" si="29"/>
        <v>-4.4461590120336894</v>
      </c>
      <c r="N58" s="84">
        <f>IF((H58)=0,"",(M58/H58))</f>
        <v>-2.3425414678748008E-2</v>
      </c>
      <c r="O58" s="212"/>
      <c r="P58" s="114"/>
      <c r="Q58" s="111">
        <f>Q56+Q57</f>
        <v>173.86507248119449</v>
      </c>
      <c r="R58" s="110"/>
      <c r="S58" s="112">
        <f t="shared" si="13"/>
        <v>-11.489421899999968</v>
      </c>
      <c r="T58" s="84">
        <f>IF((K58)=0,"",(S58/K58))</f>
        <v>-6.198620615247219E-2</v>
      </c>
      <c r="U58" s="110"/>
      <c r="V58" s="114"/>
      <c r="W58" s="111">
        <f>W56+W57</f>
        <v>174.27187248160331</v>
      </c>
      <c r="X58" s="110"/>
      <c r="Y58" s="112">
        <f t="shared" si="14"/>
        <v>0.40680000040882192</v>
      </c>
      <c r="Z58" s="84">
        <f>IF((Q58)=0,"",(Y58/Q58))</f>
        <v>2.3397453818841162E-3</v>
      </c>
      <c r="AA58" s="110"/>
      <c r="AB58" s="114"/>
      <c r="AC58" s="111">
        <f>AC56+AC57</f>
        <v>172.26018780618</v>
      </c>
      <c r="AD58" s="110"/>
      <c r="AE58" s="112">
        <f t="shared" si="15"/>
        <v>-2.0116846754233109</v>
      </c>
      <c r="AF58" s="84">
        <f>IF((W58)=0,"",(AE58/W58))</f>
        <v>-1.1543369832304239E-2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-13.122442080084564</v>
      </c>
      <c r="L59" s="110"/>
      <c r="M59" s="117">
        <f t="shared" si="29"/>
        <v>-13.122442080084564</v>
      </c>
      <c r="N59" s="89" t="str">
        <f>IF((H59)=0,"",(M59/H59))</f>
        <v/>
      </c>
      <c r="O59" s="212"/>
      <c r="P59" s="114"/>
      <c r="Q59" s="116">
        <f>ROUND(-Q58*10%,2)</f>
        <v>-17.39</v>
      </c>
      <c r="R59" s="110"/>
      <c r="S59" s="117">
        <f t="shared" si="13"/>
        <v>-4.2675579199154363</v>
      </c>
      <c r="T59" s="89">
        <f>IF((K59)=0,"",(S59/K59))</f>
        <v>0.32521065011154809</v>
      </c>
      <c r="U59" s="110"/>
      <c r="V59" s="114"/>
      <c r="W59" s="116">
        <f>ROUND(-W58*10%,2)</f>
        <v>-17.43</v>
      </c>
      <c r="X59" s="110"/>
      <c r="Y59" s="117">
        <f t="shared" si="14"/>
        <v>-3.9999999999999147E-2</v>
      </c>
      <c r="Z59" s="89">
        <f>IF((Q59)=0,"",(Y59/Q59))</f>
        <v>2.3001725129384214E-3</v>
      </c>
      <c r="AA59" s="110"/>
      <c r="AB59" s="114"/>
      <c r="AC59" s="116">
        <f>ROUND(-AC58*10%,2)</f>
        <v>-17.23</v>
      </c>
      <c r="AD59" s="110"/>
      <c r="AE59" s="117">
        <f t="shared" si="15"/>
        <v>0.19999999999999929</v>
      </c>
      <c r="AF59" s="89">
        <f>IF((W59)=0,"",(AE59/W59))</f>
        <v>-1.1474469305794566E-2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189.80065339322815</v>
      </c>
      <c r="I60" s="120"/>
      <c r="J60" s="118"/>
      <c r="K60" s="121">
        <f>SUM(K58:K59)</f>
        <v>172.23205230110989</v>
      </c>
      <c r="L60" s="120"/>
      <c r="M60" s="122">
        <f t="shared" si="29"/>
        <v>-17.568601092118257</v>
      </c>
      <c r="N60" s="123">
        <f>IF((H60)=0,"",(M60/H60))</f>
        <v>-9.2563438418305694E-2</v>
      </c>
      <c r="O60" s="212"/>
      <c r="P60" s="118"/>
      <c r="Q60" s="121">
        <f>SUM(Q58:Q59)</f>
        <v>156.4750724811945</v>
      </c>
      <c r="R60" s="120"/>
      <c r="S60" s="122">
        <f t="shared" si="13"/>
        <v>-15.756979819915387</v>
      </c>
      <c r="T60" s="123">
        <f>IF((K60)=0,"",(S60/K60))</f>
        <v>-9.1486919010683163E-2</v>
      </c>
      <c r="U60" s="120"/>
      <c r="V60" s="118"/>
      <c r="W60" s="121">
        <f>SUM(W58:W59)</f>
        <v>156.8418724816033</v>
      </c>
      <c r="X60" s="120"/>
      <c r="Y60" s="122">
        <f t="shared" si="14"/>
        <v>0.36680000040880145</v>
      </c>
      <c r="Z60" s="123">
        <f>IF((Q60)=0,"",(Y60/Q60))</f>
        <v>2.3441433487936822E-3</v>
      </c>
      <c r="AA60" s="120"/>
      <c r="AB60" s="118"/>
      <c r="AC60" s="121">
        <f>SUM(AC58:AC59)</f>
        <v>155.03018780618001</v>
      </c>
      <c r="AD60" s="120"/>
      <c r="AE60" s="122">
        <f t="shared" si="15"/>
        <v>-1.8116846754232938</v>
      </c>
      <c r="AF60" s="123">
        <f>IF((W60)=0,"",(AE60/W60))</f>
        <v>-1.1551026819294029E-2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scale="53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AP79"/>
  <sheetViews>
    <sheetView showGridLines="0" topLeftCell="A4" zoomScaleNormal="100" workbookViewId="0">
      <selection activeCell="B61" sqref="B61"/>
    </sheetView>
  </sheetViews>
  <sheetFormatPr defaultColWidth="9.140625" defaultRowHeight="12.75" x14ac:dyDescent="0.2"/>
  <cols>
    <col min="1" max="1" width="2.140625" style="1" customWidth="1"/>
    <col min="2" max="2" width="28.5703125" style="1" customWidth="1"/>
    <col min="3" max="3" width="1.28515625" style="1" customWidth="1"/>
    <col min="4" max="5" width="11.28515625" style="1" customWidth="1"/>
    <col min="6" max="6" width="7.42578125" style="1" bestFit="1" customWidth="1"/>
    <col min="7" max="7" width="12.28515625" style="1" customWidth="1"/>
    <col min="8" max="8" width="8.85546875" style="142" bestFit="1" customWidth="1"/>
    <col min="9" max="9" width="1.7109375" style="1" customWidth="1"/>
    <col min="10" max="10" width="9.85546875" style="1" bestFit="1" customWidth="1"/>
    <col min="11" max="11" width="8.85546875" style="1" bestFit="1" customWidth="1"/>
    <col min="12" max="12" width="1.7109375" style="1" customWidth="1"/>
    <col min="13" max="13" width="9.5703125" style="1" bestFit="1" customWidth="1"/>
    <col min="14" max="14" width="12.140625" style="1" bestFit="1" customWidth="1"/>
    <col min="15" max="15" width="1.7109375" style="1" customWidth="1"/>
    <col min="16" max="16" width="9.85546875" style="1" hidden="1" customWidth="1"/>
    <col min="17" max="17" width="0" style="1" hidden="1" customWidth="1"/>
    <col min="18" max="18" width="1.7109375" style="1" hidden="1" customWidth="1"/>
    <col min="19" max="20" width="0" style="1" hidden="1" customWidth="1"/>
    <col min="21" max="21" width="1.7109375" style="1" hidden="1" customWidth="1"/>
    <col min="22" max="22" width="9.85546875" style="1" hidden="1" customWidth="1"/>
    <col min="23" max="23" width="0" style="1" hidden="1" customWidth="1"/>
    <col min="24" max="24" width="1.7109375" style="1" hidden="1" customWidth="1"/>
    <col min="25" max="26" width="0" style="1" hidden="1" customWidth="1"/>
    <col min="27" max="27" width="1.7109375" style="1" hidden="1" customWidth="1"/>
    <col min="28" max="28" width="9.85546875" style="1" hidden="1" customWidth="1"/>
    <col min="29" max="29" width="0" style="1" hidden="1" customWidth="1"/>
    <col min="30" max="30" width="1.7109375" style="1" hidden="1" customWidth="1"/>
    <col min="31" max="32" width="0" style="1" hidden="1" customWidth="1"/>
    <col min="33" max="33" width="1.7109375" style="1" customWidth="1"/>
    <col min="34" max="34" width="9.85546875" style="1" bestFit="1" customWidth="1"/>
    <col min="35" max="35" width="9.140625" style="1"/>
    <col min="36" max="36" width="1.7109375" style="1" customWidth="1"/>
    <col min="37" max="16384" width="9.140625" style="1"/>
  </cols>
  <sheetData>
    <row r="1" spans="2:42" ht="7.5" customHeight="1" x14ac:dyDescent="0.2">
      <c r="M1"/>
      <c r="N1"/>
    </row>
    <row r="2" spans="2:42" ht="7.5" customHeight="1" x14ac:dyDescent="0.2">
      <c r="M2"/>
      <c r="N2"/>
    </row>
    <row r="3" spans="2:42" ht="15.75" x14ac:dyDescent="0.2">
      <c r="B3" s="2" t="s">
        <v>0</v>
      </c>
      <c r="D3" s="136" t="s">
        <v>50</v>
      </c>
      <c r="E3" s="136"/>
      <c r="F3" s="136"/>
      <c r="G3" s="136"/>
      <c r="H3" s="136"/>
      <c r="I3" s="136"/>
      <c r="J3" s="136"/>
      <c r="K3" s="136"/>
      <c r="L3" s="136"/>
      <c r="M3" s="136"/>
      <c r="N3" s="149">
        <v>1</v>
      </c>
      <c r="O3" s="136"/>
      <c r="Q3" s="34"/>
      <c r="R3" s="150"/>
      <c r="S3" s="34"/>
      <c r="T3" s="34"/>
      <c r="U3" s="150"/>
      <c r="V3" s="34"/>
      <c r="W3" s="34"/>
      <c r="X3" s="150"/>
      <c r="Y3" s="34"/>
      <c r="Z3" s="34"/>
      <c r="AA3" s="150"/>
      <c r="AB3" s="34"/>
      <c r="AC3" s="34"/>
      <c r="AD3" s="150"/>
      <c r="AE3" s="34"/>
      <c r="AF3" s="34"/>
      <c r="AG3" s="150"/>
      <c r="AH3" s="34"/>
      <c r="AI3" s="34"/>
      <c r="AJ3" s="150"/>
      <c r="AK3" s="34"/>
      <c r="AL3" s="34"/>
      <c r="AM3" s="34"/>
      <c r="AN3" s="34"/>
      <c r="AO3" s="34"/>
      <c r="AP3" s="34"/>
    </row>
    <row r="4" spans="2:42" ht="7.5" customHeight="1" x14ac:dyDescent="0.25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75" x14ac:dyDescent="0.25">
      <c r="B5" s="2" t="s">
        <v>1</v>
      </c>
      <c r="D5" s="5" t="s">
        <v>2</v>
      </c>
      <c r="E5" s="5"/>
      <c r="F5" s="4"/>
      <c r="G5" s="4"/>
      <c r="H5" s="4"/>
    </row>
    <row r="6" spans="2:42" ht="15.75" x14ac:dyDescent="0.25">
      <c r="B6" s="3"/>
      <c r="D6" s="4"/>
      <c r="E6" s="4"/>
      <c r="F6" s="4"/>
      <c r="G6" s="4"/>
      <c r="H6" s="4"/>
      <c r="J6" s="151"/>
      <c r="K6" s="151"/>
    </row>
    <row r="7" spans="2:42" x14ac:dyDescent="0.2">
      <c r="B7" s="6"/>
      <c r="D7" s="7" t="s">
        <v>3</v>
      </c>
      <c r="E7" s="7"/>
      <c r="F7" s="7"/>
      <c r="G7" s="8">
        <v>1500</v>
      </c>
      <c r="H7" s="9" t="s">
        <v>4</v>
      </c>
      <c r="J7" s="151"/>
      <c r="K7" s="151"/>
    </row>
    <row r="8" spans="2:42" x14ac:dyDescent="0.2">
      <c r="B8" s="6"/>
    </row>
    <row r="9" spans="2:42" s="19" customFormat="1" ht="25.15" customHeight="1" x14ac:dyDescent="0.2">
      <c r="B9" s="146"/>
      <c r="D9" s="147"/>
      <c r="E9" s="147"/>
      <c r="F9" s="147"/>
      <c r="G9" s="241" t="s">
        <v>104</v>
      </c>
      <c r="H9" s="242"/>
      <c r="I9" s="148"/>
      <c r="J9" s="241" t="s">
        <v>57</v>
      </c>
      <c r="K9" s="242"/>
      <c r="L9" s="148"/>
      <c r="M9" s="241" t="s">
        <v>58</v>
      </c>
      <c r="N9" s="242"/>
      <c r="O9" s="212"/>
      <c r="P9" s="241" t="s">
        <v>57</v>
      </c>
      <c r="Q9" s="242"/>
      <c r="R9" s="148"/>
      <c r="S9" s="241" t="s">
        <v>58</v>
      </c>
      <c r="T9" s="242"/>
      <c r="U9" s="148"/>
      <c r="V9" s="241" t="s">
        <v>59</v>
      </c>
      <c r="W9" s="242"/>
      <c r="X9" s="148"/>
      <c r="Y9" s="241" t="s">
        <v>60</v>
      </c>
      <c r="Z9" s="242"/>
      <c r="AA9" s="148"/>
      <c r="AB9" s="241" t="s">
        <v>61</v>
      </c>
      <c r="AC9" s="242"/>
      <c r="AD9" s="148"/>
      <c r="AE9" s="241" t="s">
        <v>62</v>
      </c>
      <c r="AF9" s="242"/>
    </row>
    <row r="10" spans="2:42" ht="12.75" customHeight="1" x14ac:dyDescent="0.2">
      <c r="B10" s="6"/>
      <c r="D10" s="137" t="s">
        <v>5</v>
      </c>
      <c r="E10" s="137"/>
      <c r="F10" s="10" t="s">
        <v>7</v>
      </c>
      <c r="G10" s="10" t="s">
        <v>6</v>
      </c>
      <c r="H10" s="11" t="s">
        <v>8</v>
      </c>
      <c r="I10" s="142"/>
      <c r="J10" s="10" t="s">
        <v>6</v>
      </c>
      <c r="K10" s="11" t="s">
        <v>8</v>
      </c>
      <c r="L10" s="142"/>
      <c r="M10" s="143" t="s">
        <v>9</v>
      </c>
      <c r="N10" s="139" t="s">
        <v>10</v>
      </c>
      <c r="O10" s="212"/>
      <c r="P10" s="10" t="s">
        <v>6</v>
      </c>
      <c r="Q10" s="11" t="s">
        <v>8</v>
      </c>
      <c r="R10" s="142"/>
      <c r="S10" s="143" t="s">
        <v>9</v>
      </c>
      <c r="T10" s="139" t="s">
        <v>56</v>
      </c>
      <c r="U10" s="142"/>
      <c r="V10" s="10" t="s">
        <v>6</v>
      </c>
      <c r="W10" s="11" t="s">
        <v>8</v>
      </c>
      <c r="X10" s="142"/>
      <c r="Y10" s="143" t="s">
        <v>9</v>
      </c>
      <c r="Z10" s="139" t="s">
        <v>56</v>
      </c>
      <c r="AA10" s="142"/>
      <c r="AB10" s="10" t="s">
        <v>6</v>
      </c>
      <c r="AC10" s="11" t="s">
        <v>8</v>
      </c>
      <c r="AD10" s="142"/>
      <c r="AE10" s="143" t="s">
        <v>9</v>
      </c>
      <c r="AF10" s="139" t="s">
        <v>56</v>
      </c>
    </row>
    <row r="11" spans="2:42" x14ac:dyDescent="0.2">
      <c r="B11" s="6"/>
      <c r="D11" s="138"/>
      <c r="E11" s="138"/>
      <c r="F11" s="12"/>
      <c r="G11" s="12" t="s">
        <v>11</v>
      </c>
      <c r="H11" s="13" t="s">
        <v>11</v>
      </c>
      <c r="I11" s="142"/>
      <c r="J11" s="12" t="s">
        <v>11</v>
      </c>
      <c r="K11" s="13" t="s">
        <v>11</v>
      </c>
      <c r="L11" s="142"/>
      <c r="M11" s="144"/>
      <c r="N11" s="140"/>
      <c r="O11" s="212"/>
      <c r="P11" s="12" t="s">
        <v>11</v>
      </c>
      <c r="Q11" s="13" t="s">
        <v>11</v>
      </c>
      <c r="R11" s="142"/>
      <c r="S11" s="144"/>
      <c r="T11" s="140"/>
      <c r="U11" s="142"/>
      <c r="V11" s="12" t="s">
        <v>11</v>
      </c>
      <c r="W11" s="13" t="s">
        <v>11</v>
      </c>
      <c r="X11" s="142"/>
      <c r="Y11" s="144"/>
      <c r="Z11" s="140"/>
      <c r="AA11" s="142"/>
      <c r="AB11" s="12" t="s">
        <v>11</v>
      </c>
      <c r="AC11" s="13" t="s">
        <v>11</v>
      </c>
      <c r="AD11" s="142"/>
      <c r="AE11" s="144"/>
      <c r="AF11" s="140"/>
    </row>
    <row r="12" spans="2:42" ht="12.6" customHeight="1" x14ac:dyDescent="0.2">
      <c r="B12" s="14" t="s">
        <v>12</v>
      </c>
      <c r="C12" s="14"/>
      <c r="D12" s="15" t="s">
        <v>51</v>
      </c>
      <c r="E12" s="15"/>
      <c r="F12" s="17">
        <v>1</v>
      </c>
      <c r="G12" s="209">
        <v>18.8</v>
      </c>
      <c r="H12" s="18">
        <f t="shared" ref="H12:H27" si="0">$F12*G12</f>
        <v>18.8</v>
      </c>
      <c r="I12" s="19"/>
      <c r="J12" s="209">
        <v>21.34</v>
      </c>
      <c r="K12" s="18">
        <f t="shared" ref="K12:K27" si="1">$F12*J12</f>
        <v>21.34</v>
      </c>
      <c r="L12" s="19"/>
      <c r="M12" s="21">
        <f t="shared" ref="M12:M21" si="2">K12-H12</f>
        <v>2.5399999999999991</v>
      </c>
      <c r="N12" s="22">
        <f t="shared" ref="N12:N21" si="3">IF((H12)=0,"",(M12/H12))</f>
        <v>0.13510638297872335</v>
      </c>
      <c r="O12" s="212"/>
      <c r="P12" s="16">
        <v>21.34</v>
      </c>
      <c r="Q12" s="18">
        <f t="shared" ref="Q12:Q27" si="4">$F12*P12</f>
        <v>21.34</v>
      </c>
      <c r="R12" s="19"/>
      <c r="S12" s="21">
        <f>Q12-K12</f>
        <v>0</v>
      </c>
      <c r="T12" s="22">
        <f t="shared" ref="T12:T34" si="5">IF((K12)=0,"",(S12/K12))</f>
        <v>0</v>
      </c>
      <c r="U12" s="19"/>
      <c r="V12" s="16">
        <v>23.89</v>
      </c>
      <c r="W12" s="18">
        <f t="shared" ref="W12:W27" si="6">$F12*V12</f>
        <v>23.89</v>
      </c>
      <c r="X12" s="19"/>
      <c r="Y12" s="21">
        <f>W12-Q12</f>
        <v>2.5500000000000007</v>
      </c>
      <c r="Z12" s="22">
        <f t="shared" ref="Z12:Z34" si="7">IF((Q12)=0,"",(Y12/Q12))</f>
        <v>0.11949390815370201</v>
      </c>
      <c r="AA12" s="19"/>
      <c r="AB12" s="16">
        <v>27</v>
      </c>
      <c r="AC12" s="18">
        <f t="shared" ref="AC12:AC27" si="8">$F12*AB12</f>
        <v>27</v>
      </c>
      <c r="AD12" s="19"/>
      <c r="AE12" s="21">
        <f>AC12-W12</f>
        <v>3.1099999999999994</v>
      </c>
      <c r="AF12" s="22">
        <f t="shared" ref="AF12:AF34" si="9">IF((W12)=0,"",(AE12/W12))</f>
        <v>0.13017999162829633</v>
      </c>
    </row>
    <row r="13" spans="2:42" ht="12.6" customHeight="1" x14ac:dyDescent="0.2">
      <c r="B13" s="14" t="s">
        <v>103</v>
      </c>
      <c r="C13" s="14"/>
      <c r="D13" s="15" t="s">
        <v>51</v>
      </c>
      <c r="E13" s="15"/>
      <c r="F13" s="17">
        <v>1</v>
      </c>
      <c r="G13" s="209">
        <v>0.79</v>
      </c>
      <c r="H13" s="18">
        <f t="shared" si="0"/>
        <v>0.79</v>
      </c>
      <c r="I13" s="19"/>
      <c r="J13" s="209">
        <v>0.79</v>
      </c>
      <c r="K13" s="18">
        <f t="shared" si="1"/>
        <v>0.79</v>
      </c>
      <c r="L13" s="19"/>
      <c r="M13" s="21">
        <f t="shared" si="2"/>
        <v>0</v>
      </c>
      <c r="N13" s="22">
        <f t="shared" si="3"/>
        <v>0</v>
      </c>
      <c r="O13" s="212"/>
      <c r="P13" s="16">
        <v>0.79</v>
      </c>
      <c r="Q13" s="18">
        <f t="shared" si="4"/>
        <v>0.79</v>
      </c>
      <c r="R13" s="19"/>
      <c r="S13" s="21">
        <f t="shared" ref="S13" si="10">Q13-K13</f>
        <v>0</v>
      </c>
      <c r="T13" s="22">
        <f t="shared" si="5"/>
        <v>0</v>
      </c>
      <c r="U13" s="19"/>
      <c r="V13" s="16"/>
      <c r="W13" s="18">
        <f t="shared" si="6"/>
        <v>0</v>
      </c>
      <c r="X13" s="19"/>
      <c r="Y13" s="21">
        <f t="shared" ref="Y13" si="11">W13-Q13</f>
        <v>-0.79</v>
      </c>
      <c r="Z13" s="22">
        <f t="shared" si="7"/>
        <v>-1</v>
      </c>
      <c r="AA13" s="19"/>
      <c r="AB13" s="16"/>
      <c r="AC13" s="18">
        <f t="shared" si="8"/>
        <v>0</v>
      </c>
      <c r="AD13" s="19"/>
      <c r="AE13" s="21">
        <f t="shared" ref="AE13" si="12">AC13-W13</f>
        <v>0</v>
      </c>
      <c r="AF13" s="22" t="str">
        <f t="shared" si="9"/>
        <v/>
      </c>
    </row>
    <row r="14" spans="2:42" ht="12.6" customHeight="1" x14ac:dyDescent="0.2">
      <c r="B14" s="23" t="s">
        <v>95</v>
      </c>
      <c r="C14" s="14"/>
      <c r="D14" s="15" t="s">
        <v>51</v>
      </c>
      <c r="E14" s="15"/>
      <c r="F14" s="17">
        <v>1</v>
      </c>
      <c r="G14" s="16">
        <v>0</v>
      </c>
      <c r="H14" s="18">
        <f t="shared" si="0"/>
        <v>0</v>
      </c>
      <c r="I14" s="19"/>
      <c r="J14" s="16">
        <v>0</v>
      </c>
      <c r="K14" s="18">
        <f t="shared" si="1"/>
        <v>0</v>
      </c>
      <c r="L14" s="19"/>
      <c r="M14" s="21">
        <f t="shared" si="2"/>
        <v>0</v>
      </c>
      <c r="N14" s="22" t="str">
        <f t="shared" si="3"/>
        <v/>
      </c>
      <c r="O14" s="212"/>
      <c r="P14" s="16">
        <v>0</v>
      </c>
      <c r="Q14" s="18">
        <f t="shared" si="4"/>
        <v>0</v>
      </c>
      <c r="R14" s="19"/>
      <c r="S14" s="21">
        <f t="shared" ref="S14:S60" si="13">Q14-K14</f>
        <v>0</v>
      </c>
      <c r="T14" s="22" t="str">
        <f t="shared" si="5"/>
        <v/>
      </c>
      <c r="U14" s="19"/>
      <c r="V14" s="16">
        <v>0</v>
      </c>
      <c r="W14" s="18">
        <f t="shared" si="6"/>
        <v>0</v>
      </c>
      <c r="X14" s="19"/>
      <c r="Y14" s="21">
        <f t="shared" ref="Y14:Y60" si="14">W14-Q14</f>
        <v>0</v>
      </c>
      <c r="Z14" s="22" t="str">
        <f t="shared" si="7"/>
        <v/>
      </c>
      <c r="AA14" s="19"/>
      <c r="AB14" s="16">
        <v>0</v>
      </c>
      <c r="AC14" s="18">
        <f t="shared" si="8"/>
        <v>0</v>
      </c>
      <c r="AD14" s="19"/>
      <c r="AE14" s="21">
        <f t="shared" ref="AE14:AE60" si="15">AC14-W14</f>
        <v>0</v>
      </c>
      <c r="AF14" s="22" t="str">
        <f t="shared" si="9"/>
        <v/>
      </c>
    </row>
    <row r="15" spans="2:42" ht="12.6" customHeight="1" x14ac:dyDescent="0.2">
      <c r="B15" s="23" t="s">
        <v>96</v>
      </c>
      <c r="C15" s="14"/>
      <c r="D15" s="15" t="s">
        <v>51</v>
      </c>
      <c r="E15" s="15"/>
      <c r="F15" s="17">
        <v>1</v>
      </c>
      <c r="G15" s="16">
        <v>0</v>
      </c>
      <c r="H15" s="18">
        <f t="shared" si="0"/>
        <v>0</v>
      </c>
      <c r="I15" s="19"/>
      <c r="J15" s="16">
        <v>0</v>
      </c>
      <c r="K15" s="18">
        <f t="shared" si="1"/>
        <v>0</v>
      </c>
      <c r="L15" s="19"/>
      <c r="M15" s="21">
        <f t="shared" si="2"/>
        <v>0</v>
      </c>
      <c r="N15" s="22" t="str">
        <f t="shared" si="3"/>
        <v/>
      </c>
      <c r="O15" s="212"/>
      <c r="P15" s="16">
        <v>0</v>
      </c>
      <c r="Q15" s="18">
        <f t="shared" si="4"/>
        <v>0</v>
      </c>
      <c r="R15" s="19"/>
      <c r="S15" s="21">
        <f t="shared" si="13"/>
        <v>0</v>
      </c>
      <c r="T15" s="22" t="str">
        <f t="shared" si="5"/>
        <v/>
      </c>
      <c r="U15" s="19"/>
      <c r="V15" s="16">
        <v>0</v>
      </c>
      <c r="W15" s="18">
        <f t="shared" si="6"/>
        <v>0</v>
      </c>
      <c r="X15" s="19"/>
      <c r="Y15" s="21">
        <f t="shared" si="14"/>
        <v>0</v>
      </c>
      <c r="Z15" s="22" t="str">
        <f t="shared" si="7"/>
        <v/>
      </c>
      <c r="AA15" s="19"/>
      <c r="AB15" s="16">
        <v>0</v>
      </c>
      <c r="AC15" s="18">
        <f t="shared" si="8"/>
        <v>0</v>
      </c>
      <c r="AD15" s="19"/>
      <c r="AE15" s="21">
        <f t="shared" si="15"/>
        <v>0</v>
      </c>
      <c r="AF15" s="22" t="str">
        <f t="shared" si="9"/>
        <v/>
      </c>
    </row>
    <row r="16" spans="2:42" ht="12.6" hidden="1" customHeight="1" x14ac:dyDescent="0.2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2"/>
        <v>0</v>
      </c>
      <c r="N16" s="22" t="str">
        <f t="shared" si="3"/>
        <v/>
      </c>
      <c r="O16" s="212"/>
      <c r="P16" s="16"/>
      <c r="Q16" s="18">
        <f t="shared" si="4"/>
        <v>0</v>
      </c>
      <c r="R16" s="19"/>
      <c r="S16" s="21">
        <f t="shared" si="13"/>
        <v>0</v>
      </c>
      <c r="T16" s="22" t="str">
        <f t="shared" si="5"/>
        <v/>
      </c>
      <c r="U16" s="19"/>
      <c r="V16" s="16"/>
      <c r="W16" s="18">
        <f t="shared" si="6"/>
        <v>0</v>
      </c>
      <c r="X16" s="19"/>
      <c r="Y16" s="21">
        <f t="shared" si="14"/>
        <v>0</v>
      </c>
      <c r="Z16" s="22" t="str">
        <f t="shared" si="7"/>
        <v/>
      </c>
      <c r="AA16" s="19"/>
      <c r="AB16" s="16"/>
      <c r="AC16" s="18">
        <f t="shared" si="8"/>
        <v>0</v>
      </c>
      <c r="AD16" s="19"/>
      <c r="AE16" s="21">
        <f t="shared" si="15"/>
        <v>0</v>
      </c>
      <c r="AF16" s="22" t="str">
        <f t="shared" si="9"/>
        <v/>
      </c>
    </row>
    <row r="17" spans="2:32" ht="12.6" hidden="1" customHeight="1" x14ac:dyDescent="0.2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2"/>
        <v>0</v>
      </c>
      <c r="N17" s="22" t="str">
        <f t="shared" si="3"/>
        <v/>
      </c>
      <c r="O17" s="212"/>
      <c r="P17" s="16"/>
      <c r="Q17" s="18">
        <f t="shared" si="4"/>
        <v>0</v>
      </c>
      <c r="R17" s="19"/>
      <c r="S17" s="21">
        <f t="shared" si="13"/>
        <v>0</v>
      </c>
      <c r="T17" s="22" t="str">
        <f t="shared" si="5"/>
        <v/>
      </c>
      <c r="U17" s="19"/>
      <c r="V17" s="16"/>
      <c r="W17" s="18">
        <f t="shared" si="6"/>
        <v>0</v>
      </c>
      <c r="X17" s="19"/>
      <c r="Y17" s="21">
        <f t="shared" si="14"/>
        <v>0</v>
      </c>
      <c r="Z17" s="22" t="str">
        <f t="shared" si="7"/>
        <v/>
      </c>
      <c r="AA17" s="19"/>
      <c r="AB17" s="16"/>
      <c r="AC17" s="18">
        <f t="shared" si="8"/>
        <v>0</v>
      </c>
      <c r="AD17" s="19"/>
      <c r="AE17" s="21">
        <f t="shared" si="15"/>
        <v>0</v>
      </c>
      <c r="AF17" s="22" t="str">
        <f t="shared" si="9"/>
        <v/>
      </c>
    </row>
    <row r="18" spans="2:32" ht="12.6" hidden="1" customHeight="1" x14ac:dyDescent="0.2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2"/>
        <v>0</v>
      </c>
      <c r="N18" s="22" t="str">
        <f t="shared" si="3"/>
        <v/>
      </c>
      <c r="O18" s="212"/>
      <c r="P18" s="16"/>
      <c r="Q18" s="18">
        <f t="shared" si="4"/>
        <v>0</v>
      </c>
      <c r="R18" s="19"/>
      <c r="S18" s="21">
        <f t="shared" si="13"/>
        <v>0</v>
      </c>
      <c r="T18" s="22" t="str">
        <f t="shared" si="5"/>
        <v/>
      </c>
      <c r="U18" s="19"/>
      <c r="V18" s="16"/>
      <c r="W18" s="18">
        <f t="shared" si="6"/>
        <v>0</v>
      </c>
      <c r="X18" s="19"/>
      <c r="Y18" s="21">
        <f t="shared" si="14"/>
        <v>0</v>
      </c>
      <c r="Z18" s="22" t="str">
        <f t="shared" si="7"/>
        <v/>
      </c>
      <c r="AA18" s="19"/>
      <c r="AB18" s="16"/>
      <c r="AC18" s="18">
        <f t="shared" si="8"/>
        <v>0</v>
      </c>
      <c r="AD18" s="19"/>
      <c r="AE18" s="21">
        <f t="shared" si="15"/>
        <v>0</v>
      </c>
      <c r="AF18" s="22" t="str">
        <f t="shared" si="9"/>
        <v/>
      </c>
    </row>
    <row r="19" spans="2:32" ht="12.6" customHeight="1" x14ac:dyDescent="0.2">
      <c r="B19" s="14" t="s">
        <v>14</v>
      </c>
      <c r="C19" s="14"/>
      <c r="D19" s="15" t="s">
        <v>54</v>
      </c>
      <c r="E19" s="15"/>
      <c r="F19" s="17">
        <f>$G$7</f>
        <v>1500</v>
      </c>
      <c r="G19" s="16">
        <v>1.21E-2</v>
      </c>
      <c r="H19" s="18">
        <f t="shared" si="0"/>
        <v>18.149999999999999</v>
      </c>
      <c r="I19" s="19"/>
      <c r="J19" s="16">
        <v>8.0999999999999996E-3</v>
      </c>
      <c r="K19" s="18">
        <f t="shared" si="1"/>
        <v>12.149999999999999</v>
      </c>
      <c r="L19" s="19"/>
      <c r="M19" s="21">
        <f t="shared" si="2"/>
        <v>-6</v>
      </c>
      <c r="N19" s="22">
        <f t="shared" si="3"/>
        <v>-0.33057851239669422</v>
      </c>
      <c r="O19" s="212"/>
      <c r="P19" s="16">
        <v>8.0999999999999996E-3</v>
      </c>
      <c r="Q19" s="18">
        <f t="shared" si="4"/>
        <v>12.149999999999999</v>
      </c>
      <c r="R19" s="19"/>
      <c r="S19" s="21">
        <f t="shared" si="13"/>
        <v>0</v>
      </c>
      <c r="T19" s="22">
        <f t="shared" si="5"/>
        <v>0</v>
      </c>
      <c r="U19" s="19"/>
      <c r="V19" s="16">
        <v>4.1000000000000003E-3</v>
      </c>
      <c r="W19" s="18">
        <f t="shared" si="6"/>
        <v>6.15</v>
      </c>
      <c r="X19" s="19"/>
      <c r="Y19" s="21">
        <f t="shared" si="14"/>
        <v>-5.9999999999999982</v>
      </c>
      <c r="Z19" s="22">
        <f t="shared" si="7"/>
        <v>-0.49382716049382708</v>
      </c>
      <c r="AA19" s="19"/>
      <c r="AB19" s="16">
        <v>0</v>
      </c>
      <c r="AC19" s="18">
        <f t="shared" si="8"/>
        <v>0</v>
      </c>
      <c r="AD19" s="19"/>
      <c r="AE19" s="21">
        <f t="shared" si="15"/>
        <v>-6.15</v>
      </c>
      <c r="AF19" s="22">
        <f t="shared" si="9"/>
        <v>-1</v>
      </c>
    </row>
    <row r="20" spans="2:32" ht="12.6" customHeight="1" x14ac:dyDescent="0.2">
      <c r="B20" s="14" t="s">
        <v>106</v>
      </c>
      <c r="C20" s="14"/>
      <c r="D20" s="15" t="s">
        <v>51</v>
      </c>
      <c r="E20" s="15"/>
      <c r="F20" s="17">
        <v>1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2"/>
        <v>0</v>
      </c>
      <c r="N20" s="22" t="str">
        <f t="shared" si="3"/>
        <v/>
      </c>
      <c r="O20" s="212"/>
      <c r="P20" s="16"/>
      <c r="Q20" s="18">
        <f t="shared" si="4"/>
        <v>0</v>
      </c>
      <c r="R20" s="19"/>
      <c r="S20" s="21">
        <f t="shared" si="13"/>
        <v>0</v>
      </c>
      <c r="T20" s="22" t="str">
        <f t="shared" si="5"/>
        <v/>
      </c>
      <c r="U20" s="19"/>
      <c r="V20" s="16"/>
      <c r="W20" s="18">
        <f t="shared" si="6"/>
        <v>0</v>
      </c>
      <c r="X20" s="19"/>
      <c r="Y20" s="21">
        <f t="shared" si="14"/>
        <v>0</v>
      </c>
      <c r="Z20" s="22" t="str">
        <f t="shared" si="7"/>
        <v/>
      </c>
      <c r="AA20" s="19"/>
      <c r="AB20" s="16"/>
      <c r="AC20" s="18">
        <f t="shared" si="8"/>
        <v>0</v>
      </c>
      <c r="AD20" s="19"/>
      <c r="AE20" s="21">
        <f t="shared" si="15"/>
        <v>0</v>
      </c>
      <c r="AF20" s="22" t="str">
        <f t="shared" si="9"/>
        <v/>
      </c>
    </row>
    <row r="21" spans="2:32" ht="12.6" customHeight="1" x14ac:dyDescent="0.2">
      <c r="B21" s="14" t="s">
        <v>15</v>
      </c>
      <c r="C21" s="14"/>
      <c r="D21" s="15" t="s">
        <v>54</v>
      </c>
      <c r="E21" s="15"/>
      <c r="F21" s="17">
        <f>$G$7</f>
        <v>1500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2"/>
        <v>0</v>
      </c>
      <c r="N21" s="22" t="str">
        <f t="shared" si="3"/>
        <v/>
      </c>
      <c r="O21" s="212"/>
      <c r="P21" s="16"/>
      <c r="Q21" s="18">
        <f t="shared" si="4"/>
        <v>0</v>
      </c>
      <c r="R21" s="19"/>
      <c r="S21" s="21">
        <f t="shared" si="13"/>
        <v>0</v>
      </c>
      <c r="T21" s="22" t="str">
        <f t="shared" si="5"/>
        <v/>
      </c>
      <c r="U21" s="19"/>
      <c r="V21" s="16"/>
      <c r="W21" s="18">
        <f t="shared" si="6"/>
        <v>0</v>
      </c>
      <c r="X21" s="19"/>
      <c r="Y21" s="21">
        <f t="shared" si="14"/>
        <v>0</v>
      </c>
      <c r="Z21" s="22" t="str">
        <f t="shared" si="7"/>
        <v/>
      </c>
      <c r="AA21" s="19"/>
      <c r="AB21" s="16"/>
      <c r="AC21" s="18">
        <f t="shared" si="8"/>
        <v>0</v>
      </c>
      <c r="AD21" s="19"/>
      <c r="AE21" s="21">
        <f t="shared" si="15"/>
        <v>0</v>
      </c>
      <c r="AF21" s="22" t="str">
        <f t="shared" si="9"/>
        <v/>
      </c>
    </row>
    <row r="22" spans="2:32" ht="12.6" hidden="1" customHeight="1" x14ac:dyDescent="0.2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212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</row>
    <row r="23" spans="2:32" ht="12.6" hidden="1" customHeight="1" x14ac:dyDescent="0.2">
      <c r="B23" s="132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212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</row>
    <row r="24" spans="2:32" ht="12.6" customHeight="1" x14ac:dyDescent="0.2">
      <c r="B24" s="24" t="s">
        <v>53</v>
      </c>
      <c r="C24" s="14"/>
      <c r="D24" s="15" t="s">
        <v>54</v>
      </c>
      <c r="E24" s="15"/>
      <c r="F24" s="17">
        <f t="shared" ref="F24:F27" si="16">$G$7</f>
        <v>1500</v>
      </c>
      <c r="G24" s="16">
        <v>0</v>
      </c>
      <c r="H24" s="18">
        <f t="shared" si="0"/>
        <v>0</v>
      </c>
      <c r="I24" s="19"/>
      <c r="J24" s="16">
        <v>0</v>
      </c>
      <c r="K24" s="18">
        <f t="shared" si="1"/>
        <v>0</v>
      </c>
      <c r="L24" s="19"/>
      <c r="M24" s="21">
        <f t="shared" ref="M24:M29" si="17">K24-H24</f>
        <v>0</v>
      </c>
      <c r="N24" s="22" t="str">
        <f t="shared" ref="N24:N29" si="18">IF((H24)=0,"",(M24/H24))</f>
        <v/>
      </c>
      <c r="O24" s="212"/>
      <c r="P24" s="16">
        <v>0</v>
      </c>
      <c r="Q24" s="18">
        <f t="shared" si="4"/>
        <v>0</v>
      </c>
      <c r="R24" s="19"/>
      <c r="S24" s="21">
        <f t="shared" si="13"/>
        <v>0</v>
      </c>
      <c r="T24" s="22" t="str">
        <f t="shared" si="5"/>
        <v/>
      </c>
      <c r="U24" s="19"/>
      <c r="V24" s="16">
        <v>0</v>
      </c>
      <c r="W24" s="18">
        <f t="shared" si="6"/>
        <v>0</v>
      </c>
      <c r="X24" s="19"/>
      <c r="Y24" s="21">
        <f t="shared" si="14"/>
        <v>0</v>
      </c>
      <c r="Z24" s="22" t="str">
        <f t="shared" si="7"/>
        <v/>
      </c>
      <c r="AA24" s="19"/>
      <c r="AB24" s="16">
        <v>0</v>
      </c>
      <c r="AC24" s="18">
        <f t="shared" si="8"/>
        <v>0</v>
      </c>
      <c r="AD24" s="19"/>
      <c r="AE24" s="21">
        <f t="shared" si="15"/>
        <v>0</v>
      </c>
      <c r="AF24" s="22" t="str">
        <f t="shared" si="9"/>
        <v/>
      </c>
    </row>
    <row r="25" spans="2:32" ht="12.6" hidden="1" customHeight="1" x14ac:dyDescent="0.2">
      <c r="B25" s="24"/>
      <c r="C25" s="14"/>
      <c r="D25" s="15"/>
      <c r="E25" s="15"/>
      <c r="F25" s="17">
        <f t="shared" si="16"/>
        <v>1500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7"/>
        <v>0</v>
      </c>
      <c r="N25" s="22" t="str">
        <f t="shared" si="18"/>
        <v/>
      </c>
      <c r="O25" s="212"/>
      <c r="P25" s="16"/>
      <c r="Q25" s="18">
        <f t="shared" si="4"/>
        <v>0</v>
      </c>
      <c r="R25" s="19"/>
      <c r="S25" s="21">
        <f t="shared" si="13"/>
        <v>0</v>
      </c>
      <c r="T25" s="22" t="str">
        <f t="shared" si="5"/>
        <v/>
      </c>
      <c r="U25" s="19"/>
      <c r="V25" s="16"/>
      <c r="W25" s="18">
        <f t="shared" si="6"/>
        <v>0</v>
      </c>
      <c r="X25" s="19"/>
      <c r="Y25" s="21">
        <f t="shared" si="14"/>
        <v>0</v>
      </c>
      <c r="Z25" s="22" t="str">
        <f t="shared" si="7"/>
        <v/>
      </c>
      <c r="AA25" s="19"/>
      <c r="AB25" s="16"/>
      <c r="AC25" s="18">
        <f t="shared" si="8"/>
        <v>0</v>
      </c>
      <c r="AD25" s="19"/>
      <c r="AE25" s="21">
        <f t="shared" si="15"/>
        <v>0</v>
      </c>
      <c r="AF25" s="22" t="str">
        <f t="shared" si="9"/>
        <v/>
      </c>
    </row>
    <row r="26" spans="2:32" ht="12.6" hidden="1" customHeight="1" x14ac:dyDescent="0.2">
      <c r="B26" s="24"/>
      <c r="C26" s="14"/>
      <c r="D26" s="15"/>
      <c r="E26" s="15"/>
      <c r="F26" s="17">
        <f t="shared" si="16"/>
        <v>1500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7"/>
        <v>0</v>
      </c>
      <c r="N26" s="22" t="str">
        <f t="shared" si="18"/>
        <v/>
      </c>
      <c r="O26" s="212"/>
      <c r="P26" s="16"/>
      <c r="Q26" s="18">
        <f t="shared" si="4"/>
        <v>0</v>
      </c>
      <c r="R26" s="19"/>
      <c r="S26" s="21">
        <f t="shared" si="13"/>
        <v>0</v>
      </c>
      <c r="T26" s="22" t="str">
        <f t="shared" si="5"/>
        <v/>
      </c>
      <c r="U26" s="19"/>
      <c r="V26" s="16"/>
      <c r="W26" s="18">
        <f t="shared" si="6"/>
        <v>0</v>
      </c>
      <c r="X26" s="19"/>
      <c r="Y26" s="21">
        <f t="shared" si="14"/>
        <v>0</v>
      </c>
      <c r="Z26" s="22" t="str">
        <f t="shared" si="7"/>
        <v/>
      </c>
      <c r="AA26" s="19"/>
      <c r="AB26" s="16"/>
      <c r="AC26" s="18">
        <f t="shared" si="8"/>
        <v>0</v>
      </c>
      <c r="AD26" s="19"/>
      <c r="AE26" s="21">
        <f t="shared" si="15"/>
        <v>0</v>
      </c>
      <c r="AF26" s="22" t="str">
        <f t="shared" si="9"/>
        <v/>
      </c>
    </row>
    <row r="27" spans="2:32" ht="12.6" hidden="1" customHeight="1" x14ac:dyDescent="0.2">
      <c r="B27" s="24"/>
      <c r="C27" s="14"/>
      <c r="D27" s="15"/>
      <c r="E27" s="15"/>
      <c r="F27" s="17">
        <f t="shared" si="16"/>
        <v>1500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7"/>
        <v>0</v>
      </c>
      <c r="N27" s="22" t="str">
        <f t="shared" si="18"/>
        <v/>
      </c>
      <c r="O27" s="212"/>
      <c r="P27" s="16"/>
      <c r="Q27" s="18">
        <f t="shared" si="4"/>
        <v>0</v>
      </c>
      <c r="R27" s="19"/>
      <c r="S27" s="21">
        <f t="shared" si="13"/>
        <v>0</v>
      </c>
      <c r="T27" s="22" t="str">
        <f t="shared" si="5"/>
        <v/>
      </c>
      <c r="U27" s="19"/>
      <c r="V27" s="16"/>
      <c r="W27" s="18">
        <f t="shared" si="6"/>
        <v>0</v>
      </c>
      <c r="X27" s="19"/>
      <c r="Y27" s="21">
        <f t="shared" si="14"/>
        <v>0</v>
      </c>
      <c r="Z27" s="22" t="str">
        <f t="shared" si="7"/>
        <v/>
      </c>
      <c r="AA27" s="19"/>
      <c r="AB27" s="16"/>
      <c r="AC27" s="18">
        <f t="shared" si="8"/>
        <v>0</v>
      </c>
      <c r="AD27" s="19"/>
      <c r="AE27" s="21">
        <f t="shared" si="15"/>
        <v>0</v>
      </c>
      <c r="AF27" s="22" t="str">
        <f t="shared" si="9"/>
        <v/>
      </c>
    </row>
    <row r="28" spans="2:32" s="34" customFormat="1" x14ac:dyDescent="0.2">
      <c r="B28" s="25" t="s">
        <v>16</v>
      </c>
      <c r="C28" s="26"/>
      <c r="D28" s="27"/>
      <c r="E28" s="27"/>
      <c r="F28" s="29"/>
      <c r="G28" s="28"/>
      <c r="H28" s="30">
        <f>SUM(H12:H27)</f>
        <v>37.739999999999995</v>
      </c>
      <c r="I28" s="31"/>
      <c r="J28" s="28"/>
      <c r="K28" s="30">
        <f>SUM(K12:K27)</f>
        <v>34.28</v>
      </c>
      <c r="L28" s="31"/>
      <c r="M28" s="32">
        <f t="shared" si="17"/>
        <v>-3.4599999999999937</v>
      </c>
      <c r="N28" s="33">
        <f t="shared" si="18"/>
        <v>-9.167991520932682E-2</v>
      </c>
      <c r="O28" s="212"/>
      <c r="P28" s="28"/>
      <c r="Q28" s="30">
        <f>SUM(Q12:Q27)</f>
        <v>34.28</v>
      </c>
      <c r="R28" s="31"/>
      <c r="S28" s="32">
        <f t="shared" si="13"/>
        <v>0</v>
      </c>
      <c r="T28" s="33">
        <f t="shared" si="5"/>
        <v>0</v>
      </c>
      <c r="U28" s="31"/>
      <c r="V28" s="28"/>
      <c r="W28" s="30">
        <f>SUM(W12:W27)</f>
        <v>30.04</v>
      </c>
      <c r="X28" s="31"/>
      <c r="Y28" s="32">
        <f t="shared" si="14"/>
        <v>-4.240000000000002</v>
      </c>
      <c r="Z28" s="33">
        <f t="shared" si="7"/>
        <v>-0.12368728121353564</v>
      </c>
      <c r="AA28" s="31"/>
      <c r="AB28" s="28"/>
      <c r="AC28" s="30">
        <f>SUM(AC12:AC27)</f>
        <v>27</v>
      </c>
      <c r="AD28" s="31"/>
      <c r="AE28" s="32">
        <f t="shared" si="15"/>
        <v>-3.0399999999999991</v>
      </c>
      <c r="AF28" s="33">
        <f t="shared" si="9"/>
        <v>-0.10119840213049265</v>
      </c>
    </row>
    <row r="29" spans="2:32" ht="12.75" customHeight="1" x14ac:dyDescent="0.2">
      <c r="B29" s="134" t="s">
        <v>17</v>
      </c>
      <c r="C29" s="14"/>
      <c r="D29" s="15" t="s">
        <v>54</v>
      </c>
      <c r="E29" s="15"/>
      <c r="F29" s="17">
        <f>$G$7</f>
        <v>1500</v>
      </c>
      <c r="G29" s="16">
        <v>3.3021965494891908E-4</v>
      </c>
      <c r="H29" s="18">
        <f t="shared" ref="H29:H35" si="19">$F29*G29</f>
        <v>0.4953294824233786</v>
      </c>
      <c r="I29" s="19"/>
      <c r="J29" s="16">
        <v>-2.5999999999999999E-3</v>
      </c>
      <c r="K29" s="18">
        <f t="shared" ref="K29:K35" si="20">$F29*J29</f>
        <v>-3.9</v>
      </c>
      <c r="L29" s="19"/>
      <c r="M29" s="21">
        <f t="shared" si="17"/>
        <v>-4.3953294824233788</v>
      </c>
      <c r="N29" s="22">
        <f t="shared" si="18"/>
        <v>-8.873547080055511</v>
      </c>
      <c r="O29" s="212"/>
      <c r="P29" s="16">
        <v>-2.5999999999999999E-3</v>
      </c>
      <c r="Q29" s="18">
        <f t="shared" ref="Q29:Q35" si="21">$F29*P29</f>
        <v>-3.9</v>
      </c>
      <c r="R29" s="19"/>
      <c r="S29" s="21">
        <f t="shared" si="13"/>
        <v>0</v>
      </c>
      <c r="T29" s="22">
        <f t="shared" si="5"/>
        <v>0</v>
      </c>
      <c r="U29" s="19"/>
      <c r="V29" s="16">
        <v>0</v>
      </c>
      <c r="W29" s="18">
        <f t="shared" ref="W29:W35" si="22">$F29*V29</f>
        <v>0</v>
      </c>
      <c r="X29" s="19"/>
      <c r="Y29" s="21">
        <f t="shared" si="14"/>
        <v>3.9</v>
      </c>
      <c r="Z29" s="22">
        <f t="shared" si="7"/>
        <v>-1</v>
      </c>
      <c r="AA29" s="19"/>
      <c r="AB29" s="16">
        <v>0</v>
      </c>
      <c r="AC29" s="18">
        <f t="shared" ref="AC29:AC35" si="23">$F29*AB29</f>
        <v>0</v>
      </c>
      <c r="AD29" s="19"/>
      <c r="AE29" s="21">
        <f t="shared" si="15"/>
        <v>0</v>
      </c>
      <c r="AF29" s="22" t="str">
        <f t="shared" si="9"/>
        <v/>
      </c>
    </row>
    <row r="30" spans="2:32" ht="25.5" x14ac:dyDescent="0.2">
      <c r="B30" s="134" t="s">
        <v>17</v>
      </c>
      <c r="C30" s="14"/>
      <c r="D30" s="15" t="s">
        <v>54</v>
      </c>
      <c r="E30" s="15"/>
      <c r="F30" s="17">
        <f>$G$7</f>
        <v>1500</v>
      </c>
      <c r="G30" s="16"/>
      <c r="H30" s="18">
        <f t="shared" ref="H30" si="24">$F30*G30</f>
        <v>0</v>
      </c>
      <c r="I30" s="19"/>
      <c r="J30" s="16"/>
      <c r="K30" s="18">
        <f t="shared" ref="K30" si="25">$F30*J30</f>
        <v>0</v>
      </c>
      <c r="L30" s="19"/>
      <c r="M30" s="21">
        <f t="shared" ref="M30" si="26">K30-H30</f>
        <v>0</v>
      </c>
      <c r="N30" s="22" t="str">
        <f t="shared" ref="N30" si="27">IF((H30)=0,"",(M30/H30))</f>
        <v/>
      </c>
      <c r="O30" s="212"/>
      <c r="P30" s="16"/>
      <c r="Q30" s="18"/>
      <c r="R30" s="19"/>
      <c r="S30" s="21"/>
      <c r="T30" s="22"/>
      <c r="U30" s="19"/>
      <c r="V30" s="16"/>
      <c r="W30" s="18"/>
      <c r="X30" s="19"/>
      <c r="Y30" s="21"/>
      <c r="Z30" s="22"/>
      <c r="AA30" s="19"/>
      <c r="AB30" s="16"/>
      <c r="AC30" s="18"/>
      <c r="AD30" s="19"/>
      <c r="AE30" s="21"/>
      <c r="AF30" s="22"/>
    </row>
    <row r="31" spans="2:32" ht="12.6" customHeight="1" x14ac:dyDescent="0.2">
      <c r="B31" s="132">
        <v>1575</v>
      </c>
      <c r="C31" s="14"/>
      <c r="D31" s="15" t="s">
        <v>54</v>
      </c>
      <c r="E31" s="15"/>
      <c r="F31" s="17">
        <f t="shared" ref="F31:F33" si="28">$G$7</f>
        <v>1500</v>
      </c>
      <c r="G31" s="16">
        <v>0</v>
      </c>
      <c r="H31" s="18">
        <f t="shared" si="19"/>
        <v>0</v>
      </c>
      <c r="I31" s="19"/>
      <c r="J31" s="16">
        <v>0</v>
      </c>
      <c r="K31" s="18">
        <f t="shared" si="20"/>
        <v>0</v>
      </c>
      <c r="L31" s="19"/>
      <c r="M31" s="21">
        <f t="shared" ref="M31:M60" si="29">K31-H31</f>
        <v>0</v>
      </c>
      <c r="N31" s="22" t="str">
        <f>IF((H31)=0,"",(M31/H31))</f>
        <v/>
      </c>
      <c r="O31" s="212"/>
      <c r="P31" s="16">
        <v>0</v>
      </c>
      <c r="Q31" s="18">
        <f t="shared" si="21"/>
        <v>0</v>
      </c>
      <c r="R31" s="19"/>
      <c r="S31" s="21">
        <f t="shared" si="13"/>
        <v>0</v>
      </c>
      <c r="T31" s="22" t="str">
        <f t="shared" si="5"/>
        <v/>
      </c>
      <c r="U31" s="19"/>
      <c r="V31" s="16">
        <v>0</v>
      </c>
      <c r="W31" s="18">
        <f t="shared" si="22"/>
        <v>0</v>
      </c>
      <c r="X31" s="19"/>
      <c r="Y31" s="21">
        <f t="shared" si="14"/>
        <v>0</v>
      </c>
      <c r="Z31" s="22" t="str">
        <f t="shared" si="7"/>
        <v/>
      </c>
      <c r="AA31" s="19"/>
      <c r="AB31" s="16">
        <v>0</v>
      </c>
      <c r="AC31" s="18">
        <f t="shared" si="23"/>
        <v>0</v>
      </c>
      <c r="AD31" s="19"/>
      <c r="AE31" s="21">
        <f t="shared" si="15"/>
        <v>0</v>
      </c>
      <c r="AF31" s="22" t="str">
        <f t="shared" si="9"/>
        <v/>
      </c>
    </row>
    <row r="32" spans="2:32" ht="12.6" hidden="1" customHeight="1" x14ac:dyDescent="0.2">
      <c r="B32" s="35"/>
      <c r="C32" s="14"/>
      <c r="D32" s="15"/>
      <c r="E32" s="15"/>
      <c r="F32" s="17">
        <f t="shared" si="28"/>
        <v>1500</v>
      </c>
      <c r="G32" s="16"/>
      <c r="H32" s="18">
        <f t="shared" si="19"/>
        <v>0</v>
      </c>
      <c r="I32" s="36"/>
      <c r="J32" s="16"/>
      <c r="K32" s="18">
        <f t="shared" si="20"/>
        <v>0</v>
      </c>
      <c r="L32" s="36"/>
      <c r="M32" s="21">
        <f t="shared" si="29"/>
        <v>0</v>
      </c>
      <c r="N32" s="22" t="str">
        <f>IF((H32)=0,"",(M32/H32))</f>
        <v/>
      </c>
      <c r="O32" s="212"/>
      <c r="P32" s="16"/>
      <c r="Q32" s="18">
        <f t="shared" si="21"/>
        <v>0</v>
      </c>
      <c r="R32" s="36"/>
      <c r="S32" s="21">
        <f t="shared" si="13"/>
        <v>0</v>
      </c>
      <c r="T32" s="22" t="str">
        <f t="shared" si="5"/>
        <v/>
      </c>
      <c r="U32" s="36"/>
      <c r="V32" s="16"/>
      <c r="W32" s="18">
        <f t="shared" si="22"/>
        <v>0</v>
      </c>
      <c r="X32" s="36"/>
      <c r="Y32" s="21">
        <f t="shared" si="14"/>
        <v>0</v>
      </c>
      <c r="Z32" s="22" t="str">
        <f t="shared" si="7"/>
        <v/>
      </c>
      <c r="AA32" s="36"/>
      <c r="AB32" s="16"/>
      <c r="AC32" s="18">
        <f t="shared" si="23"/>
        <v>0</v>
      </c>
      <c r="AD32" s="36"/>
      <c r="AE32" s="21">
        <f t="shared" si="15"/>
        <v>0</v>
      </c>
      <c r="AF32" s="22" t="str">
        <f t="shared" si="9"/>
        <v/>
      </c>
    </row>
    <row r="33" spans="2:32" ht="12.6" customHeight="1" x14ac:dyDescent="0.2">
      <c r="B33" s="37" t="s">
        <v>18</v>
      </c>
      <c r="C33" s="14"/>
      <c r="D33" s="15" t="s">
        <v>54</v>
      </c>
      <c r="E33" s="15"/>
      <c r="F33" s="17">
        <f t="shared" si="28"/>
        <v>1500</v>
      </c>
      <c r="G33" s="133">
        <v>6.0000002460806063E-5</v>
      </c>
      <c r="H33" s="18">
        <f t="shared" si="19"/>
        <v>9.0000003691209099E-2</v>
      </c>
      <c r="I33" s="19"/>
      <c r="J33" s="133">
        <v>6.0000001057066139E-5</v>
      </c>
      <c r="K33" s="18">
        <f t="shared" si="20"/>
        <v>9.0000001585599204E-2</v>
      </c>
      <c r="L33" s="19"/>
      <c r="M33" s="21">
        <f t="shared" si="29"/>
        <v>-2.1056098947758173E-9</v>
      </c>
      <c r="N33" s="22">
        <f>IF((H33)=0,"",(M33/H33))</f>
        <v>-2.3395664537972527E-8</v>
      </c>
      <c r="O33" s="212"/>
      <c r="P33" s="133">
        <v>6.0000001057066139E-5</v>
      </c>
      <c r="Q33" s="18">
        <f t="shared" si="21"/>
        <v>9.0000001585599204E-2</v>
      </c>
      <c r="R33" s="19"/>
      <c r="S33" s="21">
        <f t="shared" si="13"/>
        <v>0</v>
      </c>
      <c r="T33" s="22">
        <f t="shared" si="5"/>
        <v>0</v>
      </c>
      <c r="U33" s="19"/>
      <c r="V33" s="133">
        <v>6.000000141885779E-5</v>
      </c>
      <c r="W33" s="18">
        <f t="shared" si="22"/>
        <v>9.0000002128286682E-2</v>
      </c>
      <c r="X33" s="19"/>
      <c r="Y33" s="21">
        <f t="shared" si="14"/>
        <v>5.4268747828878361E-10</v>
      </c>
      <c r="Z33" s="22">
        <f t="shared" si="7"/>
        <v>6.0298607636426794E-9</v>
      </c>
      <c r="AA33" s="19"/>
      <c r="AB33" s="133">
        <v>5.9748076265468277E-5</v>
      </c>
      <c r="AC33" s="18">
        <f t="shared" si="23"/>
        <v>8.9622114398202418E-2</v>
      </c>
      <c r="AD33" s="19"/>
      <c r="AE33" s="21">
        <f t="shared" si="15"/>
        <v>-3.7788773008426424E-4</v>
      </c>
      <c r="AF33" s="22">
        <f t="shared" si="9"/>
        <v>-4.1987524572012812E-3</v>
      </c>
    </row>
    <row r="34" spans="2:32" ht="12.6" customHeight="1" x14ac:dyDescent="0.2">
      <c r="B34" s="37" t="s">
        <v>19</v>
      </c>
      <c r="C34" s="14"/>
      <c r="D34" s="15"/>
      <c r="E34" s="15"/>
      <c r="F34" s="177">
        <f>$G$7*(1+G63)-$G$7</f>
        <v>56.850000000000136</v>
      </c>
      <c r="G34" s="38">
        <f>0.64*G44+0.18*G45+0.18*G46</f>
        <v>0.11183999999999999</v>
      </c>
      <c r="H34" s="18">
        <f t="shared" si="19"/>
        <v>6.3581040000000151</v>
      </c>
      <c r="I34" s="19"/>
      <c r="J34" s="38">
        <f>0.64*J44+0.18*J45+0.18*J46</f>
        <v>0.11183999999999999</v>
      </c>
      <c r="K34" s="18">
        <f t="shared" si="20"/>
        <v>6.3581040000000151</v>
      </c>
      <c r="L34" s="19"/>
      <c r="M34" s="21">
        <f t="shared" si="29"/>
        <v>0</v>
      </c>
      <c r="N34" s="22">
        <f>IF((H34)=0,"",(M34/H34))</f>
        <v>0</v>
      </c>
      <c r="O34" s="212"/>
      <c r="P34" s="38">
        <f>0.64*P44+0.18*P45+0.18*P46</f>
        <v>0.10214000000000001</v>
      </c>
      <c r="Q34" s="18">
        <f t="shared" si="21"/>
        <v>5.806659000000014</v>
      </c>
      <c r="R34" s="19"/>
      <c r="S34" s="21">
        <f t="shared" si="13"/>
        <v>-0.55144500000000107</v>
      </c>
      <c r="T34" s="22">
        <f t="shared" si="5"/>
        <v>-8.6731044349070058E-2</v>
      </c>
      <c r="U34" s="19"/>
      <c r="V34" s="38">
        <f>0.64*V44+0.18*V45+0.18*V46</f>
        <v>0.10214000000000001</v>
      </c>
      <c r="W34" s="18">
        <f t="shared" si="22"/>
        <v>5.806659000000014</v>
      </c>
      <c r="X34" s="19"/>
      <c r="Y34" s="21">
        <f t="shared" si="14"/>
        <v>0</v>
      </c>
      <c r="Z34" s="22">
        <f t="shared" si="7"/>
        <v>0</v>
      </c>
      <c r="AA34" s="19"/>
      <c r="AB34" s="38">
        <f>0.64*AB44+0.18*AB45+0.18*AB46</f>
        <v>0.10214000000000001</v>
      </c>
      <c r="AC34" s="18">
        <f t="shared" si="23"/>
        <v>5.806659000000014</v>
      </c>
      <c r="AD34" s="19"/>
      <c r="AE34" s="21">
        <f t="shared" si="15"/>
        <v>0</v>
      </c>
      <c r="AF34" s="22">
        <f t="shared" si="9"/>
        <v>0</v>
      </c>
    </row>
    <row r="35" spans="2:32" ht="12.6" customHeight="1" x14ac:dyDescent="0.2">
      <c r="B35" s="37" t="s">
        <v>20</v>
      </c>
      <c r="C35" s="14"/>
      <c r="D35" s="15" t="s">
        <v>51</v>
      </c>
      <c r="E35" s="15"/>
      <c r="F35" s="17">
        <v>1</v>
      </c>
      <c r="G35" s="210">
        <v>0.79</v>
      </c>
      <c r="H35" s="18">
        <f t="shared" si="19"/>
        <v>0.79</v>
      </c>
      <c r="I35" s="19"/>
      <c r="J35" s="210">
        <v>0.79</v>
      </c>
      <c r="K35" s="18">
        <f t="shared" si="20"/>
        <v>0.79</v>
      </c>
      <c r="L35" s="19"/>
      <c r="M35" s="21">
        <f t="shared" si="29"/>
        <v>0</v>
      </c>
      <c r="N35" s="22"/>
      <c r="O35" s="212"/>
      <c r="P35" s="38">
        <v>0.79</v>
      </c>
      <c r="Q35" s="18">
        <f t="shared" si="21"/>
        <v>0.79</v>
      </c>
      <c r="R35" s="19"/>
      <c r="S35" s="21">
        <f t="shared" si="13"/>
        <v>0</v>
      </c>
      <c r="T35" s="22"/>
      <c r="U35" s="19"/>
      <c r="V35" s="38">
        <v>0.79</v>
      </c>
      <c r="W35" s="18">
        <f t="shared" si="22"/>
        <v>0.79</v>
      </c>
      <c r="X35" s="19"/>
      <c r="Y35" s="21">
        <f t="shared" si="14"/>
        <v>0</v>
      </c>
      <c r="Z35" s="22"/>
      <c r="AA35" s="19"/>
      <c r="AB35" s="38">
        <v>0</v>
      </c>
      <c r="AC35" s="18">
        <f t="shared" si="23"/>
        <v>0</v>
      </c>
      <c r="AD35" s="19"/>
      <c r="AE35" s="21">
        <f t="shared" si="15"/>
        <v>-0.79</v>
      </c>
      <c r="AF35" s="22"/>
    </row>
    <row r="36" spans="2:32" ht="25.5" customHeight="1" x14ac:dyDescent="0.2">
      <c r="B36" s="39" t="s">
        <v>21</v>
      </c>
      <c r="C36" s="40"/>
      <c r="D36" s="40"/>
      <c r="E36" s="40"/>
      <c r="F36" s="42"/>
      <c r="G36" s="41"/>
      <c r="H36" s="43">
        <f>SUM(H29:H35)+H28</f>
        <v>45.473433486114601</v>
      </c>
      <c r="I36" s="31"/>
      <c r="J36" s="41"/>
      <c r="K36" s="43">
        <f>SUM(K29:K35)+K28</f>
        <v>37.618104001585614</v>
      </c>
      <c r="L36" s="31"/>
      <c r="M36" s="32">
        <f t="shared" si="29"/>
        <v>-7.8553294845289869</v>
      </c>
      <c r="N36" s="33">
        <f t="shared" ref="N36:N46" si="30">IF((H36)=0,"",(M36/H36))</f>
        <v>-0.17274546657946177</v>
      </c>
      <c r="O36" s="212"/>
      <c r="P36" s="41"/>
      <c r="Q36" s="43">
        <f>SUM(Q29:Q35)+Q28</f>
        <v>37.066659001585613</v>
      </c>
      <c r="R36" s="31"/>
      <c r="S36" s="32">
        <f t="shared" si="13"/>
        <v>-0.55144500000000107</v>
      </c>
      <c r="T36" s="33">
        <f t="shared" ref="T36:T46" si="31">IF((K36)=0,"",(S36/K36))</f>
        <v>-1.4659032256829251E-2</v>
      </c>
      <c r="U36" s="31"/>
      <c r="V36" s="41"/>
      <c r="W36" s="43">
        <f>SUM(W29:W35)+W28</f>
        <v>36.726659002128301</v>
      </c>
      <c r="X36" s="31"/>
      <c r="Y36" s="32">
        <f t="shared" si="14"/>
        <v>-0.33999999945731219</v>
      </c>
      <c r="Z36" s="33">
        <f t="shared" ref="Z36:Z46" si="32">IF((Q36)=0,"",(Y36/Q36))</f>
        <v>-9.1726637526939742E-3</v>
      </c>
      <c r="AA36" s="31"/>
      <c r="AB36" s="41"/>
      <c r="AC36" s="43">
        <f>SUM(AC29:AC35)+AC28</f>
        <v>32.896281114398214</v>
      </c>
      <c r="AD36" s="31"/>
      <c r="AE36" s="32">
        <f t="shared" si="15"/>
        <v>-3.8303778877300871</v>
      </c>
      <c r="AF36" s="33">
        <f t="shared" ref="AF36:AF46" si="33">IF((W36)=0,"",(AE36/W36))</f>
        <v>-0.10429421003168618</v>
      </c>
    </row>
    <row r="37" spans="2:32" ht="12.6" customHeight="1" x14ac:dyDescent="0.2">
      <c r="B37" s="19" t="s">
        <v>22</v>
      </c>
      <c r="C37" s="19"/>
      <c r="D37" s="44" t="s">
        <v>54</v>
      </c>
      <c r="E37" s="44"/>
      <c r="F37" s="45">
        <f>G7*(1+G63)</f>
        <v>1556.8500000000001</v>
      </c>
      <c r="G37" s="20">
        <v>7.7725149591303024E-3</v>
      </c>
      <c r="H37" s="18">
        <f>$F37*G37</f>
        <v>12.100639914122013</v>
      </c>
      <c r="I37" s="19"/>
      <c r="J37" s="20">
        <v>7.4000000000000003E-3</v>
      </c>
      <c r="K37" s="18">
        <f>$F37*J37</f>
        <v>11.520690000000002</v>
      </c>
      <c r="L37" s="19"/>
      <c r="M37" s="21">
        <f t="shared" si="29"/>
        <v>-0.57994991412201102</v>
      </c>
      <c r="N37" s="22">
        <f t="shared" si="30"/>
        <v>-4.7927210315975299E-2</v>
      </c>
      <c r="O37" s="212"/>
      <c r="P37" s="20">
        <v>7.4000000000000003E-3</v>
      </c>
      <c r="Q37" s="18">
        <f>$F37*P37</f>
        <v>11.520690000000002</v>
      </c>
      <c r="R37" s="19"/>
      <c r="S37" s="21">
        <f t="shared" si="13"/>
        <v>0</v>
      </c>
      <c r="T37" s="22">
        <f t="shared" si="31"/>
        <v>0</v>
      </c>
      <c r="U37" s="19"/>
      <c r="V37" s="20">
        <v>7.4000000000000003E-3</v>
      </c>
      <c r="W37" s="18">
        <f>$F37*V37</f>
        <v>11.520690000000002</v>
      </c>
      <c r="X37" s="19"/>
      <c r="Y37" s="21">
        <f t="shared" si="14"/>
        <v>0</v>
      </c>
      <c r="Z37" s="22">
        <f t="shared" si="32"/>
        <v>0</v>
      </c>
      <c r="AA37" s="19"/>
      <c r="AB37" s="20">
        <v>7.4000000000000003E-3</v>
      </c>
      <c r="AC37" s="18">
        <f>$F37*AB37</f>
        <v>11.520690000000002</v>
      </c>
      <c r="AD37" s="19"/>
      <c r="AE37" s="21">
        <f t="shared" si="15"/>
        <v>0</v>
      </c>
      <c r="AF37" s="22">
        <f t="shared" si="33"/>
        <v>0</v>
      </c>
    </row>
    <row r="38" spans="2:32" ht="25.5" customHeight="1" x14ac:dyDescent="0.2">
      <c r="B38" s="46" t="s">
        <v>23</v>
      </c>
      <c r="C38" s="19"/>
      <c r="D38" s="44" t="s">
        <v>54</v>
      </c>
      <c r="E38" s="44"/>
      <c r="F38" s="45">
        <f>F37</f>
        <v>1556.8500000000001</v>
      </c>
      <c r="G38" s="20">
        <v>5.8885548323693356E-3</v>
      </c>
      <c r="H38" s="18">
        <f>$F38*G38</f>
        <v>9.1675965907742007</v>
      </c>
      <c r="I38" s="19"/>
      <c r="J38" s="20">
        <v>5.8999999999999999E-3</v>
      </c>
      <c r="K38" s="18">
        <f>$F38*J38</f>
        <v>9.1854150000000008</v>
      </c>
      <c r="L38" s="19"/>
      <c r="M38" s="21">
        <f t="shared" si="29"/>
        <v>1.7818409225800025E-2</v>
      </c>
      <c r="N38" s="22">
        <f t="shared" si="30"/>
        <v>1.9436292870621684E-3</v>
      </c>
      <c r="O38" s="212"/>
      <c r="P38" s="20">
        <v>5.8999999999999999E-3</v>
      </c>
      <c r="Q38" s="18">
        <f>$F38*P38</f>
        <v>9.1854150000000008</v>
      </c>
      <c r="R38" s="19"/>
      <c r="S38" s="21">
        <f t="shared" si="13"/>
        <v>0</v>
      </c>
      <c r="T38" s="22">
        <f t="shared" si="31"/>
        <v>0</v>
      </c>
      <c r="U38" s="19"/>
      <c r="V38" s="20">
        <v>5.8999999999999999E-3</v>
      </c>
      <c r="W38" s="18">
        <f>$F38*V38</f>
        <v>9.1854150000000008</v>
      </c>
      <c r="X38" s="19"/>
      <c r="Y38" s="21">
        <f t="shared" si="14"/>
        <v>0</v>
      </c>
      <c r="Z38" s="22">
        <f t="shared" si="32"/>
        <v>0</v>
      </c>
      <c r="AA38" s="19"/>
      <c r="AB38" s="20">
        <v>5.8999999999999999E-3</v>
      </c>
      <c r="AC38" s="18">
        <f>$F38*AB38</f>
        <v>9.1854150000000008</v>
      </c>
      <c r="AD38" s="19"/>
      <c r="AE38" s="21">
        <f t="shared" si="15"/>
        <v>0</v>
      </c>
      <c r="AF38" s="22">
        <f t="shared" si="33"/>
        <v>0</v>
      </c>
    </row>
    <row r="39" spans="2:32" ht="25.5" customHeight="1" x14ac:dyDescent="0.2">
      <c r="B39" s="39" t="s">
        <v>24</v>
      </c>
      <c r="C39" s="26"/>
      <c r="D39" s="26"/>
      <c r="E39" s="26"/>
      <c r="F39" s="42"/>
      <c r="G39" s="47"/>
      <c r="H39" s="43">
        <f>SUM(H36:H38)</f>
        <v>66.741669991010809</v>
      </c>
      <c r="I39" s="48"/>
      <c r="J39" s="47"/>
      <c r="K39" s="43">
        <f>SUM(K36:K38)</f>
        <v>58.324209001585615</v>
      </c>
      <c r="L39" s="48"/>
      <c r="M39" s="32">
        <f t="shared" si="29"/>
        <v>-8.4174609894251944</v>
      </c>
      <c r="N39" s="33">
        <f t="shared" si="30"/>
        <v>-0.12612002352591584</v>
      </c>
      <c r="O39" s="212"/>
      <c r="P39" s="47"/>
      <c r="Q39" s="43">
        <f>SUM(Q36:Q38)</f>
        <v>57.772764001585614</v>
      </c>
      <c r="R39" s="48"/>
      <c r="S39" s="32">
        <f t="shared" si="13"/>
        <v>-0.55144500000000107</v>
      </c>
      <c r="T39" s="33">
        <f t="shared" si="31"/>
        <v>-9.4548217530907169E-3</v>
      </c>
      <c r="U39" s="48"/>
      <c r="V39" s="47"/>
      <c r="W39" s="43">
        <f>SUM(W36:W38)</f>
        <v>57.432764002128302</v>
      </c>
      <c r="X39" s="48"/>
      <c r="Y39" s="32">
        <f t="shared" si="14"/>
        <v>-0.33999999945731219</v>
      </c>
      <c r="Z39" s="33">
        <f t="shared" si="32"/>
        <v>-5.8851260681933209E-3</v>
      </c>
      <c r="AA39" s="48"/>
      <c r="AB39" s="47"/>
      <c r="AC39" s="43">
        <f>SUM(AC36:AC38)</f>
        <v>53.602386114398215</v>
      </c>
      <c r="AD39" s="48"/>
      <c r="AE39" s="32">
        <f t="shared" si="15"/>
        <v>-3.8303778877300871</v>
      </c>
      <c r="AF39" s="33">
        <f t="shared" si="33"/>
        <v>-6.6693253481377696E-2</v>
      </c>
    </row>
    <row r="40" spans="2:32" ht="24.75" customHeight="1" x14ac:dyDescent="0.2">
      <c r="B40" s="49" t="s">
        <v>25</v>
      </c>
      <c r="C40" s="14"/>
      <c r="D40" s="15" t="s">
        <v>54</v>
      </c>
      <c r="E40" s="15"/>
      <c r="F40" s="45">
        <f>F38</f>
        <v>1556.8500000000001</v>
      </c>
      <c r="G40" s="50">
        <v>4.7000000000000002E-3</v>
      </c>
      <c r="H40" s="152">
        <f t="shared" ref="H40:H48" si="34">$F40*G40</f>
        <v>7.3171950000000008</v>
      </c>
      <c r="I40" s="19"/>
      <c r="J40" s="50">
        <v>4.7000000000000002E-3</v>
      </c>
      <c r="K40" s="152">
        <f t="shared" ref="K40:K42" si="35">$F40*J40</f>
        <v>7.3171950000000008</v>
      </c>
      <c r="L40" s="19"/>
      <c r="M40" s="21">
        <f t="shared" si="29"/>
        <v>0</v>
      </c>
      <c r="N40" s="153">
        <f t="shared" si="30"/>
        <v>0</v>
      </c>
      <c r="O40" s="212"/>
      <c r="P40" s="50">
        <v>4.7000000000000002E-3</v>
      </c>
      <c r="Q40" s="152">
        <f t="shared" ref="Q40:Q42" si="36">$F40*P40</f>
        <v>7.3171950000000008</v>
      </c>
      <c r="R40" s="19"/>
      <c r="S40" s="21">
        <f t="shared" si="13"/>
        <v>0</v>
      </c>
      <c r="T40" s="153">
        <f t="shared" si="31"/>
        <v>0</v>
      </c>
      <c r="U40" s="19"/>
      <c r="V40" s="50">
        <v>4.7000000000000002E-3</v>
      </c>
      <c r="W40" s="152">
        <f t="shared" ref="W40:W42" si="37">$F40*V40</f>
        <v>7.3171950000000008</v>
      </c>
      <c r="X40" s="19"/>
      <c r="Y40" s="21">
        <f t="shared" si="14"/>
        <v>0</v>
      </c>
      <c r="Z40" s="153">
        <f t="shared" si="32"/>
        <v>0</v>
      </c>
      <c r="AA40" s="19"/>
      <c r="AB40" s="50">
        <v>4.7000000000000002E-3</v>
      </c>
      <c r="AC40" s="152">
        <f t="shared" ref="AC40:AC48" si="38">$F40*AB40</f>
        <v>7.3171950000000008</v>
      </c>
      <c r="AD40" s="19"/>
      <c r="AE40" s="21">
        <f t="shared" si="15"/>
        <v>0</v>
      </c>
      <c r="AF40" s="153">
        <f t="shared" si="33"/>
        <v>0</v>
      </c>
    </row>
    <row r="41" spans="2:32" ht="25.5" customHeight="1" x14ac:dyDescent="0.2">
      <c r="B41" s="49" t="s">
        <v>26</v>
      </c>
      <c r="C41" s="14"/>
      <c r="D41" s="15" t="s">
        <v>54</v>
      </c>
      <c r="E41" s="15"/>
      <c r="F41" s="45">
        <f>F38</f>
        <v>1556.8500000000001</v>
      </c>
      <c r="G41" s="50">
        <v>1.2999999999999999E-3</v>
      </c>
      <c r="H41" s="152">
        <f t="shared" si="34"/>
        <v>2.0239050000000001</v>
      </c>
      <c r="I41" s="19"/>
      <c r="J41" s="50">
        <v>2.0999999999999999E-3</v>
      </c>
      <c r="K41" s="152">
        <f t="shared" si="35"/>
        <v>3.2693850000000002</v>
      </c>
      <c r="L41" s="19"/>
      <c r="M41" s="21">
        <f t="shared" si="29"/>
        <v>1.2454800000000001</v>
      </c>
      <c r="N41" s="153">
        <f t="shared" si="30"/>
        <v>0.61538461538461542</v>
      </c>
      <c r="O41" s="212"/>
      <c r="P41" s="50">
        <v>2.0999999999999999E-3</v>
      </c>
      <c r="Q41" s="152">
        <f t="shared" si="36"/>
        <v>3.2693850000000002</v>
      </c>
      <c r="R41" s="19"/>
      <c r="S41" s="21">
        <f t="shared" si="13"/>
        <v>0</v>
      </c>
      <c r="T41" s="153">
        <f t="shared" si="31"/>
        <v>0</v>
      </c>
      <c r="U41" s="19"/>
      <c r="V41" s="50">
        <v>2.0999999999999999E-3</v>
      </c>
      <c r="W41" s="152">
        <f t="shared" si="37"/>
        <v>3.2693850000000002</v>
      </c>
      <c r="X41" s="19"/>
      <c r="Y41" s="21">
        <f t="shared" si="14"/>
        <v>0</v>
      </c>
      <c r="Z41" s="153">
        <f t="shared" si="32"/>
        <v>0</v>
      </c>
      <c r="AA41" s="19"/>
      <c r="AB41" s="50">
        <v>2.0999999999999999E-3</v>
      </c>
      <c r="AC41" s="152">
        <f t="shared" si="38"/>
        <v>3.2693850000000002</v>
      </c>
      <c r="AD41" s="19"/>
      <c r="AE41" s="21">
        <f t="shared" si="15"/>
        <v>0</v>
      </c>
      <c r="AF41" s="153">
        <f t="shared" si="33"/>
        <v>0</v>
      </c>
    </row>
    <row r="42" spans="2:32" ht="12.6" customHeight="1" x14ac:dyDescent="0.2">
      <c r="B42" s="14" t="s">
        <v>27</v>
      </c>
      <c r="C42" s="14"/>
      <c r="D42" s="15" t="s">
        <v>51</v>
      </c>
      <c r="E42" s="15"/>
      <c r="F42" s="17">
        <v>1</v>
      </c>
      <c r="G42" s="50">
        <v>0.25</v>
      </c>
      <c r="H42" s="152">
        <f t="shared" si="34"/>
        <v>0.25</v>
      </c>
      <c r="I42" s="19"/>
      <c r="J42" s="50">
        <v>0.25</v>
      </c>
      <c r="K42" s="152">
        <f t="shared" si="35"/>
        <v>0.25</v>
      </c>
      <c r="L42" s="19"/>
      <c r="M42" s="21">
        <f t="shared" si="29"/>
        <v>0</v>
      </c>
      <c r="N42" s="153">
        <f t="shared" si="30"/>
        <v>0</v>
      </c>
      <c r="O42" s="212"/>
      <c r="P42" s="50">
        <v>0.25</v>
      </c>
      <c r="Q42" s="152">
        <f t="shared" si="36"/>
        <v>0.25</v>
      </c>
      <c r="R42" s="19"/>
      <c r="S42" s="21">
        <f t="shared" si="13"/>
        <v>0</v>
      </c>
      <c r="T42" s="153">
        <f t="shared" si="31"/>
        <v>0</v>
      </c>
      <c r="U42" s="19"/>
      <c r="V42" s="50">
        <v>0.25</v>
      </c>
      <c r="W42" s="152">
        <f t="shared" si="37"/>
        <v>0.25</v>
      </c>
      <c r="X42" s="19"/>
      <c r="Y42" s="21">
        <f t="shared" si="14"/>
        <v>0</v>
      </c>
      <c r="Z42" s="153">
        <f t="shared" si="32"/>
        <v>0</v>
      </c>
      <c r="AA42" s="19"/>
      <c r="AB42" s="50">
        <v>0.25</v>
      </c>
      <c r="AC42" s="152">
        <f t="shared" si="38"/>
        <v>0.25</v>
      </c>
      <c r="AD42" s="19"/>
      <c r="AE42" s="21">
        <f t="shared" si="15"/>
        <v>0</v>
      </c>
      <c r="AF42" s="153">
        <f t="shared" si="33"/>
        <v>0</v>
      </c>
    </row>
    <row r="43" spans="2:32" ht="12.6" customHeight="1" x14ac:dyDescent="0.2">
      <c r="B43" s="14" t="s">
        <v>28</v>
      </c>
      <c r="C43" s="14"/>
      <c r="D43" s="15" t="s">
        <v>54</v>
      </c>
      <c r="E43" s="15"/>
      <c r="F43" s="53">
        <f>G7</f>
        <v>1500</v>
      </c>
      <c r="G43" s="50">
        <v>0</v>
      </c>
      <c r="H43" s="152">
        <f t="shared" si="34"/>
        <v>0</v>
      </c>
      <c r="I43" s="19"/>
      <c r="J43" s="50">
        <v>0</v>
      </c>
      <c r="K43" s="152">
        <f t="shared" ref="K43:K48" si="39">$F43*J43</f>
        <v>0</v>
      </c>
      <c r="L43" s="19"/>
      <c r="M43" s="21">
        <f t="shared" si="29"/>
        <v>0</v>
      </c>
      <c r="N43" s="153" t="str">
        <f t="shared" si="30"/>
        <v/>
      </c>
      <c r="O43" s="212"/>
      <c r="P43" s="50"/>
      <c r="Q43" s="152">
        <f t="shared" ref="Q43:Q48" si="40">$F43*P43</f>
        <v>0</v>
      </c>
      <c r="R43" s="19"/>
      <c r="S43" s="21">
        <f t="shared" si="13"/>
        <v>0</v>
      </c>
      <c r="T43" s="153" t="str">
        <f t="shared" si="31"/>
        <v/>
      </c>
      <c r="U43" s="19"/>
      <c r="V43" s="50"/>
      <c r="W43" s="152">
        <f t="shared" ref="W43:W48" si="41">$F43*V43</f>
        <v>0</v>
      </c>
      <c r="X43" s="19"/>
      <c r="Y43" s="21">
        <f t="shared" si="14"/>
        <v>0</v>
      </c>
      <c r="Z43" s="153" t="str">
        <f t="shared" si="32"/>
        <v/>
      </c>
      <c r="AA43" s="19"/>
      <c r="AB43" s="50"/>
      <c r="AC43" s="152">
        <f t="shared" si="38"/>
        <v>0</v>
      </c>
      <c r="AD43" s="19"/>
      <c r="AE43" s="21">
        <f t="shared" si="15"/>
        <v>0</v>
      </c>
      <c r="AF43" s="153" t="str">
        <f t="shared" si="33"/>
        <v/>
      </c>
    </row>
    <row r="44" spans="2:32" ht="12.6" customHeight="1" x14ac:dyDescent="0.2">
      <c r="B44" s="37" t="s">
        <v>29</v>
      </c>
      <c r="C44" s="14"/>
      <c r="D44" s="15" t="s">
        <v>54</v>
      </c>
      <c r="E44" s="15"/>
      <c r="F44" s="55">
        <f>0.64*$G$7</f>
        <v>960</v>
      </c>
      <c r="G44" s="54">
        <v>8.6999999999999994E-2</v>
      </c>
      <c r="H44" s="152">
        <f t="shared" si="34"/>
        <v>83.52</v>
      </c>
      <c r="I44" s="19"/>
      <c r="J44" s="54">
        <f>+G44</f>
        <v>8.6999999999999994E-2</v>
      </c>
      <c r="K44" s="152">
        <f t="shared" si="39"/>
        <v>83.52</v>
      </c>
      <c r="L44" s="19"/>
      <c r="M44" s="21">
        <f t="shared" si="29"/>
        <v>0</v>
      </c>
      <c r="N44" s="153">
        <f t="shared" si="30"/>
        <v>0</v>
      </c>
      <c r="O44" s="212"/>
      <c r="P44" s="54">
        <v>0.08</v>
      </c>
      <c r="Q44" s="152">
        <f t="shared" si="40"/>
        <v>76.8</v>
      </c>
      <c r="R44" s="19"/>
      <c r="S44" s="21">
        <f t="shared" si="13"/>
        <v>-6.7199999999999989</v>
      </c>
      <c r="T44" s="153">
        <f t="shared" si="31"/>
        <v>-8.0459770114942514E-2</v>
      </c>
      <c r="U44" s="19"/>
      <c r="V44" s="54">
        <v>0.08</v>
      </c>
      <c r="W44" s="152">
        <f t="shared" si="41"/>
        <v>76.8</v>
      </c>
      <c r="X44" s="19"/>
      <c r="Y44" s="21">
        <f t="shared" si="14"/>
        <v>0</v>
      </c>
      <c r="Z44" s="153">
        <f t="shared" si="32"/>
        <v>0</v>
      </c>
      <c r="AA44" s="19"/>
      <c r="AB44" s="54">
        <v>0.08</v>
      </c>
      <c r="AC44" s="152">
        <f t="shared" si="38"/>
        <v>76.8</v>
      </c>
      <c r="AD44" s="19"/>
      <c r="AE44" s="21">
        <f t="shared" si="15"/>
        <v>0</v>
      </c>
      <c r="AF44" s="153">
        <f t="shared" si="33"/>
        <v>0</v>
      </c>
    </row>
    <row r="45" spans="2:32" ht="12.6" customHeight="1" x14ac:dyDescent="0.2">
      <c r="B45" s="37" t="s">
        <v>30</v>
      </c>
      <c r="C45" s="14"/>
      <c r="D45" s="15" t="s">
        <v>54</v>
      </c>
      <c r="E45" s="15"/>
      <c r="F45" s="55">
        <f>0.18*$G$7</f>
        <v>270</v>
      </c>
      <c r="G45" s="54">
        <v>0.13200000000000001</v>
      </c>
      <c r="H45" s="152">
        <f t="shared" si="34"/>
        <v>35.64</v>
      </c>
      <c r="I45" s="19"/>
      <c r="J45" s="54">
        <f>+G45</f>
        <v>0.13200000000000001</v>
      </c>
      <c r="K45" s="152">
        <f t="shared" si="39"/>
        <v>35.64</v>
      </c>
      <c r="L45" s="19"/>
      <c r="M45" s="21">
        <f t="shared" si="29"/>
        <v>0</v>
      </c>
      <c r="N45" s="153">
        <f t="shared" si="30"/>
        <v>0</v>
      </c>
      <c r="O45" s="212"/>
      <c r="P45" s="54">
        <v>0.122</v>
      </c>
      <c r="Q45" s="152">
        <f t="shared" si="40"/>
        <v>32.94</v>
      </c>
      <c r="R45" s="19"/>
      <c r="S45" s="21">
        <f t="shared" si="13"/>
        <v>-2.7000000000000028</v>
      </c>
      <c r="T45" s="153">
        <f t="shared" si="31"/>
        <v>-7.5757575757575843E-2</v>
      </c>
      <c r="U45" s="19"/>
      <c r="V45" s="54">
        <v>0.122</v>
      </c>
      <c r="W45" s="152">
        <f t="shared" si="41"/>
        <v>32.94</v>
      </c>
      <c r="X45" s="19"/>
      <c r="Y45" s="21">
        <f t="shared" si="14"/>
        <v>0</v>
      </c>
      <c r="Z45" s="153">
        <f t="shared" si="32"/>
        <v>0</v>
      </c>
      <c r="AA45" s="19"/>
      <c r="AB45" s="54">
        <v>0.122</v>
      </c>
      <c r="AC45" s="152">
        <f t="shared" si="38"/>
        <v>32.94</v>
      </c>
      <c r="AD45" s="19"/>
      <c r="AE45" s="21">
        <f t="shared" si="15"/>
        <v>0</v>
      </c>
      <c r="AF45" s="153">
        <f t="shared" si="33"/>
        <v>0</v>
      </c>
    </row>
    <row r="46" spans="2:32" ht="12.6" customHeight="1" x14ac:dyDescent="0.2">
      <c r="B46" s="6" t="s">
        <v>31</v>
      </c>
      <c r="C46" s="14"/>
      <c r="D46" s="15" t="s">
        <v>54</v>
      </c>
      <c r="E46" s="15"/>
      <c r="F46" s="55">
        <f>0.18*$G$7</f>
        <v>270</v>
      </c>
      <c r="G46" s="54">
        <v>0.18</v>
      </c>
      <c r="H46" s="152">
        <f t="shared" si="34"/>
        <v>48.6</v>
      </c>
      <c r="I46" s="19"/>
      <c r="J46" s="54">
        <f>+G46</f>
        <v>0.18</v>
      </c>
      <c r="K46" s="152">
        <f t="shared" si="39"/>
        <v>48.6</v>
      </c>
      <c r="L46" s="19"/>
      <c r="M46" s="21">
        <f t="shared" si="29"/>
        <v>0</v>
      </c>
      <c r="N46" s="153">
        <f t="shared" si="30"/>
        <v>0</v>
      </c>
      <c r="O46" s="212"/>
      <c r="P46" s="54">
        <v>0.161</v>
      </c>
      <c r="Q46" s="152">
        <f t="shared" si="40"/>
        <v>43.47</v>
      </c>
      <c r="R46" s="19"/>
      <c r="S46" s="21">
        <f t="shared" si="13"/>
        <v>-5.1300000000000026</v>
      </c>
      <c r="T46" s="153">
        <f t="shared" si="31"/>
        <v>-0.10555555555555561</v>
      </c>
      <c r="U46" s="19"/>
      <c r="V46" s="54">
        <v>0.161</v>
      </c>
      <c r="W46" s="152">
        <f t="shared" si="41"/>
        <v>43.47</v>
      </c>
      <c r="X46" s="19"/>
      <c r="Y46" s="21">
        <f t="shared" si="14"/>
        <v>0</v>
      </c>
      <c r="Z46" s="153">
        <f t="shared" si="32"/>
        <v>0</v>
      </c>
      <c r="AA46" s="19"/>
      <c r="AB46" s="54">
        <v>0.161</v>
      </c>
      <c r="AC46" s="152">
        <f t="shared" si="38"/>
        <v>43.47</v>
      </c>
      <c r="AD46" s="19"/>
      <c r="AE46" s="21">
        <f t="shared" si="15"/>
        <v>0</v>
      </c>
      <c r="AF46" s="153">
        <f t="shared" si="33"/>
        <v>0</v>
      </c>
    </row>
    <row r="47" spans="2:32" s="61" customFormat="1" ht="12.6" customHeight="1" x14ac:dyDescent="0.2">
      <c r="B47" s="156" t="s">
        <v>32</v>
      </c>
      <c r="C47" s="56"/>
      <c r="D47" s="57" t="s">
        <v>54</v>
      </c>
      <c r="E47" s="57"/>
      <c r="F47" s="58">
        <f>IF(AND(N3=1, G7&gt;=600), 600, IF(AND(N3=1, AND(G7&lt;600, G7&gt;=0)), G7, IF(AND(N3=2, G7&gt;=1000), 1000, IF(AND(N3=2, AND(G7&lt;1000, G7&gt;=0)), G7))))</f>
        <v>600</v>
      </c>
      <c r="G47" s="54">
        <v>0.10299999999999999</v>
      </c>
      <c r="H47" s="152">
        <f t="shared" si="34"/>
        <v>61.8</v>
      </c>
      <c r="I47" s="59"/>
      <c r="J47" s="54">
        <f>+G47</f>
        <v>0.10299999999999999</v>
      </c>
      <c r="K47" s="152">
        <f t="shared" si="39"/>
        <v>61.8</v>
      </c>
      <c r="L47" s="59"/>
      <c r="M47" s="60">
        <f t="shared" si="29"/>
        <v>0</v>
      </c>
      <c r="N47" s="153">
        <f>IF((H47)=FALSE,"",(M47/H47))</f>
        <v>0</v>
      </c>
      <c r="O47" s="212"/>
      <c r="P47" s="54">
        <v>9.4E-2</v>
      </c>
      <c r="Q47" s="152">
        <f t="shared" si="40"/>
        <v>56.4</v>
      </c>
      <c r="R47" s="59"/>
      <c r="S47" s="60">
        <f t="shared" si="13"/>
        <v>-5.3999999999999986</v>
      </c>
      <c r="T47" s="153">
        <f>IF((K47)=FALSE,"",(S47/K47))</f>
        <v>-8.7378640776699004E-2</v>
      </c>
      <c r="U47" s="59"/>
      <c r="V47" s="54">
        <v>9.4E-2</v>
      </c>
      <c r="W47" s="152">
        <f t="shared" si="41"/>
        <v>56.4</v>
      </c>
      <c r="X47" s="59"/>
      <c r="Y47" s="60">
        <f t="shared" si="14"/>
        <v>0</v>
      </c>
      <c r="Z47" s="153">
        <f>IF((Q47)=FALSE,"",(Y47/Q47))</f>
        <v>0</v>
      </c>
      <c r="AA47" s="59"/>
      <c r="AB47" s="54">
        <v>9.4E-2</v>
      </c>
      <c r="AC47" s="152">
        <f t="shared" si="38"/>
        <v>56.4</v>
      </c>
      <c r="AD47" s="59"/>
      <c r="AE47" s="60">
        <f>AC47-W47</f>
        <v>0</v>
      </c>
      <c r="AF47" s="153">
        <f>IF((W47)=FALSE,"",(AE47/W47))</f>
        <v>0</v>
      </c>
    </row>
    <row r="48" spans="2:32" s="61" customFormat="1" ht="12.95" customHeight="1" thickBot="1" x14ac:dyDescent="0.25">
      <c r="B48" s="156" t="s">
        <v>33</v>
      </c>
      <c r="C48" s="56"/>
      <c r="D48" s="57" t="s">
        <v>54</v>
      </c>
      <c r="E48" s="57"/>
      <c r="F48" s="58">
        <f>IF(AND(N3=1, G7&gt;=600), G7-600, IF(AND(N3=1, AND(G7&lt;600, G7&gt;=0)), 0, IF(AND(N3=2, G7&gt;=1000), G7-1000, IF(AND(N3=2, AND(G7&lt;1000, G7&gt;=0)), 0))))</f>
        <v>900</v>
      </c>
      <c r="G48" s="54">
        <v>0.121</v>
      </c>
      <c r="H48" s="152">
        <f t="shared" si="34"/>
        <v>108.89999999999999</v>
      </c>
      <c r="I48" s="59"/>
      <c r="J48" s="54">
        <f>+G48</f>
        <v>0.121</v>
      </c>
      <c r="K48" s="152">
        <f t="shared" si="39"/>
        <v>108.89999999999999</v>
      </c>
      <c r="L48" s="59"/>
      <c r="M48" s="60">
        <f t="shared" si="29"/>
        <v>0</v>
      </c>
      <c r="N48" s="207">
        <f>IFERROR(IF((H48)=FALSE,"",(M48/H48)),"n/a")</f>
        <v>0</v>
      </c>
      <c r="O48" s="212"/>
      <c r="P48" s="54">
        <v>0.11</v>
      </c>
      <c r="Q48" s="152">
        <f t="shared" si="40"/>
        <v>99</v>
      </c>
      <c r="R48" s="59"/>
      <c r="S48" s="60">
        <f t="shared" si="13"/>
        <v>-9.8999999999999915</v>
      </c>
      <c r="T48" s="153">
        <f>IF((K48)=FALSE,"",(S48/K48))</f>
        <v>-9.0909090909090842E-2</v>
      </c>
      <c r="U48" s="59"/>
      <c r="V48" s="54">
        <v>0.11</v>
      </c>
      <c r="W48" s="152">
        <f t="shared" si="41"/>
        <v>99</v>
      </c>
      <c r="X48" s="59"/>
      <c r="Y48" s="60">
        <f t="shared" si="14"/>
        <v>0</v>
      </c>
      <c r="Z48" s="153">
        <f>IF((Q48)=FALSE,"",(Y48/Q48))</f>
        <v>0</v>
      </c>
      <c r="AA48" s="59"/>
      <c r="AB48" s="54">
        <v>0.11</v>
      </c>
      <c r="AC48" s="152">
        <f t="shared" si="38"/>
        <v>99</v>
      </c>
      <c r="AD48" s="59"/>
      <c r="AE48" s="60">
        <f t="shared" si="15"/>
        <v>0</v>
      </c>
      <c r="AF48" s="153">
        <f>IF((W48)=FALSE,"",(AE48/W48))</f>
        <v>0</v>
      </c>
    </row>
    <row r="49" spans="2:36" ht="8.25" customHeight="1" thickBot="1" x14ac:dyDescent="0.25">
      <c r="B49" s="62"/>
      <c r="C49" s="63"/>
      <c r="D49" s="64"/>
      <c r="E49" s="64"/>
      <c r="F49" s="66"/>
      <c r="G49" s="65"/>
      <c r="H49" s="67"/>
      <c r="I49" s="68"/>
      <c r="J49" s="65"/>
      <c r="K49" s="67"/>
      <c r="L49" s="68"/>
      <c r="M49" s="69">
        <f t="shared" si="29"/>
        <v>0</v>
      </c>
      <c r="N49" s="70"/>
      <c r="O49" s="212"/>
      <c r="P49" s="65"/>
      <c r="Q49" s="67"/>
      <c r="R49" s="68"/>
      <c r="S49" s="69">
        <f t="shared" si="13"/>
        <v>0</v>
      </c>
      <c r="T49" s="70"/>
      <c r="U49" s="68"/>
      <c r="V49" s="65"/>
      <c r="W49" s="67"/>
      <c r="X49" s="68"/>
      <c r="Y49" s="69">
        <f t="shared" si="14"/>
        <v>0</v>
      </c>
      <c r="Z49" s="70"/>
      <c r="AA49" s="68"/>
      <c r="AB49" s="65"/>
      <c r="AC49" s="67"/>
      <c r="AD49" s="68"/>
      <c r="AE49" s="69">
        <f t="shared" si="15"/>
        <v>0</v>
      </c>
      <c r="AF49" s="70"/>
    </row>
    <row r="50" spans="2:36" x14ac:dyDescent="0.2">
      <c r="B50" s="71" t="s">
        <v>34</v>
      </c>
      <c r="C50" s="14"/>
      <c r="D50" s="14"/>
      <c r="E50" s="14"/>
      <c r="F50" s="73"/>
      <c r="G50" s="72"/>
      <c r="H50" s="74">
        <f>SUM(H40:H46,H39)</f>
        <v>244.09276999101081</v>
      </c>
      <c r="I50" s="75"/>
      <c r="J50" s="72"/>
      <c r="K50" s="74">
        <f>SUM(K40:K46,K39)</f>
        <v>236.9207890015856</v>
      </c>
      <c r="L50" s="75"/>
      <c r="M50" s="76">
        <f t="shared" si="29"/>
        <v>-7.171980989425208</v>
      </c>
      <c r="N50" s="77">
        <f>IF((H50)=0,"",(M50/H50))</f>
        <v>-2.9382193457386428E-2</v>
      </c>
      <c r="O50" s="212"/>
      <c r="P50" s="72"/>
      <c r="Q50" s="74">
        <f>SUM(Q40:Q46,Q39)</f>
        <v>221.81934400158562</v>
      </c>
      <c r="R50" s="75"/>
      <c r="S50" s="76">
        <f t="shared" si="13"/>
        <v>-15.101444999999984</v>
      </c>
      <c r="T50" s="77">
        <f>IF((K50)=0,"",(S50/K50))</f>
        <v>-6.3740480789547416E-2</v>
      </c>
      <c r="U50" s="75"/>
      <c r="V50" s="72"/>
      <c r="W50" s="74">
        <f>SUM(W40:W46,W39)</f>
        <v>221.4793440021283</v>
      </c>
      <c r="X50" s="75"/>
      <c r="Y50" s="76">
        <f t="shared" si="14"/>
        <v>-0.33999999945731929</v>
      </c>
      <c r="Z50" s="77">
        <f>IF((Q50)=0,"",(Y50/Q50))</f>
        <v>-1.5327788520323497E-3</v>
      </c>
      <c r="AA50" s="75"/>
      <c r="AB50" s="72"/>
      <c r="AC50" s="74">
        <f>SUM(AC40:AC46,AC39)</f>
        <v>217.64896611439821</v>
      </c>
      <c r="AD50" s="75"/>
      <c r="AE50" s="76">
        <f t="shared" si="15"/>
        <v>-3.8303778877300942</v>
      </c>
      <c r="AF50" s="77">
        <f>IF((W50)=0,"",(AE50/W50))</f>
        <v>-1.7294515228893248E-2</v>
      </c>
    </row>
    <row r="51" spans="2:36" ht="12.6" customHeight="1" x14ac:dyDescent="0.2">
      <c r="B51" s="78" t="s">
        <v>35</v>
      </c>
      <c r="C51" s="14"/>
      <c r="D51" s="14"/>
      <c r="E51" s="14"/>
      <c r="F51" s="80"/>
      <c r="G51" s="79">
        <v>0.13</v>
      </c>
      <c r="H51" s="82">
        <f>H50*G51</f>
        <v>31.732060098831408</v>
      </c>
      <c r="I51" s="81"/>
      <c r="J51" s="79">
        <v>0.13</v>
      </c>
      <c r="K51" s="82">
        <f>K50*J51</f>
        <v>30.799702570206129</v>
      </c>
      <c r="L51" s="81"/>
      <c r="M51" s="83">
        <f t="shared" si="29"/>
        <v>-0.93235752862527832</v>
      </c>
      <c r="N51" s="84">
        <f>IF((H51)=0,"",(M51/H51))</f>
        <v>-2.9382193457386466E-2</v>
      </c>
      <c r="O51" s="212"/>
      <c r="P51" s="79">
        <v>0.13</v>
      </c>
      <c r="Q51" s="82">
        <f>Q50*P51</f>
        <v>28.836514720206132</v>
      </c>
      <c r="R51" s="81"/>
      <c r="S51" s="83">
        <f t="shared" si="13"/>
        <v>-1.9631878499999971</v>
      </c>
      <c r="T51" s="84">
        <f>IF((K51)=0,"",(S51/K51))</f>
        <v>-6.3740480789547388E-2</v>
      </c>
      <c r="U51" s="81"/>
      <c r="V51" s="79">
        <v>0.13</v>
      </c>
      <c r="W51" s="82">
        <f>W50*V51</f>
        <v>28.792314720276678</v>
      </c>
      <c r="X51" s="81"/>
      <c r="Y51" s="83">
        <f t="shared" si="14"/>
        <v>-4.4199999929453782E-2</v>
      </c>
      <c r="Z51" s="84">
        <f>IF((Q51)=0,"",(Y51/Q51))</f>
        <v>-1.5327788520324286E-3</v>
      </c>
      <c r="AA51" s="81"/>
      <c r="AB51" s="79">
        <v>0.13</v>
      </c>
      <c r="AC51" s="82">
        <f>AC50*AB51</f>
        <v>28.294365594871767</v>
      </c>
      <c r="AD51" s="81"/>
      <c r="AE51" s="83">
        <f t="shared" si="15"/>
        <v>-0.49794912540491154</v>
      </c>
      <c r="AF51" s="84">
        <f>IF((W51)=0,"",(AE51/W51))</f>
        <v>-1.7294515228893224E-2</v>
      </c>
    </row>
    <row r="52" spans="2:36" ht="12.75" customHeight="1" x14ac:dyDescent="0.2">
      <c r="B52" s="85" t="s">
        <v>36</v>
      </c>
      <c r="C52" s="14"/>
      <c r="D52" s="14"/>
      <c r="E52" s="14"/>
      <c r="F52" s="80"/>
      <c r="G52" s="86"/>
      <c r="H52" s="82">
        <f>H50+H51</f>
        <v>275.82483008984224</v>
      </c>
      <c r="I52" s="81"/>
      <c r="J52" s="86"/>
      <c r="K52" s="82">
        <f>K50+K51</f>
        <v>267.72049157179174</v>
      </c>
      <c r="L52" s="81"/>
      <c r="M52" s="83">
        <f t="shared" si="29"/>
        <v>-8.104338518050497</v>
      </c>
      <c r="N52" s="84">
        <f>IF((H52)=0,"",(M52/H52))</f>
        <v>-2.938219345738647E-2</v>
      </c>
      <c r="O52" s="212"/>
      <c r="P52" s="86"/>
      <c r="Q52" s="82">
        <f>Q50+Q51</f>
        <v>250.65585872179176</v>
      </c>
      <c r="R52" s="81"/>
      <c r="S52" s="83">
        <f t="shared" si="13"/>
        <v>-17.064632849999981</v>
      </c>
      <c r="T52" s="84">
        <f>IF((K52)=0,"",(S52/K52))</f>
        <v>-6.3740480789547416E-2</v>
      </c>
      <c r="U52" s="81"/>
      <c r="V52" s="86"/>
      <c r="W52" s="82">
        <f>W50+W51</f>
        <v>250.27165872240499</v>
      </c>
      <c r="X52" s="81"/>
      <c r="Y52" s="83">
        <f t="shared" si="14"/>
        <v>-0.38419999938676597</v>
      </c>
      <c r="Z52" s="84">
        <f>IF((Q52)=0,"",(Y52/Q52))</f>
        <v>-1.5327788520323304E-3</v>
      </c>
      <c r="AA52" s="81"/>
      <c r="AB52" s="86"/>
      <c r="AC52" s="82">
        <f>AC50+AC51</f>
        <v>245.94333170926998</v>
      </c>
      <c r="AD52" s="81"/>
      <c r="AE52" s="83">
        <f t="shared" si="15"/>
        <v>-4.3283270131350093</v>
      </c>
      <c r="AF52" s="84">
        <f>IF((W52)=0,"",(AE52/W52))</f>
        <v>-1.7294515228893258E-2</v>
      </c>
    </row>
    <row r="53" spans="2:36" ht="15.75" customHeight="1" x14ac:dyDescent="0.2">
      <c r="B53" s="243" t="s">
        <v>107</v>
      </c>
      <c r="C53" s="243"/>
      <c r="D53" s="243"/>
      <c r="E53" s="243"/>
      <c r="F53" s="80"/>
      <c r="G53" s="86"/>
      <c r="H53" s="87">
        <v>0</v>
      </c>
      <c r="I53" s="81"/>
      <c r="J53" s="86"/>
      <c r="K53" s="87">
        <f>-K50*0.08</f>
        <v>-18.953663120126848</v>
      </c>
      <c r="L53" s="81"/>
      <c r="M53" s="88">
        <f t="shared" si="29"/>
        <v>-18.953663120126848</v>
      </c>
      <c r="N53" s="89" t="str">
        <f>IF((H53)=0,"",(M53/H53))</f>
        <v/>
      </c>
      <c r="O53" s="212"/>
      <c r="P53" s="86"/>
      <c r="Q53" s="87">
        <f>ROUND(-Q52*10%,2)</f>
        <v>-25.07</v>
      </c>
      <c r="R53" s="81"/>
      <c r="S53" s="88">
        <f t="shared" si="13"/>
        <v>-6.1163368798731526</v>
      </c>
      <c r="T53" s="89">
        <f>IF((K53)=0,"",(S53/K53))</f>
        <v>0.32269946137104388</v>
      </c>
      <c r="U53" s="81"/>
      <c r="V53" s="86"/>
      <c r="W53" s="87">
        <f>ROUND(-W52*10%,2)</f>
        <v>-25.03</v>
      </c>
      <c r="X53" s="81"/>
      <c r="Y53" s="88">
        <f t="shared" si="14"/>
        <v>3.9999999999999147E-2</v>
      </c>
      <c r="Z53" s="89">
        <f>IF((Q53)=0,"",(Y53/Q53))</f>
        <v>-1.5955325089748364E-3</v>
      </c>
      <c r="AA53" s="81"/>
      <c r="AB53" s="86"/>
      <c r="AC53" s="87">
        <f>ROUND(-AC52*10%,2)</f>
        <v>-24.59</v>
      </c>
      <c r="AD53" s="81"/>
      <c r="AE53" s="88">
        <f t="shared" si="15"/>
        <v>0.44000000000000128</v>
      </c>
      <c r="AF53" s="89">
        <f>IF((W53)=0,"",(AE53/W53))</f>
        <v>-1.7578905313623702E-2</v>
      </c>
    </row>
    <row r="54" spans="2:36" ht="13.5" customHeight="1" thickBot="1" x14ac:dyDescent="0.25">
      <c r="B54" s="239" t="s">
        <v>108</v>
      </c>
      <c r="C54" s="239"/>
      <c r="D54" s="239"/>
      <c r="E54" s="141"/>
      <c r="F54" s="91"/>
      <c r="G54" s="90"/>
      <c r="H54" s="93">
        <f>H52+H53</f>
        <v>275.82483008984224</v>
      </c>
      <c r="I54" s="92"/>
      <c r="J54" s="90"/>
      <c r="K54" s="93">
        <f>K52+K53</f>
        <v>248.76682845166488</v>
      </c>
      <c r="L54" s="92"/>
      <c r="M54" s="94">
        <f t="shared" si="29"/>
        <v>-27.058001638177359</v>
      </c>
      <c r="N54" s="95">
        <f>IF((H54)=0,"",(M54/H54))</f>
        <v>-9.809849834535915E-2</v>
      </c>
      <c r="O54" s="212"/>
      <c r="P54" s="90"/>
      <c r="Q54" s="93">
        <f>Q52+Q53</f>
        <v>225.58585872179177</v>
      </c>
      <c r="R54" s="92"/>
      <c r="S54" s="94">
        <f t="shared" si="13"/>
        <v>-23.180969729873112</v>
      </c>
      <c r="T54" s="95">
        <f>IF((K54)=0,"",(S54/K54))</f>
        <v>-9.3183524001782855E-2</v>
      </c>
      <c r="U54" s="92"/>
      <c r="V54" s="90"/>
      <c r="W54" s="93">
        <f>W52+W53</f>
        <v>225.24165872240499</v>
      </c>
      <c r="X54" s="92"/>
      <c r="Y54" s="94">
        <f t="shared" si="14"/>
        <v>-0.34419999938677392</v>
      </c>
      <c r="Z54" s="95">
        <f>IF((Q54)=0,"",(Y54/Q54))</f>
        <v>-1.5258048591213574E-3</v>
      </c>
      <c r="AA54" s="92"/>
      <c r="AB54" s="90"/>
      <c r="AC54" s="93">
        <f>AC52+AC53</f>
        <v>221.35333170926998</v>
      </c>
      <c r="AD54" s="92"/>
      <c r="AE54" s="94">
        <f t="shared" si="15"/>
        <v>-3.8883270131350116</v>
      </c>
      <c r="AF54" s="95">
        <f>IF((W54)=0,"",(AE54/W54))</f>
        <v>-1.7262912354624016E-2</v>
      </c>
    </row>
    <row r="55" spans="2:36" s="61" customFormat="1" ht="8.25" customHeight="1" thickBot="1" x14ac:dyDescent="0.25">
      <c r="B55" s="96"/>
      <c r="C55" s="97"/>
      <c r="D55" s="98"/>
      <c r="E55" s="98"/>
      <c r="F55" s="99"/>
      <c r="G55" s="65"/>
      <c r="H55" s="67"/>
      <c r="I55" s="100"/>
      <c r="J55" s="65"/>
      <c r="K55" s="67"/>
      <c r="L55" s="100"/>
      <c r="M55" s="101">
        <f t="shared" si="29"/>
        <v>0</v>
      </c>
      <c r="N55" s="70"/>
      <c r="O55" s="212"/>
      <c r="P55" s="65"/>
      <c r="Q55" s="67"/>
      <c r="R55" s="100"/>
      <c r="S55" s="101">
        <f t="shared" si="13"/>
        <v>0</v>
      </c>
      <c r="T55" s="70"/>
      <c r="U55" s="100"/>
      <c r="V55" s="65"/>
      <c r="W55" s="67"/>
      <c r="X55" s="100"/>
      <c r="Y55" s="101">
        <f t="shared" si="14"/>
        <v>0</v>
      </c>
      <c r="Z55" s="70"/>
      <c r="AA55" s="100"/>
      <c r="AB55" s="65"/>
      <c r="AC55" s="67"/>
      <c r="AD55" s="100"/>
      <c r="AE55" s="101">
        <f t="shared" si="15"/>
        <v>0</v>
      </c>
      <c r="AF55" s="70"/>
    </row>
    <row r="56" spans="2:36" s="61" customFormat="1" x14ac:dyDescent="0.2">
      <c r="B56" s="102" t="s">
        <v>37</v>
      </c>
      <c r="C56" s="56"/>
      <c r="D56" s="56"/>
      <c r="E56" s="56"/>
      <c r="F56" s="104"/>
      <c r="G56" s="103"/>
      <c r="H56" s="105">
        <f>SUM(H47:H48,H39,H40:H43)</f>
        <v>247.03276999101081</v>
      </c>
      <c r="I56" s="106"/>
      <c r="J56" s="103"/>
      <c r="K56" s="105">
        <f>SUM(K47:K48,K39,K40:K43)</f>
        <v>239.8607890015856</v>
      </c>
      <c r="L56" s="106"/>
      <c r="M56" s="107">
        <f t="shared" si="29"/>
        <v>-7.171980989425208</v>
      </c>
      <c r="N56" s="77">
        <f>IF((H56)=0,"",(M56/H56))</f>
        <v>-2.9032508479284697E-2</v>
      </c>
      <c r="O56" s="212"/>
      <c r="P56" s="103"/>
      <c r="Q56" s="105">
        <f>SUM(Q47:Q48,Q39,Q40:Q43)</f>
        <v>224.00934400158562</v>
      </c>
      <c r="R56" s="106"/>
      <c r="S56" s="107">
        <f t="shared" si="13"/>
        <v>-15.851444999999984</v>
      </c>
      <c r="T56" s="77">
        <f>IF((K56)=0,"",(S56/K56))</f>
        <v>-6.6086020420349736E-2</v>
      </c>
      <c r="U56" s="106"/>
      <c r="V56" s="103"/>
      <c r="W56" s="105">
        <f>SUM(W47:W48,W39,W40:W43)</f>
        <v>223.6693440021283</v>
      </c>
      <c r="X56" s="106"/>
      <c r="Y56" s="107">
        <f t="shared" si="14"/>
        <v>-0.33999999945731929</v>
      </c>
      <c r="Z56" s="77">
        <f>IF((Q56)=0,"",(Y56/Q56))</f>
        <v>-1.5177938267383732E-3</v>
      </c>
      <c r="AA56" s="106"/>
      <c r="AB56" s="103"/>
      <c r="AC56" s="105">
        <f>SUM(AC47:AC48,AC39,AC40:AC43)</f>
        <v>219.83896611439823</v>
      </c>
      <c r="AD56" s="106"/>
      <c r="AE56" s="107">
        <f t="shared" si="15"/>
        <v>-3.8303778877300658</v>
      </c>
      <c r="AF56" s="77">
        <f>IF((W56)=0,"",(AE56/W56))</f>
        <v>-1.7125180497214756E-2</v>
      </c>
    </row>
    <row r="57" spans="2:36" s="61" customFormat="1" ht="12.6" customHeight="1" x14ac:dyDescent="0.2">
      <c r="B57" s="108" t="s">
        <v>35</v>
      </c>
      <c r="C57" s="56"/>
      <c r="D57" s="56"/>
      <c r="E57" s="56"/>
      <c r="F57" s="104"/>
      <c r="G57" s="109">
        <v>0.13</v>
      </c>
      <c r="H57" s="111">
        <f>H56*G57</f>
        <v>32.114260098831409</v>
      </c>
      <c r="I57" s="110"/>
      <c r="J57" s="109">
        <v>0.13</v>
      </c>
      <c r="K57" s="111">
        <f>K56*J57</f>
        <v>31.18190257020613</v>
      </c>
      <c r="L57" s="110"/>
      <c r="M57" s="112">
        <f t="shared" si="29"/>
        <v>-0.93235752862527832</v>
      </c>
      <c r="N57" s="84">
        <f>IF((H57)=0,"",(M57/H57))</f>
        <v>-2.9032508479284735E-2</v>
      </c>
      <c r="O57" s="212"/>
      <c r="P57" s="109">
        <v>0.13</v>
      </c>
      <c r="Q57" s="111">
        <f>Q56*P57</f>
        <v>29.12121472020613</v>
      </c>
      <c r="R57" s="110"/>
      <c r="S57" s="112">
        <f t="shared" si="13"/>
        <v>-2.0606878500000008</v>
      </c>
      <c r="T57" s="84">
        <f>IF((K57)=0,"",(S57/K57))</f>
        <v>-6.608602042034982E-2</v>
      </c>
      <c r="U57" s="110"/>
      <c r="V57" s="109">
        <v>0.13</v>
      </c>
      <c r="W57" s="111">
        <f>W56*V57</f>
        <v>29.077014720276679</v>
      </c>
      <c r="X57" s="110"/>
      <c r="Y57" s="112">
        <f t="shared" si="14"/>
        <v>-4.4199999929450229E-2</v>
      </c>
      <c r="Z57" s="84">
        <f>IF((Q57)=0,"",(Y57/Q57))</f>
        <v>-1.5177938267383294E-3</v>
      </c>
      <c r="AA57" s="110"/>
      <c r="AB57" s="109">
        <v>0.13</v>
      </c>
      <c r="AC57" s="111">
        <f>AC56*AB57</f>
        <v>28.579065594871771</v>
      </c>
      <c r="AD57" s="110"/>
      <c r="AE57" s="112">
        <f t="shared" si="15"/>
        <v>-0.49794912540490799</v>
      </c>
      <c r="AF57" s="84">
        <f>IF((W57)=0,"",(AE57/W57))</f>
        <v>-1.7125180497214735E-2</v>
      </c>
    </row>
    <row r="58" spans="2:36" s="61" customFormat="1" ht="12.75" customHeight="1" x14ac:dyDescent="0.2">
      <c r="B58" s="113" t="s">
        <v>36</v>
      </c>
      <c r="C58" s="56"/>
      <c r="D58" s="56"/>
      <c r="E58" s="56"/>
      <c r="F58" s="115"/>
      <c r="G58" s="114"/>
      <c r="H58" s="111">
        <f>H56+H57</f>
        <v>279.14703008984225</v>
      </c>
      <c r="I58" s="110"/>
      <c r="J58" s="114"/>
      <c r="K58" s="111">
        <f>K56+K57</f>
        <v>271.04269157179175</v>
      </c>
      <c r="L58" s="110"/>
      <c r="M58" s="112">
        <f t="shared" si="29"/>
        <v>-8.104338518050497</v>
      </c>
      <c r="N58" s="84">
        <f>IF((H58)=0,"",(M58/H58))</f>
        <v>-2.9032508479284739E-2</v>
      </c>
      <c r="O58" s="212"/>
      <c r="P58" s="114"/>
      <c r="Q58" s="111">
        <f>Q56+Q57</f>
        <v>253.13055872179174</v>
      </c>
      <c r="R58" s="110"/>
      <c r="S58" s="112">
        <f t="shared" si="13"/>
        <v>-17.912132850000006</v>
      </c>
      <c r="T58" s="84">
        <f>IF((K58)=0,"",(S58/K58))</f>
        <v>-6.608602042034982E-2</v>
      </c>
      <c r="U58" s="110"/>
      <c r="V58" s="114"/>
      <c r="W58" s="111">
        <f>W56+W57</f>
        <v>252.74635872240498</v>
      </c>
      <c r="X58" s="110"/>
      <c r="Y58" s="112">
        <f t="shared" si="14"/>
        <v>-0.38419999938676597</v>
      </c>
      <c r="Z58" s="84">
        <f>IF((Q58)=0,"",(Y58/Q58))</f>
        <v>-1.5177938267383541E-3</v>
      </c>
      <c r="AA58" s="110"/>
      <c r="AB58" s="114"/>
      <c r="AC58" s="111">
        <f>AC56+AC57</f>
        <v>248.41803170927</v>
      </c>
      <c r="AD58" s="110"/>
      <c r="AE58" s="112">
        <f t="shared" si="15"/>
        <v>-4.3283270131349809</v>
      </c>
      <c r="AF58" s="84">
        <f>IF((W58)=0,"",(AE58/W58))</f>
        <v>-1.7125180497214783E-2</v>
      </c>
    </row>
    <row r="59" spans="2:36" s="61" customFormat="1" ht="15.75" customHeight="1" x14ac:dyDescent="0.2">
      <c r="B59" s="244" t="s">
        <v>107</v>
      </c>
      <c r="C59" s="244"/>
      <c r="D59" s="244"/>
      <c r="E59" s="244"/>
      <c r="F59" s="115"/>
      <c r="G59" s="114"/>
      <c r="H59" s="116">
        <v>0</v>
      </c>
      <c r="I59" s="110"/>
      <c r="J59" s="114"/>
      <c r="K59" s="116">
        <f>-K56*0.08</f>
        <v>-19.18886312012685</v>
      </c>
      <c r="L59" s="110"/>
      <c r="M59" s="117">
        <f t="shared" si="29"/>
        <v>-19.18886312012685</v>
      </c>
      <c r="N59" s="89" t="str">
        <f>IF((H59)=0,"",(M59/H59))</f>
        <v/>
      </c>
      <c r="O59" s="212"/>
      <c r="P59" s="114"/>
      <c r="Q59" s="116">
        <f>ROUND(-Q58*10%,2)</f>
        <v>-25.31</v>
      </c>
      <c r="R59" s="110"/>
      <c r="S59" s="117">
        <f t="shared" si="13"/>
        <v>-6.1211368798731485</v>
      </c>
      <c r="T59" s="89">
        <f>IF((K59)=0,"",(S59/K59))</f>
        <v>0.31899424377324359</v>
      </c>
      <c r="U59" s="110"/>
      <c r="V59" s="114"/>
      <c r="W59" s="116">
        <f>ROUND(-W58*10%,2)</f>
        <v>-25.27</v>
      </c>
      <c r="X59" s="110"/>
      <c r="Y59" s="117">
        <f t="shared" si="14"/>
        <v>3.9999999999999147E-2</v>
      </c>
      <c r="Z59" s="89">
        <f>IF((Q59)=0,"",(Y59/Q59))</f>
        <v>-1.5804030027656716E-3</v>
      </c>
      <c r="AA59" s="110"/>
      <c r="AB59" s="114"/>
      <c r="AC59" s="116">
        <f>ROUND(-AC58*10%,2)</f>
        <v>-24.84</v>
      </c>
      <c r="AD59" s="110"/>
      <c r="AE59" s="117">
        <f t="shared" si="15"/>
        <v>0.42999999999999972</v>
      </c>
      <c r="AF59" s="89">
        <f>IF((W59)=0,"",(AE59/W59))</f>
        <v>-1.7016224772457449E-2</v>
      </c>
    </row>
    <row r="60" spans="2:36" s="61" customFormat="1" ht="13.5" customHeight="1" thickBot="1" x14ac:dyDescent="0.25">
      <c r="B60" s="240" t="s">
        <v>109</v>
      </c>
      <c r="C60" s="240"/>
      <c r="D60" s="240"/>
      <c r="E60" s="135"/>
      <c r="F60" s="119"/>
      <c r="G60" s="118"/>
      <c r="H60" s="121">
        <f>SUM(H58:H59)</f>
        <v>279.14703008984225</v>
      </c>
      <c r="I60" s="120"/>
      <c r="J60" s="118"/>
      <c r="K60" s="121">
        <f>SUM(K58:K59)</f>
        <v>251.8538284516649</v>
      </c>
      <c r="L60" s="120"/>
      <c r="M60" s="122">
        <f t="shared" si="29"/>
        <v>-27.293201638177351</v>
      </c>
      <c r="N60" s="123">
        <f>IF((H60)=0,"",(M60/H60))</f>
        <v>-9.777356982588406E-2</v>
      </c>
      <c r="O60" s="212"/>
      <c r="P60" s="118"/>
      <c r="Q60" s="121">
        <f>SUM(Q58:Q59)</f>
        <v>227.82055872179174</v>
      </c>
      <c r="R60" s="120"/>
      <c r="S60" s="122">
        <f t="shared" si="13"/>
        <v>-24.033269729873155</v>
      </c>
      <c r="T60" s="123">
        <f>IF((K60)=0,"",(S60/K60))</f>
        <v>-9.542546912081408E-2</v>
      </c>
      <c r="U60" s="120"/>
      <c r="V60" s="118"/>
      <c r="W60" s="121">
        <f>SUM(W58:W59)</f>
        <v>227.47635872240497</v>
      </c>
      <c r="X60" s="120"/>
      <c r="Y60" s="122">
        <f t="shared" si="14"/>
        <v>-0.34419999938677392</v>
      </c>
      <c r="Z60" s="123">
        <f>IF((Q60)=0,"",(Y60/Q60))</f>
        <v>-1.5108381847447824E-3</v>
      </c>
      <c r="AA60" s="120"/>
      <c r="AB60" s="118"/>
      <c r="AC60" s="121">
        <f>SUM(AC58:AC59)</f>
        <v>223.57803170926999</v>
      </c>
      <c r="AD60" s="120"/>
      <c r="AE60" s="122">
        <f t="shared" si="15"/>
        <v>-3.8983270131349741</v>
      </c>
      <c r="AF60" s="123">
        <f>IF((W60)=0,"",(AE60/W60))</f>
        <v>-1.7137284221663662E-2</v>
      </c>
    </row>
    <row r="61" spans="2:36" s="61" customFormat="1" ht="8.25" customHeight="1" thickBot="1" x14ac:dyDescent="0.25">
      <c r="B61" s="96"/>
      <c r="C61" s="97"/>
      <c r="D61" s="98"/>
      <c r="E61" s="98"/>
      <c r="F61" s="125"/>
      <c r="G61" s="124"/>
      <c r="H61" s="127"/>
      <c r="I61" s="126"/>
      <c r="J61" s="124"/>
      <c r="K61" s="127"/>
      <c r="L61" s="126"/>
      <c r="M61" s="128"/>
      <c r="N61" s="70"/>
      <c r="O61" s="212"/>
      <c r="P61" s="124"/>
      <c r="Q61" s="127"/>
      <c r="R61" s="126"/>
      <c r="S61" s="128"/>
      <c r="T61" s="70"/>
      <c r="U61" s="126"/>
      <c r="V61" s="124"/>
      <c r="W61" s="127"/>
      <c r="X61" s="126"/>
      <c r="Y61" s="128"/>
      <c r="Z61" s="70"/>
      <c r="AA61" s="126"/>
      <c r="AB61" s="124"/>
      <c r="AC61" s="127"/>
      <c r="AD61" s="126"/>
      <c r="AE61" s="128"/>
      <c r="AF61" s="70"/>
    </row>
    <row r="62" spans="2:36" ht="10.5" customHeight="1" x14ac:dyDescent="0.2">
      <c r="H62" s="145"/>
      <c r="I62" s="142"/>
      <c r="K62" s="145"/>
      <c r="L62" s="142"/>
      <c r="M62" s="142"/>
      <c r="N62" s="142"/>
      <c r="O62" s="212"/>
      <c r="Q62" s="145"/>
      <c r="R62" s="142"/>
      <c r="S62" s="142"/>
      <c r="T62" s="142"/>
      <c r="U62" s="142"/>
      <c r="W62" s="145"/>
      <c r="X62" s="142"/>
      <c r="Y62" s="142"/>
      <c r="Z62" s="142"/>
      <c r="AA62" s="142"/>
      <c r="AC62" s="145"/>
      <c r="AD62" s="142"/>
      <c r="AE62" s="142"/>
      <c r="AF62" s="142"/>
    </row>
    <row r="63" spans="2:36" x14ac:dyDescent="0.2">
      <c r="B63" s="7" t="s">
        <v>38</v>
      </c>
      <c r="G63" s="129">
        <v>3.7900000000000003E-2</v>
      </c>
      <c r="I63" s="142"/>
      <c r="J63" s="129">
        <v>3.7900000000000003E-2</v>
      </c>
      <c r="K63" s="142"/>
      <c r="L63" s="142"/>
      <c r="M63" s="142"/>
      <c r="N63" s="142"/>
      <c r="O63" s="142"/>
      <c r="P63" s="129">
        <v>3.7900000000000003E-2</v>
      </c>
      <c r="Q63" s="142"/>
      <c r="R63" s="142"/>
      <c r="S63" s="142"/>
      <c r="T63" s="142"/>
      <c r="U63" s="142"/>
      <c r="V63" s="129">
        <v>3.7900000000000003E-2</v>
      </c>
      <c r="W63" s="142"/>
      <c r="X63" s="142"/>
      <c r="Y63" s="142"/>
      <c r="Z63" s="142"/>
      <c r="AA63" s="142"/>
      <c r="AB63" s="129">
        <v>3.7900000000000003E-2</v>
      </c>
      <c r="AC63" s="142"/>
      <c r="AD63" s="142"/>
      <c r="AE63" s="142"/>
      <c r="AF63" s="142"/>
    </row>
    <row r="64" spans="2:36" ht="10.5" customHeight="1" x14ac:dyDescent="0.2">
      <c r="I64" s="142"/>
      <c r="K64" s="142"/>
      <c r="L64" s="142"/>
      <c r="M64" s="142"/>
      <c r="N64" s="142"/>
      <c r="O64" s="142"/>
      <c r="R64" s="142"/>
      <c r="U64" s="142"/>
      <c r="X64" s="142"/>
      <c r="AA64" s="142"/>
      <c r="AD64" s="142"/>
      <c r="AG64" s="142"/>
      <c r="AJ64" s="142"/>
    </row>
    <row r="65" spans="1:36" ht="10.5" customHeight="1" x14ac:dyDescent="0.2">
      <c r="A65" s="130" t="s">
        <v>39</v>
      </c>
      <c r="I65" s="142"/>
      <c r="K65" s="142"/>
      <c r="L65" s="142"/>
      <c r="M65" s="142"/>
      <c r="N65" s="142"/>
      <c r="O65" s="142"/>
      <c r="R65" s="142"/>
      <c r="U65" s="142"/>
      <c r="X65" s="142"/>
      <c r="AA65" s="142"/>
      <c r="AD65" s="142"/>
      <c r="AG65" s="142"/>
      <c r="AJ65" s="142"/>
    </row>
    <row r="66" spans="1:36" ht="10.5" customHeight="1" x14ac:dyDescent="0.2">
      <c r="I66" s="142"/>
      <c r="K66" s="142"/>
      <c r="L66" s="142"/>
      <c r="M66" s="142"/>
      <c r="N66" s="142"/>
      <c r="O66" s="142"/>
      <c r="R66" s="142"/>
      <c r="U66" s="142"/>
      <c r="X66" s="142"/>
      <c r="AA66" s="142"/>
      <c r="AD66" s="142"/>
      <c r="AG66" s="142"/>
      <c r="AJ66" s="142"/>
    </row>
    <row r="67" spans="1:36" x14ac:dyDescent="0.2">
      <c r="A67" s="1" t="s">
        <v>40</v>
      </c>
      <c r="I67" s="142"/>
      <c r="K67" s="142"/>
      <c r="L67" s="142"/>
      <c r="M67" s="142"/>
      <c r="N67" s="142"/>
      <c r="O67" s="142"/>
      <c r="R67" s="142"/>
      <c r="U67" s="142"/>
      <c r="X67" s="142"/>
      <c r="AA67" s="142"/>
      <c r="AD67" s="142"/>
      <c r="AG67" s="142"/>
      <c r="AJ67" s="142"/>
    </row>
    <row r="68" spans="1:36" x14ac:dyDescent="0.2">
      <c r="A68" s="1" t="s">
        <v>41</v>
      </c>
      <c r="I68" s="142"/>
      <c r="K68" s="142"/>
      <c r="L68" s="142"/>
      <c r="M68" s="142"/>
      <c r="N68" s="142"/>
      <c r="O68" s="142"/>
      <c r="R68" s="142"/>
      <c r="U68" s="142"/>
      <c r="X68" s="142"/>
      <c r="AA68" s="142"/>
      <c r="AD68" s="142"/>
      <c r="AG68" s="142"/>
      <c r="AJ68" s="142"/>
    </row>
    <row r="69" spans="1:36" x14ac:dyDescent="0.2">
      <c r="I69" s="142"/>
      <c r="K69" s="142"/>
      <c r="L69" s="142"/>
      <c r="M69" s="142"/>
      <c r="N69" s="142"/>
      <c r="O69" s="142"/>
      <c r="R69" s="142"/>
      <c r="U69" s="142"/>
      <c r="X69" s="142"/>
      <c r="AA69" s="142"/>
      <c r="AD69" s="142"/>
      <c r="AG69" s="142"/>
      <c r="AJ69" s="142"/>
    </row>
    <row r="70" spans="1:36" x14ac:dyDescent="0.2">
      <c r="A70" s="6" t="s">
        <v>42</v>
      </c>
      <c r="I70" s="142"/>
      <c r="K70" s="142"/>
      <c r="L70" s="142"/>
      <c r="M70" s="142"/>
      <c r="N70" s="142"/>
      <c r="O70" s="142"/>
      <c r="R70" s="142"/>
      <c r="U70" s="142"/>
      <c r="X70" s="142"/>
      <c r="AA70" s="142"/>
      <c r="AD70" s="142"/>
      <c r="AG70" s="142"/>
      <c r="AJ70" s="142"/>
    </row>
    <row r="71" spans="1:36" x14ac:dyDescent="0.2">
      <c r="A71" s="6" t="s">
        <v>43</v>
      </c>
      <c r="I71" s="142"/>
      <c r="K71" s="142"/>
      <c r="L71" s="142"/>
      <c r="M71" s="142"/>
      <c r="N71" s="142"/>
      <c r="O71" s="142"/>
      <c r="R71" s="142"/>
      <c r="U71" s="142"/>
      <c r="X71" s="142"/>
      <c r="AA71" s="142"/>
      <c r="AD71" s="142"/>
      <c r="AG71" s="142"/>
      <c r="AJ71" s="142"/>
    </row>
    <row r="72" spans="1:36" x14ac:dyDescent="0.2">
      <c r="I72" s="142"/>
      <c r="K72" s="142"/>
      <c r="L72" s="142"/>
      <c r="M72" s="142"/>
      <c r="N72" s="142"/>
      <c r="O72" s="142"/>
      <c r="R72" s="142"/>
      <c r="U72" s="142"/>
      <c r="X72" s="142"/>
      <c r="AA72" s="142"/>
      <c r="AD72" s="142"/>
      <c r="AG72" s="142"/>
      <c r="AJ72" s="142"/>
    </row>
    <row r="73" spans="1:36" x14ac:dyDescent="0.2">
      <c r="A73" s="1" t="s">
        <v>44</v>
      </c>
      <c r="I73" s="142"/>
      <c r="K73" s="142"/>
      <c r="L73" s="142"/>
      <c r="M73" s="142"/>
      <c r="N73" s="142"/>
      <c r="O73" s="142"/>
      <c r="R73" s="142"/>
      <c r="U73" s="142"/>
      <c r="X73" s="142"/>
      <c r="AA73" s="142"/>
      <c r="AD73" s="142"/>
      <c r="AG73" s="142"/>
      <c r="AJ73" s="142"/>
    </row>
    <row r="74" spans="1:36" x14ac:dyDescent="0.2">
      <c r="A74" s="1" t="s">
        <v>45</v>
      </c>
      <c r="I74" s="142"/>
      <c r="K74" s="142"/>
      <c r="L74" s="142"/>
      <c r="M74" s="142"/>
      <c r="N74" s="142"/>
      <c r="O74" s="142"/>
      <c r="R74" s="142"/>
      <c r="U74" s="142"/>
      <c r="X74" s="142"/>
      <c r="AA74" s="142"/>
      <c r="AD74" s="142"/>
      <c r="AG74" s="142"/>
      <c r="AJ74" s="142"/>
    </row>
    <row r="75" spans="1:36" x14ac:dyDescent="0.2">
      <c r="A75" s="1" t="s">
        <v>46</v>
      </c>
      <c r="I75" s="142"/>
      <c r="K75" s="142"/>
      <c r="L75" s="142"/>
      <c r="M75" s="142"/>
      <c r="N75" s="142"/>
      <c r="O75" s="142"/>
      <c r="R75" s="142"/>
      <c r="U75" s="142"/>
      <c r="X75" s="142"/>
      <c r="AA75" s="142"/>
      <c r="AD75" s="142"/>
      <c r="AG75" s="142"/>
      <c r="AJ75" s="142"/>
    </row>
    <row r="76" spans="1:36" x14ac:dyDescent="0.2">
      <c r="A76" s="1" t="s">
        <v>47</v>
      </c>
      <c r="I76" s="142"/>
      <c r="K76" s="142"/>
      <c r="L76" s="142"/>
      <c r="M76" s="142"/>
      <c r="N76" s="142"/>
      <c r="O76" s="142"/>
      <c r="R76" s="142"/>
      <c r="U76" s="142"/>
      <c r="X76" s="142"/>
      <c r="AA76" s="142"/>
      <c r="AD76" s="142"/>
      <c r="AG76" s="142"/>
      <c r="AJ76" s="142"/>
    </row>
    <row r="77" spans="1:36" x14ac:dyDescent="0.2">
      <c r="A77" s="1" t="s">
        <v>48</v>
      </c>
      <c r="I77" s="142"/>
      <c r="K77" s="142"/>
      <c r="L77" s="142"/>
      <c r="M77" s="142"/>
      <c r="N77" s="142"/>
      <c r="O77" s="142"/>
      <c r="R77" s="142"/>
      <c r="U77" s="142"/>
      <c r="X77" s="142"/>
      <c r="AA77" s="142"/>
      <c r="AD77" s="142"/>
      <c r="AG77" s="142"/>
      <c r="AJ77" s="142"/>
    </row>
    <row r="78" spans="1:36" x14ac:dyDescent="0.2">
      <c r="I78" s="142"/>
      <c r="K78" s="142"/>
      <c r="L78" s="142"/>
      <c r="M78" s="142"/>
      <c r="N78" s="142"/>
      <c r="O78" s="142"/>
      <c r="R78" s="142"/>
      <c r="U78" s="142"/>
      <c r="X78" s="142"/>
      <c r="AA78" s="142"/>
      <c r="AD78" s="142"/>
      <c r="AG78" s="142"/>
      <c r="AJ78" s="142"/>
    </row>
    <row r="79" spans="1:36" x14ac:dyDescent="0.2">
      <c r="A79" s="131"/>
      <c r="B79" s="1" t="s">
        <v>49</v>
      </c>
    </row>
  </sheetData>
  <sheetProtection selectLockedCells="1"/>
  <mergeCells count="13">
    <mergeCell ref="B54:D54"/>
    <mergeCell ref="B60:D60"/>
    <mergeCell ref="Y9:Z9"/>
    <mergeCell ref="AB9:AC9"/>
    <mergeCell ref="AE9:AF9"/>
    <mergeCell ref="P9:Q9"/>
    <mergeCell ref="G9:H9"/>
    <mergeCell ref="J9:K9"/>
    <mergeCell ref="M9:N9"/>
    <mergeCell ref="S9:T9"/>
    <mergeCell ref="V9:W9"/>
    <mergeCell ref="B53:E53"/>
    <mergeCell ref="B59:E5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12:E27 D55:E55 D61:E61 D40:E49 D29:E35">
      <formula1>"Monthly, per kWh, per kW"</formula1>
    </dataValidation>
  </dataValidations>
  <pageMargins left="0.75" right="0.75" top="1" bottom="1" header="0.5" footer="0.5"/>
  <pageSetup scale="53" orientation="portrait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171450</xdr:rowOff>
                  </from>
                  <to>
                    <xdr:col>12</xdr:col>
                    <xdr:colOff>200025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151E946DB9D4283CC2F5BE8C3F4DE" ma:contentTypeVersion="0" ma:contentTypeDescription="Create a new document." ma:contentTypeScope="" ma:versionID="ae73637131f57141f14ba0f0735b39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F5AF97-0CDB-4799-A095-B7522A5B9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D052D5-7E03-4B0A-AEF0-4D8D5929CF2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B55CD6-9138-447D-858B-18849258A7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31</vt:i4>
      </vt:variant>
    </vt:vector>
  </HeadingPairs>
  <TitlesOfParts>
    <vt:vector size="64" baseType="lpstr">
      <vt:lpstr>Summary (2)</vt:lpstr>
      <vt:lpstr>Summary (1)</vt:lpstr>
      <vt:lpstr>Bill Impacts - Residential 100</vt:lpstr>
      <vt:lpstr>Bill Impacts - Residential 200</vt:lpstr>
      <vt:lpstr>Bill Impacts - Residential 219</vt:lpstr>
      <vt:lpstr>Bill Impacts - Residential 500</vt:lpstr>
      <vt:lpstr>Bill Impacts - Residential 750</vt:lpstr>
      <vt:lpstr>Bill Impacts - Residential 1000</vt:lpstr>
      <vt:lpstr>Bill Impacts - Residential 1500</vt:lpstr>
      <vt:lpstr>Bill Impacts - Residential 2000</vt:lpstr>
      <vt:lpstr>Bill Impacts - GS &lt; 50 1000</vt:lpstr>
      <vt:lpstr>Bill Impacts - GS &lt; 50 2000</vt:lpstr>
      <vt:lpstr>Bill Impacts - GS &lt; 50 5000</vt:lpstr>
      <vt:lpstr>Bill Impacts - GS &lt; 50 10000</vt:lpstr>
      <vt:lpstr>Bill Impacts - GS &lt; 50 15000</vt:lpstr>
      <vt:lpstr>Bill Impacts - GS &gt; 50 100</vt:lpstr>
      <vt:lpstr>Bill Impacts - GS &gt; 50 250</vt:lpstr>
      <vt:lpstr>Bill Impacts - GS &gt; 50 350</vt:lpstr>
      <vt:lpstr>Bill Impacts - GS &gt; 50 2000</vt:lpstr>
      <vt:lpstr>Bill Impacts - GS &gt; 50 4000</vt:lpstr>
      <vt:lpstr>Bill Impacts - Large Use 5000</vt:lpstr>
      <vt:lpstr>Bill Impacts - Large Use 6500</vt:lpstr>
      <vt:lpstr>Bill Impacts - Large Use 7500</vt:lpstr>
      <vt:lpstr>Bill Impacts - Large Use 10000</vt:lpstr>
      <vt:lpstr>Bill Impacts - Large Use 12500</vt:lpstr>
      <vt:lpstr>Bill Impacts - Large Use2 15000</vt:lpstr>
      <vt:lpstr>Bill Impacts - Large Use2 20000</vt:lpstr>
      <vt:lpstr>Bill Impacts - USL 250</vt:lpstr>
      <vt:lpstr>Bill Impacts - USL 500</vt:lpstr>
      <vt:lpstr>Bill Impacts - Sentinel</vt:lpstr>
      <vt:lpstr>Bill Impacts - Sentinel (2)</vt:lpstr>
      <vt:lpstr>Bill Impacts - Street Light</vt:lpstr>
      <vt:lpstr>Bill Impacts - Street Light (2</vt:lpstr>
      <vt:lpstr>'Bill Impacts - GS &lt; 50 1000'!Print_Area</vt:lpstr>
      <vt:lpstr>'Bill Impacts - GS &lt; 50 10000'!Print_Area</vt:lpstr>
      <vt:lpstr>'Bill Impacts - GS &lt; 50 15000'!Print_Area</vt:lpstr>
      <vt:lpstr>'Bill Impacts - GS &lt; 50 2000'!Print_Area</vt:lpstr>
      <vt:lpstr>'Bill Impacts - GS &lt; 50 5000'!Print_Area</vt:lpstr>
      <vt:lpstr>'Bill Impacts - GS &gt; 50 100'!Print_Area</vt:lpstr>
      <vt:lpstr>'Bill Impacts - GS &gt; 50 2000'!Print_Area</vt:lpstr>
      <vt:lpstr>'Bill Impacts - GS &gt; 50 250'!Print_Area</vt:lpstr>
      <vt:lpstr>'Bill Impacts - GS &gt; 50 350'!Print_Area</vt:lpstr>
      <vt:lpstr>'Bill Impacts - GS &gt; 50 4000'!Print_Area</vt:lpstr>
      <vt:lpstr>'Bill Impacts - Large Use 10000'!Print_Area</vt:lpstr>
      <vt:lpstr>'Bill Impacts - Large Use 12500'!Print_Area</vt:lpstr>
      <vt:lpstr>'Bill Impacts - Large Use 5000'!Print_Area</vt:lpstr>
      <vt:lpstr>'Bill Impacts - Large Use 6500'!Print_Area</vt:lpstr>
      <vt:lpstr>'Bill Impacts - Large Use 7500'!Print_Area</vt:lpstr>
      <vt:lpstr>'Bill Impacts - Large Use2 15000'!Print_Area</vt:lpstr>
      <vt:lpstr>'Bill Impacts - Large Use2 20000'!Print_Area</vt:lpstr>
      <vt:lpstr>'Bill Impacts - Residential 100'!Print_Area</vt:lpstr>
      <vt:lpstr>'Bill Impacts - Residential 1000'!Print_Area</vt:lpstr>
      <vt:lpstr>'Bill Impacts - Residential 1500'!Print_Area</vt:lpstr>
      <vt:lpstr>'Bill Impacts - Residential 200'!Print_Area</vt:lpstr>
      <vt:lpstr>'Bill Impacts - Residential 2000'!Print_Area</vt:lpstr>
      <vt:lpstr>'Bill Impacts - Residential 219'!Print_Area</vt:lpstr>
      <vt:lpstr>'Bill Impacts - Residential 500'!Print_Area</vt:lpstr>
      <vt:lpstr>'Bill Impacts - Residential 750'!Print_Area</vt:lpstr>
      <vt:lpstr>'Bill Impacts - Sentinel'!Print_Area</vt:lpstr>
      <vt:lpstr>'Bill Impacts - Sentinel (2)'!Print_Area</vt:lpstr>
      <vt:lpstr>'Bill Impacts - Street Light'!Print_Area</vt:lpstr>
      <vt:lpstr>'Bill Impacts - Street Light (2'!Print_Area</vt:lpstr>
      <vt:lpstr>'Bill Impacts - USL 250'!Print_Area</vt:lpstr>
      <vt:lpstr>'Bill Impacts - USL 500'!Print_Area</vt:lpstr>
    </vt:vector>
  </TitlesOfParts>
  <Company>Horizon Utilities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Haghani, Nastaran</dc:creator>
  <cp:lastModifiedBy>DiLalla, Nicolas</cp:lastModifiedBy>
  <cp:lastPrinted>2016-08-09T22:56:13Z</cp:lastPrinted>
  <dcterms:created xsi:type="dcterms:W3CDTF">2013-08-28T15:20:38Z</dcterms:created>
  <dcterms:modified xsi:type="dcterms:W3CDTF">2017-01-18T15:25:37Z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0x01010007A151E946DB9D4283CC2F5BE8C3F4DE</vt:lpwstr>
  </property>
</Properties>
</file>