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660" windowHeight="12030" tabRatio="799" firstSheet="7" activeTab="12"/>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state="hidden" r:id="rId11"/>
    <sheet name="10. CDM Adjustment V2" sheetId="57" r:id="rId12"/>
    <sheet name="10.1 CDM Allocation" sheetId="53" r:id="rId13"/>
    <sheet name="10.2 LRAMVA Alloc" sheetId="59" r:id="rId14"/>
    <sheet name="11. Final Load Forecast" sheetId="51" r:id="rId15"/>
    <sheet name="11. Final Load Forecast + Rev" sheetId="60" state="hidden" r:id="rId16"/>
    <sheet name="12. Analysis_ Avg Per Cust" sheetId="38" r:id="rId17"/>
    <sheet name="14. Winter Flag" sheetId="56" state="hidden" r:id="rId18"/>
    <sheet name="13. Analysis_Weather adj LF" sheetId="47" r:id="rId19"/>
    <sheet name="Appendix 2-IA" sheetId="58" r:id="rId20"/>
  </sheets>
  <externalReferences>
    <externalReference r:id="rId21"/>
    <externalReference r:id="rId22"/>
  </externalReferences>
  <definedNames>
    <definedName name="AllVariables">'5.Variables'!$B$120:$B$125</definedName>
    <definedName name="EBNUMBER">'[1]LDC Info'!$E$16</definedName>
    <definedName name="_xlnm.Print_Area" localSheetId="4">'5.Variables'!$A$10:$Z$132</definedName>
    <definedName name="RebaseYear">'[1]LDC Info'!$E$28</definedName>
    <definedName name="TestYear">'[2]LDC Info'!$E$24</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71027" iterate="1"/>
</workbook>
</file>

<file path=xl/calcChain.xml><?xml version="1.0" encoding="utf-8"?>
<calcChain xmlns="http://schemas.openxmlformats.org/spreadsheetml/2006/main">
  <c r="D66" i="57" l="1"/>
  <c r="C65" i="57"/>
  <c r="H64" i="57"/>
  <c r="F43" i="57"/>
  <c r="F46" i="57"/>
  <c r="B116" i="57" l="1"/>
  <c r="N141" i="4" l="1"/>
  <c r="N142" i="4"/>
  <c r="N143" i="4"/>
  <c r="N144" i="4"/>
  <c r="N145" i="4"/>
  <c r="N146" i="4"/>
  <c r="N147" i="4"/>
  <c r="N148" i="4"/>
  <c r="N149" i="4"/>
  <c r="N150" i="4"/>
  <c r="N151" i="4"/>
  <c r="N152" i="4"/>
  <c r="N153" i="4"/>
  <c r="N154" i="4"/>
  <c r="N155" i="4"/>
  <c r="N156" i="4"/>
  <c r="N157" i="4"/>
  <c r="N158" i="4"/>
  <c r="N159" i="4"/>
  <c r="N160" i="4"/>
  <c r="N161" i="4"/>
  <c r="N162" i="4"/>
  <c r="N163" i="4"/>
  <c r="N140" i="4"/>
  <c r="N137" i="4"/>
  <c r="N138" i="4"/>
  <c r="N139" i="4"/>
  <c r="K140" i="4"/>
  <c r="L140" i="4"/>
  <c r="K141" i="4"/>
  <c r="L141" i="4"/>
  <c r="K142" i="4"/>
  <c r="L142" i="4"/>
  <c r="K143" i="4"/>
  <c r="L143" i="4"/>
  <c r="K144" i="4"/>
  <c r="L144" i="4"/>
  <c r="K145" i="4"/>
  <c r="L145" i="4"/>
  <c r="K146" i="4"/>
  <c r="L146" i="4"/>
  <c r="K147" i="4"/>
  <c r="L147" i="4"/>
  <c r="K148" i="4"/>
  <c r="L148" i="4"/>
  <c r="K149" i="4"/>
  <c r="L149" i="4"/>
  <c r="K150" i="4"/>
  <c r="L150" i="4"/>
  <c r="K151" i="4"/>
  <c r="L151" i="4"/>
  <c r="K152" i="4"/>
  <c r="L152" i="4"/>
  <c r="K153" i="4"/>
  <c r="L153" i="4"/>
  <c r="K154" i="4"/>
  <c r="L154" i="4"/>
  <c r="K155" i="4"/>
  <c r="L155" i="4"/>
  <c r="K156" i="4"/>
  <c r="L156" i="4"/>
  <c r="K157" i="4"/>
  <c r="L157" i="4"/>
  <c r="K158" i="4"/>
  <c r="L158" i="4"/>
  <c r="K159" i="4"/>
  <c r="L159" i="4"/>
  <c r="K160" i="4"/>
  <c r="L160" i="4"/>
  <c r="K161" i="4"/>
  <c r="L161" i="4"/>
  <c r="K162" i="4"/>
  <c r="L162" i="4"/>
  <c r="K163" i="4"/>
  <c r="L163" i="4"/>
  <c r="L138" i="4" l="1"/>
  <c r="L139" i="4"/>
  <c r="L137" i="4"/>
  <c r="K139" i="4"/>
  <c r="F120" i="57" l="1"/>
  <c r="I120" i="57" s="1"/>
  <c r="H34" i="59" s="1"/>
  <c r="E118" i="57"/>
  <c r="D118" i="57"/>
  <c r="D89" i="57"/>
  <c r="F89" i="57" s="1"/>
  <c r="B122" i="57" s="1"/>
  <c r="C89" i="57"/>
  <c r="E89" i="57" s="1"/>
  <c r="D70" i="57"/>
  <c r="B70" i="57"/>
  <c r="A69" i="57"/>
  <c r="A68" i="57"/>
  <c r="E67" i="57"/>
  <c r="F68" i="57" s="1"/>
  <c r="A67" i="57"/>
  <c r="H66" i="57"/>
  <c r="A66" i="57"/>
  <c r="H65" i="57"/>
  <c r="A65" i="57"/>
  <c r="C70" i="57"/>
  <c r="A64" i="57"/>
  <c r="D116" i="57"/>
  <c r="C116" i="57"/>
  <c r="C46" i="57"/>
  <c r="F42" i="57"/>
  <c r="J39" i="57"/>
  <c r="J38" i="57"/>
  <c r="J37" i="57"/>
  <c r="K36" i="57"/>
  <c r="J36" i="57"/>
  <c r="N35" i="57"/>
  <c r="M35" i="57"/>
  <c r="L35" i="57"/>
  <c r="K35" i="57"/>
  <c r="F122" i="57" l="1"/>
  <c r="F125" i="57" s="1"/>
  <c r="G122" i="57"/>
  <c r="G125" i="57" s="1"/>
  <c r="C122" i="57"/>
  <c r="C125" i="57" s="1"/>
  <c r="H122" i="57"/>
  <c r="H125" i="57" s="1"/>
  <c r="D122" i="57"/>
  <c r="D125" i="57" s="1"/>
  <c r="G69" i="57"/>
  <c r="G70" i="57" s="1"/>
  <c r="E70" i="57"/>
  <c r="H67" i="57"/>
  <c r="B125" i="57"/>
  <c r="D46" i="57"/>
  <c r="F44" i="57"/>
  <c r="B46" i="57"/>
  <c r="H68" i="57"/>
  <c r="H70" i="57" s="1"/>
  <c r="F70" i="57"/>
  <c r="E116" i="57"/>
  <c r="E122" i="57" s="1"/>
  <c r="E125" i="57" s="1"/>
  <c r="F45" i="57"/>
  <c r="E46" i="57"/>
  <c r="H69" i="57"/>
  <c r="D58" i="57" l="1"/>
  <c r="C57" i="57"/>
  <c r="B56" i="57"/>
  <c r="F60" i="57"/>
  <c r="F62" i="57" s="1"/>
  <c r="E59" i="57"/>
  <c r="E62" i="57" s="1"/>
  <c r="G61" i="57"/>
  <c r="E38" i="57"/>
  <c r="C37" i="57"/>
  <c r="E39" i="57"/>
  <c r="F39" i="57" s="1"/>
  <c r="C62" i="57"/>
  <c r="H57" i="57"/>
  <c r="B36" i="57"/>
  <c r="D36" i="57"/>
  <c r="E36" i="57"/>
  <c r="E37" i="57"/>
  <c r="C36" i="57"/>
  <c r="H61" i="57"/>
  <c r="G62" i="57"/>
  <c r="D38" i="57"/>
  <c r="I125" i="57"/>
  <c r="B62" i="57"/>
  <c r="H56" i="57"/>
  <c r="H59" i="57"/>
  <c r="D37" i="57"/>
  <c r="I122" i="57"/>
  <c r="L34" i="53" s="1"/>
  <c r="H58" i="57" l="1"/>
  <c r="D62" i="57"/>
  <c r="H60" i="57"/>
  <c r="F38" i="57"/>
  <c r="D40" i="57"/>
  <c r="F37" i="57"/>
  <c r="C40" i="57"/>
  <c r="E40" i="57"/>
  <c r="F36" i="57"/>
  <c r="B40" i="57"/>
  <c r="H62" i="57"/>
  <c r="F40" i="57" l="1"/>
  <c r="L54" i="60" l="1"/>
  <c r="K54" i="60"/>
  <c r="J54" i="60"/>
  <c r="I54" i="60"/>
  <c r="H54" i="60"/>
  <c r="G54" i="60"/>
  <c r="F54" i="60"/>
  <c r="E54" i="60"/>
  <c r="L45" i="60"/>
  <c r="K45" i="60"/>
  <c r="J45" i="60"/>
  <c r="I45" i="60"/>
  <c r="H45" i="60"/>
  <c r="G45" i="60"/>
  <c r="F45" i="60"/>
  <c r="E45" i="60"/>
  <c r="L36" i="60"/>
  <c r="K36" i="60"/>
  <c r="J36" i="60"/>
  <c r="I36" i="60"/>
  <c r="H36" i="60"/>
  <c r="G36" i="60"/>
  <c r="F36" i="60"/>
  <c r="E36" i="60"/>
  <c r="L28" i="60"/>
  <c r="K28" i="60"/>
  <c r="J28" i="60"/>
  <c r="I28" i="60"/>
  <c r="H28" i="60"/>
  <c r="G28" i="60"/>
  <c r="F28" i="60"/>
  <c r="E28" i="60"/>
  <c r="F20" i="60"/>
  <c r="G20" i="60"/>
  <c r="H20" i="60"/>
  <c r="I20" i="60"/>
  <c r="J20" i="60"/>
  <c r="K20" i="60"/>
  <c r="L20" i="60"/>
  <c r="E20" i="60"/>
  <c r="D68" i="60" l="1"/>
  <c r="D69" i="60"/>
  <c r="D70" i="60"/>
  <c r="D71" i="60"/>
  <c r="F71" i="60"/>
  <c r="G71" i="60"/>
  <c r="H71" i="60"/>
  <c r="I71" i="60"/>
  <c r="J71" i="60"/>
  <c r="K71" i="60"/>
  <c r="L71" i="60"/>
  <c r="E71" i="60"/>
  <c r="B64" i="60" l="1"/>
  <c r="B60" i="60"/>
  <c r="B56" i="60"/>
  <c r="E19" i="59" l="1"/>
  <c r="B107" i="58" l="1"/>
  <c r="I101" i="58"/>
  <c r="I102" i="58"/>
  <c r="I103" i="58"/>
  <c r="I92" i="58"/>
  <c r="I93" i="58"/>
  <c r="I94" i="58"/>
  <c r="I83" i="58"/>
  <c r="I84" i="58"/>
  <c r="I85" i="58"/>
  <c r="I74" i="58"/>
  <c r="I75" i="58"/>
  <c r="I76" i="58"/>
  <c r="I65" i="58"/>
  <c r="I66" i="58"/>
  <c r="I67" i="58"/>
  <c r="I40" i="58"/>
  <c r="I31" i="58"/>
  <c r="I22" i="58"/>
  <c r="B109" i="58"/>
  <c r="B108" i="58"/>
  <c r="J103" i="58"/>
  <c r="H103" i="58"/>
  <c r="G103" i="58"/>
  <c r="F103" i="58"/>
  <c r="E103" i="58"/>
  <c r="J102" i="58"/>
  <c r="H102" i="58"/>
  <c r="G102" i="58"/>
  <c r="F102" i="58"/>
  <c r="E102" i="58"/>
  <c r="J101" i="58"/>
  <c r="H101" i="58"/>
  <c r="G101" i="58"/>
  <c r="F101" i="58"/>
  <c r="E101" i="58"/>
  <c r="A101" i="58"/>
  <c r="J94" i="58"/>
  <c r="H94" i="58"/>
  <c r="G94" i="58"/>
  <c r="F94" i="58"/>
  <c r="E94" i="58"/>
  <c r="J93" i="58"/>
  <c r="H93" i="58"/>
  <c r="G93" i="58"/>
  <c r="F93" i="58"/>
  <c r="E93" i="58"/>
  <c r="J92" i="58"/>
  <c r="H92" i="58"/>
  <c r="G92" i="58"/>
  <c r="F92" i="58"/>
  <c r="E92" i="58"/>
  <c r="A92" i="58"/>
  <c r="J85" i="58"/>
  <c r="H85" i="58"/>
  <c r="G85" i="58"/>
  <c r="F85" i="58"/>
  <c r="E85" i="58"/>
  <c r="J84" i="58"/>
  <c r="H84" i="58"/>
  <c r="G84" i="58"/>
  <c r="F84" i="58"/>
  <c r="E84" i="58"/>
  <c r="J83" i="58"/>
  <c r="H83" i="58"/>
  <c r="G83" i="58"/>
  <c r="F83" i="58"/>
  <c r="E83" i="58"/>
  <c r="A83" i="58"/>
  <c r="J76" i="58"/>
  <c r="H76" i="58"/>
  <c r="G76" i="58"/>
  <c r="F76" i="58"/>
  <c r="E76" i="58"/>
  <c r="J75" i="58"/>
  <c r="H75" i="58"/>
  <c r="G75" i="58"/>
  <c r="F75" i="58"/>
  <c r="E75" i="58"/>
  <c r="J74" i="58"/>
  <c r="H74" i="58"/>
  <c r="G74" i="58"/>
  <c r="F74" i="58"/>
  <c r="E74" i="58"/>
  <c r="A74" i="58"/>
  <c r="J67" i="58"/>
  <c r="H67" i="58"/>
  <c r="G67" i="58"/>
  <c r="F67" i="58"/>
  <c r="E67" i="58"/>
  <c r="J66" i="58"/>
  <c r="H66" i="58"/>
  <c r="G66" i="58"/>
  <c r="F66" i="58"/>
  <c r="E66" i="58"/>
  <c r="J65" i="58"/>
  <c r="H65" i="58"/>
  <c r="G65" i="58"/>
  <c r="F65" i="58"/>
  <c r="E65" i="58"/>
  <c r="A65" i="58"/>
  <c r="A56" i="58"/>
  <c r="A47" i="58"/>
  <c r="J40" i="58"/>
  <c r="H40" i="58"/>
  <c r="G40" i="58"/>
  <c r="F40" i="58"/>
  <c r="E40" i="58"/>
  <c r="A38" i="58"/>
  <c r="J31" i="58"/>
  <c r="H31" i="58"/>
  <c r="G31" i="58"/>
  <c r="F31" i="58"/>
  <c r="E31" i="58"/>
  <c r="A29" i="58"/>
  <c r="J22" i="58"/>
  <c r="H22" i="58"/>
  <c r="G22" i="58"/>
  <c r="F22" i="58"/>
  <c r="E22" i="58"/>
  <c r="A20" i="58"/>
  <c r="J34" i="59" l="1"/>
  <c r="C30" i="46" l="1"/>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A21" i="4" l="1"/>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K29" i="32"/>
  <c r="K41" i="32"/>
  <c r="J39" i="51" s="1"/>
  <c r="E37" i="32"/>
  <c r="D35" i="51" s="1"/>
  <c r="I29" i="32"/>
  <c r="H37" i="32"/>
  <c r="G35" i="51" s="1"/>
  <c r="L41" i="32"/>
  <c r="N37" i="32"/>
  <c r="F37" i="32"/>
  <c r="E35" i="51" s="1"/>
  <c r="H33" i="32"/>
  <c r="G31" i="51" s="1"/>
  <c r="J29" i="32"/>
  <c r="M37" i="32"/>
  <c r="G33" i="32"/>
  <c r="F31" i="51" s="1"/>
  <c r="F41" i="32"/>
  <c r="E39" i="51" s="1"/>
  <c r="L29" i="32"/>
  <c r="H42" i="60" s="1"/>
  <c r="J41" i="32"/>
  <c r="I39" i="51" s="1"/>
  <c r="L37" i="32"/>
  <c r="N33" i="32"/>
  <c r="J51" i="60" s="1"/>
  <c r="F33" i="32"/>
  <c r="E31" i="51" s="1"/>
  <c r="H29" i="32"/>
  <c r="G27" i="51" s="1"/>
  <c r="I41" i="32"/>
  <c r="H39" i="51" s="1"/>
  <c r="K37" i="32"/>
  <c r="J35" i="51" s="1"/>
  <c r="M33" i="32"/>
  <c r="I51" i="60" s="1"/>
  <c r="E33" i="32"/>
  <c r="D31" i="51" s="1"/>
  <c r="G29" i="32"/>
  <c r="F27" i="51" s="1"/>
  <c r="H41" i="32"/>
  <c r="G39" i="51" s="1"/>
  <c r="J37" i="32"/>
  <c r="I35" i="51" s="1"/>
  <c r="L33" i="32"/>
  <c r="H51" i="60" s="1"/>
  <c r="N29" i="32"/>
  <c r="J42" i="60" s="1"/>
  <c r="F29" i="32"/>
  <c r="E27" i="51" s="1"/>
  <c r="G41" i="32"/>
  <c r="F39" i="51" s="1"/>
  <c r="I37" i="32"/>
  <c r="H35" i="51" s="1"/>
  <c r="K33" i="32"/>
  <c r="M29" i="32"/>
  <c r="I42" i="60" s="1"/>
  <c r="E29" i="32"/>
  <c r="D27" i="51" s="1"/>
  <c r="N41" i="32"/>
  <c r="J33" i="32"/>
  <c r="H42" i="32"/>
  <c r="G40" i="51" s="1"/>
  <c r="L38" i="32"/>
  <c r="L22" i="32"/>
  <c r="P18" i="32"/>
  <c r="H18" i="32"/>
  <c r="G16" i="51" s="1"/>
  <c r="S18" i="47" s="1"/>
  <c r="N42" i="32"/>
  <c r="E42" i="32"/>
  <c r="D40" i="51" s="1"/>
  <c r="H38" i="32"/>
  <c r="G36" i="51" s="1"/>
  <c r="J22" i="32"/>
  <c r="I20" i="51" s="1"/>
  <c r="M18" i="32"/>
  <c r="M42" i="32"/>
  <c r="G38" i="32"/>
  <c r="F36" i="51" s="1"/>
  <c r="I22" i="32"/>
  <c r="H20" i="51" s="1"/>
  <c r="L18" i="32"/>
  <c r="L42" i="32"/>
  <c r="F38" i="32"/>
  <c r="E36" i="51" s="1"/>
  <c r="H22" i="32"/>
  <c r="G20" i="51" s="1"/>
  <c r="K18" i="32"/>
  <c r="J16" i="51" s="1"/>
  <c r="S21" i="47" s="1"/>
  <c r="J42" i="32"/>
  <c r="I40" i="51" s="1"/>
  <c r="M38" i="32"/>
  <c r="O22" i="32"/>
  <c r="F22" i="32"/>
  <c r="E20" i="51" s="1"/>
  <c r="I18" i="32"/>
  <c r="H16" i="51" s="1"/>
  <c r="S19" i="47" s="1"/>
  <c r="J38" i="32"/>
  <c r="I36" i="51" s="1"/>
  <c r="O18" i="32"/>
  <c r="E38" i="32"/>
  <c r="D36" i="51" s="1"/>
  <c r="P22" i="32"/>
  <c r="I40" i="53" s="1"/>
  <c r="G42" i="32"/>
  <c r="F40" i="51" s="1"/>
  <c r="F18" i="32"/>
  <c r="E16" i="51" s="1"/>
  <c r="S16" i="47" s="1"/>
  <c r="E18" i="32"/>
  <c r="I38" i="32"/>
  <c r="H36" i="51" s="1"/>
  <c r="N18" i="32"/>
  <c r="K42" i="32"/>
  <c r="J40" i="51" s="1"/>
  <c r="J18" i="32"/>
  <c r="I16" i="51" s="1"/>
  <c r="S20" i="47" s="1"/>
  <c r="F42" i="32"/>
  <c r="E40" i="51" s="1"/>
  <c r="K22" i="32"/>
  <c r="J20" i="51" s="1"/>
  <c r="I42" i="32"/>
  <c r="H40" i="51" s="1"/>
  <c r="N22" i="32"/>
  <c r="G18" i="32"/>
  <c r="M22" i="32"/>
  <c r="N38" i="32"/>
  <c r="G22" i="32"/>
  <c r="F20" i="51" s="1"/>
  <c r="K38" i="32"/>
  <c r="J36" i="51" s="1"/>
  <c r="E22" i="32"/>
  <c r="D20" i="51" s="1"/>
  <c r="AE30" i="46"/>
  <c r="C28" i="32"/>
  <c r="C20" i="32"/>
  <c r="C36" i="32"/>
  <c r="B30" i="59" s="1"/>
  <c r="C32" i="32"/>
  <c r="C24" i="32"/>
  <c r="C40" i="32"/>
  <c r="B32" i="59" s="1"/>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J26" i="60" s="1"/>
  <c r="K29" i="29"/>
  <c r="M21" i="32" s="1"/>
  <c r="I26" i="60" s="1"/>
  <c r="K28" i="29"/>
  <c r="L21" i="32" s="1"/>
  <c r="H26" i="60" s="1"/>
  <c r="K26" i="29"/>
  <c r="J21" i="32" s="1"/>
  <c r="F26" i="60" s="1"/>
  <c r="K27" i="29"/>
  <c r="K21" i="32" s="1"/>
  <c r="G26" i="60" s="1"/>
  <c r="K25" i="29"/>
  <c r="I21" i="32" s="1"/>
  <c r="E26" i="60" s="1"/>
  <c r="K24" i="29"/>
  <c r="H21" i="32" s="1"/>
  <c r="K23" i="29"/>
  <c r="G21" i="32" s="1"/>
  <c r="K22" i="29"/>
  <c r="F21" i="32" s="1"/>
  <c r="K21" i="29"/>
  <c r="E21" i="32" s="1"/>
  <c r="C30" i="29"/>
  <c r="N17" i="32" s="1"/>
  <c r="J18" i="60" s="1"/>
  <c r="C29" i="29"/>
  <c r="M17" i="32" s="1"/>
  <c r="I18" i="60" s="1"/>
  <c r="C28" i="29"/>
  <c r="L17" i="32" s="1"/>
  <c r="H18" i="60" s="1"/>
  <c r="C27" i="29"/>
  <c r="K17" i="32" s="1"/>
  <c r="G18" i="60" s="1"/>
  <c r="C26" i="29"/>
  <c r="J17" i="32" s="1"/>
  <c r="F18" i="60" s="1"/>
  <c r="C25" i="29"/>
  <c r="I17" i="32" s="1"/>
  <c r="E18" i="60"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I31" i="51" l="1"/>
  <c r="D53" i="58" s="1"/>
  <c r="F51" i="60"/>
  <c r="J31" i="51"/>
  <c r="E53" i="58" s="1"/>
  <c r="E57" i="58" s="1"/>
  <c r="G51" i="60"/>
  <c r="H27" i="51"/>
  <c r="C44" i="58" s="1"/>
  <c r="E42" i="60"/>
  <c r="H31" i="51"/>
  <c r="C53" i="58" s="1"/>
  <c r="E51" i="60"/>
  <c r="B47" i="60"/>
  <c r="B28" i="59"/>
  <c r="B22" i="60"/>
  <c r="B22" i="59"/>
  <c r="J27" i="51"/>
  <c r="E44" i="58" s="1"/>
  <c r="E48" i="58" s="1"/>
  <c r="G42" i="60"/>
  <c r="B30" i="60"/>
  <c r="B24" i="59"/>
  <c r="B38" i="60"/>
  <c r="B26" i="59"/>
  <c r="I27" i="51"/>
  <c r="F42" i="60"/>
  <c r="B14" i="60"/>
  <c r="B20" i="59"/>
  <c r="AE34" i="46"/>
  <c r="H30" i="32"/>
  <c r="G28" i="51" s="1"/>
  <c r="L30" i="32"/>
  <c r="E30" i="32"/>
  <c r="D28" i="51" s="1"/>
  <c r="H63" i="47" s="1"/>
  <c r="I30" i="32"/>
  <c r="M30" i="32"/>
  <c r="F30" i="32"/>
  <c r="E28" i="51" s="1"/>
  <c r="H64" i="47" s="1"/>
  <c r="J30" i="32"/>
  <c r="N30" i="32"/>
  <c r="G30" i="32"/>
  <c r="F28" i="51" s="1"/>
  <c r="H65" i="47" s="1"/>
  <c r="K30" i="32"/>
  <c r="K34" i="32"/>
  <c r="G34" i="32"/>
  <c r="F32" i="51" s="1"/>
  <c r="H81" i="47" s="1"/>
  <c r="E34" i="32"/>
  <c r="D32" i="51" s="1"/>
  <c r="H79" i="47" s="1"/>
  <c r="F34" i="32"/>
  <c r="E32" i="51" s="1"/>
  <c r="H80" i="47" s="1"/>
  <c r="N34" i="32"/>
  <c r="I34" i="32"/>
  <c r="M34" i="32"/>
  <c r="L34" i="32"/>
  <c r="J34" i="32"/>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F42" i="53"/>
  <c r="L24" i="51"/>
  <c r="H48" i="47"/>
  <c r="E44" i="53"/>
  <c r="H49" i="47"/>
  <c r="H51" i="47"/>
  <c r="H52" i="47"/>
  <c r="B26" i="53"/>
  <c r="B44" i="53" s="1"/>
  <c r="B26" i="51"/>
  <c r="A42" i="58" s="1"/>
  <c r="F97" i="47"/>
  <c r="F99" i="47"/>
  <c r="H66" i="47"/>
  <c r="H20" i="47"/>
  <c r="H113" i="47"/>
  <c r="H38" i="53"/>
  <c r="N16" i="51"/>
  <c r="S25" i="47" s="1"/>
  <c r="K39" i="51"/>
  <c r="E32" i="53"/>
  <c r="F48" i="53"/>
  <c r="L36" i="51"/>
  <c r="G32" i="53"/>
  <c r="M39" i="51"/>
  <c r="F38" i="53"/>
  <c r="L16" i="51"/>
  <c r="S23" i="47" s="1"/>
  <c r="G50" i="53"/>
  <c r="M40" i="51"/>
  <c r="F79" i="47"/>
  <c r="F117" i="47"/>
  <c r="F32" i="53"/>
  <c r="L39" i="51"/>
  <c r="F40" i="53"/>
  <c r="L20" i="51"/>
  <c r="H99" i="47"/>
  <c r="H19" i="47"/>
  <c r="T19" i="47" s="1"/>
  <c r="H116" i="47"/>
  <c r="H21" i="47"/>
  <c r="T21" i="47" s="1"/>
  <c r="K40" i="51"/>
  <c r="E50" i="53"/>
  <c r="E38" i="53"/>
  <c r="K16" i="51"/>
  <c r="S22" i="47" s="1"/>
  <c r="F50" i="53"/>
  <c r="L40" i="51"/>
  <c r="H36" i="47"/>
  <c r="H18" i="47"/>
  <c r="E48" i="53"/>
  <c r="K36" i="51"/>
  <c r="F28" i="53"/>
  <c r="L31" i="51"/>
  <c r="G53" i="58" s="1"/>
  <c r="G57" i="58" s="1"/>
  <c r="B14" i="51"/>
  <c r="B20" i="53"/>
  <c r="B38" i="53" s="1"/>
  <c r="H31" i="47"/>
  <c r="H33" i="47"/>
  <c r="H115" i="47"/>
  <c r="H117" i="47"/>
  <c r="O15" i="38"/>
  <c r="C111" i="47"/>
  <c r="F111" i="47"/>
  <c r="H32" i="47"/>
  <c r="H34" i="47"/>
  <c r="H35" i="47"/>
  <c r="I38" i="53"/>
  <c r="H114" i="47"/>
  <c r="F80" i="47"/>
  <c r="B32" i="53"/>
  <c r="B50" i="53" s="1"/>
  <c r="H37" i="47"/>
  <c r="H100" i="47"/>
  <c r="H40" i="53"/>
  <c r="N20" i="51"/>
  <c r="H47" i="47"/>
  <c r="F66" i="47"/>
  <c r="E40" i="53"/>
  <c r="K20" i="51"/>
  <c r="G28" i="53"/>
  <c r="M31" i="51"/>
  <c r="H53" i="58" s="1"/>
  <c r="H57" i="58" s="1"/>
  <c r="H112" i="47"/>
  <c r="D16" i="51"/>
  <c r="S15" i="47" s="1"/>
  <c r="E42" i="53"/>
  <c r="K24" i="51"/>
  <c r="F65" i="47"/>
  <c r="M28" i="51"/>
  <c r="H45" i="58" s="1"/>
  <c r="F82" i="47"/>
  <c r="B28" i="53"/>
  <c r="B46" i="53" s="1"/>
  <c r="B30" i="51"/>
  <c r="A51" i="58" s="1"/>
  <c r="H101" i="47"/>
  <c r="G48" i="53"/>
  <c r="M36" i="51"/>
  <c r="G30" i="53"/>
  <c r="M35" i="51"/>
  <c r="E26" i="53"/>
  <c r="K27" i="51"/>
  <c r="F44" i="58" s="1"/>
  <c r="F48" i="58" s="1"/>
  <c r="E28" i="53"/>
  <c r="K31" i="51"/>
  <c r="F53" i="58" s="1"/>
  <c r="F57" i="58" s="1"/>
  <c r="B30" i="53"/>
  <c r="B48" i="53" s="1"/>
  <c r="B34" i="51"/>
  <c r="L35" i="51"/>
  <c r="F30" i="53"/>
  <c r="F16" i="51"/>
  <c r="S17" i="47" s="1"/>
  <c r="G38" i="53"/>
  <c r="M16" i="51"/>
  <c r="S24" i="47" s="1"/>
  <c r="F96" i="47"/>
  <c r="F98" i="47"/>
  <c r="F100" i="47"/>
  <c r="F101" i="47"/>
  <c r="F114" i="47"/>
  <c r="H98" i="47"/>
  <c r="B24" i="53"/>
  <c r="B42" i="53" s="1"/>
  <c r="B22" i="51"/>
  <c r="A33" i="58" s="1"/>
  <c r="F95" i="47"/>
  <c r="H95" i="47"/>
  <c r="F64" i="47"/>
  <c r="G42" i="53"/>
  <c r="M24" i="51"/>
  <c r="H50" i="47"/>
  <c r="F81" i="47"/>
  <c r="F115" i="47"/>
  <c r="G26" i="53"/>
  <c r="M27" i="51"/>
  <c r="H44" i="58" s="1"/>
  <c r="H48" i="58" s="1"/>
  <c r="E30" i="53"/>
  <c r="K35" i="51"/>
  <c r="B22" i="53"/>
  <c r="B40" i="53" s="1"/>
  <c r="B18" i="51"/>
  <c r="A24" i="58" s="1"/>
  <c r="F63" i="47"/>
  <c r="G40" i="53"/>
  <c r="M20" i="51"/>
  <c r="L27" i="51"/>
  <c r="G44" i="58" s="1"/>
  <c r="G48" i="58" s="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67" i="47" l="1"/>
  <c r="F83" i="47"/>
  <c r="G83" i="47" s="1"/>
  <c r="F69" i="47"/>
  <c r="F85" i="47"/>
  <c r="G85" i="47" s="1"/>
  <c r="H49" i="58"/>
  <c r="I32" i="51"/>
  <c r="F52" i="60"/>
  <c r="G46" i="53"/>
  <c r="J52" i="60"/>
  <c r="J32" i="51"/>
  <c r="G52" i="60"/>
  <c r="I28" i="51"/>
  <c r="F43" i="60"/>
  <c r="F70" i="60" s="1"/>
  <c r="A15" i="58"/>
  <c r="M13" i="47"/>
  <c r="T20" i="47"/>
  <c r="K32" i="51"/>
  <c r="F54" i="58" s="1"/>
  <c r="F58" i="58" s="1"/>
  <c r="H52" i="60"/>
  <c r="J28" i="51"/>
  <c r="G43" i="60"/>
  <c r="G70" i="60" s="1"/>
  <c r="K28" i="51"/>
  <c r="F45" i="58" s="1"/>
  <c r="H43" i="60"/>
  <c r="H70" i="60" s="1"/>
  <c r="L32" i="51"/>
  <c r="G54" i="58" s="1"/>
  <c r="G58" i="58" s="1"/>
  <c r="I52" i="60"/>
  <c r="L28" i="51"/>
  <c r="G45" i="58" s="1"/>
  <c r="I43" i="60"/>
  <c r="H32" i="51"/>
  <c r="E52" i="60"/>
  <c r="G44" i="53"/>
  <c r="J43" i="60"/>
  <c r="J70" i="60" s="1"/>
  <c r="H28" i="51"/>
  <c r="E43" i="60"/>
  <c r="E70" i="60" s="1"/>
  <c r="F68" i="47"/>
  <c r="D44" i="58"/>
  <c r="U34" i="46"/>
  <c r="F44" i="53"/>
  <c r="F46" i="53"/>
  <c r="G58" i="32"/>
  <c r="M32" i="51"/>
  <c r="H54" i="58" s="1"/>
  <c r="H58" i="58" s="1"/>
  <c r="F58" i="32"/>
  <c r="AX34" i="46"/>
  <c r="AV49" i="46" s="1"/>
  <c r="E46" i="53"/>
  <c r="E52" i="53" s="1"/>
  <c r="E58" i="32"/>
  <c r="S30" i="46"/>
  <c r="AU50" i="46"/>
  <c r="H30" i="46"/>
  <c r="N28" i="6"/>
  <c r="M30" i="6" s="1"/>
  <c r="M31" i="6" s="1"/>
  <c r="M43" i="6" s="1"/>
  <c r="I21" i="47"/>
  <c r="I114" i="47"/>
  <c r="I19" i="47"/>
  <c r="G98" i="47"/>
  <c r="I117" i="47"/>
  <c r="G112" i="47"/>
  <c r="I100" i="47"/>
  <c r="G81" i="47"/>
  <c r="I96" i="47"/>
  <c r="G100" i="47"/>
  <c r="G82" i="47"/>
  <c r="I112" i="47"/>
  <c r="I115" i="47"/>
  <c r="I97" i="47"/>
  <c r="G99" i="47"/>
  <c r="G114" i="47"/>
  <c r="I37" i="47"/>
  <c r="I35" i="47"/>
  <c r="I33" i="47"/>
  <c r="F102" i="47"/>
  <c r="G102" i="47" s="1"/>
  <c r="H56" i="47"/>
  <c r="H102" i="47"/>
  <c r="H22" i="47"/>
  <c r="H39" i="47"/>
  <c r="F104" i="47"/>
  <c r="L58" i="32"/>
  <c r="G116" i="47"/>
  <c r="F88" i="47"/>
  <c r="F71" i="47"/>
  <c r="I98" i="47"/>
  <c r="I101" i="47"/>
  <c r="I81" i="47"/>
  <c r="H41" i="47"/>
  <c r="F87" i="47"/>
  <c r="H119" i="47"/>
  <c r="H23" i="47"/>
  <c r="T23" i="47" s="1"/>
  <c r="H55" i="47"/>
  <c r="J58" i="32"/>
  <c r="H40" i="47"/>
  <c r="G96" i="47"/>
  <c r="F103" i="47"/>
  <c r="H86" i="47"/>
  <c r="B77" i="47"/>
  <c r="K13" i="38"/>
  <c r="O13" i="38"/>
  <c r="B109" i="47"/>
  <c r="I34" i="47"/>
  <c r="I116" i="47"/>
  <c r="H88" i="47"/>
  <c r="F118" i="47"/>
  <c r="G118" i="47" s="1"/>
  <c r="I58" i="32"/>
  <c r="H54" i="47"/>
  <c r="N38" i="53"/>
  <c r="M38" i="53"/>
  <c r="G115" i="47"/>
  <c r="F86" i="47"/>
  <c r="H25" i="47"/>
  <c r="G13" i="38"/>
  <c r="B45" i="47"/>
  <c r="H24" i="47"/>
  <c r="T24" i="47" s="1"/>
  <c r="F119" i="47"/>
  <c r="F120" i="47"/>
  <c r="G52" i="53"/>
  <c r="H118" i="47"/>
  <c r="I118" i="47" s="1"/>
  <c r="K58" i="32"/>
  <c r="I82" i="47"/>
  <c r="G113" i="47"/>
  <c r="F72" i="47"/>
  <c r="G101" i="47"/>
  <c r="B93" i="47"/>
  <c r="M13" i="38"/>
  <c r="H72" i="47"/>
  <c r="H38" i="47"/>
  <c r="I38" i="47" s="1"/>
  <c r="G80" i="47"/>
  <c r="I32" i="47"/>
  <c r="H87" i="47"/>
  <c r="I99" i="47"/>
  <c r="H120" i="47"/>
  <c r="H103" i="47"/>
  <c r="I113" i="47"/>
  <c r="G97" i="47"/>
  <c r="H71" i="47"/>
  <c r="N58" i="32"/>
  <c r="M58" i="32"/>
  <c r="B29" i="47"/>
  <c r="E13" i="38"/>
  <c r="I80" i="47"/>
  <c r="H104" i="47"/>
  <c r="H15" i="47"/>
  <c r="I16" i="47" s="1"/>
  <c r="H70" i="47"/>
  <c r="H17" i="47"/>
  <c r="F70" i="47"/>
  <c r="B13" i="47"/>
  <c r="C13" i="38"/>
  <c r="I36" i="47"/>
  <c r="G117" i="47"/>
  <c r="I20" i="47"/>
  <c r="B61" i="47"/>
  <c r="I13" i="38"/>
  <c r="H58" i="32"/>
  <c r="H46" i="42"/>
  <c r="I46" i="42" s="1"/>
  <c r="I45" i="42"/>
  <c r="I34" i="46"/>
  <c r="G49" i="46" s="1"/>
  <c r="J34" i="46"/>
  <c r="B125" i="52"/>
  <c r="B123" i="52"/>
  <c r="G84" i="47" l="1"/>
  <c r="G86" i="47"/>
  <c r="I17" i="47"/>
  <c r="T17" i="47"/>
  <c r="G49" i="58"/>
  <c r="G109" i="58"/>
  <c r="G114" i="58" s="1"/>
  <c r="H85" i="47"/>
  <c r="E54" i="58"/>
  <c r="E58" i="58" s="1"/>
  <c r="H84" i="47"/>
  <c r="D54" i="58"/>
  <c r="I86" i="47"/>
  <c r="I22" i="47"/>
  <c r="T22" i="47"/>
  <c r="F49" i="58"/>
  <c r="F109" i="58"/>
  <c r="F114" i="58" s="1"/>
  <c r="H67" i="47"/>
  <c r="C45" i="58"/>
  <c r="C109" i="58" s="1"/>
  <c r="H83" i="47"/>
  <c r="I83" i="47" s="1"/>
  <c r="C54" i="58"/>
  <c r="H68" i="47"/>
  <c r="D45" i="58"/>
  <c r="D109" i="58" s="1"/>
  <c r="H109" i="58"/>
  <c r="H114" i="58" s="1"/>
  <c r="I70" i="60"/>
  <c r="T18" i="47"/>
  <c r="H69" i="47"/>
  <c r="E45" i="58"/>
  <c r="T16" i="47"/>
  <c r="T25" i="47"/>
  <c r="F52" i="53"/>
  <c r="N42" i="6"/>
  <c r="AV50" i="46"/>
  <c r="M42" i="6"/>
  <c r="R31" i="46" s="1"/>
  <c r="P49" i="46" s="1"/>
  <c r="N43" i="6"/>
  <c r="R32" i="46"/>
  <c r="P50" i="46" s="1"/>
  <c r="G103" i="47"/>
  <c r="I120" i="47"/>
  <c r="G119" i="47"/>
  <c r="I87" i="47"/>
  <c r="I23" i="47"/>
  <c r="I18" i="47"/>
  <c r="I41" i="47"/>
  <c r="G88" i="47"/>
  <c r="I39" i="47"/>
  <c r="O38" i="53"/>
  <c r="O16" i="51" s="1"/>
  <c r="S26" i="47" s="1"/>
  <c r="I119" i="47"/>
  <c r="I88" i="47"/>
  <c r="I25" i="47"/>
  <c r="I104" i="47"/>
  <c r="G120" i="47"/>
  <c r="G87" i="47"/>
  <c r="G104" i="47"/>
  <c r="I24" i="47"/>
  <c r="I40" i="47"/>
  <c r="I103" i="47"/>
  <c r="I102" i="47"/>
  <c r="G50" i="46"/>
  <c r="E49" i="58" l="1"/>
  <c r="E109" i="58"/>
  <c r="E114" i="58" s="1"/>
  <c r="I84" i="47"/>
  <c r="I85" i="47"/>
  <c r="H26" i="47"/>
  <c r="I26" i="47" l="1"/>
  <c r="T26" i="47"/>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M138" i="4"/>
  <c r="M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C177" i="4" l="1"/>
  <c r="D177" i="4"/>
  <c r="D179" i="4"/>
  <c r="C179" i="4"/>
  <c r="C178" i="4"/>
  <c r="D178" i="4"/>
  <c r="J36" i="6"/>
  <c r="M143" i="4" l="1"/>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J119" i="4" l="1"/>
  <c r="E22" i="6" l="1"/>
  <c r="C22" i="6"/>
  <c r="J43" i="6" l="1"/>
  <c r="J42" i="6"/>
  <c r="J20" i="4"/>
  <c r="J21" i="4" l="1"/>
  <c r="V46" i="4" s="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V54" i="4"/>
  <c r="V53" i="4"/>
  <c r="V52" i="4"/>
  <c r="V51" i="4"/>
  <c r="V50" i="4"/>
  <c r="V49" i="4"/>
  <c r="V48" i="4"/>
  <c r="V47" i="4"/>
  <c r="H65" i="46"/>
  <c r="H61" i="46"/>
  <c r="H63" i="46"/>
  <c r="H59" i="46"/>
  <c r="H67" i="46"/>
  <c r="H66" i="46"/>
  <c r="H64" i="46"/>
  <c r="H62" i="46"/>
  <c r="H60" i="46"/>
  <c r="B92" i="52"/>
  <c r="B106" i="52" s="1"/>
  <c r="D21" i="29"/>
  <c r="F21" i="29" s="1"/>
  <c r="L21" i="29" l="1"/>
  <c r="B42" i="51"/>
  <c r="B46" i="51"/>
  <c r="B50" i="51"/>
  <c r="B44" i="32"/>
  <c r="B48" i="32"/>
  <c r="B52" i="32"/>
  <c r="B40" i="29"/>
  <c r="J40" i="29"/>
  <c r="R40" i="29"/>
  <c r="O20" i="4"/>
  <c r="R20" i="4" s="1"/>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8" i="4"/>
  <c r="O47" i="4"/>
  <c r="R47" i="4" s="1"/>
  <c r="P47" i="4"/>
  <c r="O48" i="4"/>
  <c r="R48" i="4" s="1"/>
  <c r="P48" i="4"/>
  <c r="O49" i="4"/>
  <c r="R49" i="4" s="1"/>
  <c r="P49" i="4"/>
  <c r="O50" i="4"/>
  <c r="R50" i="4" s="1"/>
  <c r="P50" i="4"/>
  <c r="O51" i="4"/>
  <c r="R51" i="4" s="1"/>
  <c r="P51"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1" i="4" s="1"/>
  <c r="C20" i="6"/>
  <c r="E20" i="6"/>
  <c r="AL24" i="46"/>
  <c r="AM24" i="46" s="1"/>
  <c r="B21" i="6"/>
  <c r="C21" i="6"/>
  <c r="E21" i="6"/>
  <c r="L22" i="6"/>
  <c r="AL25" i="46"/>
  <c r="AM25" i="46" s="1"/>
  <c r="B22" i="6"/>
  <c r="F13" i="60" s="1"/>
  <c r="B23" i="6"/>
  <c r="G13" i="60" s="1"/>
  <c r="C23" i="6"/>
  <c r="E23" i="6"/>
  <c r="AL27" i="46"/>
  <c r="AM27" i="46" s="1"/>
  <c r="B24" i="6"/>
  <c r="H13" i="60" s="1"/>
  <c r="C24" i="6"/>
  <c r="E24" i="6"/>
  <c r="AL28" i="46"/>
  <c r="AM28" i="46" s="1"/>
  <c r="B25" i="6"/>
  <c r="C25" i="6"/>
  <c r="E25" i="6"/>
  <c r="AL29" i="46"/>
  <c r="AM29" i="46" s="1"/>
  <c r="B26" i="6"/>
  <c r="C26" i="6"/>
  <c r="E26" i="6"/>
  <c r="AL30" i="46"/>
  <c r="AM30" i="46" s="1"/>
  <c r="B30" i="6"/>
  <c r="K13" i="60" s="1"/>
  <c r="B31" i="6"/>
  <c r="L13" i="60" s="1"/>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U55" i="4" l="1"/>
  <c r="J13" i="60"/>
  <c r="B29" i="46"/>
  <c r="I13" i="60"/>
  <c r="B25" i="29"/>
  <c r="E13" i="60"/>
  <c r="S139" i="4"/>
  <c r="V25" i="6"/>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5" i="4"/>
  <c r="L15" i="32"/>
  <c r="E16" i="32"/>
  <c r="D14" i="51" s="1"/>
  <c r="N15" i="47" s="1"/>
  <c r="F16" i="32"/>
  <c r="L16" i="32"/>
  <c r="M16" i="32"/>
  <c r="H16" i="32"/>
  <c r="G14" i="51" s="1"/>
  <c r="N18" i="47" s="1"/>
  <c r="I16" i="32"/>
  <c r="G16" i="32"/>
  <c r="F14" i="51" s="1"/>
  <c r="N17" i="47" s="1"/>
  <c r="J16" i="32"/>
  <c r="K16" i="32"/>
  <c r="N16" i="32"/>
  <c r="H28" i="32"/>
  <c r="G26" i="51" s="1"/>
  <c r="I32" i="32"/>
  <c r="H36" i="32"/>
  <c r="G34" i="51" s="1"/>
  <c r="F36" i="32"/>
  <c r="E34" i="51" s="1"/>
  <c r="K20" i="32"/>
  <c r="L24" i="32"/>
  <c r="E28" i="32"/>
  <c r="D26" i="51" s="1"/>
  <c r="G36" i="32"/>
  <c r="F34" i="51" s="1"/>
  <c r="M36" i="32"/>
  <c r="L34" i="51" s="1"/>
  <c r="K28" i="32"/>
  <c r="F28" i="32"/>
  <c r="E26" i="51" s="1"/>
  <c r="F24" i="32"/>
  <c r="E22" i="51" s="1"/>
  <c r="K32" i="32"/>
  <c r="J36" i="32"/>
  <c r="I34" i="51" s="1"/>
  <c r="I36" i="32"/>
  <c r="H34" i="51" s="1"/>
  <c r="J20" i="32"/>
  <c r="I24" i="32"/>
  <c r="E32" i="32"/>
  <c r="D30" i="51" s="1"/>
  <c r="K24" i="32"/>
  <c r="E20" i="32"/>
  <c r="J24" i="32"/>
  <c r="N20" i="32"/>
  <c r="L20" i="32"/>
  <c r="G28" i="32"/>
  <c r="F26" i="51" s="1"/>
  <c r="M24" i="32"/>
  <c r="G32" i="32"/>
  <c r="F30" i="51" s="1"/>
  <c r="N36" i="32"/>
  <c r="M34" i="51" s="1"/>
  <c r="H24" i="32"/>
  <c r="G22" i="51" s="1"/>
  <c r="I20" i="32"/>
  <c r="N24" i="32"/>
  <c r="F20" i="32"/>
  <c r="E18" i="51" s="1"/>
  <c r="M28" i="32"/>
  <c r="M32" i="32"/>
  <c r="G20" i="32"/>
  <c r="F18" i="51" s="1"/>
  <c r="J32" i="32"/>
  <c r="L32" i="32"/>
  <c r="L36" i="32"/>
  <c r="K34" i="51" s="1"/>
  <c r="I28" i="32"/>
  <c r="J28" i="32"/>
  <c r="G24" i="32"/>
  <c r="F22" i="51" s="1"/>
  <c r="N32" i="32"/>
  <c r="F32" i="32"/>
  <c r="E30" i="51" s="1"/>
  <c r="K36" i="32"/>
  <c r="J34" i="51" s="1"/>
  <c r="M20" i="32"/>
  <c r="L28" i="32"/>
  <c r="N28" i="32"/>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59" i="4"/>
  <c r="L25" i="6"/>
  <c r="M29" i="46"/>
  <c r="W29" i="46"/>
  <c r="P23" i="6"/>
  <c r="D23" i="6"/>
  <c r="B20" i="38"/>
  <c r="I13" i="51"/>
  <c r="J15" i="32"/>
  <c r="B26" i="46"/>
  <c r="B26" i="29"/>
  <c r="U51" i="4"/>
  <c r="U63" i="4"/>
  <c r="F21" i="6"/>
  <c r="H19" i="6"/>
  <c r="F13" i="51"/>
  <c r="B17" i="38"/>
  <c r="B23" i="46"/>
  <c r="G15" i="32"/>
  <c r="U48" i="4"/>
  <c r="U60" i="4"/>
  <c r="B23" i="29"/>
  <c r="B16" i="38"/>
  <c r="E13" i="51"/>
  <c r="F15" i="32"/>
  <c r="B22" i="46"/>
  <c r="B22" i="29"/>
  <c r="U47" i="4"/>
  <c r="U59" i="4"/>
  <c r="B24" i="38"/>
  <c r="M13" i="51"/>
  <c r="N15" i="32"/>
  <c r="B30" i="29"/>
  <c r="B30" i="46"/>
  <c r="U67" i="4"/>
  <c r="F25" i="6"/>
  <c r="H23" i="6"/>
  <c r="J13" i="51"/>
  <c r="B21" i="38"/>
  <c r="B27" i="46"/>
  <c r="K15" i="32"/>
  <c r="U52" i="4"/>
  <c r="U64" i="4"/>
  <c r="B27" i="29"/>
  <c r="L19" i="6"/>
  <c r="F19" i="6"/>
  <c r="L18" i="6"/>
  <c r="D18" i="6"/>
  <c r="V60"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7" i="4"/>
  <c r="V63"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B28" i="29"/>
  <c r="B23" i="38"/>
  <c r="L13" i="51"/>
  <c r="M15" i="32"/>
  <c r="B19" i="38"/>
  <c r="H13" i="51"/>
  <c r="I15" i="32"/>
  <c r="U66" i="4"/>
  <c r="U62" i="4"/>
  <c r="U58" i="4"/>
  <c r="D23" i="29"/>
  <c r="L23" i="29" s="1"/>
  <c r="T23" i="29" s="1"/>
  <c r="D22" i="29"/>
  <c r="L22" i="29" s="1"/>
  <c r="T22" i="29" s="1"/>
  <c r="T21" i="29"/>
  <c r="V21" i="29" s="1"/>
  <c r="B24" i="29"/>
  <c r="B25" i="46"/>
  <c r="U53" i="4"/>
  <c r="U49" i="4"/>
  <c r="U46" i="4"/>
  <c r="G64" i="47"/>
  <c r="L18" i="51" l="1"/>
  <c r="G25" i="58" s="1"/>
  <c r="G29" i="58" s="1"/>
  <c r="I25" i="60"/>
  <c r="L26" i="51"/>
  <c r="G43" i="58" s="1"/>
  <c r="G47" i="58" s="1"/>
  <c r="I41" i="60"/>
  <c r="H14" i="51"/>
  <c r="E17" i="60"/>
  <c r="I26" i="51"/>
  <c r="F41" i="60"/>
  <c r="K18" i="51"/>
  <c r="F25" i="58" s="1"/>
  <c r="F29" i="58" s="1"/>
  <c r="H25" i="60"/>
  <c r="J22" i="51"/>
  <c r="E34" i="58" s="1"/>
  <c r="E38" i="58" s="1"/>
  <c r="G33" i="60"/>
  <c r="M26" i="51"/>
  <c r="H43" i="58" s="1"/>
  <c r="H47" i="58" s="1"/>
  <c r="J41" i="60"/>
  <c r="H26" i="51"/>
  <c r="C43" i="58" s="1"/>
  <c r="E41" i="60"/>
  <c r="M22" i="51"/>
  <c r="H34" i="58" s="1"/>
  <c r="H38" i="58" s="1"/>
  <c r="J33" i="60"/>
  <c r="M18" i="51"/>
  <c r="H25" i="58" s="1"/>
  <c r="H29" i="58" s="1"/>
  <c r="J25" i="60"/>
  <c r="J26" i="51"/>
  <c r="G41" i="60"/>
  <c r="K22" i="51"/>
  <c r="F34" i="58" s="1"/>
  <c r="F38" i="58" s="1"/>
  <c r="H33" i="60"/>
  <c r="H30" i="51"/>
  <c r="C52" i="58" s="1"/>
  <c r="E50" i="60"/>
  <c r="I14" i="51"/>
  <c r="F17" i="60"/>
  <c r="L14" i="51"/>
  <c r="I17" i="60"/>
  <c r="K30" i="51"/>
  <c r="F52" i="58" s="1"/>
  <c r="F56" i="58" s="1"/>
  <c r="H50" i="60"/>
  <c r="I18" i="51"/>
  <c r="D25" i="58" s="1"/>
  <c r="F25" i="60"/>
  <c r="M14" i="51"/>
  <c r="J17" i="60"/>
  <c r="I30" i="51"/>
  <c r="D52" i="58" s="1"/>
  <c r="F50" i="60"/>
  <c r="J14" i="51"/>
  <c r="G17" i="60"/>
  <c r="K26" i="51"/>
  <c r="F43" i="58" s="1"/>
  <c r="F47" i="58" s="1"/>
  <c r="H41" i="60"/>
  <c r="M30" i="51"/>
  <c r="H52" i="58" s="1"/>
  <c r="H56" i="58" s="1"/>
  <c r="J50" i="60"/>
  <c r="L30" i="51"/>
  <c r="G52" i="58" s="1"/>
  <c r="G56" i="58" s="1"/>
  <c r="I50" i="60"/>
  <c r="H18" i="51"/>
  <c r="C25" i="58" s="1"/>
  <c r="E25" i="60"/>
  <c r="L22" i="51"/>
  <c r="G34" i="58" s="1"/>
  <c r="G38" i="58" s="1"/>
  <c r="I33" i="60"/>
  <c r="I22" i="51"/>
  <c r="D34" i="58" s="1"/>
  <c r="F33" i="60"/>
  <c r="H22" i="51"/>
  <c r="C34" i="58" s="1"/>
  <c r="E33" i="60"/>
  <c r="J30" i="51"/>
  <c r="E52" i="58" s="1"/>
  <c r="E56" i="58" s="1"/>
  <c r="G50" i="60"/>
  <c r="J18" i="51"/>
  <c r="E25" i="58" s="1"/>
  <c r="E29" i="58" s="1"/>
  <c r="G25" i="60"/>
  <c r="K14" i="51"/>
  <c r="H17" i="60"/>
  <c r="AA42" i="29"/>
  <c r="AI42" i="29"/>
  <c r="W23" i="6"/>
  <c r="AN26" i="46"/>
  <c r="AN34" i="46" s="1"/>
  <c r="E14" i="51"/>
  <c r="F56" i="32"/>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I63" i="46"/>
  <c r="I66" i="46"/>
  <c r="D28" i="6"/>
  <c r="I67" i="46"/>
  <c r="I61" i="46"/>
  <c r="I58" i="46"/>
  <c r="E21" i="29"/>
  <c r="G21" i="29" s="1"/>
  <c r="I62" i="46"/>
  <c r="I60" i="46"/>
  <c r="I65" i="46"/>
  <c r="I59" i="46"/>
  <c r="I64" i="46"/>
  <c r="C17" i="47"/>
  <c r="D17" i="38"/>
  <c r="C19" i="47"/>
  <c r="D19" i="38"/>
  <c r="C18" i="47"/>
  <c r="D18" i="38"/>
  <c r="C24" i="47"/>
  <c r="D24" i="38"/>
  <c r="C22" i="47"/>
  <c r="D22" i="38"/>
  <c r="C23" i="47"/>
  <c r="D23" i="38"/>
  <c r="D21" i="38"/>
  <c r="C21" i="47"/>
  <c r="C20" i="47"/>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N17" i="38"/>
  <c r="M17" i="38"/>
  <c r="F18" i="38"/>
  <c r="C34" i="47"/>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2"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1"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6" i="4"/>
  <c r="R24" i="29"/>
  <c r="AH24" i="29" s="1"/>
  <c r="J24" i="29"/>
  <c r="Z24" i="29" s="1"/>
  <c r="V65" i="4"/>
  <c r="W53" i="4"/>
  <c r="K56" i="51"/>
  <c r="F22" i="29"/>
  <c r="V64"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5" i="4" s="1"/>
  <c r="E28" i="29"/>
  <c r="S67" i="4"/>
  <c r="X49" i="4" s="1"/>
  <c r="Z49" i="4" s="1"/>
  <c r="E23" i="29"/>
  <c r="E24" i="29"/>
  <c r="M24" i="29" s="1"/>
  <c r="E29" i="29"/>
  <c r="S79" i="4"/>
  <c r="X50" i="4" s="1"/>
  <c r="W62" i="4" s="1"/>
  <c r="S103" i="4"/>
  <c r="X52" i="4" s="1"/>
  <c r="W64" i="4" s="1"/>
  <c r="E30" i="29"/>
  <c r="G30" i="29" s="1"/>
  <c r="S55" i="4"/>
  <c r="X48" i="4" s="1"/>
  <c r="S91" i="4"/>
  <c r="X51" i="4" s="1"/>
  <c r="E27" i="29"/>
  <c r="M27" i="29" s="1"/>
  <c r="S43" i="4"/>
  <c r="X47" i="4" s="1"/>
  <c r="Z47" i="4" s="1"/>
  <c r="E25" i="29"/>
  <c r="E26" i="29"/>
  <c r="M26" i="29" s="1"/>
  <c r="J25" i="32" s="1"/>
  <c r="S127" i="4"/>
  <c r="X54" i="4" s="1"/>
  <c r="Z54" i="4" s="1"/>
  <c r="X55" i="4"/>
  <c r="W67" i="4" s="1"/>
  <c r="E22" i="29"/>
  <c r="H68" i="60" l="1"/>
  <c r="G68" i="60"/>
  <c r="J68" i="60"/>
  <c r="F68" i="60"/>
  <c r="I23" i="51"/>
  <c r="G20" i="38" s="1"/>
  <c r="F34" i="60"/>
  <c r="F69" i="60" s="1"/>
  <c r="D20" i="47"/>
  <c r="O20" i="47"/>
  <c r="P20" i="47"/>
  <c r="P23" i="47"/>
  <c r="O23" i="47"/>
  <c r="O24" i="47"/>
  <c r="P24" i="47"/>
  <c r="P19" i="47"/>
  <c r="O19" i="47"/>
  <c r="F16" i="58"/>
  <c r="N22" i="47"/>
  <c r="E16" i="58"/>
  <c r="N21" i="47"/>
  <c r="H16" i="58"/>
  <c r="N24" i="47"/>
  <c r="D16" i="58"/>
  <c r="D107" i="58" s="1"/>
  <c r="N20" i="47"/>
  <c r="I20" i="38"/>
  <c r="D43" i="58"/>
  <c r="O21" i="47"/>
  <c r="P21" i="47"/>
  <c r="I68" i="60"/>
  <c r="E68" i="60"/>
  <c r="P22" i="47"/>
  <c r="O22" i="47"/>
  <c r="P18" i="47"/>
  <c r="O18" i="47"/>
  <c r="O17" i="47"/>
  <c r="C16" i="47"/>
  <c r="N16" i="47"/>
  <c r="G16" i="58"/>
  <c r="N23" i="47"/>
  <c r="I21" i="38"/>
  <c r="E43" i="58"/>
  <c r="E47" i="58" s="1"/>
  <c r="C16" i="58"/>
  <c r="C107" i="58" s="1"/>
  <c r="N19" i="47"/>
  <c r="D34" i="47"/>
  <c r="D97" i="47"/>
  <c r="F31" i="29"/>
  <c r="F32" i="29" s="1"/>
  <c r="D18" i="47"/>
  <c r="D83" i="47"/>
  <c r="D36" i="47"/>
  <c r="D101" i="47"/>
  <c r="D99" i="47"/>
  <c r="D65" i="47"/>
  <c r="D104" i="47"/>
  <c r="D118" i="47"/>
  <c r="D81" i="47"/>
  <c r="D116" i="47"/>
  <c r="AA43" i="29"/>
  <c r="AI43" i="29"/>
  <c r="D69" i="47"/>
  <c r="D71" i="47"/>
  <c r="D51" i="47"/>
  <c r="D66" i="47"/>
  <c r="D49" i="47"/>
  <c r="D88" i="47"/>
  <c r="D39" i="47"/>
  <c r="D119" i="47"/>
  <c r="D114" i="47"/>
  <c r="D67" i="47"/>
  <c r="D21" i="47"/>
  <c r="D17" i="47"/>
  <c r="X67" i="4"/>
  <c r="Y70"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2" i="4"/>
  <c r="X64" i="4"/>
  <c r="X65" i="4"/>
  <c r="K31" i="6"/>
  <c r="K43" i="6" s="1"/>
  <c r="G28" i="29"/>
  <c r="G29" i="29"/>
  <c r="R42" i="29"/>
  <c r="AH42" i="29" s="1"/>
  <c r="J42" i="29"/>
  <c r="Z42" i="29" s="1"/>
  <c r="J43" i="29"/>
  <c r="Z43" i="29" s="1"/>
  <c r="R43" i="29"/>
  <c r="AH43" i="29" s="1"/>
  <c r="T28" i="29"/>
  <c r="N28" i="29"/>
  <c r="T30" i="29"/>
  <c r="V30" i="29" s="1"/>
  <c r="Y49" i="4"/>
  <c r="M29" i="29"/>
  <c r="U29" i="29" s="1"/>
  <c r="Z53" i="4"/>
  <c r="Z52" i="4"/>
  <c r="G27" i="29"/>
  <c r="W61" i="4"/>
  <c r="X61" i="4" s="1"/>
  <c r="Y53" i="4"/>
  <c r="W60" i="4"/>
  <c r="X60" i="4" s="1"/>
  <c r="M23" i="29"/>
  <c r="U23" i="29" s="1"/>
  <c r="Z50" i="4"/>
  <c r="M28" i="29"/>
  <c r="Y51" i="4"/>
  <c r="Z48" i="4"/>
  <c r="Y50" i="4"/>
  <c r="Y48" i="4"/>
  <c r="W63" i="4"/>
  <c r="X63" i="4" s="1"/>
  <c r="Z51" i="4"/>
  <c r="Y54" i="4"/>
  <c r="M25" i="29"/>
  <c r="U25" i="29" s="1"/>
  <c r="G24" i="29"/>
  <c r="M30" i="29"/>
  <c r="W66" i="4"/>
  <c r="X66" i="4" s="1"/>
  <c r="Y52" i="4"/>
  <c r="G26" i="29"/>
  <c r="Z55" i="4"/>
  <c r="W59" i="4"/>
  <c r="X59" i="4" s="1"/>
  <c r="Y55" i="4"/>
  <c r="Z46" i="4"/>
  <c r="W58" i="4"/>
  <c r="X58" i="4" s="1"/>
  <c r="U26" i="29"/>
  <c r="O26" i="29"/>
  <c r="Y47" i="4"/>
  <c r="G22" i="29"/>
  <c r="M22" i="29"/>
  <c r="O27" i="29"/>
  <c r="U27" i="29"/>
  <c r="M21" i="29"/>
  <c r="O24" i="29"/>
  <c r="U24" i="29"/>
  <c r="O16" i="47" l="1"/>
  <c r="P16" i="47"/>
  <c r="H107" i="58"/>
  <c r="H112" i="58" s="1"/>
  <c r="H20" i="58"/>
  <c r="F107" i="58"/>
  <c r="F112" i="58" s="1"/>
  <c r="F20" i="58"/>
  <c r="P17" i="47"/>
  <c r="G20" i="58"/>
  <c r="G107" i="58"/>
  <c r="G112" i="58" s="1"/>
  <c r="E107" i="58"/>
  <c r="E112" i="58" s="1"/>
  <c r="E20" i="58"/>
  <c r="F52" i="47"/>
  <c r="D35" i="58"/>
  <c r="N31" i="29"/>
  <c r="X72" i="4"/>
  <c r="D32" i="47"/>
  <c r="G32" i="46"/>
  <c r="E50" i="46" s="1"/>
  <c r="P28" i="32"/>
  <c r="G31" i="46"/>
  <c r="E49" i="46" s="1"/>
  <c r="O28" i="32"/>
  <c r="O31" i="6"/>
  <c r="O43" i="6" s="1"/>
  <c r="AB32" i="46" s="1"/>
  <c r="Z50" i="46" s="1"/>
  <c r="E31" i="6"/>
  <c r="E43" i="6" s="1"/>
  <c r="G31" i="6"/>
  <c r="G43" i="6" s="1"/>
  <c r="P24" i="32" s="1"/>
  <c r="G42" i="6"/>
  <c r="O24" i="32" s="1"/>
  <c r="K33" i="60" s="1"/>
  <c r="V30" i="6"/>
  <c r="Q43" i="6"/>
  <c r="Q42" i="6"/>
  <c r="W42" i="6"/>
  <c r="O140" i="4" s="1"/>
  <c r="W43" i="6"/>
  <c r="P32" i="32"/>
  <c r="AB31" i="46"/>
  <c r="Z49" i="46" s="1"/>
  <c r="O32" i="32"/>
  <c r="O20" i="32"/>
  <c r="C31" i="6"/>
  <c r="C43" i="6" s="1"/>
  <c r="O16" i="32"/>
  <c r="H22" i="29"/>
  <c r="E15" i="51"/>
  <c r="Q16" i="47" s="1"/>
  <c r="H25" i="29"/>
  <c r="H15" i="51"/>
  <c r="P26" i="29"/>
  <c r="I19" i="51"/>
  <c r="D26" i="58" s="1"/>
  <c r="H23" i="29"/>
  <c r="F15" i="51"/>
  <c r="Q17" i="47" s="1"/>
  <c r="P24" i="29"/>
  <c r="G19" i="51"/>
  <c r="H28" i="29"/>
  <c r="H21" i="29"/>
  <c r="H27" i="29"/>
  <c r="J15" i="51"/>
  <c r="H26" i="29"/>
  <c r="I15" i="51"/>
  <c r="M15" i="51"/>
  <c r="G20" i="53"/>
  <c r="H29" i="29"/>
  <c r="H24" i="29"/>
  <c r="G15" i="51"/>
  <c r="Q18" i="47" s="1"/>
  <c r="P27" i="29"/>
  <c r="J19" i="51"/>
  <c r="E26" i="58" s="1"/>
  <c r="E30" i="58" s="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71" i="4"/>
  <c r="O28" i="29"/>
  <c r="O29" i="29"/>
  <c r="U28" i="29"/>
  <c r="O25" i="29"/>
  <c r="O23" i="29"/>
  <c r="O30" i="29"/>
  <c r="U30" i="29"/>
  <c r="U21" i="29"/>
  <c r="W21" i="29" s="1"/>
  <c r="E25" i="32" s="1"/>
  <c r="D23" i="51" s="1"/>
  <c r="O21" i="29"/>
  <c r="O22" i="29"/>
  <c r="U22" i="29"/>
  <c r="Q21" i="47" l="1"/>
  <c r="E17" i="58"/>
  <c r="N18" i="51"/>
  <c r="I25" i="58" s="1"/>
  <c r="I29" i="58" s="1"/>
  <c r="K25" i="60"/>
  <c r="Q24" i="47"/>
  <c r="H17" i="58"/>
  <c r="N30" i="51"/>
  <c r="K50" i="60"/>
  <c r="N26" i="51"/>
  <c r="K41" i="60"/>
  <c r="Q19" i="47"/>
  <c r="C17" i="58"/>
  <c r="N14" i="51"/>
  <c r="K17" i="60"/>
  <c r="K68" i="60" s="1"/>
  <c r="O22" i="51"/>
  <c r="L33" i="60"/>
  <c r="O30" i="51"/>
  <c r="L50" i="60"/>
  <c r="O26" i="51"/>
  <c r="L41" i="60"/>
  <c r="Q20" i="47"/>
  <c r="D17" i="58"/>
  <c r="D108" i="58" s="1"/>
  <c r="O141" i="4"/>
  <c r="R140" i="4"/>
  <c r="P20" i="32"/>
  <c r="V42" i="6"/>
  <c r="N22" i="51"/>
  <c r="X25" i="29"/>
  <c r="I25" i="32"/>
  <c r="X24" i="29"/>
  <c r="H25" i="32"/>
  <c r="G23" i="51" s="1"/>
  <c r="G55" i="51" s="1"/>
  <c r="X23" i="29"/>
  <c r="G25" i="32"/>
  <c r="F23" i="51" s="1"/>
  <c r="F47" i="47"/>
  <c r="G15" i="38"/>
  <c r="X29" i="29"/>
  <c r="M25" i="32"/>
  <c r="I34" i="60" s="1"/>
  <c r="I69" i="60" s="1"/>
  <c r="X27" i="29"/>
  <c r="K25" i="32"/>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C41" i="47"/>
  <c r="F25" i="38"/>
  <c r="P16" i="32"/>
  <c r="V43" i="6"/>
  <c r="D25" i="38"/>
  <c r="C25" i="47"/>
  <c r="F17" i="47"/>
  <c r="C17" i="38"/>
  <c r="P23" i="29"/>
  <c r="F19" i="51"/>
  <c r="L15" i="51"/>
  <c r="F20" i="53"/>
  <c r="E20" i="53"/>
  <c r="K15" i="51"/>
  <c r="F19" i="47"/>
  <c r="C19" i="38"/>
  <c r="D15" i="51"/>
  <c r="Q15" i="47" s="1"/>
  <c r="P25" i="29"/>
  <c r="H19" i="51"/>
  <c r="C26" i="58" s="1"/>
  <c r="P22" i="29"/>
  <c r="E19" i="51"/>
  <c r="P29" i="29"/>
  <c r="F24" i="47"/>
  <c r="C24" i="38"/>
  <c r="F21" i="47"/>
  <c r="C21" i="38"/>
  <c r="F37" i="47"/>
  <c r="E21" i="38"/>
  <c r="F20" i="47"/>
  <c r="C20" i="38"/>
  <c r="F34" i="47"/>
  <c r="E18" i="38"/>
  <c r="F16" i="47"/>
  <c r="C16" i="38"/>
  <c r="F18" i="47"/>
  <c r="R18" i="47" s="1"/>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Q22" i="47" l="1"/>
  <c r="F17" i="58"/>
  <c r="R20" i="47"/>
  <c r="R21" i="47"/>
  <c r="J23" i="51"/>
  <c r="G21" i="38" s="1"/>
  <c r="G34" i="60"/>
  <c r="G69" i="60" s="1"/>
  <c r="Q23" i="47"/>
  <c r="G17" i="58"/>
  <c r="C57" i="47"/>
  <c r="D57" i="47" s="1"/>
  <c r="I34" i="58"/>
  <c r="I38" i="58" s="1"/>
  <c r="C74" i="47"/>
  <c r="J43" i="58"/>
  <c r="J47" i="58" s="1"/>
  <c r="C58" i="47"/>
  <c r="E58" i="47" s="1"/>
  <c r="J34" i="58"/>
  <c r="J38" i="58" s="1"/>
  <c r="C89" i="47"/>
  <c r="I52" i="58"/>
  <c r="I56" i="58" s="1"/>
  <c r="O14" i="51"/>
  <c r="D26" i="38" s="1"/>
  <c r="L17" i="60"/>
  <c r="H23" i="51"/>
  <c r="C35" i="58" s="1"/>
  <c r="C108" i="58" s="1"/>
  <c r="E34" i="60"/>
  <c r="E69" i="60" s="1"/>
  <c r="H21" i="58"/>
  <c r="E21" i="58"/>
  <c r="O18" i="51"/>
  <c r="L25" i="60"/>
  <c r="C90" i="47"/>
  <c r="J52" i="58"/>
  <c r="J56" i="58" s="1"/>
  <c r="N25" i="47"/>
  <c r="I16" i="58"/>
  <c r="C73" i="47"/>
  <c r="I43" i="58"/>
  <c r="I47" i="58" s="1"/>
  <c r="R19" i="47"/>
  <c r="R17" i="47"/>
  <c r="O25" i="47"/>
  <c r="P25" i="47"/>
  <c r="O142" i="4"/>
  <c r="R141" i="4"/>
  <c r="E41" i="47"/>
  <c r="D41" i="47"/>
  <c r="E121" i="47"/>
  <c r="D121" i="47"/>
  <c r="E105" i="47"/>
  <c r="D105" i="47"/>
  <c r="D58" i="47"/>
  <c r="E25" i="47"/>
  <c r="D25" i="47"/>
  <c r="D106" i="47"/>
  <c r="D122" i="47"/>
  <c r="D55" i="51"/>
  <c r="E57" i="47"/>
  <c r="H57" i="32"/>
  <c r="K57" i="32"/>
  <c r="X22" i="29"/>
  <c r="F25" i="32"/>
  <c r="E23" i="51" s="1"/>
  <c r="E55" i="51" s="1"/>
  <c r="F50" i="47"/>
  <c r="G18" i="38"/>
  <c r="X30" i="29"/>
  <c r="N25" i="32"/>
  <c r="J34" i="60" s="1"/>
  <c r="J69" i="60" s="1"/>
  <c r="L23" i="51"/>
  <c r="G35" i="58" s="1"/>
  <c r="G39" i="58" s="1"/>
  <c r="F24" i="53"/>
  <c r="F49" i="47"/>
  <c r="G17" i="38"/>
  <c r="X28" i="29"/>
  <c r="L25" i="32"/>
  <c r="H34" i="60" s="1"/>
  <c r="H69" i="60" s="1"/>
  <c r="N54" i="51"/>
  <c r="O56" i="32"/>
  <c r="E106" i="47"/>
  <c r="E122" i="47"/>
  <c r="P56" i="32"/>
  <c r="G20" i="47"/>
  <c r="G18" i="47"/>
  <c r="G37" i="47"/>
  <c r="G21" i="47"/>
  <c r="E22" i="53"/>
  <c r="K19" i="51"/>
  <c r="F26" i="58" s="1"/>
  <c r="F30" i="58" s="1"/>
  <c r="F31" i="47"/>
  <c r="E15" i="38"/>
  <c r="F35" i="47"/>
  <c r="G35" i="47" s="1"/>
  <c r="E19" i="38"/>
  <c r="F15" i="47"/>
  <c r="G16" i="47" s="1"/>
  <c r="C15" i="38"/>
  <c r="F32" i="47"/>
  <c r="E16" i="38"/>
  <c r="F23" i="47"/>
  <c r="C23" i="38"/>
  <c r="E57" i="32"/>
  <c r="F33" i="47"/>
  <c r="E17" i="38"/>
  <c r="G22" i="53"/>
  <c r="M19" i="51"/>
  <c r="H26" i="58" s="1"/>
  <c r="H30" i="58" s="1"/>
  <c r="L19" i="51"/>
  <c r="G26" i="58" s="1"/>
  <c r="G30" i="58" s="1"/>
  <c r="F22" i="53"/>
  <c r="F22" i="47"/>
  <c r="C22" i="38"/>
  <c r="G19" i="47"/>
  <c r="G17" i="47"/>
  <c r="AM25" i="29"/>
  <c r="AN25" i="29" s="1"/>
  <c r="AD31" i="29"/>
  <c r="AD32" i="29" s="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F51" i="47" l="1"/>
  <c r="G51" i="47" s="1"/>
  <c r="R23" i="47"/>
  <c r="F53" i="47"/>
  <c r="G53" i="47" s="1"/>
  <c r="H55" i="51"/>
  <c r="G19" i="38"/>
  <c r="C26" i="47"/>
  <c r="E73" i="47"/>
  <c r="D73" i="47"/>
  <c r="E90" i="47"/>
  <c r="D90" i="47"/>
  <c r="D89" i="47"/>
  <c r="E89" i="47"/>
  <c r="D74" i="47"/>
  <c r="E74" i="47"/>
  <c r="I20" i="58"/>
  <c r="I107" i="58"/>
  <c r="I112" i="58" s="1"/>
  <c r="L68" i="60"/>
  <c r="C42" i="47"/>
  <c r="J25" i="58"/>
  <c r="J29" i="58" s="1"/>
  <c r="N26" i="47"/>
  <c r="J16" i="58"/>
  <c r="F21" i="58"/>
  <c r="O54" i="51"/>
  <c r="G108" i="58"/>
  <c r="G113" i="58" s="1"/>
  <c r="G21" i="58"/>
  <c r="J55" i="51"/>
  <c r="E35" i="58"/>
  <c r="R16" i="47"/>
  <c r="G22" i="47"/>
  <c r="R22" i="47"/>
  <c r="R24" i="47"/>
  <c r="O26" i="47"/>
  <c r="P26" i="47"/>
  <c r="O143" i="4"/>
  <c r="R142" i="4"/>
  <c r="E26" i="47"/>
  <c r="D26" i="47"/>
  <c r="G50" i="47"/>
  <c r="F57" i="32"/>
  <c r="F34" i="53"/>
  <c r="E24" i="53"/>
  <c r="E34" i="53" s="1"/>
  <c r="K23" i="51"/>
  <c r="F35" i="58" s="1"/>
  <c r="F39" i="58" s="1"/>
  <c r="G24" i="53"/>
  <c r="G34" i="53" s="1"/>
  <c r="M23" i="5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G52" i="47" l="1"/>
  <c r="E39" i="58"/>
  <c r="E108" i="58"/>
  <c r="E113" i="58" s="1"/>
  <c r="F108" i="58"/>
  <c r="F113" i="58" s="1"/>
  <c r="M55" i="51"/>
  <c r="H35" i="58"/>
  <c r="E42" i="47"/>
  <c r="D42" i="47"/>
  <c r="J20" i="58"/>
  <c r="J107" i="58"/>
  <c r="J112" i="58" s="1"/>
  <c r="O144" i="4"/>
  <c r="R143" i="4"/>
  <c r="F56" i="47"/>
  <c r="G56" i="47" s="1"/>
  <c r="G24" i="38"/>
  <c r="F54" i="47"/>
  <c r="G22" i="38"/>
  <c r="G48" i="47"/>
  <c r="K55" i="51"/>
  <c r="G40" i="47"/>
  <c r="G39" i="47"/>
  <c r="H39" i="58" l="1"/>
  <c r="H108" i="58"/>
  <c r="H113" i="58" s="1"/>
  <c r="O145" i="4"/>
  <c r="R144" i="4"/>
  <c r="G54" i="47"/>
  <c r="G55" i="47"/>
  <c r="O146" i="4" l="1"/>
  <c r="R145" i="4"/>
  <c r="O147" i="4" l="1"/>
  <c r="R146" i="4"/>
  <c r="O148" i="4" l="1"/>
  <c r="R147" i="4"/>
  <c r="O149" i="4" l="1"/>
  <c r="R148" i="4"/>
  <c r="AB42" i="29"/>
  <c r="O150" i="4" l="1"/>
  <c r="R149" i="4"/>
  <c r="AD42" i="29"/>
  <c r="AJ42" i="29"/>
  <c r="O151" i="4" l="1"/>
  <c r="R150" i="4"/>
  <c r="AL42" i="29"/>
  <c r="O152" i="4" l="1"/>
  <c r="R152" i="4" s="1"/>
  <c r="R151" i="4"/>
  <c r="S151" i="4" s="1"/>
  <c r="W68" i="4" s="1"/>
  <c r="C31" i="46" l="1"/>
  <c r="AH31" i="46"/>
  <c r="X31" i="46"/>
  <c r="N31" i="46"/>
  <c r="O153" i="4"/>
  <c r="E31" i="29"/>
  <c r="O154" i="4" l="1"/>
  <c r="R153" i="4"/>
  <c r="G31" i="29"/>
  <c r="H31" i="29" s="1"/>
  <c r="D42" i="29" s="1"/>
  <c r="F42" i="29" s="1"/>
  <c r="H42" i="29" s="1"/>
  <c r="M31" i="29"/>
  <c r="V78" i="4"/>
  <c r="W78" i="4" s="1"/>
  <c r="AJ31" i="46"/>
  <c r="E31" i="46"/>
  <c r="AR31" i="46"/>
  <c r="AT31" i="46" s="1"/>
  <c r="P31" i="46"/>
  <c r="Z31" i="46"/>
  <c r="F31" i="46" l="1"/>
  <c r="I49" i="46"/>
  <c r="O29" i="32" s="1"/>
  <c r="K42" i="60" s="1"/>
  <c r="Q31" i="46"/>
  <c r="T49" i="46"/>
  <c r="O33" i="32" s="1"/>
  <c r="K51" i="60" s="1"/>
  <c r="O155" i="4"/>
  <c r="R154" i="4"/>
  <c r="AW31" i="46"/>
  <c r="AX49" i="46"/>
  <c r="O41" i="32" s="1"/>
  <c r="AU31" i="46"/>
  <c r="U31" i="29"/>
  <c r="W31" i="29" s="1"/>
  <c r="O31" i="29"/>
  <c r="AA31" i="46"/>
  <c r="AD49" i="46"/>
  <c r="AK31" i="46"/>
  <c r="AN49" i="46"/>
  <c r="O37" i="32" l="1"/>
  <c r="N35" i="51" s="1"/>
  <c r="AC31" i="46"/>
  <c r="AE49" i="46"/>
  <c r="AD31" i="46"/>
  <c r="H32" i="53"/>
  <c r="N39" i="51"/>
  <c r="H28" i="53"/>
  <c r="N31" i="51"/>
  <c r="I53" i="58" s="1"/>
  <c r="I57" i="58" s="1"/>
  <c r="AM31" i="46"/>
  <c r="AO49" i="46"/>
  <c r="O26" i="32" s="1"/>
  <c r="AN31" i="46"/>
  <c r="AC31" i="29"/>
  <c r="X31" i="29"/>
  <c r="T42" i="29" s="1"/>
  <c r="V42" i="29" s="1"/>
  <c r="X42" i="29" s="1"/>
  <c r="O25" i="32" s="1"/>
  <c r="K34" i="60" s="1"/>
  <c r="H26" i="53"/>
  <c r="N27" i="51"/>
  <c r="I44" i="58" s="1"/>
  <c r="I48" i="58" s="1"/>
  <c r="P31" i="29"/>
  <c r="L42" i="29" s="1"/>
  <c r="N42" i="29" s="1"/>
  <c r="P42" i="29" s="1"/>
  <c r="O21" i="32" s="1"/>
  <c r="K26" i="60" s="1"/>
  <c r="T31" i="46"/>
  <c r="U49" i="46"/>
  <c r="O34" i="32" s="1"/>
  <c r="K52" i="60" s="1"/>
  <c r="S31" i="46"/>
  <c r="AY49" i="46"/>
  <c r="O42" i="32" s="1"/>
  <c r="AX31" i="46"/>
  <c r="O156" i="4"/>
  <c r="R155" i="4"/>
  <c r="J49" i="46"/>
  <c r="O30" i="32" s="1"/>
  <c r="K43" i="60" s="1"/>
  <c r="I31" i="46"/>
  <c r="H31" i="46"/>
  <c r="H34" i="46" s="1"/>
  <c r="K70" i="60" l="1"/>
  <c r="H30" i="53"/>
  <c r="O38" i="32"/>
  <c r="N36" i="51" s="1"/>
  <c r="F50" i="46"/>
  <c r="F49" i="46"/>
  <c r="H22" i="53"/>
  <c r="N19" i="51"/>
  <c r="I26" i="58" s="1"/>
  <c r="I30" i="58" s="1"/>
  <c r="N40" i="51"/>
  <c r="H50" i="53"/>
  <c r="N32" i="51"/>
  <c r="I54" i="58" s="1"/>
  <c r="I58" i="58" s="1"/>
  <c r="H46" i="53"/>
  <c r="F73" i="47"/>
  <c r="G73" i="47" s="1"/>
  <c r="I25" i="38"/>
  <c r="N23" i="51"/>
  <c r="I35" i="58" s="1"/>
  <c r="I39" i="58" s="1"/>
  <c r="H24" i="53"/>
  <c r="H44" i="53"/>
  <c r="N28" i="51"/>
  <c r="I45" i="58" s="1"/>
  <c r="F105" i="47"/>
  <c r="G105" i="47" s="1"/>
  <c r="M25" i="38"/>
  <c r="F89" i="47"/>
  <c r="G89" i="47" s="1"/>
  <c r="K25" i="38"/>
  <c r="O157" i="4"/>
  <c r="R156" i="4"/>
  <c r="AE31" i="29"/>
  <c r="AK31" i="29"/>
  <c r="AM31" i="29" s="1"/>
  <c r="N24" i="51"/>
  <c r="H42" i="53"/>
  <c r="O25" i="38"/>
  <c r="F121" i="47"/>
  <c r="G121" i="47" s="1"/>
  <c r="I49" i="58" l="1"/>
  <c r="I109" i="58"/>
  <c r="I114" i="58" s="1"/>
  <c r="O58" i="32"/>
  <c r="H48" i="53"/>
  <c r="H52" i="53" s="1"/>
  <c r="AF31" i="29"/>
  <c r="AF42" i="29"/>
  <c r="AN31" i="29"/>
  <c r="AN42" i="29"/>
  <c r="O17" i="32" s="1"/>
  <c r="K18" i="60" s="1"/>
  <c r="K69" i="60" s="1"/>
  <c r="H121" i="47"/>
  <c r="I121" i="47" s="1"/>
  <c r="P25" i="38"/>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Q25" i="47" l="1"/>
  <c r="I17" i="58"/>
  <c r="O160" i="4"/>
  <c r="R159" i="4"/>
  <c r="C25" i="38"/>
  <c r="N55" i="51"/>
  <c r="F25" i="47"/>
  <c r="AD43" i="29"/>
  <c r="AJ43" i="29"/>
  <c r="I21" i="58" l="1"/>
  <c r="I108" i="58"/>
  <c r="I113" i="58" s="1"/>
  <c r="G25" i="47"/>
  <c r="R25" i="47"/>
  <c r="O161" i="4"/>
  <c r="R160" i="4"/>
  <c r="AL43" i="29"/>
  <c r="O162" i="4" l="1"/>
  <c r="R161" i="4"/>
  <c r="O163" i="4" l="1"/>
  <c r="R163" i="4" s="1"/>
  <c r="S163" i="4" s="1"/>
  <c r="R162" i="4"/>
  <c r="E32" i="29" l="1"/>
  <c r="AH32" i="46" l="1"/>
  <c r="AJ32" i="46" s="1"/>
  <c r="W69" i="4"/>
  <c r="X32" i="46"/>
  <c r="Z32" i="46" s="1"/>
  <c r="C32" i="46"/>
  <c r="E32" i="46" s="1"/>
  <c r="N32" i="46"/>
  <c r="P32" i="46" s="1"/>
  <c r="V79" i="4"/>
  <c r="W79" i="4" s="1"/>
  <c r="AR32" i="46"/>
  <c r="AT32" i="46" s="1"/>
  <c r="M32" i="29"/>
  <c r="G32" i="29"/>
  <c r="M40" i="53"/>
  <c r="H32" i="29" l="1"/>
  <c r="D43" i="29" s="1"/>
  <c r="F43" i="29" s="1"/>
  <c r="H43" i="29" s="1"/>
  <c r="Q32" i="46"/>
  <c r="T50" i="46"/>
  <c r="O32" i="29"/>
  <c r="U32" i="29"/>
  <c r="I50" i="46"/>
  <c r="F32" i="46"/>
  <c r="AD50" i="46"/>
  <c r="AA32" i="46"/>
  <c r="AK32" i="46"/>
  <c r="AN50" i="46"/>
  <c r="AW32" i="46"/>
  <c r="AU32" i="46"/>
  <c r="AX50" i="46"/>
  <c r="P41" i="32" s="1"/>
  <c r="P37" i="32" l="1"/>
  <c r="I30" i="53" s="1"/>
  <c r="I32" i="53"/>
  <c r="E32" i="59"/>
  <c r="AM32" i="46"/>
  <c r="AM34" i="46" s="1"/>
  <c r="AO50" i="46"/>
  <c r="P26" i="32" s="1"/>
  <c r="AN32" i="46"/>
  <c r="S32" i="46"/>
  <c r="S34" i="46" s="1"/>
  <c r="T32" i="46"/>
  <c r="T34" i="46" s="1"/>
  <c r="U50" i="46"/>
  <c r="P34" i="32" s="1"/>
  <c r="I46" i="53" s="1"/>
  <c r="P32" i="29"/>
  <c r="L43" i="29" s="1"/>
  <c r="N43" i="29" s="1"/>
  <c r="P43" i="29" s="1"/>
  <c r="P21" i="32" s="1"/>
  <c r="AY50" i="46"/>
  <c r="P42" i="32" s="1"/>
  <c r="I50" i="53" s="1"/>
  <c r="AX32" i="46"/>
  <c r="AC32" i="46"/>
  <c r="AC34" i="46" s="1"/>
  <c r="AD32" i="46"/>
  <c r="AD34" i="46" s="1"/>
  <c r="AE50" i="46"/>
  <c r="P38" i="32" s="1"/>
  <c r="I48" i="53" s="1"/>
  <c r="W32" i="29"/>
  <c r="AC32" i="29"/>
  <c r="J50" i="46"/>
  <c r="P30" i="32" s="1"/>
  <c r="I44" i="53" s="1"/>
  <c r="I32" i="46"/>
  <c r="H32" i="46"/>
  <c r="P29" i="32"/>
  <c r="P33" i="32"/>
  <c r="E30" i="59" l="1"/>
  <c r="I28" i="53"/>
  <c r="N46" i="53" s="1"/>
  <c r="E28" i="59"/>
  <c r="I22" i="53"/>
  <c r="E22" i="59"/>
  <c r="I26" i="53"/>
  <c r="N44" i="53" s="1"/>
  <c r="E26" i="59"/>
  <c r="AK49" i="46"/>
  <c r="AK50" i="46"/>
  <c r="AB49" i="46"/>
  <c r="AB50" i="46"/>
  <c r="AA49" i="46"/>
  <c r="AA50" i="46"/>
  <c r="Q50" i="46"/>
  <c r="Q49" i="46"/>
  <c r="R50" i="46"/>
  <c r="R49" i="46"/>
  <c r="N40" i="53"/>
  <c r="N50" i="53"/>
  <c r="M50" i="53"/>
  <c r="AE32" i="29"/>
  <c r="AK32" i="29"/>
  <c r="AM32" i="29" s="1"/>
  <c r="X32" i="29"/>
  <c r="T43" i="29" s="1"/>
  <c r="V43" i="29" s="1"/>
  <c r="X43" i="29" s="1"/>
  <c r="P25" i="32" s="1"/>
  <c r="N48" i="53"/>
  <c r="I42" i="53"/>
  <c r="P58" i="32"/>
  <c r="I24" i="53" l="1"/>
  <c r="E24" i="59"/>
  <c r="N42" i="53"/>
  <c r="N52" i="53" s="1"/>
  <c r="O50" i="53"/>
  <c r="O40" i="51" s="1"/>
  <c r="AN32" i="29"/>
  <c r="AN43" i="29"/>
  <c r="P17" i="32" s="1"/>
  <c r="E20" i="59" s="1"/>
  <c r="I52" i="53"/>
  <c r="M42" i="53"/>
  <c r="AF32" i="29"/>
  <c r="AF43" i="29"/>
  <c r="O40" i="53"/>
  <c r="E34" i="59" l="1"/>
  <c r="E35" i="59"/>
  <c r="G30" i="59" s="1"/>
  <c r="H30" i="59" s="1"/>
  <c r="O20" i="51"/>
  <c r="O42" i="53"/>
  <c r="O24" i="51" s="1"/>
  <c r="P26" i="38"/>
  <c r="H122" i="47"/>
  <c r="I122" i="47" s="1"/>
  <c r="I20" i="53"/>
  <c r="P57" i="32"/>
  <c r="G20" i="59" l="1"/>
  <c r="H20" i="59" s="1"/>
  <c r="G34" i="59"/>
  <c r="G32" i="59"/>
  <c r="H32" i="59" s="1"/>
  <c r="G26" i="59"/>
  <c r="H26" i="59" s="1"/>
  <c r="G22" i="59"/>
  <c r="H22" i="59" s="1"/>
  <c r="G28" i="59"/>
  <c r="H28" i="59" s="1"/>
  <c r="G24" i="59"/>
  <c r="H24" i="59" s="1"/>
  <c r="I34" i="53"/>
  <c r="I35" i="53"/>
  <c r="H42" i="47"/>
  <c r="I42" i="47" s="1"/>
  <c r="F26" i="38"/>
  <c r="H58" i="47"/>
  <c r="I58" i="47" s="1"/>
  <c r="H26" i="38"/>
  <c r="M34" i="53" l="1"/>
  <c r="K28" i="53"/>
  <c r="L28" i="53" s="1"/>
  <c r="M28" i="53" s="1"/>
  <c r="O28" i="53" s="1"/>
  <c r="K22" i="53"/>
  <c r="L22" i="53" s="1"/>
  <c r="M22" i="53" s="1"/>
  <c r="O22" i="53" s="1"/>
  <c r="K26" i="53"/>
  <c r="L26" i="53" s="1"/>
  <c r="M26" i="53" s="1"/>
  <c r="O26" i="53" s="1"/>
  <c r="K24" i="53"/>
  <c r="L24" i="53" s="1"/>
  <c r="M24" i="53" s="1"/>
  <c r="O24" i="53" s="1"/>
  <c r="K20" i="53"/>
  <c r="L20" i="53" s="1"/>
  <c r="M20" i="53" s="1"/>
  <c r="O20" i="53" s="1"/>
  <c r="K32" i="53"/>
  <c r="L32" i="53" s="1"/>
  <c r="M32" i="53" s="1"/>
  <c r="O32" i="53" s="1"/>
  <c r="O39" i="51" s="1"/>
  <c r="O26" i="38" s="1"/>
  <c r="K34" i="53"/>
  <c r="K30" i="53"/>
  <c r="L30" i="53" s="1"/>
  <c r="M30" i="53" s="1"/>
  <c r="O30" i="53" s="1"/>
  <c r="O35" i="51" s="1"/>
  <c r="O27" i="51" l="1"/>
  <c r="J44" i="58" s="1"/>
  <c r="J48" i="58" s="1"/>
  <c r="L42" i="60"/>
  <c r="O19" i="51"/>
  <c r="J26" i="58" s="1"/>
  <c r="J30" i="58" s="1"/>
  <c r="L26" i="60"/>
  <c r="O15" i="51"/>
  <c r="Q26" i="47" s="1"/>
  <c r="L18" i="60"/>
  <c r="O31" i="51"/>
  <c r="K26" i="38" s="1"/>
  <c r="L51" i="60"/>
  <c r="O23" i="51"/>
  <c r="J35" i="58" s="1"/>
  <c r="J39" i="58" s="1"/>
  <c r="L34" i="60"/>
  <c r="M46" i="53"/>
  <c r="O46" i="53" s="1"/>
  <c r="F122" i="47"/>
  <c r="G122" i="47" s="1"/>
  <c r="M48" i="53"/>
  <c r="O48" i="53" s="1"/>
  <c r="O36" i="51" s="1"/>
  <c r="N26" i="38" s="1"/>
  <c r="M44" i="53"/>
  <c r="O44" i="53" s="1"/>
  <c r="L43" i="60" s="1"/>
  <c r="F106" i="47"/>
  <c r="G106" i="47" s="1"/>
  <c r="M26" i="38"/>
  <c r="O34" i="53"/>
  <c r="Q34" i="53" s="1"/>
  <c r="F42" i="47" l="1"/>
  <c r="G42" i="47" s="1"/>
  <c r="J53" i="58"/>
  <c r="J57" i="58" s="1"/>
  <c r="G26" i="38"/>
  <c r="F90" i="47"/>
  <c r="G90" i="47" s="1"/>
  <c r="O55" i="51"/>
  <c r="I26" i="38"/>
  <c r="F58" i="47"/>
  <c r="G58" i="47" s="1"/>
  <c r="J17" i="58"/>
  <c r="J21" i="58" s="1"/>
  <c r="F26" i="47"/>
  <c r="G26" i="47" s="1"/>
  <c r="C26" i="38"/>
  <c r="F74" i="47"/>
  <c r="G74" i="47" s="1"/>
  <c r="E26" i="38"/>
  <c r="O32" i="51"/>
  <c r="H90" i="47" s="1"/>
  <c r="I90" i="47" s="1"/>
  <c r="L52" i="60"/>
  <c r="L70" i="60" s="1"/>
  <c r="L69" i="60"/>
  <c r="H106" i="47"/>
  <c r="I106" i="47" s="1"/>
  <c r="M52" i="53"/>
  <c r="O28" i="51"/>
  <c r="O52" i="53"/>
  <c r="J108" i="58" l="1"/>
  <c r="J113" i="58" s="1"/>
  <c r="J54" i="58"/>
  <c r="J58" i="58" s="1"/>
  <c r="R26" i="47"/>
  <c r="L26" i="38"/>
  <c r="J45" i="58"/>
  <c r="J49" i="58" s="1"/>
  <c r="H74" i="47"/>
  <c r="I74" i="47" s="1"/>
  <c r="J26" i="38"/>
  <c r="O56" i="51"/>
  <c r="J109" i="58" l="1"/>
  <c r="J114" i="58" s="1"/>
</calcChain>
</file>

<file path=xl/comments1.xml><?xml version="1.0" encoding="utf-8"?>
<comments xmlns="http://schemas.openxmlformats.org/spreadsheetml/2006/main">
  <authors>
    <author>Author</author>
  </authors>
  <commentList>
    <comment ref="F46"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<sst xmlns="http://schemas.openxmlformats.org/spreadsheetml/2006/main" count="1383" uniqueCount="486">
  <si>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</si>
  <si>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</si>
  <si>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</si>
  <si>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</si>
  <si>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</si>
  <si>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</si>
  <si>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</si>
  <si>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</si>
  <si>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</si>
  <si>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</si>
  <si>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</si>
  <si>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</si>
  <si>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</si>
  <si>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</si>
  <si>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</si>
  <si>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</si>
  <si>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</si>
  <si>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</si>
  <si>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</si>
  <si>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</si>
  <si>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</si>
  <si>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</si>
  <si>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</si>
  <si>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</si>
  <si>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</si>
  <si>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</si>
  <si>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</si>
  <si>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</si>
  <si>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</si>
  <si>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</si>
  <si>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</si>
  <si>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</si>
  <si>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</si>
  <si>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</si>
  <si>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</si>
  <si>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</si>
  <si>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</si>
  <si>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</si>
  <si>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</si>
  <si>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</si>
  <si>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</si>
  <si>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</si>
  <si>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</si>
  <si>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</si>
  <si>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</si>
  <si>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</si>
  <si>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</si>
  <si>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</si>
  <si>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</si>
  <si>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</si>
  <si>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</si>
  <si>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</si>
  <si>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</si>
  <si>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</si>
  <si>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</si>
  <si>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</si>
  <si>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</si>
  <si>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</si>
  <si>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</si>
  <si>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</si>
  <si>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</si>
  <si>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</si>
  <si>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</si>
  <si>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</si>
  <si>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</si>
  <si>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</si>
  <si>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</si>
  <si>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</si>
  <si>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</si>
  <si>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</si>
  <si>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</si>
  <si>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</si>
  <si>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</si>
  <si>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</si>
  <si>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</si>
  <si>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</si>
  <si>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</si>
  <si>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</si>
  <si>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</si>
  <si>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</si>
  <si>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</si>
  <si>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</si>
  <si>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</si>
  <si>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</si>
  <si>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</si>
  <si>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</si>
  <si>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</si>
  <si>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</si>
  <si>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</si>
  <si>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</si>
  <si>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</si>
  <si>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</si>
  <si>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</si>
  <si>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</si>
  <si>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</si>
  <si>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</si>
  <si>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</si>
  <si>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</si>
  <si>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</si>
  <si>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</si>
  <si>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</si>
  <si>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</si>
  <si>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</si>
  <si>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</si>
  <si>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</si>
  <si>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</si>
  <si>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</si>
  <si>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</si>
  <si>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</si>
  <si>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</si>
  <si>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</si>
  <si>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</si>
  <si>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</si>
  <si>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</si>
  <si>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</si>
  <si>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</si>
  <si>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</si>
  <si>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</si>
  <si>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</si>
  <si>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</si>
  <si>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</si>
  <si>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</si>
  <si>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</si>
  <si>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</si>
  <si>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</si>
  <si>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</si>
  <si>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</si>
  <si>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</si>
  <si>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</si>
  <si>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</si>
  <si>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</si>
  <si>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</si>
  <si>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</si>
  <si>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</si>
  <si>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</si>
  <si>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</si>
  <si>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</si>
  <si>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</si>
  <si>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</si>
  <si>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</si>
  <si>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</si>
  <si>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</si>
  <si>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</si>
  <si>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</si>
  <si>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</si>
  <si>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</si>
  <si>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</si>
  <si>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</si>
  <si>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</si>
  <si>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</si>
  <si>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</si>
  <si>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</si>
  <si>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</si>
  <si>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</si>
  <si>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</si>
  <si>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</si>
  <si>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</si>
  <si>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</si>
  <si>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</si>
  <si>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</si>
  <si>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</si>
  <si>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</si>
  <si>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</si>
  <si>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</si>
  <si>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</si>
  <si>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</si>
  <si>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</si>
  <si>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</si>
  <si>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</si>
  <si>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</si>
  <si>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</si>
  <si>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</si>
  <si>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</si>
  <si>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</si>
  <si>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</si>
  <si>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</si>
  <si>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</si>
  <si>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</si>
  <si>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</si>
  <si>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</si>
  <si>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</si>
  <si>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</si>
  <si>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</si>
  <si>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</si>
  <si>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</si>
  <si>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</si>
  <si>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</si>
  <si>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</si>
  <si>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</si>
  <si>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</si>
  <si>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</si>
  <si>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</si>
  <si>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</si>
  <si>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</si>
  <si>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</si>
  <si>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</si>
  <si>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</si>
  <si>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</si>
  <si>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</si>
  <si>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</si>
  <si>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</si>
  <si>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</si>
  <si>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</si>
  <si>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</si>
  <si>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</si>
  <si>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</si>
  <si>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</si>
  <si>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</si>
  <si>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</si>
  <si>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</si>
  <si>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</si>
  <si>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</si>
  <si>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</si>
  <si>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</si>
  <si>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</si>
  <si>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</si>
  <si>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</si>
  <si>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</si>
  <si>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</si>
  <si>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</si>
  <si>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</si>
  <si>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</si>
  <si>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</si>
  <si>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</si>
  <si>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</si>
  <si>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</si>
  <si>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</si>
  <si>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</si>
  <si>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</si>
  <si>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</si>
  <si>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</si>
  <si>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</si>
  <si>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</si>
  <si>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</si>
  <si>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</si>
  <si>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</si>
  <si>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</si>
  <si>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</si>
  <si>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</si>
  <si>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</si>
  <si>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</si>
  <si>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</si>
  <si>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</si>
  <si>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</si>
  <si>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</si>
  <si>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</si>
  <si>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</si>
  <si>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</si>
  <si>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</si>
  <si>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</si>
  <si>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</si>
  <si>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</si>
  <si>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</si>
  <si>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</si>
  <si>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</si>
  <si>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</si>
  <si>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</si>
  <si>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</si>
  <si>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</si>
  <si>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</si>
  <si>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</si>
  <si>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</si>
  <si>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</si>
  <si>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</si>
  <si>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 xml:space="preserve">Load Forecast Model version 1.0 © CHEC </t>
  </si>
  <si>
    <t>Input cells</t>
  </si>
  <si>
    <t>Drop down cells</t>
  </si>
  <si>
    <t>Model Notes</t>
  </si>
  <si>
    <t>Unmetered Scattered Load-Non-WN/kW</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</si>
  <si>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</si>
  <si>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</si>
  <si>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</si>
  <si>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</si>
  <si>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</si>
  <si>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</si>
  <si>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</si>
  <si>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</si>
  <si>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</si>
  <si>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</si>
  <si>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</si>
  <si>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</si>
  <si>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</si>
  <si>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</si>
  <si>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</si>
  <si>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</si>
  <si>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</si>
  <si>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</si>
  <si>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</si>
  <si>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</si>
  <si>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</si>
  <si>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</si>
  <si>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</si>
  <si>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</si>
  <si>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</si>
  <si>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</si>
  <si>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</si>
  <si>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</si>
  <si>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</si>
  <si>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</si>
  <si>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</si>
  <si>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</si>
  <si>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</si>
  <si>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</si>
  <si>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</si>
  <si>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</si>
  <si>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</si>
  <si>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</si>
  <si>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</si>
  <si>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</si>
  <si>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</si>
  <si>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</si>
  <si>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</si>
  <si>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</si>
  <si>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</si>
  <si>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</si>
  <si>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</si>
  <si>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</si>
  <si>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</si>
  <si>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</si>
  <si>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</si>
  <si>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</si>
  <si>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</si>
  <si>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</si>
  <si>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</si>
  <si>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</si>
  <si>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</si>
  <si>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</si>
  <si>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</si>
  <si>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</si>
  <si>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</si>
  <si>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</si>
  <si>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</si>
  <si>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</si>
  <si>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</si>
  <si>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</si>
  <si>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</si>
  <si>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</si>
  <si>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</si>
  <si>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</si>
  <si>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</si>
  <si>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</si>
  <si>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</si>
  <si>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</si>
  <si>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</si>
  <si>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</si>
  <si>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</si>
  <si>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</si>
  <si>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</si>
  <si>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</si>
  <si>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</si>
  <si>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</si>
  <si>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</si>
  <si>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</si>
  <si>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</si>
  <si>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</si>
  <si>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</si>
  <si>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</si>
  <si>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</si>
  <si>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</si>
  <si>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</si>
  <si>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</si>
  <si>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</si>
  <si>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</si>
  <si>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</si>
  <si>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</si>
  <si>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</si>
  <si>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</si>
  <si>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</si>
  <si>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</si>
  <si>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</si>
  <si>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</si>
  <si>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</si>
  <si>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</si>
  <si>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</si>
  <si>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</si>
  <si>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</si>
  <si>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</si>
  <si>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</si>
  <si>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</si>
  <si>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</si>
  <si>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</si>
  <si>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</si>
  <si>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</si>
  <si>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</si>
  <si>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</si>
  <si>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</si>
  <si>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</si>
  <si>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</si>
  <si>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</si>
  <si>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</si>
  <si>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</si>
  <si>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</si>
  <si>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</si>
  <si>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</si>
  <si>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</si>
  <si>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</si>
  <si>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</si>
  <si>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</si>
  <si>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2016</t>
  </si>
  <si>
    <t>X Variable 1</t>
  </si>
  <si>
    <t>X Variable 2</t>
  </si>
  <si>
    <t>X Variable 3</t>
  </si>
  <si>
    <t>X Variable 4</t>
  </si>
  <si>
    <t>X Variable 5</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</si>
  <si>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</si>
  <si>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</si>
  <si>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</si>
  <si>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</si>
  <si>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</si>
  <si>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</si>
  <si>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</si>
  <si>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</si>
  <si>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</si>
  <si>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</si>
  <si>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</si>
  <si>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</si>
  <si>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</si>
  <si>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</si>
  <si>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</si>
  <si>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</si>
  <si>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</si>
  <si>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</si>
  <si>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</si>
  <si>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</si>
  <si>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</si>
  <si>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</si>
  <si>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</si>
  <si>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</si>
  <si>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</si>
  <si>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</si>
  <si>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</si>
  <si>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</si>
  <si>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</si>
  <si>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</si>
  <si>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</si>
  <si>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</si>
  <si>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</si>
  <si>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</si>
  <si>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Renfrew Hydro</t>
  </si>
  <si>
    <t>Bill Nippard</t>
  </si>
  <si>
    <t>2017</t>
  </si>
  <si>
    <t>Daylight hours</t>
  </si>
  <si>
    <t>File Number:</t>
  </si>
  <si>
    <t>Exhibit:</t>
  </si>
  <si>
    <t>Tab:</t>
  </si>
  <si>
    <t>Schedule:</t>
  </si>
  <si>
    <t>Page:</t>
  </si>
  <si>
    <t>Date:</t>
  </si>
  <si>
    <t>Appendix 2-IA</t>
  </si>
  <si>
    <t>Summary and Variances of Actual and Forecast Data</t>
  </si>
  <si>
    <t>Replace "Rate Class #" with the appropriate rate classification.</t>
  </si>
  <si>
    <t># of Customers</t>
  </si>
  <si>
    <t>Variance Analysis</t>
  </si>
  <si>
    <t>Rate Class 6</t>
  </si>
  <si>
    <t>Rate Class 7</t>
  </si>
  <si>
    <t>Rate Class 8</t>
  </si>
  <si>
    <t>Rate Class 9</t>
  </si>
  <si>
    <t>Rate Class 10</t>
  </si>
  <si>
    <t>Totals</t>
  </si>
  <si>
    <t>Customers / Connections</t>
  </si>
  <si>
    <t>kW from applicable classes</t>
  </si>
  <si>
    <t>Totals - Variance</t>
  </si>
  <si>
    <t>LRAMVA Allocation</t>
  </si>
  <si>
    <t>LRAMVA Allocation Worksheet</t>
  </si>
  <si>
    <t>EB-2016-0166</t>
  </si>
  <si>
    <t xml:space="preserve"> Board Approved</t>
  </si>
  <si>
    <t>613.432.4884 ext 224</t>
  </si>
  <si>
    <t>bnippard@renfrewhydro.com</t>
  </si>
  <si>
    <t>1020 Board Approved</t>
  </si>
  <si>
    <t>Revenues</t>
  </si>
  <si>
    <t>Fixed</t>
  </si>
  <si>
    <t>Variable</t>
  </si>
  <si>
    <t>10 Year Avg</t>
  </si>
  <si>
    <t>20 Year Avg</t>
  </si>
  <si>
    <t>Predicted Wholesale</t>
  </si>
  <si>
    <t>34-35</t>
  </si>
  <si>
    <t>Appendix 2-I</t>
  </si>
  <si>
    <t>Total for 2017</t>
  </si>
  <si>
    <t>1996</t>
  </si>
  <si>
    <t>Actual Wholesale Purchases</t>
  </si>
  <si>
    <t>Per class Predicted</t>
  </si>
  <si>
    <t>Predicted Load Forecast Results</t>
  </si>
  <si>
    <t>Actual Wholesale Purchases kWh</t>
  </si>
  <si>
    <t>Actual Wholesale Purchases (Adjusted)</t>
  </si>
  <si>
    <t>Act vs Pred</t>
  </si>
  <si>
    <t>Future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</si>
</sst>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 numFmtId="186" formatCode="_-* #,##0.0000_-;\-* #,##0.0000_-;_-* &quot;-&quot;??_-;_-@_-"/>
    <numFmt numFmtId="187" formatCode="_-* #,##0.00\ _$_-;_-* #,##0.00\ _$\-;_-* &quot;-&quot;??\ _$_-;_-@_-"/>
  </numFmts>
  <fonts count="134"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theme="0" tint="-0.249977111117893"/>
      <name val="Arial"/>
      <family val="2"/>
    </font>
    <font>
      <sz val="10"/>
      <color theme="0" tint="-0.249977111117893"/>
      <name val="Arial"/>
      <family val="2"/>
    </font>
    <font>
      <sz val="9"/>
      <color rgb="FFFF0000"/>
      <name val="Arial"/>
      <family val="2"/>
    </font>
    <font>
      <b/>
      <sz val="9"/>
      <name val="Arial"/>
      <family val="2"/>
    </font>
    <font>
      <i/>
      <sz val="10"/>
      <color theme="0" tint="-0.499984740745262"/>
      <name val="Arial"/>
      <family val="2"/>
    </font>
    <font>
      <sz val="10"/>
      <name val="Times New Roman"/>
      <family val="1"/>
    </font>
  </fonts>
  <fills count="7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mediumGray">
        <bgColor theme="0"/>
      </patternFill>
    </fill>
  </fills>
  <borders count="1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1492">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43" fontId="15" fillId="0" borderId="0" applyFont="0" applyFill="0" applyBorder="0" applyAlignment="0" applyProtection="0"/>
    <xf numFmtId="166" fontId="23"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1" fillId="0" borderId="0"/>
    <xf numFmtId="0" fontId="14" fillId="0" borderId="0"/>
    <xf numFmtId="0" fontId="26" fillId="0" borderId="0"/>
    <xf numFmtId="0" fontId="15"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8"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8"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8"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0"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1"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5"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5"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1"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1"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89" fillId="50" borderId="0" applyNumberFormat="0" applyBorder="0" applyAlignment="0" applyProtection="0"/>
    <xf numFmtId="0" fontId="5" fillId="0" borderId="0"/>
    <xf numFmtId="0" fontId="5" fillId="0" borderId="0"/>
    <xf numFmtId="0" fontId="5" fillId="0" borderId="0"/>
    <xf numFmtId="0" fontId="89" fillId="55" borderId="0" applyNumberFormat="0" applyBorder="0" applyAlignment="0" applyProtection="0"/>
    <xf numFmtId="0" fontId="89"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99"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7"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8"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2"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8"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83" fillId="0" borderId="0" applyNumberFormat="0" applyFill="0" applyBorder="0" applyAlignment="0" applyProtection="0"/>
    <xf numFmtId="0" fontId="2" fillId="0" borderId="0"/>
    <xf numFmtId="0" fontId="1" fillId="0" borderId="0"/>
    <xf numFmtId="0" fontId="133" fillId="0" borderId="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187" fontId="1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 fillId="0" borderId="0"/>
    <xf numFmtId="0" fontId="1" fillId="0" borderId="0"/>
    <xf numFmtId="0" fontId="1" fillId="0" borderId="0"/>
    <xf numFmtId="0" fontId="1" fillId="0" borderId="0"/>
    <xf numFmtId="0" fontId="11" fillId="0" borderId="0"/>
    <xf numFmtId="0" fontId="11" fillId="0" borderId="0"/>
    <xf numFmtId="0" fontId="1" fillId="0" borderId="0"/>
    <xf numFmtId="0" fontId="1" fillId="0" borderId="0"/>
    <xf numFmtId="0" fontId="15" fillId="0" borderId="0"/>
    <xf numFmtId="0" fontId="15" fillId="0" borderId="0"/>
    <xf numFmtId="0" fontId="1" fillId="0" borderId="0"/>
    <xf numFmtId="0" fontId="15" fillId="0" borderId="0"/>
    <xf numFmtId="0" fontId="15" fillId="0" borderId="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0" fontId="26" fillId="32" borderId="63" applyNumberFormat="0" applyFont="0" applyAlignment="0" applyProtection="0"/>
    <xf numFmtId="9" fontId="11" fillId="0" borderId="0" applyFont="0" applyFill="0" applyBorder="0" applyAlignment="0" applyProtection="0"/>
  </cellStyleXfs>
  <cellXfs count="1191">
    <xf numFmtId="0" fontId="0" fillId="0" borderId="0" xfId="0"/>
    <xf numFmtId="0" fontId="11" fillId="0" borderId="0" xfId="0" applyFont="1"/>
    <xf numFmtId="1" fontId="11" fillId="33" borderId="2" xfId="379" applyNumberFormat="1" applyFont="1" applyFill="1" applyBorder="1" applyAlignment="1">
      <alignment horizontal="center"/>
    </xf>
    <xf numFmtId="0" fontId="44" fillId="0" borderId="0" xfId="0"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1" fillId="0" borderId="8" xfId="0" applyFont="1" applyFill="1" applyBorder="1" applyAlignment="1">
      <alignment horizontal="center"/>
    </xf>
    <xf numFmtId="49" fontId="11" fillId="0" borderId="9" xfId="0" applyNumberFormat="1" applyFont="1" applyBorder="1" applyAlignment="1">
      <alignment horizontal="center"/>
    </xf>
    <xf numFmtId="167" fontId="11" fillId="0" borderId="10" xfId="0" applyNumberFormat="1" applyFont="1" applyBorder="1" applyAlignment="1">
      <alignment horizontal="center"/>
    </xf>
    <xf numFmtId="0" fontId="11" fillId="0" borderId="10" xfId="0" applyFont="1" applyFill="1" applyBorder="1" applyAlignment="1">
      <alignment horizontal="center"/>
    </xf>
    <xf numFmtId="0" fontId="11" fillId="0" borderId="11"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0" fontId="11" fillId="0" borderId="0" xfId="0" applyFont="1" applyFill="1" applyBorder="1"/>
    <xf numFmtId="2" fontId="43"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3"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3" fillId="0" borderId="11" xfId="0" applyNumberFormat="1" applyFont="1" applyFill="1" applyBorder="1" applyAlignment="1">
      <alignment horizontal="center"/>
    </xf>
    <xf numFmtId="0" fontId="11"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11"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1" fillId="33" borderId="21"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6" fillId="0" borderId="0" xfId="0" applyFont="1" applyBorder="1" applyAlignment="1">
      <alignment horizontal="left" vertical="center"/>
    </xf>
    <xf numFmtId="0" fontId="11"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9"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1" fillId="0" borderId="39" xfId="0" applyFont="1" applyBorder="1"/>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1" fillId="0" borderId="0" xfId="521" applyFont="1"/>
    <xf numFmtId="0" fontId="26" fillId="0" borderId="0" xfId="524" applyFont="1" applyFill="1"/>
    <xf numFmtId="0" fontId="11" fillId="0" borderId="0" xfId="521" applyFont="1" applyAlignment="1">
      <alignment horizontal="left"/>
    </xf>
    <xf numFmtId="0" fontId="26" fillId="0" borderId="0" xfId="524" applyFont="1"/>
    <xf numFmtId="9" fontId="11"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4"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2"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1" fontId="11" fillId="33" borderId="9" xfId="379" applyNumberFormat="1" applyFont="1" applyFill="1" applyBorder="1" applyAlignment="1">
      <alignment horizontal="center"/>
    </xf>
    <xf numFmtId="0" fontId="11"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7" fontId="11" fillId="0" borderId="1" xfId="0" applyNumberFormat="1" applyFont="1" applyFill="1" applyBorder="1" applyAlignment="1">
      <alignment horizontal="center"/>
    </xf>
    <xf numFmtId="167" fontId="11" fillId="0" borderId="8" xfId="0" applyNumberFormat="1" applyFont="1" applyFill="1" applyBorder="1" applyAlignment="1">
      <alignment horizontal="center"/>
    </xf>
    <xf numFmtId="17" fontId="11" fillId="0" borderId="23" xfId="0" applyNumberFormat="1" applyFont="1" applyBorder="1" applyAlignment="1">
      <alignment horizontal="center"/>
    </xf>
    <xf numFmtId="17" fontId="11" fillId="0" borderId="0" xfId="0" applyNumberFormat="1" applyFont="1" applyBorder="1" applyAlignment="1">
      <alignment horizontal="center"/>
    </xf>
    <xf numFmtId="0" fontId="18"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1" fillId="0" borderId="0" xfId="0" applyNumberFormat="1" applyFont="1"/>
    <xf numFmtId="169" fontId="45" fillId="0" borderId="0" xfId="0" applyNumberFormat="1" applyFont="1" applyBorder="1" applyAlignment="1">
      <alignment horizontal="center" vertical="center" wrapText="1"/>
    </xf>
    <xf numFmtId="169" fontId="17"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7"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49" fontId="11" fillId="0" borderId="42" xfId="0" applyNumberFormat="1" applyFont="1" applyBorder="1" applyAlignment="1">
      <alignment horizontal="center"/>
    </xf>
    <xf numFmtId="49" fontId="11" fillId="0" borderId="26" xfId="0" applyNumberFormat="1" applyFont="1" applyBorder="1" applyAlignment="1">
      <alignment horizontal="center"/>
    </xf>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2" fontId="11" fillId="0" borderId="26" xfId="521" applyNumberFormat="1" applyFont="1" applyBorder="1" applyAlignment="1">
      <alignment horizontal="center"/>
    </xf>
    <xf numFmtId="2" fontId="11" fillId="0" borderId="42" xfId="521" applyNumberFormat="1" applyFont="1" applyBorder="1" applyAlignment="1">
      <alignment horizontal="center"/>
    </xf>
    <xf numFmtId="0"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7" fillId="0" borderId="0" xfId="0" applyFont="1" applyFill="1" applyBorder="1"/>
    <xf numFmtId="0" fontId="18" fillId="0" borderId="39" xfId="0" applyFont="1" applyBorder="1" applyAlignment="1">
      <alignment horizontal="center"/>
    </xf>
    <xf numFmtId="43" fontId="11" fillId="0" borderId="1" xfId="379" applyFont="1" applyFill="1" applyBorder="1"/>
    <xf numFmtId="1" fontId="43" fillId="33" borderId="8" xfId="0" applyNumberFormat="1" applyFont="1" applyFill="1" applyBorder="1" applyAlignment="1">
      <alignment horizontal="center"/>
    </xf>
    <xf numFmtId="167" fontId="11" fillId="0" borderId="26" xfId="0" applyNumberFormat="1" applyFont="1" applyBorder="1"/>
    <xf numFmtId="1" fontId="11"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4" fontId="26" fillId="0" borderId="0" xfId="524" applyNumberFormat="1" applyFont="1"/>
    <xf numFmtId="175" fontId="26"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6"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3"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Fill="1" applyBorder="1" applyAlignment="1">
      <alignment horizontal="center"/>
    </xf>
    <xf numFmtId="170" fontId="11" fillId="0" borderId="2" xfId="379" applyNumberFormat="1" applyFont="1" applyBorder="1"/>
    <xf numFmtId="0" fontId="11" fillId="0" borderId="8" xfId="0" applyFont="1" applyBorder="1"/>
    <xf numFmtId="167"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5"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1" fillId="0" borderId="0" xfId="0" applyFont="1" applyFill="1" applyProtection="1">
      <protection locked="0"/>
    </xf>
    <xf numFmtId="17" fontId="11" fillId="0" borderId="23" xfId="0" applyNumberFormat="1" applyFont="1" applyBorder="1" applyAlignment="1" applyProtection="1">
      <alignment horizontal="center"/>
      <protection locked="0"/>
    </xf>
    <xf numFmtId="170" fontId="11" fillId="0" borderId="23" xfId="379" applyNumberFormat="1" applyFont="1" applyFill="1" applyBorder="1" applyAlignment="1" applyProtection="1">
      <alignment horizontal="center"/>
      <protection locked="0"/>
    </xf>
    <xf numFmtId="0" fontId="11" fillId="0" borderId="1" xfId="0" applyFont="1" applyFill="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1" fillId="0" borderId="0" xfId="0"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3"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Fill="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1"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6" fillId="0" borderId="1" xfId="0" applyFont="1" applyBorder="1" applyAlignment="1">
      <alignment horizontal="center"/>
    </xf>
    <xf numFmtId="169" fontId="17"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1" fillId="0" borderId="0" xfId="0" applyFont="1" applyAlignment="1">
      <alignment horizontal="center" wrapText="1"/>
    </xf>
    <xf numFmtId="0" fontId="82" fillId="0" borderId="0" xfId="0" applyFont="1" applyAlignment="1">
      <alignment horizontal="left"/>
    </xf>
    <xf numFmtId="172" fontId="11"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43" fontId="17"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3" fontId="11" fillId="0" borderId="8" xfId="379" applyNumberFormat="1" applyFont="1" applyFill="1" applyBorder="1" applyAlignment="1"/>
    <xf numFmtId="1" fontId="11" fillId="0" borderId="1" xfId="0" applyNumberFormat="1" applyFont="1" applyBorder="1" applyAlignment="1">
      <alignment horizontal="center"/>
    </xf>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43" fontId="45"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0" fontId="26" fillId="0" borderId="0" xfId="524" applyFont="1"/>
    <xf numFmtId="10" fontId="11"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70" fontId="11" fillId="0" borderId="23" xfId="379" applyNumberFormat="1" applyFont="1" applyFill="1" applyBorder="1" applyAlignment="1">
      <alignment horizontal="center"/>
    </xf>
    <xf numFmtId="170" fontId="11" fillId="0" borderId="30" xfId="379" applyNumberFormat="1" applyFont="1" applyFill="1" applyBorder="1" applyAlignment="1">
      <alignment horizontal="center"/>
    </xf>
    <xf numFmtId="170" fontId="11" fillId="0" borderId="1"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3"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2" xfId="379" applyNumberFormat="1" applyFont="1" applyBorder="1"/>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3" fillId="0" borderId="1" xfId="379" applyNumberFormat="1" applyFont="1" applyFill="1" applyBorder="1" applyAlignment="1">
      <alignment horizontal="right"/>
    </xf>
    <xf numFmtId="170" fontId="43"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3" fillId="0" borderId="44" xfId="379" applyNumberFormat="1" applyFont="1" applyFill="1" applyBorder="1" applyAlignment="1">
      <alignment horizontal="right"/>
    </xf>
    <xf numFmtId="170" fontId="43"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NumberFormat="1"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49" fontId="11" fillId="62" borderId="26" xfId="0" applyNumberFormat="1" applyFont="1" applyFill="1" applyBorder="1" applyAlignment="1">
      <alignment horizontal="center"/>
    </xf>
    <xf numFmtId="49" fontId="11" fillId="62" borderId="42" xfId="0" applyNumberFormat="1" applyFont="1" applyFill="1" applyBorder="1" applyAlignment="1">
      <alignment horizontal="center"/>
    </xf>
    <xf numFmtId="0" fontId="11" fillId="62" borderId="26" xfId="0" applyFont="1" applyFill="1" applyBorder="1" applyAlignment="1">
      <alignment horizontal="center"/>
    </xf>
    <xf numFmtId="2" fontId="11" fillId="0" borderId="7" xfId="0" applyNumberFormat="1" applyFont="1" applyBorder="1"/>
    <xf numFmtId="2" fontId="11" fillId="0" borderId="2" xfId="0" applyNumberFormat="1" applyFont="1" applyBorder="1"/>
    <xf numFmtId="0" fontId="51"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6" fillId="0" borderId="12" xfId="379" applyNumberFormat="1" applyFont="1" applyBorder="1"/>
    <xf numFmtId="170" fontId="26" fillId="0" borderId="13" xfId="379" applyNumberFormat="1" applyFont="1" applyBorder="1"/>
    <xf numFmtId="170" fontId="26" fillId="0" borderId="1" xfId="379" applyNumberFormat="1" applyFont="1" applyBorder="1"/>
    <xf numFmtId="170" fontId="26"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9" xfId="521" applyFont="1" applyBorder="1" applyAlignment="1">
      <alignment horizontal="center" wrapText="1"/>
    </xf>
    <xf numFmtId="0" fontId="11" fillId="0" borderId="26" xfId="521" applyFont="1" applyBorder="1" applyAlignment="1">
      <alignment horizontal="center" wrapText="1"/>
    </xf>
    <xf numFmtId="0" fontId="11"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1" fillId="0" borderId="26" xfId="521" applyFont="1" applyFill="1" applyBorder="1" applyAlignment="1">
      <alignment horizontal="center" wrapText="1"/>
    </xf>
    <xf numFmtId="0" fontId="11" fillId="0" borderId="42" xfId="521" applyFont="1" applyFill="1" applyBorder="1" applyAlignment="1">
      <alignment horizontal="center" wrapText="1"/>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5"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0" fontId="11" fillId="33" borderId="10" xfId="0" applyFont="1" applyFill="1" applyBorder="1"/>
    <xf numFmtId="3" fontId="43"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1" fillId="62" borderId="39" xfId="0" applyFont="1" applyFill="1" applyBorder="1"/>
    <xf numFmtId="0" fontId="11" fillId="62" borderId="26" xfId="0" applyFont="1" applyFill="1" applyBorder="1"/>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3" fillId="0" borderId="10" xfId="379" applyNumberFormat="1" applyFont="1" applyFill="1" applyBorder="1" applyAlignment="1">
      <alignment horizontal="right"/>
    </xf>
    <xf numFmtId="170" fontId="43"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3" fillId="0" borderId="33" xfId="379" applyNumberFormat="1" applyFont="1" applyFill="1" applyBorder="1" applyAlignment="1">
      <alignment horizontal="center"/>
    </xf>
    <xf numFmtId="170" fontId="43" fillId="0" borderId="10" xfId="379" applyNumberFormat="1" applyFont="1" applyFill="1" applyBorder="1" applyAlignment="1">
      <alignment horizontal="center"/>
    </xf>
    <xf numFmtId="2" fontId="11" fillId="0" borderId="43" xfId="0" applyNumberFormat="1" applyFont="1" applyBorder="1"/>
    <xf numFmtId="170" fontId="11"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5"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1" fillId="36" borderId="115" xfId="0" applyNumberFormat="1" applyFont="1" applyFill="1" applyBorder="1" applyAlignment="1">
      <alignment wrapText="1"/>
    </xf>
    <xf numFmtId="0" fontId="18" fillId="36" borderId="116" xfId="0" applyFont="1" applyFill="1" applyBorder="1" applyAlignment="1">
      <alignment horizontal="center"/>
    </xf>
    <xf numFmtId="0" fontId="18" fillId="36" borderId="117" xfId="0" applyFont="1" applyFill="1" applyBorder="1" applyAlignment="1">
      <alignment horizontal="center"/>
    </xf>
    <xf numFmtId="0" fontId="62" fillId="0" borderId="0" xfId="0" applyFont="1" applyAlignment="1">
      <alignment vertical="center" wrapText="1"/>
    </xf>
    <xf numFmtId="170" fontId="45" fillId="0" borderId="23" xfId="379" applyNumberFormat="1" applyFont="1" applyBorder="1" applyAlignment="1">
      <alignment horizontal="right" vertical="center" wrapText="1"/>
    </xf>
    <xf numFmtId="170" fontId="45"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5" fillId="0" borderId="1" xfId="379" applyNumberFormat="1" applyFont="1" applyBorder="1" applyAlignment="1">
      <alignment horizontal="right" vertical="center" wrapText="1"/>
    </xf>
    <xf numFmtId="170"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5" fillId="0" borderId="0" xfId="0" applyFont="1"/>
    <xf numFmtId="1" fontId="11" fillId="33" borderId="67" xfId="0" applyNumberFormat="1" applyFont="1" applyFill="1" applyBorder="1" applyAlignment="1">
      <alignment horizontal="center"/>
    </xf>
    <xf numFmtId="170" fontId="11" fillId="0" borderId="28" xfId="379" applyNumberFormat="1" applyFont="1" applyBorder="1"/>
    <xf numFmtId="0" fontId="11" fillId="0" borderId="51" xfId="0" applyFont="1" applyFill="1" applyBorder="1" applyAlignment="1">
      <alignment horizontal="center"/>
    </xf>
    <xf numFmtId="0" fontId="109" fillId="0" borderId="0" xfId="0" applyFont="1" applyAlignment="1" applyProtection="1">
      <alignment horizontal="right"/>
      <protection locked="0"/>
    </xf>
    <xf numFmtId="167" fontId="11" fillId="0" borderId="28" xfId="0" applyNumberFormat="1" applyFont="1" applyBorder="1"/>
    <xf numFmtId="1" fontId="11" fillId="33" borderId="51" xfId="0" applyNumberFormat="1" applyFont="1" applyFill="1" applyBorder="1" applyAlignment="1">
      <alignment horizontal="center"/>
    </xf>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70"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3" fontId="11"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8" fillId="0" borderId="27" xfId="0" applyFont="1" applyBorder="1" applyAlignment="1">
      <alignment horizontal="center"/>
    </xf>
    <xf numFmtId="0" fontId="18" fillId="0" borderId="81" xfId="0" applyFont="1" applyBorder="1" applyAlignment="1" applyProtection="1">
      <alignment horizontal="center" wrapText="1"/>
      <protection locked="0"/>
    </xf>
    <xf numFmtId="0" fontId="18"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1" fillId="0" borderId="1" xfId="0" applyNumberFormat="1" applyFont="1" applyBorder="1" applyAlignment="1" applyProtection="1">
      <alignment horizontal="center"/>
      <protection locked="0"/>
    </xf>
    <xf numFmtId="0" fontId="11" fillId="0" borderId="81" xfId="0" applyFont="1" applyBorder="1" applyAlignment="1" applyProtection="1">
      <alignment horizontal="center"/>
      <protection locked="0"/>
    </xf>
    <xf numFmtId="0" fontId="0" fillId="0" borderId="0" xfId="0" applyBorder="1" applyProtection="1">
      <protection locked="0"/>
    </xf>
    <xf numFmtId="170" fontId="11"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8" fillId="0" borderId="68" xfId="0" applyFont="1" applyBorder="1" applyProtection="1">
      <protection locked="0"/>
    </xf>
    <xf numFmtId="0" fontId="18" fillId="0" borderId="0" xfId="0" applyFont="1" applyFill="1" applyProtection="1">
      <protection locked="0"/>
    </xf>
    <xf numFmtId="0" fontId="18"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1"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43" fontId="20" fillId="33" borderId="0" xfId="768" applyNumberFormat="1" applyFont="1" applyFill="1" applyBorder="1"/>
    <xf numFmtId="43" fontId="20" fillId="33" borderId="17" xfId="768" applyNumberFormat="1" applyFont="1" applyFill="1" applyBorder="1"/>
    <xf numFmtId="43" fontId="20" fillId="0" borderId="41" xfId="768" applyNumberFormat="1" applyFont="1" applyBorder="1"/>
    <xf numFmtId="43" fontId="20" fillId="0" borderId="0" xfId="768" applyNumberFormat="1" applyFont="1" applyBorder="1"/>
    <xf numFmtId="43" fontId="20" fillId="33" borderId="105" xfId="768" applyNumberFormat="1" applyFont="1" applyFill="1" applyBorder="1"/>
    <xf numFmtId="43" fontId="20" fillId="33" borderId="113" xfId="768" applyNumberFormat="1" applyFont="1" applyFill="1" applyBorder="1"/>
    <xf numFmtId="43" fontId="20" fillId="0" borderId="100" xfId="768" applyNumberFormat="1" applyFont="1" applyBorder="1"/>
    <xf numFmtId="43" fontId="20" fillId="0" borderId="114" xfId="768" applyNumberFormat="1" applyFont="1" applyBorder="1"/>
    <xf numFmtId="43" fontId="20" fillId="0" borderId="95" xfId="768" applyNumberFormat="1" applyFont="1" applyBorder="1"/>
    <xf numFmtId="0" fontId="50" fillId="0" borderId="46" xfId="767" applyFont="1" applyBorder="1"/>
    <xf numFmtId="43" fontId="50" fillId="0" borderId="25" xfId="768" applyNumberFormat="1" applyFont="1" applyBorder="1"/>
    <xf numFmtId="43" fontId="50" fillId="0" borderId="103" xfId="768" applyNumberFormat="1" applyFont="1" applyBorder="1"/>
    <xf numFmtId="43" fontId="50" fillId="0" borderId="40" xfId="768" applyNumberFormat="1" applyFont="1" applyBorder="1"/>
    <xf numFmtId="0" fontId="50" fillId="0" borderId="0" xfId="767" applyFont="1" applyBorder="1"/>
    <xf numFmtId="43"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43" fontId="20" fillId="61" borderId="0" xfId="768" applyNumberFormat="1" applyFont="1" applyFill="1" applyBorder="1"/>
    <xf numFmtId="43" fontId="20" fillId="61" borderId="101" xfId="768" applyNumberFormat="1" applyFont="1" applyFill="1" applyBorder="1"/>
    <xf numFmtId="43" fontId="20" fillId="61" borderId="105" xfId="768" applyNumberFormat="1" applyFont="1" applyFill="1" applyBorder="1"/>
    <xf numFmtId="43" fontId="20" fillId="61" borderId="104" xfId="768" applyNumberFormat="1" applyFont="1" applyFill="1" applyBorder="1"/>
    <xf numFmtId="43" fontId="20" fillId="0" borderId="0" xfId="768" applyNumberFormat="1" applyFont="1" applyFill="1" applyBorder="1"/>
    <xf numFmtId="43"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1"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1"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43" fontId="49" fillId="0" borderId="0" xfId="767" applyNumberFormat="1" applyFont="1" applyBorder="1" applyAlignment="1">
      <alignment horizontal="center" vertical="center"/>
    </xf>
    <xf numFmtId="43" fontId="49" fillId="0" borderId="17" xfId="767" applyNumberFormat="1" applyFont="1" applyBorder="1" applyAlignment="1">
      <alignment horizontal="center" vertical="center"/>
    </xf>
    <xf numFmtId="43" fontId="49" fillId="0" borderId="44" xfId="767" applyNumberFormat="1" applyFont="1" applyBorder="1" applyAlignment="1">
      <alignment horizontal="center" vertical="center"/>
    </xf>
    <xf numFmtId="43" fontId="49" fillId="0" borderId="41" xfId="767" applyNumberFormat="1" applyFont="1" applyBorder="1" applyAlignment="1">
      <alignment horizontal="center" vertical="center"/>
    </xf>
    <xf numFmtId="43" fontId="49" fillId="0" borderId="68" xfId="767" applyNumberFormat="1" applyFont="1" applyBorder="1" applyAlignment="1">
      <alignment horizontal="center" vertical="center"/>
    </xf>
    <xf numFmtId="43" fontId="49" fillId="0" borderId="33" xfId="767" applyNumberFormat="1" applyFont="1" applyBorder="1" applyAlignment="1">
      <alignment horizontal="center" vertical="center"/>
    </xf>
    <xf numFmtId="0" fontId="49" fillId="0" borderId="7" xfId="767" applyFont="1" applyBorder="1" applyAlignment="1">
      <alignment wrapText="1"/>
    </xf>
    <xf numFmtId="43" fontId="11" fillId="33" borderId="70" xfId="796" applyFont="1" applyFill="1" applyBorder="1" applyAlignment="1">
      <alignment horizontal="center" vertical="center"/>
    </xf>
    <xf numFmtId="43" fontId="49" fillId="0" borderId="70" xfId="767" applyNumberFormat="1" applyFont="1" applyBorder="1" applyAlignment="1">
      <alignment horizontal="center" vertical="center"/>
    </xf>
    <xf numFmtId="43" fontId="49" fillId="0" borderId="55" xfId="767" applyNumberFormat="1" applyFont="1" applyBorder="1" applyAlignment="1">
      <alignment horizontal="center" vertical="center"/>
    </xf>
    <xf numFmtId="43" fontId="49" fillId="0" borderId="23" xfId="767" applyNumberFormat="1" applyFont="1" applyBorder="1" applyAlignment="1">
      <alignment horizontal="center" vertical="center"/>
    </xf>
    <xf numFmtId="43" fontId="49" fillId="0" borderId="78" xfId="767" applyNumberFormat="1" applyFont="1" applyBorder="1" applyAlignment="1">
      <alignment horizontal="center" vertical="center"/>
    </xf>
    <xf numFmtId="0" fontId="49" fillId="62" borderId="15" xfId="767" applyFont="1" applyFill="1" applyBorder="1" applyAlignment="1">
      <alignment wrapText="1"/>
    </xf>
    <xf numFmtId="43" fontId="49" fillId="62" borderId="51" xfId="767" applyNumberFormat="1" applyFont="1" applyFill="1" applyBorder="1" applyAlignment="1">
      <alignment horizontal="center" vertical="center"/>
    </xf>
    <xf numFmtId="43" fontId="49" fillId="62" borderId="52" xfId="767" applyNumberFormat="1" applyFont="1" applyFill="1" applyBorder="1" applyAlignment="1">
      <alignment horizontal="center" vertical="center"/>
    </xf>
    <xf numFmtId="0" fontId="49" fillId="0" borderId="97" xfId="767" applyFont="1" applyBorder="1" applyAlignment="1">
      <alignment wrapText="1"/>
    </xf>
    <xf numFmtId="43" fontId="49" fillId="0" borderId="81" xfId="767" applyNumberFormat="1" applyFont="1" applyBorder="1" applyAlignment="1">
      <alignment horizontal="center" vertical="center"/>
    </xf>
    <xf numFmtId="43" fontId="49" fillId="0" borderId="92" xfId="767" applyNumberFormat="1" applyFont="1" applyBorder="1" applyAlignment="1">
      <alignment horizontal="center" vertical="center"/>
    </xf>
    <xf numFmtId="43" fontId="49" fillId="0" borderId="93" xfId="767" applyNumberFormat="1" applyFont="1" applyBorder="1" applyAlignment="1">
      <alignment horizontal="center" vertical="center"/>
    </xf>
    <xf numFmtId="43" fontId="49" fillId="0" borderId="96" xfId="767" applyNumberFormat="1" applyFont="1" applyBorder="1" applyAlignment="1">
      <alignment horizontal="center" vertical="center"/>
    </xf>
    <xf numFmtId="0" fontId="49" fillId="62" borderId="94" xfId="767" applyFont="1" applyFill="1" applyBorder="1" applyAlignment="1">
      <alignment wrapText="1"/>
    </xf>
    <xf numFmtId="43" fontId="49" fillId="62" borderId="110" xfId="767" applyNumberFormat="1" applyFont="1" applyFill="1" applyBorder="1" applyAlignment="1">
      <alignment horizontal="center" vertical="center"/>
    </xf>
    <xf numFmtId="43" fontId="49" fillId="62" borderId="0" xfId="767" applyNumberFormat="1" applyFont="1" applyFill="1" applyBorder="1" applyAlignment="1">
      <alignment horizontal="center" vertical="center"/>
    </xf>
    <xf numFmtId="43" fontId="49" fillId="62" borderId="111" xfId="767" applyNumberFormat="1" applyFont="1" applyFill="1" applyBorder="1" applyAlignment="1">
      <alignment horizontal="center" vertical="center"/>
    </xf>
    <xf numFmtId="43" fontId="11" fillId="0" borderId="112" xfId="768" applyNumberFormat="1" applyFont="1" applyBorder="1" applyAlignment="1">
      <alignment horizontal="center" vertical="center"/>
    </xf>
    <xf numFmtId="43" fontId="11" fillId="0" borderId="107" xfId="768" applyNumberFormat="1" applyFont="1" applyBorder="1" applyAlignment="1">
      <alignment horizontal="center" vertical="center"/>
    </xf>
    <xf numFmtId="43" fontId="11" fillId="0" borderId="55" xfId="768" applyNumberFormat="1" applyFont="1" applyBorder="1" applyAlignment="1">
      <alignment horizontal="center" vertical="center"/>
    </xf>
    <xf numFmtId="43" fontId="11" fillId="0" borderId="98" xfId="768" applyNumberFormat="1" applyFont="1" applyBorder="1" applyAlignment="1">
      <alignment horizontal="center" vertical="center"/>
    </xf>
    <xf numFmtId="43" fontId="11" fillId="62" borderId="51" xfId="768" applyNumberFormat="1" applyFont="1" applyFill="1" applyBorder="1" applyAlignment="1">
      <alignment horizontal="center" vertical="center"/>
    </xf>
    <xf numFmtId="43" fontId="11" fillId="62" borderId="52" xfId="768" applyNumberFormat="1" applyFont="1" applyFill="1" applyBorder="1" applyAlignment="1">
      <alignment horizontal="center" vertical="center"/>
    </xf>
    <xf numFmtId="43" fontId="116" fillId="64" borderId="99" xfId="768" applyNumberFormat="1" applyFont="1" applyFill="1" applyBorder="1" applyAlignment="1">
      <alignment horizontal="center" vertical="center"/>
    </xf>
    <xf numFmtId="43" fontId="11" fillId="33" borderId="23" xfId="379" applyFont="1" applyFill="1" applyBorder="1" applyAlignment="1">
      <alignment horizontal="center"/>
    </xf>
    <xf numFmtId="43" fontId="11" fillId="65" borderId="23" xfId="379" applyFont="1" applyFill="1" applyBorder="1" applyAlignment="1">
      <alignment horizontal="center"/>
    </xf>
    <xf numFmtId="43" fontId="11" fillId="33" borderId="23" xfId="379" applyFont="1" applyFill="1" applyBorder="1" applyAlignment="1" applyProtection="1">
      <alignment horizontal="center"/>
      <protection locked="0"/>
    </xf>
    <xf numFmtId="1" fontId="11" fillId="33" borderId="1" xfId="379" applyNumberFormat="1" applyFont="1" applyFill="1" applyBorder="1" applyAlignment="1" applyProtection="1">
      <alignment horizontal="center"/>
      <protection locked="0"/>
    </xf>
    <xf numFmtId="1" fontId="11" fillId="33" borderId="1" xfId="0" applyNumberFormat="1" applyFont="1" applyFill="1" applyBorder="1" applyProtection="1">
      <protection locked="0"/>
    </xf>
    <xf numFmtId="1" fontId="11" fillId="33" borderId="23" xfId="379" applyNumberFormat="1" applyFont="1" applyFill="1" applyBorder="1" applyAlignment="1">
      <alignment horizontal="center"/>
    </xf>
    <xf numFmtId="1" fontId="11" fillId="33" borderId="23" xfId="379" applyNumberFormat="1" applyFont="1" applyFill="1" applyBorder="1" applyAlignment="1" applyProtection="1">
      <alignment horizontal="center"/>
      <protection locked="0"/>
    </xf>
    <xf numFmtId="1" fontId="11" fillId="33" borderId="23" xfId="0" applyNumberFormat="1" applyFont="1" applyFill="1" applyBorder="1" applyProtection="1">
      <protection locked="0"/>
    </xf>
    <xf numFmtId="1" fontId="11" fillId="65" borderId="23" xfId="379" applyNumberFormat="1" applyFont="1" applyFill="1" applyBorder="1" applyAlignment="1" applyProtection="1">
      <alignment horizontal="center"/>
      <protection locked="0"/>
    </xf>
    <xf numFmtId="1" fontId="11" fillId="65" borderId="23" xfId="0" applyNumberFormat="1" applyFont="1" applyFill="1" applyBorder="1" applyProtection="1">
      <protection locked="0"/>
    </xf>
    <xf numFmtId="1" fontId="11"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3"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81"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6" fillId="0" borderId="17" xfId="379" applyFont="1" applyBorder="1" applyAlignment="1">
      <alignment horizontal="center"/>
    </xf>
    <xf numFmtId="43" fontId="66" fillId="0" borderId="21" xfId="379" applyFont="1" applyBorder="1" applyAlignment="1">
      <alignment horizontal="center"/>
    </xf>
    <xf numFmtId="43" fontId="66" fillId="0" borderId="55" xfId="379" applyFont="1" applyBorder="1" applyAlignment="1">
      <alignment horizontal="center"/>
    </xf>
    <xf numFmtId="43" fontId="66" fillId="0" borderId="1" xfId="379" applyFont="1" applyBorder="1" applyAlignment="1">
      <alignment horizontal="center"/>
    </xf>
    <xf numFmtId="43" fontId="107"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43" fontId="11" fillId="0" borderId="0" xfId="0" applyNumberFormat="1" applyFont="1" applyAlignment="1"/>
    <xf numFmtId="0" fontId="11" fillId="0" borderId="68" xfId="0" applyFont="1" applyBorder="1" applyAlignment="1">
      <alignment horizontal="center"/>
    </xf>
    <xf numFmtId="0" fontId="66" fillId="0" borderId="0" xfId="0" applyFont="1" applyBorder="1" applyAlignment="1">
      <alignment horizontal="center"/>
    </xf>
    <xf numFmtId="43" fontId="66" fillId="0" borderId="0" xfId="379" applyFont="1" applyBorder="1" applyAlignment="1">
      <alignment horizontal="center"/>
    </xf>
    <xf numFmtId="0" fontId="66" fillId="0" borderId="68" xfId="0" applyFont="1" applyBorder="1" applyAlignment="1">
      <alignment horizontal="center"/>
    </xf>
    <xf numFmtId="49" fontId="11" fillId="0" borderId="0" xfId="0" applyNumberFormat="1" applyFont="1" applyBorder="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8" xfId="0" applyFont="1" applyBorder="1" applyAlignment="1">
      <alignment wrapText="1"/>
    </xf>
    <xf numFmtId="0" fontId="18" fillId="0" borderId="119" xfId="0" applyFont="1" applyBorder="1" applyAlignment="1">
      <alignment horizontal="center" wrapText="1"/>
    </xf>
    <xf numFmtId="0" fontId="18" fillId="0" borderId="120"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70" fontId="11" fillId="65" borderId="1" xfId="379" applyNumberFormat="1" applyFont="1" applyFill="1" applyBorder="1" applyAlignment="1">
      <alignment horizontal="center"/>
    </xf>
    <xf numFmtId="170" fontId="11" fillId="65" borderId="10" xfId="379" applyNumberFormat="1" applyFont="1" applyFill="1" applyBorder="1" applyAlignment="1">
      <alignment horizontal="center"/>
    </xf>
    <xf numFmtId="1" fontId="11" fillId="65" borderId="1" xfId="0" applyNumberFormat="1" applyFont="1" applyFill="1" applyBorder="1" applyAlignment="1">
      <alignment horizontal="center"/>
    </xf>
    <xf numFmtId="1" fontId="11" fillId="65" borderId="10" xfId="0" applyNumberFormat="1" applyFont="1" applyFill="1" applyBorder="1" applyAlignment="1">
      <alignment horizontal="center"/>
    </xf>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8"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1"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70" fontId="43" fillId="0" borderId="0" xfId="0" applyNumberFormat="1" applyFont="1"/>
    <xf numFmtId="0" fontId="42" fillId="0" borderId="1" xfId="0" applyFont="1" applyBorder="1" applyAlignment="1"/>
    <xf numFmtId="170" fontId="42" fillId="0" borderId="1" xfId="379" applyNumberFormat="1" applyFont="1" applyBorder="1" applyAlignment="1"/>
    <xf numFmtId="0" fontId="26" fillId="68" borderId="1" xfId="0" applyFont="1" applyFill="1" applyBorder="1" applyAlignment="1"/>
    <xf numFmtId="170"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70" fontId="11" fillId="0" borderId="0" xfId="379" applyNumberFormat="1" applyFont="1" applyAlignment="1"/>
    <xf numFmtId="43" fontId="27" fillId="64" borderId="99" xfId="768" applyNumberFormat="1" applyFont="1" applyFill="1" applyBorder="1" applyAlignment="1">
      <alignment horizontal="center" vertical="center"/>
    </xf>
    <xf numFmtId="0" fontId="11" fillId="0" borderId="27" xfId="521" applyFont="1" applyBorder="1" applyAlignment="1">
      <alignment vertical="center"/>
    </xf>
    <xf numFmtId="0" fontId="11" fillId="0" borderId="77" xfId="521" applyFont="1" applyBorder="1" applyAlignment="1">
      <alignment vertical="center"/>
    </xf>
    <xf numFmtId="0" fontId="11" fillId="0" borderId="28" xfId="521" applyFont="1" applyBorder="1" applyAlignment="1">
      <alignment horizontal="center" vertical="center"/>
    </xf>
    <xf numFmtId="170" fontId="11" fillId="0" borderId="28" xfId="379" applyNumberFormat="1" applyFont="1" applyFill="1" applyBorder="1" applyAlignment="1">
      <alignment horizontal="center" vertical="center"/>
    </xf>
    <xf numFmtId="170" fontId="11" fillId="0" borderId="29" xfId="379" applyNumberFormat="1" applyFont="1" applyFill="1" applyBorder="1" applyAlignment="1">
      <alignment horizontal="center" vertical="center"/>
    </xf>
    <xf numFmtId="0" fontId="11" fillId="0" borderId="0" xfId="521" applyFont="1" applyAlignment="1">
      <alignment vertical="center"/>
    </xf>
    <xf numFmtId="10" fontId="11"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1" fillId="0" borderId="76" xfId="379" applyNumberFormat="1" applyFont="1" applyFill="1" applyBorder="1" applyAlignment="1">
      <alignment horizontal="center" vertical="center"/>
    </xf>
    <xf numFmtId="3" fontId="11" fillId="0" borderId="29" xfId="379" applyNumberFormat="1" applyFont="1" applyFill="1" applyBorder="1" applyAlignment="1">
      <alignment horizontal="center" vertical="center"/>
    </xf>
    <xf numFmtId="0" fontId="15" fillId="0" borderId="0" xfId="0" applyFont="1" applyFill="1" applyBorder="1" applyAlignment="1"/>
    <xf numFmtId="0" fontId="45" fillId="0" borderId="1" xfId="0" applyFont="1" applyBorder="1" applyAlignment="1">
      <alignment horizontal="center" vertical="center" wrapText="1"/>
    </xf>
    <xf numFmtId="43" fontId="11" fillId="0" borderId="56" xfId="0" applyNumberFormat="1" applyFont="1" applyBorder="1" applyAlignment="1">
      <alignment horizontal="center"/>
    </xf>
    <xf numFmtId="0" fontId="11" fillId="0" borderId="0" xfId="696" applyProtection="1">
      <protection locked="0"/>
    </xf>
    <xf numFmtId="0" fontId="11" fillId="0" borderId="0" xfId="696" applyAlignment="1" applyProtection="1">
      <alignment horizontal="left"/>
      <protection locked="0"/>
    </xf>
    <xf numFmtId="49" fontId="120" fillId="0" borderId="0" xfId="597" applyNumberFormat="1" applyFont="1" applyBorder="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9" fontId="0" fillId="70" borderId="0" xfId="611" applyFont="1" applyFill="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43" fontId="120" fillId="33" borderId="0" xfId="597" applyNumberFormat="1" applyFont="1" applyFill="1" applyBorder="1" applyProtection="1">
      <protection locked="0"/>
    </xf>
    <xf numFmtId="43" fontId="120" fillId="0" borderId="41" xfId="597" applyNumberFormat="1" applyFont="1" applyBorder="1" applyProtection="1">
      <protection locked="0"/>
    </xf>
    <xf numFmtId="43" fontId="120" fillId="0" borderId="0" xfId="597" applyNumberFormat="1" applyFont="1" applyBorder="1" applyProtection="1">
      <protection locked="0"/>
    </xf>
    <xf numFmtId="43" fontId="120" fillId="33" borderId="105" xfId="597" applyNumberFormat="1" applyFont="1" applyFill="1" applyBorder="1" applyProtection="1">
      <protection locked="0"/>
    </xf>
    <xf numFmtId="43" fontId="120" fillId="0" borderId="100" xfId="597" applyNumberFormat="1" applyFont="1" applyBorder="1" applyProtection="1">
      <protection locked="0"/>
    </xf>
    <xf numFmtId="43" fontId="120" fillId="33" borderId="102" xfId="597" applyNumberFormat="1" applyFont="1" applyFill="1" applyBorder="1" applyProtection="1">
      <protection locked="0"/>
    </xf>
    <xf numFmtId="43" fontId="120" fillId="0" borderId="95" xfId="597" applyNumberFormat="1" applyFont="1" applyBorder="1" applyProtection="1">
      <protection locked="0"/>
    </xf>
    <xf numFmtId="43" fontId="80" fillId="0" borderId="25" xfId="597" applyNumberFormat="1" applyFont="1" applyBorder="1" applyProtection="1">
      <protection locked="0"/>
    </xf>
    <xf numFmtId="43" fontId="80" fillId="0" borderId="103" xfId="597" applyNumberFormat="1" applyFont="1" applyBorder="1" applyProtection="1">
      <protection locked="0"/>
    </xf>
    <xf numFmtId="43" fontId="80" fillId="0" borderId="40" xfId="597" applyNumberFormat="1" applyFont="1" applyBorder="1" applyProtection="1">
      <protection locked="0"/>
    </xf>
    <xf numFmtId="43" fontId="80" fillId="0" borderId="0" xfId="597" applyNumberFormat="1" applyFont="1" applyBorder="1" applyProtection="1">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43" fontId="120" fillId="61" borderId="0" xfId="597" applyNumberFormat="1" applyFont="1" applyFill="1" applyBorder="1" applyProtection="1">
      <protection locked="0"/>
    </xf>
    <xf numFmtId="43" fontId="120" fillId="61" borderId="101" xfId="597" applyNumberFormat="1" applyFont="1" applyFill="1" applyBorder="1" applyProtection="1">
      <protection locked="0"/>
    </xf>
    <xf numFmtId="43" fontId="120" fillId="61" borderId="105" xfId="597" applyNumberFormat="1" applyFont="1" applyFill="1" applyBorder="1" applyProtection="1">
      <protection locked="0"/>
    </xf>
    <xf numFmtId="43" fontId="120" fillId="61" borderId="104" xfId="597" applyNumberFormat="1" applyFont="1" applyFill="1" applyBorder="1" applyProtection="1">
      <protection locked="0"/>
    </xf>
    <xf numFmtId="43" fontId="120" fillId="0" borderId="0" xfId="597" applyNumberFormat="1" applyFont="1" applyFill="1" applyBorder="1" applyProtection="1">
      <protection locked="0"/>
    </xf>
    <xf numFmtId="10" fontId="121" fillId="0" borderId="40" xfId="611" applyNumberFormat="1" applyFont="1" applyBorder="1" applyProtection="1">
      <protection locked="0"/>
    </xf>
    <xf numFmtId="10" fontId="121" fillId="0" borderId="0" xfId="611" applyNumberFormat="1" applyFont="1" applyBorder="1" applyProtection="1">
      <protection locked="0"/>
    </xf>
    <xf numFmtId="0" fontId="123" fillId="0" borderId="48" xfId="796" applyNumberFormat="1" applyFont="1" applyBorder="1" applyAlignment="1" applyProtection="1">
      <alignment horizontal="center" vertical="center"/>
      <protection locked="0"/>
    </xf>
    <xf numFmtId="10" fontId="121" fillId="0" borderId="41" xfId="611" applyNumberFormat="1" applyFont="1" applyBorder="1" applyAlignment="1" applyProtection="1">
      <alignment horizontal="center" vertical="center" wrapText="1"/>
      <protection locked="0"/>
    </xf>
    <xf numFmtId="43" fontId="121" fillId="0" borderId="0" xfId="597" applyNumberFormat="1" applyFont="1" applyBorder="1" applyAlignment="1" applyProtection="1">
      <alignment horizontal="center" vertical="center"/>
      <protection locked="0"/>
    </xf>
    <xf numFmtId="1" fontId="27" fillId="0" borderId="0" xfId="521" applyNumberFormat="1" applyFont="1" applyFill="1" applyBorder="1" applyAlignment="1">
      <alignment horizontal="center"/>
    </xf>
    <xf numFmtId="3" fontId="43" fillId="0" borderId="1" xfId="0" applyNumberFormat="1" applyFont="1" applyBorder="1" applyAlignment="1">
      <alignment horizontal="center" vertical="center" wrapText="1"/>
    </xf>
    <xf numFmtId="3" fontId="43" fillId="70" borderId="1" xfId="0" applyNumberFormat="1" applyFont="1" applyFill="1" applyBorder="1" applyAlignment="1">
      <alignment horizontal="center" vertical="center" wrapText="1"/>
    </xf>
    <xf numFmtId="3" fontId="43" fillId="70" borderId="10" xfId="0" applyNumberFormat="1" applyFont="1" applyFill="1" applyBorder="1" applyAlignment="1">
      <alignment horizontal="center" vertical="center" wrapText="1"/>
    </xf>
    <xf numFmtId="3" fontId="11" fillId="0" borderId="0" xfId="0" applyNumberFormat="1" applyFont="1" applyProtection="1">
      <protection locked="0"/>
    </xf>
    <xf numFmtId="43" fontId="11" fillId="33" borderId="1" xfId="379" applyFont="1" applyFill="1" applyBorder="1" applyAlignment="1">
      <alignment horizontal="center"/>
    </xf>
    <xf numFmtId="0" fontId="128" fillId="66" borderId="1" xfId="0" applyFont="1" applyFill="1" applyBorder="1" applyAlignment="1" applyProtection="1">
      <alignment horizontal="center" wrapText="1"/>
    </xf>
    <xf numFmtId="2" fontId="129" fillId="0" borderId="23" xfId="379" applyNumberFormat="1" applyFont="1" applyFill="1" applyBorder="1" applyAlignment="1" applyProtection="1">
      <protection locked="0"/>
    </xf>
    <xf numFmtId="2" fontId="129" fillId="0" borderId="1" xfId="379" applyNumberFormat="1" applyFont="1" applyBorder="1" applyAlignment="1" applyProtection="1">
      <protection locked="0"/>
    </xf>
    <xf numFmtId="1" fontId="129" fillId="33" borderId="23" xfId="634" applyNumberFormat="1" applyFont="1" applyFill="1" applyBorder="1" applyAlignment="1">
      <alignment horizontal="center"/>
    </xf>
    <xf numFmtId="10" fontId="45" fillId="0" borderId="1" xfId="557" applyNumberFormat="1" applyFont="1" applyFill="1" applyBorder="1" applyAlignment="1">
      <alignment horizontal="center" vertical="center" wrapText="1"/>
    </xf>
    <xf numFmtId="10" fontId="43" fillId="0" borderId="1" xfId="557" applyNumberFormat="1" applyFont="1" applyFill="1" applyBorder="1" applyAlignment="1">
      <alignment horizontal="center" vertical="center" wrapText="1"/>
    </xf>
    <xf numFmtId="0" fontId="18" fillId="0" borderId="0" xfId="696" applyFont="1" applyProtection="1">
      <protection locked="0"/>
    </xf>
    <xf numFmtId="0" fontId="88" fillId="0" borderId="0" xfId="696" applyFont="1" applyAlignment="1" applyProtection="1">
      <alignment vertical="top"/>
      <protection locked="0"/>
    </xf>
    <xf numFmtId="0" fontId="88" fillId="33" borderId="0" xfId="696" applyFont="1" applyFill="1" applyBorder="1" applyAlignment="1" applyProtection="1">
      <alignment vertical="top"/>
      <protection locked="0"/>
    </xf>
    <xf numFmtId="0" fontId="88" fillId="33" borderId="0" xfId="696" applyFont="1" applyFill="1" applyAlignment="1" applyProtection="1">
      <alignment vertical="top"/>
      <protection locked="0"/>
    </xf>
    <xf numFmtId="0" fontId="88" fillId="0" borderId="0" xfId="696" applyFont="1" applyAlignment="1" applyProtection="1">
      <alignment horizontal="right" vertical="top"/>
      <protection locked="0"/>
    </xf>
    <xf numFmtId="0" fontId="11" fillId="0" borderId="0" xfId="696" applyAlignment="1" applyProtection="1">
      <protection locked="0"/>
    </xf>
    <xf numFmtId="0" fontId="18" fillId="0" borderId="1"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8" fillId="73" borderId="0" xfId="0" applyFont="1" applyFill="1" applyProtection="1">
      <protection locked="0"/>
    </xf>
    <xf numFmtId="0" fontId="18" fillId="73" borderId="1" xfId="0" applyFont="1" applyFill="1" applyBorder="1" applyProtection="1">
      <protection locked="0"/>
    </xf>
    <xf numFmtId="0" fontId="18" fillId="0" borderId="1" xfId="0" applyFont="1" applyFill="1" applyBorder="1" applyProtection="1">
      <protection locked="0"/>
    </xf>
    <xf numFmtId="0" fontId="18" fillId="34" borderId="0" xfId="0" applyFont="1" applyFill="1" applyProtection="1">
      <protection locked="0"/>
    </xf>
    <xf numFmtId="170" fontId="11" fillId="74" borderId="1" xfId="796" quotePrefix="1" applyNumberFormat="1" applyFont="1" applyFill="1" applyBorder="1" applyAlignment="1" applyProtection="1">
      <alignment horizontal="center"/>
      <protection locked="0"/>
    </xf>
    <xf numFmtId="0" fontId="24" fillId="0" borderId="0" xfId="0" applyFont="1" applyProtection="1">
      <protection locked="0"/>
    </xf>
    <xf numFmtId="2" fontId="18" fillId="73" borderId="0" xfId="0" applyNumberFormat="1" applyFont="1" applyFill="1" applyProtection="1">
      <protection locked="0"/>
    </xf>
    <xf numFmtId="0" fontId="11" fillId="0" borderId="1" xfId="0" applyFont="1" applyBorder="1" applyProtection="1">
      <protection locked="0"/>
    </xf>
    <xf numFmtId="0" fontId="11" fillId="73" borderId="0" xfId="0" applyFont="1" applyFill="1" applyProtection="1">
      <protection locked="0"/>
    </xf>
    <xf numFmtId="170" fontId="11" fillId="33" borderId="1" xfId="796" applyNumberFormat="1" applyFont="1" applyFill="1" applyBorder="1" applyProtection="1">
      <protection locked="0"/>
    </xf>
    <xf numFmtId="0" fontId="11" fillId="34" borderId="0" xfId="0" applyFont="1" applyFill="1" applyProtection="1">
      <protection locked="0"/>
    </xf>
    <xf numFmtId="10" fontId="11" fillId="0" borderId="1" xfId="856" applyNumberFormat="1" applyFont="1" applyFill="1" applyBorder="1" applyProtection="1">
      <protection locked="0"/>
    </xf>
    <xf numFmtId="170" fontId="11" fillId="0" borderId="1" xfId="796" applyNumberFormat="1" applyFont="1" applyFill="1" applyBorder="1" applyProtection="1">
      <protection locked="0"/>
    </xf>
    <xf numFmtId="0" fontId="117" fillId="0" borderId="2" xfId="0" applyFont="1" applyBorder="1"/>
    <xf numFmtId="0" fontId="117" fillId="0" borderId="9" xfId="0" applyFont="1" applyBorder="1"/>
    <xf numFmtId="0" fontId="61" fillId="0" borderId="2" xfId="0" applyFont="1" applyBorder="1"/>
    <xf numFmtId="0" fontId="61" fillId="0" borderId="43" xfId="0" applyFont="1" applyBorder="1"/>
    <xf numFmtId="49" fontId="61" fillId="0" borderId="32" xfId="0" applyNumberFormat="1" applyFont="1" applyBorder="1"/>
    <xf numFmtId="49" fontId="61" fillId="0" borderId="43" xfId="0" applyNumberFormat="1" applyFont="1" applyBorder="1"/>
    <xf numFmtId="0" fontId="131" fillId="0" borderId="19" xfId="0" applyFont="1" applyBorder="1"/>
    <xf numFmtId="0" fontId="131" fillId="0" borderId="2" xfId="0" applyFont="1" applyBorder="1"/>
    <xf numFmtId="0" fontId="88" fillId="0" borderId="35" xfId="0" applyFont="1" applyBorder="1"/>
    <xf numFmtId="0" fontId="11" fillId="0" borderId="45" xfId="0" applyFont="1" applyBorder="1"/>
    <xf numFmtId="170" fontId="61" fillId="0" borderId="1" xfId="379" applyNumberFormat="1" applyFont="1" applyFill="1" applyBorder="1" applyAlignment="1">
      <alignment horizontal="right" vertical="center"/>
    </xf>
    <xf numFmtId="170" fontId="61" fillId="0" borderId="8" xfId="379" applyNumberFormat="1" applyFont="1" applyFill="1" applyBorder="1" applyAlignment="1">
      <alignment horizontal="right" vertical="center"/>
    </xf>
    <xf numFmtId="170" fontId="61" fillId="65" borderId="1" xfId="379" applyNumberFormat="1" applyFont="1" applyFill="1" applyBorder="1" applyAlignment="1">
      <alignment horizontal="right" vertical="center"/>
    </xf>
    <xf numFmtId="170" fontId="61" fillId="65" borderId="8" xfId="379" applyNumberFormat="1" applyFont="1" applyFill="1" applyBorder="1" applyAlignment="1">
      <alignment horizontal="right" vertical="center"/>
    </xf>
    <xf numFmtId="9" fontId="61" fillId="65" borderId="1" xfId="557" applyFont="1" applyFill="1" applyBorder="1" applyAlignment="1">
      <alignment horizontal="right" vertical="center"/>
    </xf>
    <xf numFmtId="9" fontId="61" fillId="65" borderId="8" xfId="557" applyFont="1" applyFill="1" applyBorder="1" applyAlignment="1">
      <alignment horizontal="right" vertical="center"/>
    </xf>
    <xf numFmtId="170" fontId="130" fillId="0" borderId="1" xfId="379" applyNumberFormat="1" applyFont="1" applyFill="1" applyBorder="1" applyAlignment="1">
      <alignment horizontal="right" vertical="center"/>
    </xf>
    <xf numFmtId="170" fontId="61" fillId="0" borderId="33" xfId="379" applyNumberFormat="1" applyFont="1" applyFill="1" applyBorder="1" applyAlignment="1">
      <alignment horizontal="right" vertical="center"/>
    </xf>
    <xf numFmtId="43" fontId="130" fillId="0" borderId="33" xfId="379" applyNumberFormat="1" applyFont="1" applyFill="1" applyBorder="1" applyAlignment="1">
      <alignment horizontal="right" vertical="center"/>
    </xf>
    <xf numFmtId="170" fontId="61" fillId="0" borderId="34" xfId="379" applyNumberFormat="1" applyFont="1" applyFill="1" applyBorder="1" applyAlignment="1">
      <alignment horizontal="right" vertical="center"/>
    </xf>
    <xf numFmtId="170" fontId="61" fillId="0" borderId="44" xfId="379" applyNumberFormat="1" applyFont="1" applyFill="1" applyBorder="1" applyAlignment="1">
      <alignment horizontal="right" vertical="center"/>
    </xf>
    <xf numFmtId="170" fontId="130" fillId="0" borderId="44" xfId="379" applyNumberFormat="1" applyFont="1" applyFill="1" applyBorder="1" applyAlignment="1">
      <alignment horizontal="right" vertical="center"/>
    </xf>
    <xf numFmtId="170" fontId="61" fillId="0" borderId="18" xfId="379" applyNumberFormat="1" applyFont="1" applyFill="1" applyBorder="1" applyAlignment="1">
      <alignment horizontal="right" vertical="center"/>
    </xf>
    <xf numFmtId="170" fontId="131" fillId="0" borderId="12" xfId="379" applyNumberFormat="1" applyFont="1" applyFill="1" applyBorder="1" applyAlignment="1">
      <alignment horizontal="right" vertical="center"/>
    </xf>
    <xf numFmtId="170" fontId="131" fillId="0" borderId="13" xfId="379" applyNumberFormat="1" applyFont="1" applyFill="1" applyBorder="1" applyAlignment="1">
      <alignment horizontal="right" vertical="center"/>
    </xf>
    <xf numFmtId="170" fontId="131" fillId="0" borderId="1" xfId="379" applyNumberFormat="1" applyFont="1" applyFill="1" applyBorder="1" applyAlignment="1">
      <alignment horizontal="right" vertical="center"/>
    </xf>
    <xf numFmtId="170" fontId="131" fillId="0" borderId="8" xfId="379" applyNumberFormat="1" applyFont="1" applyFill="1" applyBorder="1" applyAlignment="1">
      <alignment horizontal="right" vertical="center"/>
    </xf>
    <xf numFmtId="49" fontId="61" fillId="0" borderId="36" xfId="0" applyNumberFormat="1" applyFont="1" applyBorder="1" applyAlignment="1">
      <alignment horizontal="right" vertical="center" wrapText="1"/>
    </xf>
    <xf numFmtId="49" fontId="61" fillId="0" borderId="36" xfId="0" applyNumberFormat="1" applyFont="1" applyBorder="1" applyAlignment="1">
      <alignment horizontal="right" vertical="center"/>
    </xf>
    <xf numFmtId="49" fontId="61" fillId="0" borderId="37" xfId="0" applyNumberFormat="1" applyFont="1" applyBorder="1" applyAlignment="1">
      <alignment horizontal="right" vertical="center"/>
    </xf>
    <xf numFmtId="49" fontId="61" fillId="0" borderId="1" xfId="0" applyNumberFormat="1" applyFont="1" applyBorder="1" applyAlignment="1">
      <alignment horizontal="right" vertical="center" wrapText="1"/>
    </xf>
    <xf numFmtId="49" fontId="61" fillId="0" borderId="1" xfId="0" applyNumberFormat="1" applyFont="1" applyBorder="1" applyAlignment="1">
      <alignment horizontal="right" vertical="center"/>
    </xf>
    <xf numFmtId="49" fontId="61" fillId="0" borderId="8" xfId="0" applyNumberFormat="1" applyFont="1" applyBorder="1" applyAlignment="1">
      <alignment horizontal="right" vertical="center"/>
    </xf>
    <xf numFmtId="43" fontId="61" fillId="0" borderId="1" xfId="379" applyNumberFormat="1" applyFont="1" applyFill="1" applyBorder="1" applyAlignment="1">
      <alignment horizontal="right" vertical="center"/>
    </xf>
    <xf numFmtId="43" fontId="61" fillId="0" borderId="8" xfId="379" applyNumberFormat="1" applyFont="1" applyFill="1" applyBorder="1" applyAlignment="1">
      <alignment horizontal="right" vertical="center"/>
    </xf>
    <xf numFmtId="186" fontId="61" fillId="0" borderId="1" xfId="379" applyNumberFormat="1" applyFont="1" applyFill="1" applyBorder="1" applyAlignment="1">
      <alignment horizontal="right" vertical="center"/>
    </xf>
    <xf numFmtId="186" fontId="61" fillId="0" borderId="8" xfId="379" applyNumberFormat="1" applyFont="1" applyFill="1" applyBorder="1" applyAlignment="1">
      <alignment horizontal="right" vertical="center"/>
    </xf>
    <xf numFmtId="2" fontId="131" fillId="0" borderId="2" xfId="0" applyNumberFormat="1" applyFont="1" applyBorder="1"/>
    <xf numFmtId="0" fontId="18" fillId="0" borderId="45" xfId="0" applyFont="1" applyBorder="1"/>
    <xf numFmtId="0" fontId="11" fillId="0" borderId="0" xfId="0" applyFont="1" applyAlignment="1">
      <alignment horizontal="center" vertical="center"/>
    </xf>
    <xf numFmtId="0" fontId="61" fillId="0" borderId="36" xfId="0" applyFont="1" applyBorder="1" applyAlignment="1">
      <alignment horizontal="center" vertical="center"/>
    </xf>
    <xf numFmtId="0" fontId="61" fillId="0" borderId="33" xfId="0" applyFont="1" applyBorder="1" applyAlignment="1">
      <alignment horizontal="center" vertical="center"/>
    </xf>
    <xf numFmtId="0" fontId="61" fillId="0" borderId="1" xfId="0" applyFont="1" applyBorder="1" applyAlignment="1">
      <alignment horizontal="center" vertical="center"/>
    </xf>
    <xf numFmtId="0" fontId="61" fillId="65" borderId="1" xfId="0" applyFont="1" applyFill="1" applyBorder="1" applyAlignment="1">
      <alignment horizontal="center" vertical="center"/>
    </xf>
    <xf numFmtId="0" fontId="61" fillId="0" borderId="1" xfId="0" applyFont="1" applyFill="1" applyBorder="1" applyAlignment="1">
      <alignment horizontal="center" vertical="center"/>
    </xf>
    <xf numFmtId="0" fontId="61" fillId="0" borderId="44" xfId="0" applyFont="1" applyBorder="1" applyAlignment="1">
      <alignment horizontal="center" vertical="center"/>
    </xf>
    <xf numFmtId="0" fontId="131" fillId="0" borderId="12" xfId="0" applyFont="1" applyBorder="1" applyAlignment="1">
      <alignment horizontal="center" vertical="center"/>
    </xf>
    <xf numFmtId="0" fontId="131" fillId="0" borderId="1" xfId="0" applyFont="1" applyBorder="1" applyAlignment="1">
      <alignment horizontal="center" vertical="center"/>
    </xf>
    <xf numFmtId="0" fontId="131" fillId="65" borderId="10" xfId="0" applyFont="1" applyFill="1" applyBorder="1" applyAlignment="1">
      <alignment horizontal="center" vertical="center"/>
    </xf>
    <xf numFmtId="170" fontId="131" fillId="65" borderId="10" xfId="0" applyNumberFormat="1" applyFont="1" applyFill="1" applyBorder="1" applyAlignment="1">
      <alignment horizontal="right" vertical="center"/>
    </xf>
    <xf numFmtId="170" fontId="131" fillId="65" borderId="11" xfId="0" applyNumberFormat="1" applyFont="1" applyFill="1" applyBorder="1" applyAlignment="1">
      <alignment horizontal="right" vertical="center"/>
    </xf>
    <xf numFmtId="0" fontId="132" fillId="0" borderId="0" xfId="0" applyFont="1" applyAlignment="1">
      <alignment horizontal="center"/>
    </xf>
    <xf numFmtId="2" fontId="132" fillId="0" borderId="0" xfId="0" applyNumberFormat="1" applyFont="1" applyAlignment="1">
      <alignment horizontal="center"/>
    </xf>
    <xf numFmtId="17" fontId="132" fillId="0" borderId="0" xfId="0" applyNumberFormat="1" applyFont="1" applyBorder="1" applyAlignment="1" applyProtection="1">
      <alignment horizontal="center"/>
      <protection locked="0"/>
    </xf>
    <xf numFmtId="2" fontId="132" fillId="0" borderId="0" xfId="0" applyNumberFormat="1" applyFont="1" applyAlignment="1" applyProtection="1">
      <alignment horizontal="center"/>
      <protection locked="0"/>
    </xf>
    <xf numFmtId="0" fontId="18" fillId="0" borderId="0" xfId="696" applyFont="1" applyAlignment="1" applyProtection="1">
      <alignment horizontal="left"/>
      <protection locked="0"/>
    </xf>
    <xf numFmtId="0" fontId="2" fillId="0" borderId="0" xfId="1447" applyProtection="1">
      <protection locked="0"/>
    </xf>
    <xf numFmtId="0" fontId="88" fillId="33" borderId="124" xfId="696" applyFont="1" applyFill="1" applyBorder="1" applyAlignment="1" applyProtection="1">
      <alignment horizontal="right" vertical="top"/>
      <protection locked="0"/>
    </xf>
    <xf numFmtId="0" fontId="88" fillId="0" borderId="124" xfId="696" applyFont="1" applyFill="1" applyBorder="1" applyAlignment="1" applyProtection="1">
      <alignment horizontal="right" vertical="top"/>
      <protection locked="0"/>
    </xf>
    <xf numFmtId="0" fontId="88" fillId="33" borderId="0" xfId="696" applyFont="1" applyFill="1" applyAlignment="1" applyProtection="1">
      <alignment horizontal="right" vertical="top"/>
      <protection locked="0"/>
    </xf>
    <xf numFmtId="0" fontId="88" fillId="0" borderId="0" xfId="696" applyFont="1" applyFill="1" applyAlignment="1" applyProtection="1">
      <alignment horizontal="right" vertical="top"/>
      <protection locked="0"/>
    </xf>
    <xf numFmtId="15" fontId="88" fillId="33" borderId="0" xfId="696" applyNumberFormat="1" applyFont="1" applyFill="1" applyAlignment="1" applyProtection="1">
      <alignment vertical="top"/>
      <protection locked="0"/>
    </xf>
    <xf numFmtId="0" fontId="2" fillId="0" borderId="0" xfId="1447" applyFont="1" applyProtection="1">
      <protection locked="0"/>
    </xf>
    <xf numFmtId="49" fontId="2" fillId="0" borderId="0" xfId="1447" applyNumberFormat="1" applyFont="1" applyAlignment="1" applyProtection="1">
      <alignment vertical="top" wrapText="1"/>
      <protection locked="0"/>
    </xf>
    <xf numFmtId="0" fontId="80" fillId="34" borderId="45" xfId="1447" applyFont="1" applyFill="1" applyBorder="1" applyAlignment="1" applyProtection="1">
      <alignment horizontal="right"/>
      <protection locked="0"/>
    </xf>
    <xf numFmtId="0" fontId="80" fillId="34" borderId="0" xfId="1447" applyFont="1" applyFill="1" applyBorder="1" applyAlignment="1" applyProtection="1">
      <alignment horizontal="right"/>
      <protection locked="0"/>
    </xf>
    <xf numFmtId="0" fontId="80" fillId="34" borderId="41" xfId="1447" applyFont="1" applyFill="1" applyBorder="1" applyAlignment="1" applyProtection="1">
      <alignment horizontal="right"/>
      <protection locked="0"/>
    </xf>
    <xf numFmtId="0" fontId="80" fillId="0" borderId="45" xfId="1447" applyFont="1" applyBorder="1" applyProtection="1">
      <protection locked="0"/>
    </xf>
    <xf numFmtId="0" fontId="80" fillId="0" borderId="121" xfId="1447" applyFont="1" applyBorder="1" applyProtection="1">
      <protection locked="0"/>
    </xf>
    <xf numFmtId="0" fontId="2" fillId="0" borderId="45" xfId="1447" applyFont="1" applyBorder="1" applyProtection="1">
      <protection locked="0"/>
    </xf>
    <xf numFmtId="0" fontId="2" fillId="0" borderId="45" xfId="1447" applyBorder="1" applyProtection="1">
      <protection locked="0"/>
    </xf>
    <xf numFmtId="0" fontId="2" fillId="0" borderId="121" xfId="1447" applyBorder="1" applyProtection="1">
      <protection locked="0"/>
    </xf>
    <xf numFmtId="9" fontId="2" fillId="70" borderId="0" xfId="1447" applyNumberFormat="1" applyFill="1" applyProtection="1">
      <protection locked="0"/>
    </xf>
    <xf numFmtId="9" fontId="2" fillId="0" borderId="0" xfId="1447" applyNumberFormat="1" applyProtection="1">
      <protection locked="0"/>
    </xf>
    <xf numFmtId="0" fontId="2" fillId="0" borderId="0" xfId="1447" applyFont="1" applyBorder="1" applyProtection="1">
      <protection locked="0"/>
    </xf>
    <xf numFmtId="0" fontId="2" fillId="0" borderId="94" xfId="1447" applyFont="1" applyBorder="1" applyProtection="1">
      <protection locked="0"/>
    </xf>
    <xf numFmtId="0" fontId="2" fillId="0" borderId="100" xfId="1447" applyFont="1" applyBorder="1" applyProtection="1">
      <protection locked="0"/>
    </xf>
    <xf numFmtId="10" fontId="80" fillId="0" borderId="0" xfId="1447" applyNumberFormat="1" applyFont="1" applyBorder="1" applyProtection="1">
      <protection locked="0"/>
    </xf>
    <xf numFmtId="10" fontId="80" fillId="0" borderId="101" xfId="1447" applyNumberFormat="1" applyFont="1" applyBorder="1" applyProtection="1">
      <protection locked="0"/>
    </xf>
    <xf numFmtId="10" fontId="80" fillId="0" borderId="41" xfId="1447" applyNumberFormat="1" applyFont="1" applyBorder="1" applyProtection="1">
      <protection locked="0"/>
    </xf>
    <xf numFmtId="0" fontId="2" fillId="33" borderId="45" xfId="1447" applyFill="1" applyBorder="1" applyProtection="1">
      <protection locked="0"/>
    </xf>
    <xf numFmtId="0" fontId="2" fillId="33" borderId="121" xfId="1447" applyFill="1" applyBorder="1" applyProtection="1">
      <protection locked="0"/>
    </xf>
    <xf numFmtId="0" fontId="80" fillId="0" borderId="46" xfId="1447" applyFont="1" applyBorder="1" applyProtection="1">
      <protection locked="0"/>
    </xf>
    <xf numFmtId="0" fontId="2" fillId="0" borderId="46" xfId="1447" applyBorder="1" applyProtection="1">
      <protection locked="0"/>
    </xf>
    <xf numFmtId="0" fontId="2" fillId="0" borderId="122" xfId="1447" applyBorder="1" applyProtection="1">
      <protection locked="0"/>
    </xf>
    <xf numFmtId="0" fontId="80" fillId="0" borderId="0" xfId="1447" applyFont="1" applyBorder="1" applyProtection="1">
      <protection locked="0"/>
    </xf>
    <xf numFmtId="0" fontId="80" fillId="62" borderId="45" xfId="1447" applyFont="1" applyFill="1" applyBorder="1" applyAlignment="1" applyProtection="1">
      <alignment horizontal="right"/>
      <protection locked="0"/>
    </xf>
    <xf numFmtId="0" fontId="80" fillId="62" borderId="0" xfId="1447" applyFont="1" applyFill="1" applyBorder="1" applyAlignment="1" applyProtection="1">
      <alignment horizontal="right"/>
      <protection locked="0"/>
    </xf>
    <xf numFmtId="0" fontId="80" fillId="62" borderId="41" xfId="1447" applyFont="1" applyFill="1" applyBorder="1" applyAlignment="1" applyProtection="1">
      <alignment horizontal="right"/>
      <protection locked="0"/>
    </xf>
    <xf numFmtId="0" fontId="80" fillId="0" borderId="106" xfId="1447" applyFont="1" applyBorder="1" applyProtection="1">
      <protection locked="0"/>
    </xf>
    <xf numFmtId="10" fontId="80" fillId="0" borderId="107" xfId="1447" applyNumberFormat="1" applyFont="1" applyBorder="1" applyProtection="1">
      <protection locked="0"/>
    </xf>
    <xf numFmtId="10" fontId="80" fillId="0" borderId="108" xfId="1447" applyNumberFormat="1" applyFont="1" applyBorder="1" applyProtection="1">
      <protection locked="0"/>
    </xf>
    <xf numFmtId="10" fontId="80" fillId="0" borderId="109" xfId="1447" applyNumberFormat="1" applyFont="1" applyBorder="1" applyProtection="1">
      <protection locked="0"/>
    </xf>
    <xf numFmtId="0" fontId="2" fillId="0" borderId="0" xfId="1447" applyFont="1" applyBorder="1" applyAlignment="1" applyProtection="1">
      <alignment vertical="top" wrapText="1"/>
      <protection locked="0"/>
    </xf>
    <xf numFmtId="0" fontId="2" fillId="0" borderId="0" xfId="1447" applyFont="1" applyAlignment="1" applyProtection="1">
      <alignment vertical="top" wrapText="1"/>
      <protection locked="0"/>
    </xf>
    <xf numFmtId="0" fontId="80" fillId="34" borderId="45" xfId="1447" applyFont="1" applyFill="1" applyBorder="1" applyAlignment="1" applyProtection="1">
      <alignment horizontal="center"/>
      <protection locked="0"/>
    </xf>
    <xf numFmtId="0" fontId="80" fillId="34" borderId="0" xfId="1447" applyFont="1" applyFill="1" applyBorder="1" applyAlignment="1" applyProtection="1">
      <alignment horizontal="center"/>
      <protection locked="0"/>
    </xf>
    <xf numFmtId="0" fontId="80" fillId="34" borderId="41" xfId="1447" applyFont="1" applyFill="1" applyBorder="1" applyAlignment="1" applyProtection="1">
      <alignment horizontal="center"/>
      <protection locked="0"/>
    </xf>
    <xf numFmtId="0" fontId="80" fillId="35" borderId="41" xfId="1447" applyFont="1" applyFill="1" applyBorder="1" applyAlignment="1" applyProtection="1">
      <alignment horizontal="center"/>
      <protection locked="0"/>
    </xf>
    <xf numFmtId="0" fontId="80" fillId="34" borderId="38" xfId="1447" applyFont="1" applyFill="1" applyBorder="1" applyAlignment="1" applyProtection="1">
      <alignment horizontal="center"/>
      <protection locked="0"/>
    </xf>
    <xf numFmtId="0" fontId="80" fillId="34" borderId="70" xfId="1447" applyFont="1" applyFill="1" applyBorder="1" applyAlignment="1" applyProtection="1">
      <alignment horizontal="center"/>
      <protection locked="0"/>
    </xf>
    <xf numFmtId="0" fontId="80" fillId="34" borderId="78" xfId="1447" applyFont="1" applyFill="1" applyBorder="1" applyAlignment="1" applyProtection="1">
      <alignment horizontal="center"/>
      <protection locked="0"/>
    </xf>
    <xf numFmtId="0" fontId="2" fillId="34" borderId="45" xfId="1447" applyFont="1" applyFill="1" applyBorder="1" applyAlignment="1" applyProtection="1">
      <alignment vertical="top"/>
      <protection locked="0"/>
    </xf>
    <xf numFmtId="0" fontId="2" fillId="34" borderId="0" xfId="1447" applyFont="1" applyFill="1" applyBorder="1" applyAlignment="1" applyProtection="1">
      <alignment vertical="top"/>
      <protection locked="0"/>
    </xf>
    <xf numFmtId="0" fontId="80" fillId="34" borderId="41" xfId="1447" applyFont="1" applyFill="1" applyBorder="1" applyAlignment="1" applyProtection="1">
      <alignment horizontal="center" wrapText="1"/>
      <protection locked="0"/>
    </xf>
    <xf numFmtId="0" fontId="80" fillId="34" borderId="70" xfId="1447" applyFont="1" applyFill="1" applyBorder="1" applyAlignment="1" applyProtection="1">
      <alignment horizontal="center" vertical="center"/>
      <protection locked="0"/>
    </xf>
    <xf numFmtId="0" fontId="80" fillId="34" borderId="78" xfId="1447" applyFont="1" applyFill="1" applyBorder="1" applyAlignment="1" applyProtection="1">
      <alignment horizontal="center" vertical="center" wrapText="1"/>
      <protection locked="0"/>
    </xf>
    <xf numFmtId="0" fontId="2" fillId="0" borderId="45" xfId="1447" applyFont="1" applyFill="1" applyBorder="1" applyAlignment="1" applyProtection="1">
      <alignment vertical="top"/>
      <protection locked="0"/>
    </xf>
    <xf numFmtId="0" fontId="2" fillId="0" borderId="0" xfId="1447" applyFont="1" applyFill="1" applyBorder="1" applyAlignment="1" applyProtection="1">
      <alignment vertical="top"/>
      <protection locked="0"/>
    </xf>
    <xf numFmtId="0" fontId="80" fillId="33" borderId="0" xfId="1447" applyFont="1" applyFill="1" applyBorder="1" applyAlignment="1" applyProtection="1">
      <alignment vertical="top"/>
      <protection locked="0"/>
    </xf>
    <xf numFmtId="0" fontId="80" fillId="0" borderId="0" xfId="1447" applyFont="1" applyFill="1" applyBorder="1" applyAlignment="1" applyProtection="1">
      <alignment vertical="top"/>
      <protection locked="0"/>
    </xf>
    <xf numFmtId="0" fontId="80" fillId="0" borderId="41" xfId="1447" applyFont="1" applyFill="1" applyBorder="1" applyAlignment="1" applyProtection="1">
      <alignment horizontal="center" vertical="top" wrapText="1"/>
      <protection locked="0"/>
    </xf>
    <xf numFmtId="0" fontId="80" fillId="33" borderId="123" xfId="1447" applyFont="1" applyFill="1" applyBorder="1" applyAlignment="1" applyProtection="1">
      <alignment vertical="top"/>
      <protection locked="0"/>
    </xf>
    <xf numFmtId="0" fontId="2" fillId="0" borderId="94" xfId="1447" applyFont="1" applyFill="1" applyBorder="1" applyAlignment="1" applyProtection="1">
      <alignment vertical="top"/>
      <protection locked="0"/>
    </xf>
    <xf numFmtId="0" fontId="2" fillId="0" borderId="100" xfId="1447" applyFont="1" applyFill="1" applyBorder="1" applyAlignment="1" applyProtection="1">
      <alignment vertical="top"/>
      <protection locked="0"/>
    </xf>
    <xf numFmtId="0" fontId="80" fillId="33" borderId="100" xfId="1447" applyFont="1" applyFill="1" applyBorder="1" applyAlignment="1" applyProtection="1">
      <alignment vertical="top"/>
      <protection locked="0"/>
    </xf>
    <xf numFmtId="0" fontId="2" fillId="0" borderId="25" xfId="1447" applyFont="1" applyFill="1" applyBorder="1" applyProtection="1">
      <protection locked="0"/>
    </xf>
    <xf numFmtId="0" fontId="2" fillId="0" borderId="25" xfId="1447" applyFont="1" applyBorder="1" applyProtection="1">
      <protection locked="0"/>
    </xf>
    <xf numFmtId="0" fontId="80" fillId="0" borderId="0" xfId="1447" applyFont="1" applyBorder="1" applyAlignment="1" applyProtection="1">
      <alignment vertical="top" wrapText="1"/>
      <protection locked="0"/>
    </xf>
    <xf numFmtId="0" fontId="2" fillId="0" borderId="0" xfId="1447" applyFont="1" applyFill="1" applyBorder="1" applyProtection="1">
      <protection locked="0"/>
    </xf>
    <xf numFmtId="0" fontId="2" fillId="0" borderId="0" xfId="1447" applyFont="1" applyBorder="1" applyAlignment="1" applyProtection="1">
      <alignment horizontal="left" vertical="top" wrapText="1"/>
      <protection locked="0"/>
    </xf>
    <xf numFmtId="0" fontId="80" fillId="0" borderId="0" xfId="1447" applyFont="1" applyFill="1" applyBorder="1" applyAlignment="1" applyProtection="1">
      <alignment vertical="top" wrapText="1"/>
      <protection locked="0"/>
    </xf>
    <xf numFmtId="0" fontId="2" fillId="0" borderId="0" xfId="1447" applyBorder="1" applyProtection="1">
      <protection locked="0"/>
    </xf>
    <xf numFmtId="0" fontId="80" fillId="0" borderId="47" xfId="1447" applyFont="1" applyBorder="1" applyAlignment="1" applyProtection="1">
      <alignment vertical="top" wrapText="1"/>
      <protection locked="0"/>
    </xf>
    <xf numFmtId="0" fontId="80" fillId="0" borderId="48" xfId="1447" applyFont="1" applyFill="1" applyBorder="1" applyAlignment="1" applyProtection="1">
      <alignment horizontal="center" vertical="center" wrapText="1"/>
      <protection locked="0"/>
    </xf>
    <xf numFmtId="0" fontId="2" fillId="0" borderId="49" xfId="1447" applyBorder="1" applyProtection="1">
      <protection locked="0"/>
    </xf>
    <xf numFmtId="0" fontId="80" fillId="0" borderId="45" xfId="1447" applyFont="1" applyBorder="1" applyAlignment="1" applyProtection="1">
      <alignment horizontal="left" vertical="center" wrapText="1"/>
      <protection locked="0"/>
    </xf>
    <xf numFmtId="0" fontId="80" fillId="35" borderId="1" xfId="1447" applyFont="1" applyFill="1" applyBorder="1" applyAlignment="1" applyProtection="1">
      <alignment horizontal="center" vertical="center" wrapText="1"/>
      <protection locked="0"/>
    </xf>
    <xf numFmtId="0" fontId="124" fillId="0" borderId="46" xfId="1447" applyFont="1" applyBorder="1" applyAlignment="1" applyProtection="1">
      <alignment horizontal="left" vertical="top" wrapText="1"/>
      <protection locked="0"/>
    </xf>
    <xf numFmtId="0" fontId="125" fillId="0" borderId="25" xfId="1447" applyFont="1" applyBorder="1" applyAlignment="1" applyProtection="1">
      <alignment vertical="top" wrapText="1"/>
      <protection locked="0"/>
    </xf>
    <xf numFmtId="0" fontId="125" fillId="72" borderId="25" xfId="1447" applyFont="1" applyFill="1" applyBorder="1" applyAlignment="1" applyProtection="1">
      <alignment vertical="top" wrapText="1"/>
      <protection locked="0"/>
    </xf>
    <xf numFmtId="0" fontId="124" fillId="0" borderId="0" xfId="1447" applyFont="1" applyBorder="1" applyAlignment="1" applyProtection="1">
      <alignment horizontal="left" vertical="top" wrapText="1"/>
      <protection locked="0"/>
    </xf>
    <xf numFmtId="0" fontId="125" fillId="0" borderId="0" xfId="1447" applyFont="1" applyBorder="1" applyAlignment="1" applyProtection="1">
      <alignment vertical="top" wrapText="1"/>
      <protection locked="0"/>
    </xf>
    <xf numFmtId="0" fontId="122" fillId="0" borderId="0" xfId="1447" applyFont="1" applyBorder="1" applyAlignment="1" applyProtection="1">
      <alignment horizontal="center" vertical="top" wrapText="1"/>
      <protection locked="0"/>
    </xf>
    <xf numFmtId="0" fontId="2" fillId="0" borderId="47" xfId="1447" applyFont="1" applyBorder="1" applyProtection="1">
      <protection locked="0"/>
    </xf>
    <xf numFmtId="0" fontId="80" fillId="34" borderId="47" xfId="1447" applyFont="1" applyFill="1" applyBorder="1" applyAlignment="1" applyProtection="1">
      <alignment horizontal="center"/>
      <protection locked="0"/>
    </xf>
    <xf numFmtId="0" fontId="80" fillId="34" borderId="48" xfId="1447" applyFont="1" applyFill="1" applyBorder="1" applyAlignment="1" applyProtection="1">
      <alignment horizontal="center"/>
      <protection locked="0"/>
    </xf>
    <xf numFmtId="0" fontId="80" fillId="34" borderId="48" xfId="1447" applyFont="1" applyFill="1" applyBorder="1" applyAlignment="1" applyProtection="1">
      <alignment horizontal="center" vertical="center"/>
      <protection locked="0"/>
    </xf>
    <xf numFmtId="0" fontId="80" fillId="34" borderId="3" xfId="1447" applyFont="1" applyFill="1" applyBorder="1" applyAlignment="1" applyProtection="1">
      <alignment horizontal="center" vertical="center"/>
      <protection locked="0"/>
    </xf>
    <xf numFmtId="0" fontId="2" fillId="0" borderId="38" xfId="1447" applyFont="1" applyBorder="1" applyProtection="1">
      <protection locked="0"/>
    </xf>
    <xf numFmtId="0" fontId="80" fillId="34" borderId="45" xfId="1447" applyFont="1" applyFill="1" applyBorder="1" applyAlignment="1" applyProtection="1">
      <alignment vertical="top"/>
      <protection locked="0"/>
    </xf>
    <xf numFmtId="0" fontId="80" fillId="34" borderId="0" xfId="1447" applyFont="1" applyFill="1" applyBorder="1" applyAlignment="1" applyProtection="1">
      <alignment vertical="top"/>
      <protection locked="0"/>
    </xf>
    <xf numFmtId="0" fontId="80" fillId="34" borderId="74" xfId="1447" applyFont="1" applyFill="1" applyBorder="1" applyAlignment="1" applyProtection="1">
      <alignment vertical="top"/>
      <protection locked="0"/>
    </xf>
    <xf numFmtId="0" fontId="2" fillId="0" borderId="45" xfId="1447" applyFont="1" applyBorder="1" applyAlignment="1" applyProtection="1">
      <alignment wrapText="1"/>
      <protection locked="0"/>
    </xf>
    <xf numFmtId="43" fontId="2" fillId="0" borderId="1" xfId="1447" applyNumberFormat="1" applyFont="1" applyBorder="1" applyAlignment="1" applyProtection="1">
      <alignment horizontal="center" vertical="center"/>
      <protection locked="0"/>
    </xf>
    <xf numFmtId="43" fontId="2" fillId="0" borderId="50" xfId="1447" applyNumberFormat="1" applyFont="1" applyBorder="1" applyAlignment="1" applyProtection="1">
      <alignment horizontal="center" vertical="center"/>
      <protection locked="0"/>
    </xf>
    <xf numFmtId="43" fontId="2" fillId="0" borderId="125" xfId="1447" applyNumberFormat="1" applyFont="1" applyBorder="1" applyAlignment="1" applyProtection="1">
      <alignment horizontal="center" vertical="center"/>
      <protection locked="0"/>
    </xf>
    <xf numFmtId="0" fontId="2" fillId="72" borderId="38" xfId="1447" applyFont="1" applyFill="1" applyBorder="1" applyAlignment="1" applyProtection="1">
      <alignment wrapText="1"/>
      <protection locked="0"/>
    </xf>
    <xf numFmtId="43" fontId="121" fillId="33" borderId="1" xfId="796" applyFont="1" applyFill="1" applyBorder="1" applyAlignment="1" applyProtection="1">
      <alignment horizontal="center" vertical="center"/>
      <protection locked="0"/>
    </xf>
    <xf numFmtId="43" fontId="2" fillId="33" borderId="1" xfId="1447" applyNumberFormat="1" applyFont="1" applyFill="1" applyBorder="1" applyAlignment="1" applyProtection="1">
      <alignment horizontal="center" vertical="center"/>
      <protection locked="0"/>
    </xf>
    <xf numFmtId="0" fontId="2" fillId="62" borderId="15" xfId="1447" applyFont="1" applyFill="1" applyBorder="1" applyAlignment="1" applyProtection="1">
      <alignment wrapText="1"/>
      <protection locked="0"/>
    </xf>
    <xf numFmtId="43" fontId="2" fillId="62" borderId="1" xfId="1447" applyNumberFormat="1" applyFont="1" applyFill="1" applyBorder="1" applyAlignment="1" applyProtection="1">
      <alignment horizontal="center" vertical="center"/>
      <protection locked="0"/>
    </xf>
    <xf numFmtId="43" fontId="2" fillId="62" borderId="50" xfId="1447" applyNumberFormat="1" applyFont="1" applyFill="1" applyBorder="1" applyAlignment="1" applyProtection="1">
      <alignment horizontal="center" vertical="center"/>
      <protection locked="0"/>
    </xf>
    <xf numFmtId="43" fontId="2" fillId="62" borderId="125" xfId="1447" applyNumberFormat="1" applyFont="1" applyFill="1" applyBorder="1" applyAlignment="1" applyProtection="1">
      <alignment horizontal="center" vertical="center"/>
      <protection locked="0"/>
    </xf>
    <xf numFmtId="0" fontId="2" fillId="0" borderId="126" xfId="1447" applyFont="1" applyBorder="1" applyAlignment="1" applyProtection="1">
      <alignment wrapText="1"/>
      <protection locked="0"/>
    </xf>
    <xf numFmtId="0" fontId="2" fillId="62" borderId="94" xfId="1447" applyFont="1" applyFill="1" applyBorder="1" applyAlignment="1" applyProtection="1">
      <alignment wrapText="1"/>
      <protection locked="0"/>
    </xf>
    <xf numFmtId="43" fontId="121" fillId="0" borderId="1" xfId="597" applyNumberFormat="1" applyFont="1" applyBorder="1" applyAlignment="1" applyProtection="1">
      <alignment horizontal="center" vertical="center"/>
      <protection locked="0"/>
    </xf>
    <xf numFmtId="43" fontId="121" fillId="0" borderId="50" xfId="597" applyNumberFormat="1" applyFont="1" applyBorder="1" applyAlignment="1" applyProtection="1">
      <alignment horizontal="center" vertical="center"/>
      <protection locked="0"/>
    </xf>
    <xf numFmtId="43" fontId="121" fillId="72" borderId="125" xfId="597" applyNumberFormat="1" applyFont="1" applyFill="1" applyBorder="1" applyAlignment="1" applyProtection="1">
      <alignment horizontal="center" vertical="center"/>
      <protection locked="0"/>
    </xf>
    <xf numFmtId="43" fontId="121" fillId="62" borderId="1" xfId="597" applyNumberFormat="1" applyFont="1" applyFill="1" applyBorder="1" applyAlignment="1" applyProtection="1">
      <alignment horizontal="center" vertical="center"/>
      <protection locked="0"/>
    </xf>
    <xf numFmtId="43" fontId="121" fillId="62" borderId="50" xfId="597" applyNumberFormat="1" applyFont="1" applyFill="1" applyBorder="1" applyAlignment="1" applyProtection="1">
      <alignment horizontal="center" vertical="center"/>
      <protection locked="0"/>
    </xf>
    <xf numFmtId="43" fontId="121" fillId="62" borderId="125" xfId="597" applyNumberFormat="1" applyFont="1" applyFill="1" applyBorder="1" applyAlignment="1" applyProtection="1">
      <alignment horizontal="center" vertical="center"/>
      <protection locked="0"/>
    </xf>
    <xf numFmtId="10" fontId="121" fillId="33" borderId="1" xfId="611" applyNumberFormat="1" applyFont="1" applyFill="1" applyBorder="1" applyAlignment="1" applyProtection="1">
      <alignment horizontal="center" vertical="center"/>
      <protection locked="0"/>
    </xf>
    <xf numFmtId="43" fontId="78" fillId="0" borderId="1" xfId="597" applyNumberFormat="1" applyFont="1" applyBorder="1" applyAlignment="1" applyProtection="1">
      <alignment horizontal="center" vertical="center"/>
      <protection locked="0"/>
    </xf>
    <xf numFmtId="43" fontId="121" fillId="0" borderId="125" xfId="597" applyNumberFormat="1" applyFont="1" applyBorder="1" applyAlignment="1" applyProtection="1">
      <alignment horizontal="center" vertical="center"/>
      <protection locked="0"/>
    </xf>
    <xf numFmtId="0" fontId="2" fillId="72" borderId="46" xfId="1447" applyFont="1" applyFill="1" applyBorder="1" applyAlignment="1" applyProtection="1">
      <alignment wrapText="1"/>
      <protection locked="0"/>
    </xf>
    <xf numFmtId="43" fontId="121" fillId="72" borderId="127" xfId="597" applyNumberFormat="1" applyFont="1" applyFill="1" applyBorder="1" applyAlignment="1" applyProtection="1">
      <alignment horizontal="center" vertical="center"/>
      <protection locked="0"/>
    </xf>
    <xf numFmtId="0" fontId="2" fillId="0" borderId="0" xfId="1447" applyFont="1" applyBorder="1" applyAlignment="1" applyProtection="1">
      <alignment wrapText="1"/>
      <protection locked="0"/>
    </xf>
    <xf numFmtId="0" fontId="80" fillId="0" borderId="0" xfId="1447" applyFont="1" applyProtection="1">
      <protection locked="0"/>
    </xf>
    <xf numFmtId="43" fontId="11" fillId="0" borderId="1" xfId="0" applyNumberFormat="1" applyFont="1" applyBorder="1"/>
    <xf numFmtId="0" fontId="11" fillId="0" borderId="0" xfId="0" applyFont="1" applyAlignment="1">
      <alignment vertical="center"/>
    </xf>
    <xf numFmtId="0" fontId="18" fillId="0" borderId="44" xfId="0" applyFont="1" applyBorder="1" applyAlignment="1" applyProtection="1">
      <alignment horizontal="center" vertical="center"/>
      <protection locked="0"/>
    </xf>
    <xf numFmtId="43" fontId="18" fillId="0" borderId="44" xfId="379" applyFont="1" applyBorder="1" applyAlignment="1" applyProtection="1">
      <alignment horizontal="center" vertical="center" wrapText="1"/>
      <protection locked="0"/>
    </xf>
    <xf numFmtId="2" fontId="18" fillId="33" borderId="23" xfId="379" applyNumberFormat="1" applyFont="1" applyFill="1" applyBorder="1" applyAlignment="1" applyProtection="1">
      <alignment horizontal="center" vertical="center" wrapText="1"/>
      <protection locked="0"/>
    </xf>
    <xf numFmtId="2" fontId="18" fillId="33" borderId="1" xfId="379" applyNumberFormat="1" applyFont="1" applyFill="1" applyBorder="1" applyAlignment="1" applyProtection="1">
      <alignment horizontal="center" vertical="center" wrapText="1"/>
      <protection locked="0"/>
    </xf>
    <xf numFmtId="0" fontId="18" fillId="66" borderId="44" xfId="0" applyFont="1" applyFill="1" applyBorder="1" applyAlignment="1" applyProtection="1">
      <alignment horizontal="center" vertical="center" wrapText="1"/>
    </xf>
    <xf numFmtId="0" fontId="128" fillId="66" borderId="44" xfId="0" applyFont="1" applyFill="1" applyBorder="1" applyAlignment="1" applyProtection="1">
      <alignment horizontal="center" vertical="center" wrapText="1"/>
    </xf>
    <xf numFmtId="2" fontId="11" fillId="0" borderId="1" xfId="379" applyNumberFormat="1" applyFont="1" applyFill="1" applyBorder="1" applyAlignment="1" applyProtection="1">
      <protection locked="0"/>
    </xf>
    <xf numFmtId="0" fontId="11" fillId="0" borderId="0" xfId="0" quotePrefix="1" applyFont="1" applyProtection="1">
      <protection locked="0"/>
    </xf>
    <xf numFmtId="2" fontId="11" fillId="0" borderId="1" xfId="379" quotePrefix="1" applyNumberFormat="1" applyFont="1" applyBorder="1" applyAlignment="1" applyProtection="1">
      <protection locked="0"/>
    </xf>
    <xf numFmtId="43" fontId="2" fillId="70" borderId="1" xfId="1447" applyNumberFormat="1" applyFont="1" applyFill="1" applyBorder="1" applyAlignment="1" applyProtection="1">
      <alignment horizontal="center" vertical="center"/>
      <protection locked="0"/>
    </xf>
    <xf numFmtId="43" fontId="2" fillId="70" borderId="50" xfId="1447" applyNumberFormat="1" applyFont="1" applyFill="1" applyBorder="1" applyAlignment="1" applyProtection="1">
      <alignment horizontal="center" vertical="center"/>
      <protection locked="0"/>
    </xf>
    <xf numFmtId="43" fontId="120" fillId="70" borderId="0" xfId="597" applyNumberFormat="1" applyFont="1" applyFill="1" applyBorder="1" applyProtection="1">
      <protection locked="0"/>
    </xf>
    <xf numFmtId="172" fontId="108" fillId="33" borderId="0" xfId="1446" applyNumberFormat="1" applyFon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1" fillId="33" borderId="0" xfId="0" applyFont="1" applyFill="1" applyBorder="1" applyAlignment="1" applyProtection="1">
      <alignment horizontal="left"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0" fontId="18" fillId="0" borderId="15" xfId="0" applyFont="1" applyFill="1" applyBorder="1" applyAlignment="1">
      <alignment horizontal="center"/>
    </xf>
    <xf numFmtId="0" fontId="18" fillId="0" borderId="52" xfId="0" applyFont="1" applyFill="1" applyBorder="1" applyAlignment="1">
      <alignment horizontal="center"/>
    </xf>
    <xf numFmtId="0"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0" borderId="47" xfId="0" applyFont="1" applyBorder="1" applyAlignment="1">
      <alignment horizontal="center" vertical="center" wrapText="1"/>
    </xf>
    <xf numFmtId="0" fontId="11" fillId="0" borderId="49" xfId="0" applyFont="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0" borderId="47" xfId="0" applyNumberFormat="1" applyFont="1" applyBorder="1" applyAlignment="1">
      <alignment horizontal="center"/>
    </xf>
    <xf numFmtId="0" fontId="11" fillId="0" borderId="49" xfId="0" applyFont="1" applyBorder="1" applyAlignment="1">
      <alignment horizontal="center"/>
    </xf>
    <xf numFmtId="0" fontId="11" fillId="0" borderId="49" xfId="0" applyNumberFormat="1" applyFont="1" applyBorder="1" applyAlignment="1">
      <alignment horizontal="center"/>
    </xf>
    <xf numFmtId="49" fontId="11" fillId="0" borderId="47" xfId="0" applyNumberFormat="1" applyFont="1" applyBorder="1" applyAlignment="1">
      <alignment horizontal="center" vertical="center" wrapText="1"/>
    </xf>
    <xf numFmtId="0" fontId="18"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4" fillId="34" borderId="0" xfId="0" applyFont="1" applyFill="1" applyBorder="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7" fillId="0" borderId="0" xfId="0" applyFont="1" applyBorder="1" applyAlignment="1">
      <alignment horizont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11" fillId="34" borderId="48" xfId="0" applyFont="1" applyFill="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49" fillId="0" borderId="0" xfId="767" applyFont="1" applyBorder="1" applyAlignment="1">
      <alignment horizontal="left" vertical="top" wrapText="1"/>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1" fontId="20" fillId="33" borderId="45" xfId="768" applyNumberFormat="1" applyFont="1" applyFill="1" applyBorder="1" applyAlignment="1">
      <alignment horizontal="center"/>
    </xf>
    <xf numFmtId="171" fontId="20" fillId="33" borderId="0" xfId="768" applyNumberFormat="1" applyFont="1" applyFill="1" applyBorder="1" applyAlignment="1">
      <alignment horizontal="center"/>
    </xf>
    <xf numFmtId="171" fontId="20" fillId="33" borderId="41" xfId="768" applyNumberFormat="1" applyFont="1" applyFill="1" applyBorder="1" applyAlignment="1">
      <alignment horizontal="center"/>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1" fontId="20" fillId="33" borderId="45" xfId="768" applyNumberFormat="1" applyFont="1" applyFill="1" applyBorder="1" applyAlignment="1">
      <alignment horizontal="center" vertical="top"/>
    </xf>
    <xf numFmtId="171" fontId="20" fillId="33" borderId="0" xfId="768" applyNumberFormat="1" applyFont="1" applyFill="1" applyBorder="1" applyAlignment="1">
      <alignment horizontal="center" vertical="top"/>
    </xf>
    <xf numFmtId="171" fontId="20" fillId="33" borderId="41" xfId="768" applyNumberFormat="1" applyFont="1" applyFill="1" applyBorder="1" applyAlignment="1">
      <alignment horizontal="center" vertical="top"/>
    </xf>
    <xf numFmtId="0" fontId="2" fillId="0" borderId="0" xfId="1447" applyFont="1" applyBorder="1" applyAlignment="1" applyProtection="1">
      <alignment horizontal="left" vertical="top" wrapText="1"/>
      <protection locked="0"/>
    </xf>
    <xf numFmtId="0" fontId="80" fillId="0" borderId="0" xfId="1447" applyFont="1" applyBorder="1" applyAlignment="1" applyProtection="1">
      <alignment horizontal="center" vertical="top" wrapText="1"/>
      <protection locked="0"/>
    </xf>
    <xf numFmtId="0" fontId="24" fillId="0" borderId="0" xfId="696" applyFont="1" applyAlignment="1" applyProtection="1">
      <alignment horizontal="center"/>
      <protection locked="0"/>
    </xf>
    <xf numFmtId="0" fontId="2" fillId="0" borderId="0" xfId="1447" applyFont="1" applyAlignment="1" applyProtection="1">
      <alignment horizontal="left" vertical="top" wrapText="1"/>
      <protection locked="0"/>
    </xf>
    <xf numFmtId="171" fontId="120" fillId="33" borderId="45" xfId="597" applyNumberFormat="1" applyFont="1" applyFill="1" applyBorder="1" applyAlignment="1" applyProtection="1">
      <alignment horizontal="center"/>
      <protection locked="0"/>
    </xf>
    <xf numFmtId="171" fontId="120" fillId="33" borderId="0" xfId="597" applyNumberFormat="1" applyFont="1" applyFill="1" applyBorder="1" applyAlignment="1" applyProtection="1">
      <alignment horizontal="center"/>
      <protection locked="0"/>
    </xf>
    <xf numFmtId="171" fontId="120" fillId="33" borderId="41" xfId="597" applyNumberFormat="1" applyFont="1" applyFill="1" applyBorder="1" applyAlignment="1" applyProtection="1">
      <alignment horizontal="center"/>
      <protection locked="0"/>
    </xf>
    <xf numFmtId="49" fontId="120" fillId="0" borderId="0" xfId="597" applyNumberFormat="1" applyFont="1" applyBorder="1" applyAlignment="1" applyProtection="1">
      <alignment horizontal="left" vertical="top" wrapText="1"/>
      <protection locked="0"/>
    </xf>
    <xf numFmtId="0" fontId="119" fillId="0" borderId="0" xfId="1447" applyFont="1" applyAlignment="1" applyProtection="1">
      <alignment horizontal="center" vertical="top"/>
      <protection locked="0"/>
    </xf>
    <xf numFmtId="0" fontId="2" fillId="0" borderId="0" xfId="1447" applyFont="1" applyAlignment="1" applyProtection="1">
      <alignment horizontal="left" vertical="top"/>
      <protection locked="0"/>
    </xf>
    <xf numFmtId="0" fontId="80" fillId="34" borderId="47" xfId="1447" applyFont="1" applyFill="1" applyBorder="1" applyAlignment="1" applyProtection="1">
      <alignment horizontal="center"/>
      <protection locked="0"/>
    </xf>
    <xf numFmtId="0" fontId="80" fillId="34" borderId="48" xfId="1447" applyFont="1" applyFill="1" applyBorder="1" applyAlignment="1" applyProtection="1">
      <alignment horizontal="center"/>
      <protection locked="0"/>
    </xf>
    <xf numFmtId="0" fontId="80" fillId="34" borderId="49" xfId="1447" applyFont="1" applyFill="1" applyBorder="1" applyAlignment="1" applyProtection="1">
      <alignment horizontal="center"/>
      <protection locked="0"/>
    </xf>
    <xf numFmtId="0" fontId="80" fillId="34" borderId="47" xfId="1447" applyFont="1" applyFill="1" applyBorder="1" applyAlignment="1" applyProtection="1">
      <alignment horizontal="center" wrapText="1"/>
      <protection locked="0"/>
    </xf>
    <xf numFmtId="0" fontId="80" fillId="34" borderId="49" xfId="1447" applyFont="1" applyFill="1" applyBorder="1" applyAlignment="1" applyProtection="1">
      <alignment horizontal="center" wrapText="1"/>
      <protection locked="0"/>
    </xf>
    <xf numFmtId="0" fontId="80" fillId="34" borderId="45" xfId="1447" applyFont="1" applyFill="1" applyBorder="1" applyAlignment="1" applyProtection="1">
      <alignment horizontal="center" wrapText="1"/>
      <protection locked="0"/>
    </xf>
    <xf numFmtId="0" fontId="80" fillId="34" borderId="41" xfId="1447" applyFont="1" applyFill="1" applyBorder="1" applyAlignment="1" applyProtection="1">
      <alignment horizontal="center" wrapText="1"/>
      <protection locked="0"/>
    </xf>
    <xf numFmtId="0" fontId="80" fillId="34" borderId="15" xfId="1447" applyFont="1" applyFill="1" applyBorder="1" applyAlignment="1" applyProtection="1">
      <alignment horizontal="center" vertical="center"/>
      <protection locked="0"/>
    </xf>
    <xf numFmtId="0" fontId="80" fillId="34" borderId="51" xfId="1447" applyFont="1" applyFill="1" applyBorder="1" applyAlignment="1" applyProtection="1">
      <alignment horizontal="center" vertical="center"/>
      <protection locked="0"/>
    </xf>
    <xf numFmtId="0" fontId="80" fillId="34" borderId="52" xfId="1447" applyFont="1" applyFill="1" applyBorder="1" applyAlignment="1" applyProtection="1">
      <alignment horizontal="center" vertical="center"/>
      <protection locked="0"/>
    </xf>
    <xf numFmtId="0" fontId="80" fillId="62" borderId="47" xfId="1447" applyFont="1" applyFill="1" applyBorder="1" applyAlignment="1" applyProtection="1">
      <alignment horizontal="center" vertical="top"/>
      <protection locked="0"/>
    </xf>
    <xf numFmtId="0" fontId="80" fillId="62" borderId="48" xfId="1447" applyFont="1" applyFill="1" applyBorder="1" applyAlignment="1" applyProtection="1">
      <alignment horizontal="center" vertical="top"/>
      <protection locked="0"/>
    </xf>
    <xf numFmtId="0" fontId="80" fillId="62" borderId="49" xfId="1447" applyFont="1" applyFill="1" applyBorder="1" applyAlignment="1" applyProtection="1">
      <alignment horizontal="center" vertical="top"/>
      <protection locked="0"/>
    </xf>
    <xf numFmtId="171" fontId="120" fillId="33" borderId="45" xfId="597" applyNumberFormat="1" applyFont="1" applyFill="1" applyBorder="1" applyAlignment="1" applyProtection="1">
      <alignment horizontal="center" vertical="top"/>
      <protection locked="0"/>
    </xf>
    <xf numFmtId="171" fontId="120" fillId="33" borderId="0" xfId="597" applyNumberFormat="1" applyFont="1" applyFill="1" applyBorder="1" applyAlignment="1" applyProtection="1">
      <alignment horizontal="center" vertical="top"/>
      <protection locked="0"/>
    </xf>
    <xf numFmtId="171" fontId="120" fillId="33" borderId="41" xfId="597" applyNumberFormat="1" applyFont="1" applyFill="1" applyBorder="1" applyAlignment="1" applyProtection="1">
      <alignment horizontal="center" vertical="top"/>
      <protection locked="0"/>
    </xf>
    <xf numFmtId="0" fontId="80" fillId="34" borderId="45" xfId="1447" applyFont="1" applyFill="1" applyBorder="1" applyAlignment="1" applyProtection="1">
      <alignment horizontal="center" vertical="top"/>
      <protection locked="0"/>
    </xf>
    <xf numFmtId="0" fontId="80" fillId="34" borderId="0" xfId="1447" applyFont="1" applyFill="1" applyBorder="1" applyAlignment="1" applyProtection="1">
      <alignment horizontal="center" vertical="top"/>
      <protection locked="0"/>
    </xf>
    <xf numFmtId="0" fontId="80" fillId="34" borderId="41" xfId="1447" applyFont="1" applyFill="1" applyBorder="1" applyAlignment="1" applyProtection="1">
      <alignment horizontal="center" vertical="top"/>
      <protection locked="0"/>
    </xf>
    <xf numFmtId="0" fontId="122" fillId="0" borderId="0" xfId="1447" applyFont="1" applyBorder="1" applyAlignment="1" applyProtection="1">
      <alignment horizontal="center"/>
      <protection locked="0"/>
    </xf>
    <xf numFmtId="0" fontId="2" fillId="34" borderId="38" xfId="1447" applyFont="1" applyFill="1" applyBorder="1" applyAlignment="1" applyProtection="1">
      <alignment vertical="top" wrapText="1"/>
      <protection locked="0"/>
    </xf>
    <xf numFmtId="0" fontId="2" fillId="34" borderId="70" xfId="1447" applyFont="1" applyFill="1" applyBorder="1" applyAlignment="1" applyProtection="1">
      <alignment vertical="top" wrapText="1"/>
      <protection locked="0"/>
    </xf>
    <xf numFmtId="0" fontId="80" fillId="0" borderId="46" xfId="1447" applyFont="1" applyBorder="1" applyAlignment="1" applyProtection="1">
      <alignment vertical="top" wrapText="1"/>
      <protection locked="0"/>
    </xf>
    <xf numFmtId="0" fontId="80" fillId="0" borderId="25" xfId="1447" applyFont="1" applyBorder="1" applyAlignment="1" applyProtection="1">
      <alignment vertical="top" wrapText="1"/>
      <protection locked="0"/>
    </xf>
    <xf numFmtId="0" fontId="80" fillId="34" borderId="45" xfId="1447" applyFont="1" applyFill="1" applyBorder="1" applyAlignment="1" applyProtection="1">
      <alignment horizontal="left" vertical="center"/>
      <protection locked="0"/>
    </xf>
    <xf numFmtId="0" fontId="80" fillId="34" borderId="0" xfId="1447" applyFont="1" applyFill="1" applyBorder="1" applyAlignment="1" applyProtection="1">
      <alignment horizontal="left" vertical="center"/>
      <protection locked="0"/>
    </xf>
    <xf numFmtId="0" fontId="125" fillId="0" borderId="0" xfId="1447" applyFont="1" applyBorder="1" applyAlignment="1" applyProtection="1">
      <alignment horizontal="left" vertical="top" wrapText="1"/>
      <protection locked="0"/>
    </xf>
    <xf numFmtId="0" fontId="122" fillId="0" borderId="0" xfId="1447" applyFont="1" applyBorder="1" applyAlignment="1" applyProtection="1">
      <alignment horizontal="center" vertical="top" wrapText="1"/>
      <protection locked="0"/>
    </xf>
    <xf numFmtId="0" fontId="120" fillId="0" borderId="0" xfId="1447"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1" xfId="0" applyNumberFormat="1" applyFont="1" applyBorder="1" applyAlignment="1">
      <alignment horizontal="center"/>
    </xf>
    <xf numFmtId="0" fontId="18" fillId="0" borderId="1" xfId="0" applyFont="1" applyBorder="1" applyAlignment="1">
      <alignment horizontal="center"/>
    </xf>
  </cellXfs>
  <cellStyles count="1492">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2 3" xfId="1452"/>
    <cellStyle name="Comma 2 3" xfId="634"/>
    <cellStyle name="Comma 2 4" xfId="740"/>
    <cellStyle name="Comma 2 5" xfId="1451"/>
    <cellStyle name="Comma 3" xfId="380"/>
    <cellStyle name="Comma 3 2" xfId="597"/>
    <cellStyle name="Comma 3 2 2" xfId="768"/>
    <cellStyle name="Comma 3 2 3" xfId="1454"/>
    <cellStyle name="Comma 3 3" xfId="742"/>
    <cellStyle name="Comma 3 4" xfId="937"/>
    <cellStyle name="Comma 3 5" xfId="1453"/>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4 9" xfId="14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6 6" xfId="1456"/>
    <cellStyle name="Comma 7" xfId="796"/>
    <cellStyle name="Comma 7 2" xfId="1063"/>
    <cellStyle name="Comma 8" xfId="1067"/>
    <cellStyle name="Comma 8 2" xfId="1297"/>
    <cellStyle name="Comma 8 3" xfId="1457"/>
    <cellStyle name="Comma 9" xfId="1181"/>
    <cellStyle name="Comma 9 2" xfId="1450"/>
    <cellStyle name="Comma0" xfId="754"/>
    <cellStyle name="Currency 2" xfId="381"/>
    <cellStyle name="Currency 2 2" xfId="599"/>
    <cellStyle name="Currency 2 2 2" xfId="1460"/>
    <cellStyle name="Currency 2 3" xfId="589"/>
    <cellStyle name="Currency 2 3 2" xfId="1461"/>
    <cellStyle name="Currency 2 4" xfId="789"/>
    <cellStyle name="Currency 2 5" xfId="936"/>
    <cellStyle name="Currency 2 6" xfId="1459"/>
    <cellStyle name="Currency 3" xfId="382"/>
    <cellStyle name="Currency 3 2" xfId="600"/>
    <cellStyle name="Currency 3 2 2" xfId="1462"/>
    <cellStyle name="Currency 3 3" xfId="590"/>
    <cellStyle name="Currency 3 3 2" xfId="1463"/>
    <cellStyle name="Currency 3 4" xfId="770"/>
    <cellStyle name="Currency 4" xfId="948"/>
    <cellStyle name="Currency 4 2" xfId="145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xfId="1446" builtinId="8"/>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12" xfId="1464"/>
    <cellStyle name="Normal 16 2" xfId="602"/>
    <cellStyle name="Normal 16 2 10" xfId="1465"/>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12" xfId="1466"/>
    <cellStyle name="Normal 17 2" xfId="603"/>
    <cellStyle name="Normal 17 2 10" xfId="1467"/>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10" xfId="1468"/>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2 7" xfId="1469"/>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0 2" xfId="1471"/>
    <cellStyle name="Normal 20 3" xfId="1470"/>
    <cellStyle name="Normal 21" xfId="606"/>
    <cellStyle name="Normal 21 2" xfId="1473"/>
    <cellStyle name="Normal 21 3" xfId="1472"/>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2 6" xfId="1474"/>
    <cellStyle name="Normal 23" xfId="637"/>
    <cellStyle name="Normal 23 2" xfId="818"/>
    <cellStyle name="Normal 23 2 2" xfId="1383"/>
    <cellStyle name="Normal 23 2 3" xfId="1150"/>
    <cellStyle name="Normal 23 3" xfId="889"/>
    <cellStyle name="Normal 23 3 2" xfId="1267"/>
    <cellStyle name="Normal 23 4" xfId="1031"/>
    <cellStyle name="Normal 23 5" xfId="1475"/>
    <cellStyle name="Normal 24" xfId="848"/>
    <cellStyle name="Normal 24 2" xfId="1062"/>
    <cellStyle name="Normal 25" xfId="859"/>
    <cellStyle name="Normal 25 2" xfId="1298"/>
    <cellStyle name="Normal 25 3" xfId="1061"/>
    <cellStyle name="Normal 25 4" xfId="1476"/>
    <cellStyle name="Normal 26" xfId="849"/>
    <cellStyle name="Normal 26 2" xfId="1180"/>
    <cellStyle name="Normal 26 3" xfId="1449"/>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47" xfId="1448"/>
    <cellStyle name="Normal 5" xfId="524"/>
    <cellStyle name="Normal 5 2" xfId="767"/>
    <cellStyle name="Normal 5 2 2" xfId="1447"/>
    <cellStyle name="Normal 5 3" xfId="741"/>
    <cellStyle name="Normal 6" xfId="525"/>
    <cellStyle name="Normal 6 2" xfId="744"/>
    <cellStyle name="Normal 7" xfId="526"/>
    <cellStyle name="Normal 8" xfId="527"/>
    <cellStyle name="Normal 9" xfId="528"/>
    <cellStyle name="Note 10" xfId="529"/>
    <cellStyle name="Note 10 2" xfId="1477"/>
    <cellStyle name="Note 11" xfId="530"/>
    <cellStyle name="Note 11 2" xfId="1478"/>
    <cellStyle name="Note 12" xfId="531"/>
    <cellStyle name="Note 12 2" xfId="1479"/>
    <cellStyle name="Note 13" xfId="532"/>
    <cellStyle name="Note 13 2" xfId="1480"/>
    <cellStyle name="Note 14" xfId="533"/>
    <cellStyle name="Note 14 2" xfId="1481"/>
    <cellStyle name="Note 15" xfId="534"/>
    <cellStyle name="Note 15 2" xfId="1482"/>
    <cellStyle name="Note 16" xfId="777"/>
    <cellStyle name="Note 2" xfId="535"/>
    <cellStyle name="Note 2 2" xfId="712"/>
    <cellStyle name="Note 2 2 2" xfId="1483"/>
    <cellStyle name="Note 3" xfId="536"/>
    <cellStyle name="Note 3 2" xfId="1484"/>
    <cellStyle name="Note 4" xfId="537"/>
    <cellStyle name="Note 4 2" xfId="1485"/>
    <cellStyle name="Note 5" xfId="538"/>
    <cellStyle name="Note 5 2" xfId="1486"/>
    <cellStyle name="Note 6" xfId="539"/>
    <cellStyle name="Note 6 2" xfId="1487"/>
    <cellStyle name="Note 7" xfId="540"/>
    <cellStyle name="Note 7 2" xfId="1488"/>
    <cellStyle name="Note 8" xfId="541"/>
    <cellStyle name="Note 8 2" xfId="1489"/>
    <cellStyle name="Note 9" xfId="542"/>
    <cellStyle name="Note 9 2" xfId="1490"/>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2 9" xfId="1491"/>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Analysis'!$V$57</c:f>
              <c:strCache>
                <c:ptCount val="1"/>
                <c:pt idx="0">
                  <c:v>kWh Purchased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Analysis'!$V$58:$V$67</c:f>
              <c:numCache>
                <c:formatCode>_(* #,##0.00_);_(* \(#,##0.00\);_(* "-"??_);_(@_)</c:formatCode>
                <c:ptCount val="10"/>
                <c:pt idx="0">
                  <c:v>91018552.480000004</c:v>
                </c:pt>
                <c:pt idx="1">
                  <c:v>94614050.200000003</c:v>
                </c:pt>
                <c:pt idx="2">
                  <c:v>96430220.5</c:v>
                </c:pt>
                <c:pt idx="3">
                  <c:v>92313324</c:v>
                </c:pt>
                <c:pt idx="4">
                  <c:v>91831741</c:v>
                </c:pt>
                <c:pt idx="5">
                  <c:v>90656017</c:v>
                </c:pt>
                <c:pt idx="6">
                  <c:v>89014822</c:v>
                </c:pt>
                <c:pt idx="7">
                  <c:v>90972832</c:v>
                </c:pt>
                <c:pt idx="8">
                  <c:v>89574310</c:v>
                </c:pt>
                <c:pt idx="9">
                  <c:v>90503010</c:v>
                </c:pt>
              </c:numCache>
            </c:numRef>
          </c:val>
          <c:extLst xmlns:c16r2="http://schemas.microsoft.com/office/drawing/2015/06/chart">
            <c:ext xmlns:c16="http://schemas.microsoft.com/office/drawing/2014/chart" uri="{C3380CC4-5D6E-409C-BE32-E72D297353CC}">
              <c16:uniqueId val="{00000000-5248-4424-8F43-A893DA57B826}"/>
            </c:ext>
          </c:extLst>
        </c:ser>
        <c:ser>
          <c:idx val="0"/>
          <c:order val="1"/>
          <c:tx>
            <c:strRef>
              <c:f>'6. WS Regression Analysis'!$W$57</c:f>
              <c:strCache>
                <c:ptCount val="1"/>
                <c:pt idx="0">
                  <c:v>Adjusted</c:v>
                </c:pt>
              </c:strCache>
            </c:strRef>
          </c:tx>
          <c:invertIfNegative val="0"/>
          <c:cat>
            <c:numRef>
              <c:f>'6. WS Regression Analysis'!$U$58:$U$67</c:f>
              <c:numCache>
                <c:formatCode>@</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'6. WS Regression Analysis'!$W$58:$W$67</c:f>
              <c:numCache>
                <c:formatCode>_(* #,##0.00_);_(* \(#,##0.00\);_(* "-"??_);_(@_)</c:formatCode>
                <c:ptCount val="10"/>
                <c:pt idx="0">
                  <c:v>90193695.30883345</c:v>
                </c:pt>
                <c:pt idx="1">
                  <c:v>92749181.649325848</c:v>
                </c:pt>
                <c:pt idx="2">
                  <c:v>93003400.401108235</c:v>
                </c:pt>
                <c:pt idx="3">
                  <c:v>92013713.385926887</c:v>
                </c:pt>
                <c:pt idx="4">
                  <c:v>89704461.17554681</c:v>
                </c:pt>
                <c:pt idx="5">
                  <c:v>91860693.600385413</c:v>
                </c:pt>
                <c:pt idx="6">
                  <c:v>91835018.09547931</c:v>
                </c:pt>
                <c:pt idx="7">
                  <c:v>92614453.307911366</c:v>
                </c:pt>
                <c:pt idx="8">
                  <c:v>92410619.010412455</c:v>
                </c:pt>
                <c:pt idx="9">
                  <c:v>90543643.245070294</c:v>
                </c:pt>
              </c:numCache>
            </c:numRef>
          </c:val>
          <c:extLst xmlns:c16r2="http://schemas.microsoft.com/office/drawing/2015/06/char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544644480"/>
        <c:axId val="544642912"/>
      </c:barChart>
      <c:dateAx>
        <c:axId val="544644480"/>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544642912"/>
        <c:crosses val="autoZero"/>
        <c:auto val="0"/>
        <c:lblOffset val="100"/>
        <c:baseTimeUnit val="days"/>
      </c:dateAx>
      <c:valAx>
        <c:axId val="544642912"/>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544644480"/>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a:extLst>
            <a:ext uri="{FF2B5EF4-FFF2-40B4-BE49-F238E27FC236}">
              <a16:creationId xmlns="" xmlns:a16="http://schemas.microsoft.com/office/drawing/2014/main" id="{00000000-0008-0000-0A00-000002000000}"/>
            </a:ext>
          </a:extLst>
        </xdr:cNvPr>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2" name="Picture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648331</xdr:colOff>
      <xdr:row>7</xdr:row>
      <xdr:rowOff>28575</xdr:rowOff>
    </xdr:to>
    <xdr:pic>
      <xdr:nvPicPr>
        <xdr:cNvPr id="2" name="Picture 1">
          <a:extLst>
            <a:ext uri="{FF2B5EF4-FFF2-40B4-BE49-F238E27FC236}">
              <a16:creationId xmlns=""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a:extLst>
            <a:ext uri="{FF2B5EF4-FFF2-40B4-BE49-F238E27FC236}">
              <a16:creationId xmlns=""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104775</xdr:colOff>
      <xdr:row>18</xdr:row>
      <xdr:rowOff>178734</xdr:rowOff>
    </xdr:from>
    <xdr:to>
      <xdr:col>9</xdr:col>
      <xdr:colOff>920002</xdr:colOff>
      <xdr:row>18</xdr:row>
      <xdr:rowOff>205403</xdr:rowOff>
    </xdr:to>
    <xdr:sp macro="" textlink="">
      <xdr:nvSpPr>
        <xdr:cNvPr id="6" name="Right Arrow 5">
          <a:extLst>
            <a:ext uri="{FF2B5EF4-FFF2-40B4-BE49-F238E27FC236}">
              <a16:creationId xmlns="" xmlns:a16="http://schemas.microsoft.com/office/drawing/2014/main" id="{00000000-0008-0000-0500-000006000000}"/>
            </a:ext>
          </a:extLst>
        </xdr:cNvPr>
        <xdr:cNvSpPr/>
      </xdr:nvSpPr>
      <xdr:spPr>
        <a:xfrm>
          <a:off x="9067800"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80</xdr:row>
      <xdr:rowOff>142875</xdr:rowOff>
    </xdr:from>
    <xdr:to>
      <xdr:col>25</xdr:col>
      <xdr:colOff>502444</xdr:colOff>
      <xdr:row>104</xdr:row>
      <xdr:rowOff>106363</xdr:rowOff>
    </xdr:to>
    <xdr:graphicFrame macro="">
      <xdr:nvGraphicFramePr>
        <xdr:cNvPr id="10" name="Chart 9">
          <a:extLst>
            <a:ext uri="{FF2B5EF4-FFF2-40B4-BE49-F238E27FC236}">
              <a16:creationId xmlns=""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a:extLst>
            <a:ext uri="{FF2B5EF4-FFF2-40B4-BE49-F238E27FC236}">
              <a16:creationId xmlns=""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 xmlns:a16="http://schemas.microsoft.com/office/drawing/2014/main" id="{00000000-0008-0000-0800-00000F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marshall\AppData\Local\Microsoft\Windows\Temporary%20Internet%20Files\Content.Outlook\PQHWB3UQ\EB-2016-0166%20RHI%202017%20OEB%20Chapter2%20Appendices%20201701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20TESI%20CODES%20&amp;%20POLICIES\Minimum%20Filing%20Requirements\2016%20Minimum%20Filing%20Requirements\2016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FB Calc of REG Improvemnt"/>
      <sheetName val="App.2-FC Calc of REG Expansion"/>
      <sheetName val="App.2-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
      <sheetName val="App.2-OA Capital Structure"/>
      <sheetName val="App.2-OB_Debt Instruments"/>
      <sheetName val="App.2-P_Cost_Allocation"/>
      <sheetName val="App.2-PA_Res_Rate_Design"/>
      <sheetName val="App.2-Q_Cost of Serv. Emb. Dx "/>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lists"/>
      <sheetName val="lists2"/>
      <sheetName val="Sheet19"/>
    </sheetNames>
    <sheetDataSet>
      <sheetData sheetId="0">
        <row r="16">
          <cell r="E16" t="str">
            <v>EB-2016-0166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4">
          <cell r="E24">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nippard@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P37" sqref="P37"/>
    </sheetView>
  </sheetViews>
  <sheetFormatPr defaultRowHeight="12.75" x14ac:dyDescent="0.2"/>
  <cols>
    <col min="1" max="1" width="13.6640625" style="1" customWidth="1"/>
    <col min="2" max="16384" width="9.33203125" style="1"/>
  </cols>
  <sheetData>
    <row r="1" spans="1:28" s="528" customFormat="1" x14ac:dyDescent="0.2">
      <c r="A1" s="744" t="s">
        <v>264</v>
      </c>
      <c r="B1" s="744"/>
    </row>
    <row r="2" spans="1:28" s="528" customFormat="1" x14ac:dyDescent="0.2"/>
    <row r="3" spans="1:28" s="528" customFormat="1" x14ac:dyDescent="0.2"/>
    <row r="4" spans="1:28" s="528" customFormat="1" x14ac:dyDescent="0.2"/>
    <row r="5" spans="1:28" s="528" customFormat="1" x14ac:dyDescent="0.2"/>
    <row r="6" spans="1:28" s="528" customFormat="1" x14ac:dyDescent="0.2"/>
    <row r="7" spans="1:28" s="528" customFormat="1" x14ac:dyDescent="0.2"/>
    <row r="8" spans="1:28" s="528" customFormat="1" x14ac:dyDescent="0.2"/>
    <row r="9" spans="1:28" s="528" customFormat="1" x14ac:dyDescent="0.2"/>
    <row r="10" spans="1:28" customFormat="1" ht="12.75" customHeight="1" x14ac:dyDescent="0.2">
      <c r="B10" s="1043"/>
      <c r="C10" s="1043"/>
      <c r="D10" s="1043"/>
      <c r="E10" s="1043"/>
      <c r="F10" s="1043"/>
      <c r="G10" s="1043"/>
      <c r="H10" s="1043"/>
      <c r="I10" s="1043"/>
      <c r="J10" s="137"/>
      <c r="K10" s="137"/>
      <c r="L10" s="137"/>
      <c r="M10" s="137"/>
    </row>
    <row r="11" spans="1:28" customFormat="1" ht="23.25" x14ac:dyDescent="0.2">
      <c r="B11" s="1044" t="s">
        <v>99</v>
      </c>
      <c r="C11" s="1044"/>
      <c r="D11" s="1044"/>
      <c r="E11" s="1044"/>
      <c r="F11" s="1044"/>
      <c r="G11" s="1044"/>
      <c r="H11" s="1044"/>
      <c r="I11" s="1044"/>
      <c r="J11" s="137"/>
      <c r="K11" s="137"/>
      <c r="L11" s="137"/>
      <c r="M11" s="137"/>
    </row>
    <row r="12" spans="1:28" x14ac:dyDescent="0.2">
      <c r="M12"/>
    </row>
    <row r="13" spans="1:28" ht="15" x14ac:dyDescent="0.2">
      <c r="B13" s="155" t="s">
        <v>85</v>
      </c>
      <c r="F13" s="1045" t="s">
        <v>438</v>
      </c>
      <c r="G13" s="1045"/>
      <c r="H13" s="1045"/>
      <c r="I13" s="1045"/>
      <c r="J13" s="1045"/>
      <c r="K13" s="140"/>
      <c r="L13" s="140"/>
      <c r="AB13" s="134"/>
    </row>
    <row r="14" spans="1:28" x14ac:dyDescent="0.2">
      <c r="B14" s="156"/>
      <c r="F14" s="138"/>
      <c r="G14" s="139"/>
      <c r="H14" s="138"/>
      <c r="I14" s="138"/>
      <c r="J14" s="138"/>
      <c r="K14" s="141"/>
      <c r="L14" s="141"/>
      <c r="AB14" s="134"/>
    </row>
    <row r="15" spans="1:28" ht="15" x14ac:dyDescent="0.2">
      <c r="B15" s="155" t="s">
        <v>86</v>
      </c>
      <c r="F15" s="1041"/>
      <c r="G15" s="1041"/>
      <c r="H15" s="1041"/>
      <c r="I15" s="1041"/>
      <c r="J15" s="1041"/>
      <c r="K15" s="141"/>
      <c r="L15" s="141"/>
      <c r="AB15" s="134"/>
    </row>
    <row r="16" spans="1:28" x14ac:dyDescent="0.2">
      <c r="B16" s="157"/>
      <c r="F16" s="135"/>
      <c r="G16" s="135"/>
      <c r="H16" s="135"/>
      <c r="I16" s="135"/>
      <c r="J16" s="135"/>
      <c r="K16" s="135"/>
      <c r="L16" s="135"/>
      <c r="AB16" s="134"/>
    </row>
    <row r="17" spans="2:28" ht="15" x14ac:dyDescent="0.2">
      <c r="B17" s="155" t="s">
        <v>87</v>
      </c>
      <c r="F17" s="1041" t="s">
        <v>464</v>
      </c>
      <c r="G17" s="1041"/>
      <c r="H17" s="1041"/>
      <c r="I17" s="1041"/>
      <c r="J17" s="1041"/>
      <c r="K17" s="135"/>
      <c r="L17" s="135"/>
      <c r="AB17" s="134"/>
    </row>
    <row r="18" spans="2:28" x14ac:dyDescent="0.2">
      <c r="B18" s="157"/>
      <c r="F18" s="135"/>
      <c r="G18" s="135"/>
      <c r="H18" s="135"/>
      <c r="I18" s="135"/>
      <c r="J18" s="135"/>
      <c r="K18" s="135"/>
      <c r="L18" s="135"/>
      <c r="AB18" s="134"/>
    </row>
    <row r="19" spans="2:28" ht="15" x14ac:dyDescent="0.2">
      <c r="B19" s="155" t="s">
        <v>88</v>
      </c>
      <c r="F19" s="1041" t="s">
        <v>439</v>
      </c>
      <c r="G19" s="1041"/>
      <c r="H19" s="1041"/>
      <c r="I19" s="1041"/>
      <c r="J19" s="1041"/>
      <c r="K19" s="1042"/>
      <c r="L19" s="1042"/>
      <c r="AB19" s="134"/>
    </row>
    <row r="20" spans="2:28" x14ac:dyDescent="0.2">
      <c r="B20" s="156"/>
      <c r="F20" s="142"/>
      <c r="G20" s="143"/>
      <c r="H20" s="142"/>
      <c r="I20" s="142"/>
      <c r="J20" s="142"/>
      <c r="K20" s="135"/>
      <c r="L20" s="135"/>
      <c r="AB20" s="134"/>
    </row>
    <row r="21" spans="2:28" ht="15" x14ac:dyDescent="0.2">
      <c r="B21" s="155" t="s">
        <v>89</v>
      </c>
      <c r="F21" s="1041" t="s">
        <v>466</v>
      </c>
      <c r="G21" s="1041"/>
      <c r="H21" s="1041"/>
      <c r="I21" s="1041"/>
      <c r="J21" s="1041"/>
      <c r="K21" s="135"/>
      <c r="L21" s="135"/>
      <c r="AB21" s="134"/>
    </row>
    <row r="22" spans="2:28" x14ac:dyDescent="0.2">
      <c r="B22" s="156"/>
      <c r="F22" s="142"/>
      <c r="G22" s="143"/>
      <c r="H22" s="142"/>
      <c r="I22" s="142"/>
      <c r="J22" s="142"/>
      <c r="K22" s="135"/>
      <c r="L22" s="135"/>
      <c r="AB22" s="134"/>
    </row>
    <row r="23" spans="2:28" ht="15" x14ac:dyDescent="0.2">
      <c r="B23" s="155" t="s">
        <v>90</v>
      </c>
      <c r="F23" s="1040" t="s">
        <v>467</v>
      </c>
      <c r="G23" s="1041"/>
      <c r="H23" s="1041"/>
      <c r="I23" s="1041"/>
      <c r="J23" s="1041"/>
      <c r="K23" s="135"/>
      <c r="L23" s="135"/>
      <c r="AB23" s="134"/>
    </row>
    <row r="24" spans="2:28" x14ac:dyDescent="0.2">
      <c r="B24" s="156"/>
      <c r="F24" s="142"/>
      <c r="G24" s="143"/>
      <c r="H24" s="142"/>
      <c r="I24" s="142"/>
      <c r="J24" s="142"/>
      <c r="K24" s="135"/>
      <c r="L24" s="135"/>
      <c r="AB24" s="134"/>
    </row>
    <row r="25" spans="2:28" ht="15" x14ac:dyDescent="0.2">
      <c r="B25" s="155" t="s">
        <v>91</v>
      </c>
      <c r="F25" s="159" t="s">
        <v>398</v>
      </c>
      <c r="G25" s="160"/>
      <c r="H25" s="160"/>
      <c r="I25" s="142"/>
      <c r="J25" s="142"/>
      <c r="K25" s="135"/>
      <c r="L25" s="135"/>
      <c r="AB25" s="134"/>
    </row>
    <row r="26" spans="2:28" x14ac:dyDescent="0.2">
      <c r="B26" s="61"/>
      <c r="F26" s="58"/>
      <c r="G26" s="161"/>
      <c r="H26" s="161"/>
      <c r="I26" s="528"/>
      <c r="J26" s="528"/>
      <c r="AB26" s="134"/>
    </row>
    <row r="27" spans="2:28" ht="15" x14ac:dyDescent="0.2">
      <c r="B27" s="155" t="s">
        <v>92</v>
      </c>
      <c r="F27" s="159" t="s">
        <v>440</v>
      </c>
      <c r="G27" s="160"/>
      <c r="H27" s="160"/>
      <c r="I27" s="528"/>
      <c r="J27" s="528"/>
      <c r="AB27" s="134"/>
    </row>
    <row r="28" spans="2:28" x14ac:dyDescent="0.2">
      <c r="B28" s="158"/>
      <c r="F28" s="58"/>
      <c r="G28" s="161"/>
      <c r="H28" s="161"/>
      <c r="I28" s="528"/>
      <c r="J28" s="528"/>
      <c r="AB28" s="134"/>
    </row>
    <row r="29" spans="2:28" ht="15" x14ac:dyDescent="0.2">
      <c r="B29" s="155" t="s">
        <v>93</v>
      </c>
      <c r="F29" s="159" t="s">
        <v>259</v>
      </c>
      <c r="G29" s="160"/>
      <c r="H29" s="160"/>
      <c r="I29" s="528"/>
      <c r="J29" s="528"/>
      <c r="AB29" s="134"/>
    </row>
    <row r="30" spans="2:28" x14ac:dyDescent="0.2">
      <c r="AB30" s="134"/>
    </row>
    <row r="32" spans="2:28" x14ac:dyDescent="0.2">
      <c r="B32" s="177" t="s">
        <v>267</v>
      </c>
      <c r="D32" s="62"/>
    </row>
    <row r="33" spans="2:4" x14ac:dyDescent="0.2">
      <c r="B33" s="1" t="s">
        <v>265</v>
      </c>
      <c r="D33" s="745"/>
    </row>
    <row r="34" spans="2:4" x14ac:dyDescent="0.2">
      <c r="B34" s="1" t="s">
        <v>266</v>
      </c>
      <c r="D34" s="749"/>
    </row>
  </sheetData>
  <mergeCells count="9">
    <mergeCell ref="F23:J23"/>
    <mergeCell ref="K19:L19"/>
    <mergeCell ref="F21:J21"/>
    <mergeCell ref="B10:I10"/>
    <mergeCell ref="B11:I11"/>
    <mergeCell ref="F15:J15"/>
    <mergeCell ref="F17:J17"/>
    <mergeCell ref="F19:J19"/>
    <mergeCell ref="F13:J13"/>
  </mergeCells>
  <hyperlinks>
    <hyperlink ref="F23" r:id="rId1"/>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topLeftCell="A7" zoomScaleNormal="100" workbookViewId="0">
      <selection activeCell="B12" sqref="B12"/>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7" width="16.33203125" style="1" bestFit="1" customWidth="1"/>
    <col min="8" max="8" width="13.33203125" style="1" bestFit="1" customWidth="1"/>
    <col min="9" max="16" width="16.33203125" style="1" bestFit="1" customWidth="1"/>
    <col min="17" max="18" width="10.5" style="1"/>
    <col min="19" max="20" width="1.83203125" style="1" bestFit="1" customWidth="1"/>
    <col min="21" max="16384" width="10.5" style="1"/>
  </cols>
  <sheetData>
    <row r="1" spans="1:16" s="528" customFormat="1" x14ac:dyDescent="0.2">
      <c r="A1" s="744" t="s">
        <v>264</v>
      </c>
    </row>
    <row r="2" spans="1:16" s="528" customFormat="1" x14ac:dyDescent="0.2"/>
    <row r="3" spans="1:16" s="528" customFormat="1" x14ac:dyDescent="0.2"/>
    <row r="4" spans="1:16" s="528" customFormat="1" x14ac:dyDescent="0.2"/>
    <row r="5" spans="1:16" s="528" customFormat="1" x14ac:dyDescent="0.2"/>
    <row r="6" spans="1:16" s="528" customFormat="1" x14ac:dyDescent="0.2"/>
    <row r="7" spans="1:16" s="528" customFormat="1" x14ac:dyDescent="0.2"/>
    <row r="8" spans="1:16" s="528" customFormat="1" x14ac:dyDescent="0.2"/>
    <row r="9" spans="1:16" s="528" customFormat="1" x14ac:dyDescent="0.2"/>
    <row r="11" spans="1:16" ht="23.25" x14ac:dyDescent="0.2">
      <c r="B11" s="133" t="s">
        <v>481</v>
      </c>
      <c r="C11" s="133"/>
    </row>
    <row r="12" spans="1:16" ht="13.5" customHeight="1" x14ac:dyDescent="0.2">
      <c r="B12" s="63" t="s">
        <v>62</v>
      </c>
      <c r="C12" s="133"/>
    </row>
    <row r="13" spans="1:16" ht="13.5" customHeight="1" x14ac:dyDescent="0.2">
      <c r="B13" s="100" t="s">
        <v>255</v>
      </c>
      <c r="C13" s="133"/>
    </row>
    <row r="14" spans="1:16" ht="13.5" customHeight="1" thickBot="1" x14ac:dyDescent="0.25"/>
    <row r="15" spans="1:16" ht="13.5" thickBot="1" x14ac:dyDescent="0.25">
      <c r="B15" s="467"/>
      <c r="C15" s="468"/>
      <c r="D15" s="414" t="s">
        <v>33</v>
      </c>
      <c r="E15" s="412">
        <f>'4. Customer Growth'!B17</f>
        <v>2006</v>
      </c>
      <c r="F15" s="412">
        <f>'4. Customer Growth'!B18</f>
        <v>2007</v>
      </c>
      <c r="G15" s="412">
        <f>'4. Customer Growth'!B19</f>
        <v>2008</v>
      </c>
      <c r="H15" s="412">
        <f>'4. Customer Growth'!B20</f>
        <v>2009</v>
      </c>
      <c r="I15" s="412">
        <f>'4. Customer Growth'!B21</f>
        <v>2010</v>
      </c>
      <c r="J15" s="412">
        <f>'4. Customer Growth'!B22</f>
        <v>2011</v>
      </c>
      <c r="K15" s="412">
        <f>'4. Customer Growth'!B23</f>
        <v>2012</v>
      </c>
      <c r="L15" s="412">
        <f>'4. Customer Growth'!B24</f>
        <v>2013</v>
      </c>
      <c r="M15" s="412">
        <f>'4. Customer Growth'!B25</f>
        <v>2014</v>
      </c>
      <c r="N15" s="412">
        <f>'4. Customer Growth'!B26</f>
        <v>2015</v>
      </c>
      <c r="O15" s="412" t="str">
        <f>'4. Customer Growth'!B30</f>
        <v>2016</v>
      </c>
      <c r="P15" s="413" t="str">
        <f>'4. Customer Growth'!B31</f>
        <v>2017</v>
      </c>
    </row>
    <row r="16" spans="1:16" x14ac:dyDescent="0.2">
      <c r="B16" s="746" t="s">
        <v>190</v>
      </c>
      <c r="C16" s="762" t="str">
        <f>IF($B16=$F$65,+$B$65,+IF($B16=$F$66,+$B$66,+IF($B16=$F$67,+$B$67,+IF($B16=$F$67,$B$67,+IF($B16=$F$68,+$B$68,+IF($B16=$F$69,+$B$69,+IF($B16=$F$70,+$B$70,+IF($B16=$F$71,+$B$71,+IF($B16=$F$72,+$B$72,+IF($B16=$F$73,+$B$73,+IF($B16=$F$74,+$B$74)))))))))))</f>
        <v>Residential</v>
      </c>
      <c r="D16" s="395" t="s">
        <v>126</v>
      </c>
      <c r="E16" s="503">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3537</v>
      </c>
      <c r="F16" s="503">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3551</v>
      </c>
      <c r="G16" s="503">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3581</v>
      </c>
      <c r="H16" s="503">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3608</v>
      </c>
      <c r="I16" s="503">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3654</v>
      </c>
      <c r="J16" s="503">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3687</v>
      </c>
      <c r="K16" s="503">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3707</v>
      </c>
      <c r="L16" s="503">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3730</v>
      </c>
      <c r="M16" s="503">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3760</v>
      </c>
      <c r="N16" s="503">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3779</v>
      </c>
      <c r="O16" s="503">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3806.8908831500453</v>
      </c>
      <c r="P16" s="504">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3834.9876147687037</v>
      </c>
    </row>
    <row r="17" spans="2:16" x14ac:dyDescent="0.2">
      <c r="B17" s="89"/>
      <c r="C17" s="763"/>
      <c r="D17" s="59" t="s">
        <v>35</v>
      </c>
      <c r="E17" s="503">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30640106</v>
      </c>
      <c r="F17" s="503">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31007901</v>
      </c>
      <c r="G17" s="503">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31465398</v>
      </c>
      <c r="H17" s="503">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30635928</v>
      </c>
      <c r="I17" s="503">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30305144</v>
      </c>
      <c r="J17" s="503">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30085520</v>
      </c>
      <c r="K17" s="503">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29994156</v>
      </c>
      <c r="L17" s="503">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30486731</v>
      </c>
      <c r="M17" s="503">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30037011</v>
      </c>
      <c r="N17" s="503">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29589162</v>
      </c>
      <c r="O17" s="503">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30348059.666272782</v>
      </c>
      <c r="P17" s="504">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30363324.309185188</v>
      </c>
    </row>
    <row r="18" spans="2:16" x14ac:dyDescent="0.2">
      <c r="B18" s="89"/>
      <c r="C18" s="763"/>
      <c r="D18" s="59" t="s">
        <v>36</v>
      </c>
      <c r="E18" s="401">
        <f>IF(B$16=$F$70,+'8. KW and Non-Weather Sensitive'!$F$21,IF($B16=$F$71,+'8. KW and Non-Weather Sensitive'!$Q$21,IF($B16=$F$72,+'8. KW and Non-Weather Sensitive'!$AA$21,IF($B16=$F$73,+'8. KW and Non-Weather Sensitive'!$AK$21,+IF($B16=$F$74,+'8. KW and Non-Weather Sensitive'!$AU$21,0)))))</f>
        <v>0</v>
      </c>
      <c r="F18" s="401">
        <f>IF($B16=$F$70,+'8. KW and Non-Weather Sensitive'!$F$22,IF($B16=$F$71,+'8. KW and Non-Weather Sensitive'!$Q$22,IF($B16=$F$72,+'8. KW and Non-Weather Sensitive'!$AA$22,IF($B16=$F$73,+'8. KW and Non-Weather Sensitive'!$AK$22,+IF($B16=$F$74,+'8. KW and Non-Weather Sensitive'!$AU$22,0)))))</f>
        <v>0</v>
      </c>
      <c r="G18" s="401">
        <f>IF($B16=$F$70,+'8. KW and Non-Weather Sensitive'!$F$23,IF($B16=$F$71,+'8. KW and Non-Weather Sensitive'!$Q$23,IF($B16=$F$72,+'8. KW and Non-Weather Sensitive'!$AA$23,IF($B16=$F$73,+'8. KW and Non-Weather Sensitive'!$AK$23,+IF($B16=$F$74,+'8. KW and Non-Weather Sensitive'!$AU$23,0)))))</f>
        <v>0</v>
      </c>
      <c r="H18" s="401">
        <f>IF($B16=$F$70,+'8. KW and Non-Weather Sensitive'!$F$24,IF($B16=$F$71,+'8. KW and Non-Weather Sensitive'!$Q$24,IF($B16=$F$72,+'8. KW and Non-Weather Sensitive'!$AA$24,IF($B16=$F$73,+'8. KW and Non-Weather Sensitive'!$AK$24,+IF($B16=$F$74,+'8. KW and Non-Weather Sensitive'!$AU$24,0)))))</f>
        <v>0</v>
      </c>
      <c r="I18" s="401">
        <f>IF($B16=$F$70,+'8. KW and Non-Weather Sensitive'!$F$25,IF($B16=$F$71,+'8. KW and Non-Weather Sensitive'!$Q$25,IF($B16=$F$72,+'8. KW and Non-Weather Sensitive'!$AA$25,IF($B16=$F$73,+'8. KW and Non-Weather Sensitive'!$AK$25,+IF($B16=$F$74,+'8. KW and Non-Weather Sensitive'!$AU$25,0)))))</f>
        <v>0</v>
      </c>
      <c r="J18" s="401">
        <f>IF($B16=$F$70,+'8. KW and Non-Weather Sensitive'!$F$26,IF($B16=$F$71,+'8. KW and Non-Weather Sensitive'!$Q$26,IF($B16=$F$72,+'8. KW and Non-Weather Sensitive'!$AA$26,IF($B16=$F$73,+'8. KW and Non-Weather Sensitive'!$AK$26,+IF($B16=$F$74,+'8. KW and Non-Weather Sensitive'!$AU$26,0)))))</f>
        <v>0</v>
      </c>
      <c r="K18" s="401">
        <f>IF($B16=$F$70,+'8. KW and Non-Weather Sensitive'!$F$27,IF($B16=$F$71,+'8. KW and Non-Weather Sensitive'!$Q$27,IF($B16=$F$72,+'8. KW and Non-Weather Sensitive'!$AA$27,IF($B16=$F$73,+'8. KW and Non-Weather Sensitive'!$AK$27,+IF($B16=$F$74,+'8. KW and Non-Weather Sensitive'!$AU$27,0)))))</f>
        <v>0</v>
      </c>
      <c r="L18" s="401">
        <f>IF($B16=$F$70,+'8. KW and Non-Weather Sensitive'!$F$28,IF($B16=$F$71,+'8. KW and Non-Weather Sensitive'!$Q$28,IF($B16=$F$72,+'8. KW and Non-Weather Sensitive'!$AA$28,IF($B16=$F$73,+'8. KW and Non-Weather Sensitive'!$AK$28,+IF($B16=$F$74,+'8. KW and Non-Weather Sensitive'!$AU$28,0)))))</f>
        <v>0</v>
      </c>
      <c r="M18" s="401">
        <f>IF($B16=$F$70,+'8. KW and Non-Weather Sensitive'!$F$29,IF($B16=$F$71,+'8. KW and Non-Weather Sensitive'!$Q$29,IF($B16=$F$72,+'8. KW and Non-Weather Sensitive'!$AA$29,IF($B16=$F$73,+'8. KW and Non-Weather Sensitive'!$AK$29,+IF($B16=$F$74,+'8. KW and Non-Weather Sensitive'!$AU$29,0)))))</f>
        <v>0</v>
      </c>
      <c r="N18" s="401">
        <f>IF($B16=$F$70,+'8. KW and Non-Weather Sensitive'!$F$30,IF($B16=$F$71,+'8. KW and Non-Weather Sensitive'!$Q$30,IF($B16=$F$72,+'8. KW and Non-Weather Sensitive'!$AA$30,IF($B16=$F$73,+'8. KW and Non-Weather Sensitive'!$AK$30,+IF($B16=$F$74,+'8. KW and Non-Weather Sensitive'!$AU$30,0)))))</f>
        <v>0</v>
      </c>
      <c r="O18" s="401">
        <f>IF($B16=$F$70,+'8. KW and Non-Weather Sensitive'!$J$49,IF($B16=$F$71,+'8. KW and Non-Weather Sensitive'!$U$49,IF($B16=$F$72,+'8. KW and Non-Weather Sensitive'!$AE$49,IF($B16=$F$73,+'8. KW and Non-Weather Sensitive'!$AO$49,+IF($B16=$F$74,+'8. KW and Non-Weather Sensitive'!$AY$49,0)))))</f>
        <v>0</v>
      </c>
      <c r="P18" s="505">
        <f>IF($B16=$F$70,+'8. KW and Non-Weather Sensitive'!$J$50,IF($B16=$F$71,+'8. KW and Non-Weather Sensitive'!$U$50,IF($B16=$F$72,+'8. KW and Non-Weather Sensitive'!$AE$50,IF($B16=$F$73,+'8. KW and Non-Weather Sensitive'!$AO$50,+IF($B16=$F$74,+'8. KW and Non-Weather Sensitive'!$AY$50,0)))))</f>
        <v>0</v>
      </c>
    </row>
    <row r="19" spans="2:16" x14ac:dyDescent="0.2">
      <c r="B19" s="89"/>
      <c r="C19" s="763"/>
      <c r="D19" s="59"/>
      <c r="E19" s="401"/>
      <c r="F19" s="401"/>
      <c r="G19" s="401"/>
      <c r="H19" s="401"/>
      <c r="I19" s="401"/>
      <c r="J19" s="401"/>
      <c r="K19" s="401"/>
      <c r="L19" s="401"/>
      <c r="M19" s="401"/>
      <c r="N19" s="401"/>
      <c r="O19" s="402"/>
      <c r="P19" s="403"/>
    </row>
    <row r="20" spans="2:16" x14ac:dyDescent="0.2">
      <c r="B20" s="748" t="s">
        <v>189</v>
      </c>
      <c r="C20" s="762" t="str">
        <f>IF($B20=$F$65,+$B$65,+IF($B20=$F$66,+$B$66,+IF($B20=$F$67,+$B$67,+IF($B20=$F$67,$B$67,+IF($B20=$F$68,+$B$68,+IF($B20=$F$69,+$B$69,+IF($B20=$F$70,+$B$70,+IF($B20=$F$71,+$B$71,+IF($B20=$F$72,+$B$72,+IF($B20=$F$73,+$B$73,+IF($B20=$F$74,+$B$74)))))))))))</f>
        <v>General Service &lt; 50 kW</v>
      </c>
      <c r="D20" s="88" t="s">
        <v>126</v>
      </c>
      <c r="E20" s="503">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512</v>
      </c>
      <c r="F20" s="503">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497</v>
      </c>
      <c r="G20" s="503">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494</v>
      </c>
      <c r="H20" s="503">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483</v>
      </c>
      <c r="I20" s="503">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442</v>
      </c>
      <c r="J20" s="503">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437</v>
      </c>
      <c r="K20" s="503">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435</v>
      </c>
      <c r="L20" s="503">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428</v>
      </c>
      <c r="M20" s="503">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428</v>
      </c>
      <c r="N20" s="503">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430</v>
      </c>
      <c r="O20" s="503">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421.7412356106833</v>
      </c>
      <c r="P20" s="504">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413.64109259168811</v>
      </c>
    </row>
    <row r="21" spans="2:16" x14ac:dyDescent="0.2">
      <c r="B21" s="89"/>
      <c r="C21" s="763"/>
      <c r="D21" s="59" t="s">
        <v>35</v>
      </c>
      <c r="E21" s="503">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13424049</v>
      </c>
      <c r="F21" s="503">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13776453</v>
      </c>
      <c r="G21" s="503">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13927235</v>
      </c>
      <c r="H21" s="503">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12859915</v>
      </c>
      <c r="I21" s="503">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12427065</v>
      </c>
      <c r="J21" s="503">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11962164</v>
      </c>
      <c r="K21" s="503">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11672310</v>
      </c>
      <c r="L21" s="503">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11531242</v>
      </c>
      <c r="M21" s="503">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11294125</v>
      </c>
      <c r="N21" s="503">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10843312</v>
      </c>
      <c r="O21" s="503">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12325609.78277586</v>
      </c>
      <c r="P21" s="504">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12331809.38940906</v>
      </c>
    </row>
    <row r="22" spans="2:16" x14ac:dyDescent="0.2">
      <c r="B22" s="89"/>
      <c r="C22" s="763"/>
      <c r="D22" s="59" t="s">
        <v>36</v>
      </c>
      <c r="E22" s="401">
        <f>IF(B$16=$F$70,+'8. KW and Non-Weather Sensitive'!$F$21,IF($B20=$F$71,+'8. KW and Non-Weather Sensitive'!$Q$21,IF($B20=$F$72,+'8. KW and Non-Weather Sensitive'!$AA$21,IF($B20=$F$73,+'8. KW and Non-Weather Sensitive'!$AK$21,+IF($B20=$F$74,+'8. KW and Non-Weather Sensitive'!$AU$21,0)))))</f>
        <v>0</v>
      </c>
      <c r="F22" s="401">
        <f>IF($B20=$F$70,+'8. KW and Non-Weather Sensitive'!$F$22,IF($B20=$F$71,+'8. KW and Non-Weather Sensitive'!$Q$22,IF($B20=$F$72,+'8. KW and Non-Weather Sensitive'!$AA$22,IF($B20=$F$73,+'8. KW and Non-Weather Sensitive'!$AK$22,+IF($B20=$F$74,+'8. KW and Non-Weather Sensitive'!$AU$22,0)))))</f>
        <v>0</v>
      </c>
      <c r="G22" s="401">
        <f>IF($B20=$F$70,+'8. KW and Non-Weather Sensitive'!$F$23,IF($B20=$F$71,+'8. KW and Non-Weather Sensitive'!$Q$23,IF($B20=$F$72,+'8. KW and Non-Weather Sensitive'!$AA$23,IF($B20=$F$73,+'8. KW and Non-Weather Sensitive'!$AK$23,+IF($B20=$F$74,+'8. KW and Non-Weather Sensitive'!$AU$23,0)))))</f>
        <v>0</v>
      </c>
      <c r="H22" s="401">
        <f>IF($B20=$F$70,+'8. KW and Non-Weather Sensitive'!$F$24,IF($B20=$F$71,+'8. KW and Non-Weather Sensitive'!$Q$24,IF($B20=$F$72,+'8. KW and Non-Weather Sensitive'!$AA$24,IF($B20=$F$73,+'8. KW and Non-Weather Sensitive'!$AK$24,+IF($B20=$F$74,+'8. KW and Non-Weather Sensitive'!$AU$24,0)))))</f>
        <v>0</v>
      </c>
      <c r="I22" s="401">
        <f>IF($B20=$F$70,+'8. KW and Non-Weather Sensitive'!$F$25,IF($B20=$F$71,+'8. KW and Non-Weather Sensitive'!$Q$25,IF($B20=$F$72,+'8. KW and Non-Weather Sensitive'!$AA$25,IF($B20=$F$73,+'8. KW and Non-Weather Sensitive'!$AK$25,+IF($B20=$F$74,+'8. KW and Non-Weather Sensitive'!$AU$25,0)))))</f>
        <v>0</v>
      </c>
      <c r="J22" s="401">
        <f>IF($B20=$F$70,+'8. KW and Non-Weather Sensitive'!$F$26,IF($B20=$F$71,+'8. KW and Non-Weather Sensitive'!$Q$26,IF($B20=$F$72,+'8. KW and Non-Weather Sensitive'!$AA$26,IF($B20=$F$73,+'8. KW and Non-Weather Sensitive'!$AK$26,+IF($B20=$F$74,+'8. KW and Non-Weather Sensitive'!$AU$26,0)))))</f>
        <v>0</v>
      </c>
      <c r="K22" s="401">
        <f>IF($B20=$F$70,+'8. KW and Non-Weather Sensitive'!$F$27,IF($B20=$F$71,+'8. KW and Non-Weather Sensitive'!$Q$27,IF($B20=$F$72,+'8. KW and Non-Weather Sensitive'!$AA$27,IF($B20=$F$73,+'8. KW and Non-Weather Sensitive'!$AK$27,+IF($B20=$F$74,+'8. KW and Non-Weather Sensitive'!$AU$27,0)))))</f>
        <v>0</v>
      </c>
      <c r="L22" s="401">
        <f>IF($B20=$F$70,+'8. KW and Non-Weather Sensitive'!$F$28,IF($B20=$F$71,+'8. KW and Non-Weather Sensitive'!$Q$28,IF($B20=$F$72,+'8. KW and Non-Weather Sensitive'!$AA$28,IF($B20=$F$73,+'8. KW and Non-Weather Sensitive'!$AK$28,+IF($B20=$F$74,+'8. KW and Non-Weather Sensitive'!$AU$28,0)))))</f>
        <v>0</v>
      </c>
      <c r="M22" s="401">
        <f>IF($B20=$F$70,+'8. KW and Non-Weather Sensitive'!$F$29,IF($B20=$F$71,+'8. KW and Non-Weather Sensitive'!$Q$29,IF($B20=$F$72,+'8. KW and Non-Weather Sensitive'!$AA$29,IF($B20=$F$73,+'8. KW and Non-Weather Sensitive'!$AK$29,+IF($B20=$F$74,+'8. KW and Non-Weather Sensitive'!$AU$29,0)))))</f>
        <v>0</v>
      </c>
      <c r="N22" s="401">
        <f>IF($B20=$F$70,+'8. KW and Non-Weather Sensitive'!$F$30,IF($B20=$F$71,+'8. KW and Non-Weather Sensitive'!$Q$30,IF($B20=$F$72,+'8. KW and Non-Weather Sensitive'!$AA$30,IF($B20=$F$73,+'8. KW and Non-Weather Sensitive'!$AK$30,+IF($B20=$F$74,+'8. KW and Non-Weather Sensitive'!$AU$30,0)))))</f>
        <v>0</v>
      </c>
      <c r="O22" s="401">
        <f>IF($B20=$F$70,+'8. KW and Non-Weather Sensitive'!$J$49,IF($B20=$F$71,+'8. KW and Non-Weather Sensitive'!$U$49,IF($B20=$F$72,+'8. KW and Non-Weather Sensitive'!$AE$49,IF($B20=$F$73,+'8. KW and Non-Weather Sensitive'!$AO$49,+IF($B20=$F$74,+'8. KW and Non-Weather Sensitive'!$AY$49,0)))))</f>
        <v>0</v>
      </c>
      <c r="P22" s="505">
        <f>IF($B20=$F$70,+'8. KW and Non-Weather Sensitive'!$J$50,IF($B20=$F$71,+'8. KW and Non-Weather Sensitive'!$U$50,IF($B20=$F$72,+'8. KW and Non-Weather Sensitive'!$AE$50,IF($B20=$F$73,+'8. KW and Non-Weather Sensitive'!$AO$50,+IF($B20=$F$74,+'8. KW and Non-Weather Sensitive'!$AY$50,0)))))</f>
        <v>0</v>
      </c>
    </row>
    <row r="23" spans="2:16" x14ac:dyDescent="0.2">
      <c r="B23" s="89"/>
      <c r="C23" s="763"/>
      <c r="D23" s="59"/>
      <c r="E23" s="401"/>
      <c r="F23" s="401"/>
      <c r="G23" s="401"/>
      <c r="H23" s="401"/>
      <c r="I23" s="401"/>
      <c r="J23" s="401"/>
      <c r="K23" s="401"/>
      <c r="L23" s="401"/>
      <c r="M23" s="401"/>
      <c r="N23" s="401"/>
      <c r="O23" s="402"/>
      <c r="P23" s="403"/>
    </row>
    <row r="24" spans="2:16" x14ac:dyDescent="0.2">
      <c r="B24" s="748" t="s">
        <v>268</v>
      </c>
      <c r="C24" s="762" t="str">
        <f>IF($B24=$F$65,+$B$65,+IF($B24=$F$66,+$B$66,+IF($B24=$F$67,+$B$67,+IF($B24=$F$67,$B$67,+IF($B24=$F$68,+$B$68,+IF($B24=$F$69,+$B$69,+IF($B24=$F$70,+$B$70,+IF($B24=$F$71,+$B$71,+IF($B24=$F$72,+$B$72,+IF($B24=$F$73,+$B$73,+IF($B24=$F$74,+$B$74)))))))))))</f>
        <v>Unmetered Scattered Load</v>
      </c>
      <c r="D24" s="88" t="s">
        <v>126</v>
      </c>
      <c r="E24" s="503">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28</v>
      </c>
      <c r="F24" s="503">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29</v>
      </c>
      <c r="G24" s="503">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30</v>
      </c>
      <c r="H24" s="503">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30</v>
      </c>
      <c r="I24" s="503">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34</v>
      </c>
      <c r="J24" s="503">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34</v>
      </c>
      <c r="K24" s="503">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34</v>
      </c>
      <c r="L24" s="503">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33</v>
      </c>
      <c r="M24" s="503">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33</v>
      </c>
      <c r="N24" s="503">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33</v>
      </c>
      <c r="O24" s="503">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33.607977220079128</v>
      </c>
      <c r="P24" s="504">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34.227155540162357</v>
      </c>
    </row>
    <row r="25" spans="2:16" x14ac:dyDescent="0.2">
      <c r="B25" s="89"/>
      <c r="C25" s="763"/>
      <c r="D25" s="59" t="s">
        <v>35</v>
      </c>
      <c r="E25" s="503">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160045</v>
      </c>
      <c r="F25" s="503">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142221</v>
      </c>
      <c r="G25" s="503">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140870</v>
      </c>
      <c r="H25" s="503">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140485</v>
      </c>
      <c r="I25" s="503">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150176</v>
      </c>
      <c r="J25" s="503">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158921</v>
      </c>
      <c r="K25" s="503">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158811</v>
      </c>
      <c r="L25" s="503">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155619</v>
      </c>
      <c r="M25" s="503">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155019</v>
      </c>
      <c r="N25" s="503">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155364</v>
      </c>
      <c r="O25" s="503">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156979.46065344894</v>
      </c>
      <c r="P25" s="504">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157058.41909223574</v>
      </c>
    </row>
    <row r="26" spans="2:16" x14ac:dyDescent="0.2">
      <c r="B26" s="89"/>
      <c r="C26" s="763"/>
      <c r="D26" s="59" t="s">
        <v>36</v>
      </c>
      <c r="E26" s="401">
        <f>IF(B$24=$F$70,+'8. KW and Non-Weather Sensitive'!$F$21,IF($B24=$F$71,+'8. KW and Non-Weather Sensitive'!$Q$21,IF($B24=$F$72,+'8. KW and Non-Weather Sensitive'!$AA$21,IF($B24=$F$73,+'8. KW and Non-Weather Sensitive'!$AK$21,+IF($B24=$F$74,+'8. KW and Non-Weather Sensitive'!$AU$21,0)))))</f>
        <v>0</v>
      </c>
      <c r="F26" s="401">
        <f>IF($B24=$F$70,+'8. KW and Non-Weather Sensitive'!$F$22,IF($B24=$F$71,+'8. KW and Non-Weather Sensitive'!$Q$22,IF($B24=$F$72,+'8. KW and Non-Weather Sensitive'!$AA$22,IF($B24=$F$73,+'8. KW and Non-Weather Sensitive'!$AK$22,+IF($B24=$F$74,+'8. KW and Non-Weather Sensitive'!$AU$22,0)))))</f>
        <v>0</v>
      </c>
      <c r="G26" s="401">
        <f>IF($B24=$F$70,+'8. KW and Non-Weather Sensitive'!$F$23,IF($B24=$F$71,+'8. KW and Non-Weather Sensitive'!$Q$23,IF($B24=$F$72,+'8. KW and Non-Weather Sensitive'!$AA$23,IF($B24=$F$73,+'8. KW and Non-Weather Sensitive'!$AK$23,+IF($B24=$F$74,+'8. KW and Non-Weather Sensitive'!$AU$23,0)))))</f>
        <v>0</v>
      </c>
      <c r="H26" s="401">
        <f>IF($B24=$F$70,+'8. KW and Non-Weather Sensitive'!$F$24,IF($B24=$F$71,+'8. KW and Non-Weather Sensitive'!$Q$24,IF($B24=$F$72,+'8. KW and Non-Weather Sensitive'!$AA$24,IF($B24=$F$73,+'8. KW and Non-Weather Sensitive'!$AK$24,+IF($B24=$F$74,+'8. KW and Non-Weather Sensitive'!$AU$24,0)))))</f>
        <v>0</v>
      </c>
      <c r="I26" s="401">
        <f>IF($B24=$F$70,+'8. KW and Non-Weather Sensitive'!$F$25,IF($B24=$F$71,+'8. KW and Non-Weather Sensitive'!$Q$25,IF($B24=$F$72,+'8. KW and Non-Weather Sensitive'!$AA$25,IF($B24=$F$73,+'8. KW and Non-Weather Sensitive'!$AK$25,+IF($B24=$F$74,+'8. KW and Non-Weather Sensitive'!$AU$25,0)))))</f>
        <v>0</v>
      </c>
      <c r="J26" s="401">
        <f>IF($B24=$F$70,+'8. KW and Non-Weather Sensitive'!$F$26,IF($B24=$F$71,+'8. KW and Non-Weather Sensitive'!$Q$26,IF($B24=$F$72,+'8. KW and Non-Weather Sensitive'!$AA$26,IF($B24=$F$73,+'8. KW and Non-Weather Sensitive'!$AK$26,+IF($B24=$F$74,+'8. KW and Non-Weather Sensitive'!$AU$26,0)))))</f>
        <v>0</v>
      </c>
      <c r="K26" s="401">
        <f>IF($B24=$F$70,+'8. KW and Non-Weather Sensitive'!$F$27,IF($B24=$F$71,+'8. KW and Non-Weather Sensitive'!$Q$27,IF($B24=$F$72,+'8. KW and Non-Weather Sensitive'!$AA$27,IF($B24=$F$73,+'8. KW and Non-Weather Sensitive'!$AK$27,+IF($B24=$F$74,+'8. KW and Non-Weather Sensitive'!$AU$27,0)))))</f>
        <v>0</v>
      </c>
      <c r="L26" s="401">
        <f>IF($B24=$F$70,+'8. KW and Non-Weather Sensitive'!$F$28,IF($B24=$F$71,+'8. KW and Non-Weather Sensitive'!$Q$28,IF($B24=$F$72,+'8. KW and Non-Weather Sensitive'!$AA$28,IF($B24=$F$73,+'8. KW and Non-Weather Sensitive'!$AK$28,+IF($B24=$F$74,+'8. KW and Non-Weather Sensitive'!$AU$28,0)))))</f>
        <v>0</v>
      </c>
      <c r="M26" s="401">
        <f>IF($B24=$F$70,+'8. KW and Non-Weather Sensitive'!$F$29,IF($B24=$F$71,+'8. KW and Non-Weather Sensitive'!$Q$29,IF($B24=$F$72,+'8. KW and Non-Weather Sensitive'!$AA$29,IF($B24=$F$73,+'8. KW and Non-Weather Sensitive'!$AK$29,+IF($B24=$F$74,+'8. KW and Non-Weather Sensitive'!$AU$29,0)))))</f>
        <v>0</v>
      </c>
      <c r="N26" s="401">
        <f>IF($B24=$F$70,+'8. KW and Non-Weather Sensitive'!$F$30,IF($B24=$F$71,+'8. KW and Non-Weather Sensitive'!$Q$30,IF($B24=$F$72,+'8. KW and Non-Weather Sensitive'!$AA$30,IF($B24=$F$73,+'8. KW and Non-Weather Sensitive'!$AK$30,+IF($B24=$F$74,+'8. KW and Non-Weather Sensitive'!$AU$30,0)))))</f>
        <v>0</v>
      </c>
      <c r="O26" s="401">
        <f>IF($B24=$F$70,+'8. KW and Non-Weather Sensitive'!$J$49,IF($B24=$F$71,+'8. KW and Non-Weather Sensitive'!$U$49,IF($B24=$F$72,+'8. KW and Non-Weather Sensitive'!$AE$49,IF($B24=$F$73,+'8. KW and Non-Weather Sensitive'!$AO$49,+IF($B24=$F$74,+'8. KW and Non-Weather Sensitive'!$AY$49,0)))))</f>
        <v>0</v>
      </c>
      <c r="P26" s="505">
        <f>IF($B24=$F$70,+'8. KW and Non-Weather Sensitive'!$J$50,IF($B24=$F$71,+'8. KW and Non-Weather Sensitive'!$U$50,IF($B24=$F$72,+'8. KW and Non-Weather Sensitive'!$AE$50,IF($B24=$F$73,+'8. KW and Non-Weather Sensitive'!$AO$50,+IF($B24=$F$74,+'8. KW and Non-Weather Sensitive'!$AY$50,0)))))</f>
        <v>0</v>
      </c>
    </row>
    <row r="27" spans="2:16" x14ac:dyDescent="0.2">
      <c r="B27" s="89"/>
      <c r="C27" s="763"/>
      <c r="D27" s="59"/>
      <c r="E27" s="401"/>
      <c r="F27" s="401"/>
      <c r="G27" s="401"/>
      <c r="H27" s="401"/>
      <c r="I27" s="401"/>
      <c r="J27" s="401"/>
      <c r="K27" s="401"/>
      <c r="L27" s="401"/>
      <c r="M27" s="401"/>
      <c r="N27" s="401"/>
      <c r="O27" s="402"/>
      <c r="P27" s="403"/>
    </row>
    <row r="28" spans="2:16" x14ac:dyDescent="0.2">
      <c r="B28" s="748" t="s">
        <v>262</v>
      </c>
      <c r="C28" s="762" t="str">
        <f>IF($B28=$F$65,+$B$65,+IF($B28=$F$66,+$B$66,+IF($B28=$F$67,+$B$67,+IF($B28=$F$67,$B$67,+IF($B28=$F$68,+$B$68,+IF($B28=$F$69,+$B$69,+IF($B28=$F$70,+$B$70,+IF($B28=$F$71,+$B$71,+IF($B28=$F$72,+$B$72,+IF($B28=$F$73,+$B$73,+IF($B28=$F$74,+$B$74)))))))))))</f>
        <v>General Service &gt; 50 kW - 4999 kW</v>
      </c>
      <c r="D28" s="59" t="s">
        <v>126</v>
      </c>
      <c r="E28" s="503">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62</v>
      </c>
      <c r="F28" s="503">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65</v>
      </c>
      <c r="G28" s="503">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67</v>
      </c>
      <c r="H28" s="503">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66</v>
      </c>
      <c r="I28" s="503">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59</v>
      </c>
      <c r="J28" s="503">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59</v>
      </c>
      <c r="K28" s="503">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59</v>
      </c>
      <c r="L28" s="503">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62</v>
      </c>
      <c r="M28" s="503">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62</v>
      </c>
      <c r="N28" s="503">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61</v>
      </c>
      <c r="O28" s="503">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60.889889302782052</v>
      </c>
      <c r="P28" s="504">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60.779977365656592</v>
      </c>
    </row>
    <row r="29" spans="2:16" x14ac:dyDescent="0.2">
      <c r="B29" s="89"/>
      <c r="C29" s="763"/>
      <c r="D29" s="59" t="s">
        <v>35</v>
      </c>
      <c r="E29" s="503">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51984380</v>
      </c>
      <c r="F29" s="503">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53203197</v>
      </c>
      <c r="G29" s="503">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55283988</v>
      </c>
      <c r="H29" s="503">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52230300</v>
      </c>
      <c r="I29" s="503">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51703213</v>
      </c>
      <c r="J29" s="503">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46521147</v>
      </c>
      <c r="K29" s="503">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44095781</v>
      </c>
      <c r="L29" s="503">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44119354</v>
      </c>
      <c r="M29" s="503">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43640624</v>
      </c>
      <c r="N29" s="503">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45095566</v>
      </c>
      <c r="O29" s="503">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45564465.568226933</v>
      </c>
      <c r="P29" s="504">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45587383.847156197</v>
      </c>
    </row>
    <row r="30" spans="2:16" x14ac:dyDescent="0.2">
      <c r="B30" s="89"/>
      <c r="C30" s="763"/>
      <c r="D30" s="59" t="s">
        <v>36</v>
      </c>
      <c r="E30" s="401">
        <f>IF(B$28=$F$70,+'8. KW and Non-Weather Sensitive'!$F$21,IF($B28=$F$71,+'8. KW and Non-Weather Sensitive'!$Q$21,IF($B28=$F$72,+'8. KW and Non-Weather Sensitive'!$AA$21,IF($B28=$F$73,+'8. KW and Non-Weather Sensitive'!$AK$21,+IF($B28=$F$74,+'8. KW and Non-Weather Sensitive'!$AU$21,0)))))</f>
        <v>153660</v>
      </c>
      <c r="F30" s="401">
        <f>IF($B28=$F$70,+'8. KW and Non-Weather Sensitive'!$F$22,IF($B28=$F$71,+'8. KW and Non-Weather Sensitive'!$Q$22,IF($B28=$F$72,+'8. KW and Non-Weather Sensitive'!$AA$22,IF($B28=$F$73,+'8. KW and Non-Weather Sensitive'!$AK$22,+IF($B28=$F$74,+'8. KW and Non-Weather Sensitive'!$AU$22,0)))))</f>
        <v>146521</v>
      </c>
      <c r="G30" s="401">
        <f>IF($B28=$F$70,+'8. KW and Non-Weather Sensitive'!$F$23,IF($B28=$F$71,+'8. KW and Non-Weather Sensitive'!$Q$23,IF($B28=$F$72,+'8. KW and Non-Weather Sensitive'!$AA$23,IF($B28=$F$73,+'8. KW and Non-Weather Sensitive'!$AK$23,+IF($B28=$F$74,+'8. KW and Non-Weather Sensitive'!$AU$23,0)))))</f>
        <v>148947</v>
      </c>
      <c r="H30" s="401">
        <f>IF($B28=$F$70,+'8. KW and Non-Weather Sensitive'!$F$24,IF($B28=$F$71,+'8. KW and Non-Weather Sensitive'!$Q$24,IF($B28=$F$72,+'8. KW and Non-Weather Sensitive'!$AA$24,IF($B28=$F$73,+'8. KW and Non-Weather Sensitive'!$AK$24,+IF($B28=$F$74,+'8. KW and Non-Weather Sensitive'!$AU$24,0)))))</f>
        <v>141729</v>
      </c>
      <c r="I30" s="401">
        <f>IF($B28=$F$70,+'8. KW and Non-Weather Sensitive'!$F$25,IF($B28=$F$71,+'8. KW and Non-Weather Sensitive'!$Q$25,IF($B28=$F$72,+'8. KW and Non-Weather Sensitive'!$AA$25,IF($B28=$F$73,+'8. KW and Non-Weather Sensitive'!$AK$25,+IF($B28=$F$74,+'8. KW and Non-Weather Sensitive'!$AU$25,0)))))</f>
        <v>141797</v>
      </c>
      <c r="J30" s="401">
        <f>IF($B28=$F$70,+'8. KW and Non-Weather Sensitive'!$F$26,IF($B28=$F$71,+'8. KW and Non-Weather Sensitive'!$Q$26,IF($B28=$F$72,+'8. KW and Non-Weather Sensitive'!$AA$26,IF($B28=$F$73,+'8. KW and Non-Weather Sensitive'!$AK$26,+IF($B28=$F$74,+'8. KW and Non-Weather Sensitive'!$AU$26,0)))))</f>
        <v>130980</v>
      </c>
      <c r="K30" s="401">
        <f>IF($B28=$F$70,+'8. KW and Non-Weather Sensitive'!$F$27,IF($B28=$F$71,+'8. KW and Non-Weather Sensitive'!$Q$27,IF($B28=$F$72,+'8. KW and Non-Weather Sensitive'!$AA$27,IF($B28=$F$73,+'8. KW and Non-Weather Sensitive'!$AK$27,+IF($B28=$F$74,+'8. KW and Non-Weather Sensitive'!$AU$27,0)))))</f>
        <v>120379</v>
      </c>
      <c r="L30" s="401">
        <f>IF($B28=$F$70,+'8. KW and Non-Weather Sensitive'!$F$28,IF($B28=$F$71,+'8. KW and Non-Weather Sensitive'!$Q$28,IF($B28=$F$72,+'8. KW and Non-Weather Sensitive'!$AA$28,IF($B28=$F$73,+'8. KW and Non-Weather Sensitive'!$AK$28,+IF($B28=$F$74,+'8. KW and Non-Weather Sensitive'!$AU$28,0)))))</f>
        <v>115813</v>
      </c>
      <c r="M30" s="401">
        <f>IF($B28=$F$70,+'8. KW and Non-Weather Sensitive'!$F$29,IF($B28=$F$71,+'8. KW and Non-Weather Sensitive'!$Q$29,IF($B28=$F$72,+'8. KW and Non-Weather Sensitive'!$AA$29,IF($B28=$F$73,+'8. KW and Non-Weather Sensitive'!$AK$29,+IF($B28=$F$74,+'8. KW and Non-Weather Sensitive'!$AU$29,0)))))</f>
        <v>114180</v>
      </c>
      <c r="N30" s="401">
        <f>IF($B28=$F$70,+'8. KW and Non-Weather Sensitive'!$F$30,IF($B28=$F$71,+'8. KW and Non-Weather Sensitive'!$Q$30,IF($B28=$F$72,+'8. KW and Non-Weather Sensitive'!$AA$30,IF($B28=$F$73,+'8. KW and Non-Weather Sensitive'!$AK$30,+IF($B28=$F$74,+'8. KW and Non-Weather Sensitive'!$AU$30,0)))))</f>
        <v>113922</v>
      </c>
      <c r="O30" s="401">
        <f>IF($B28=$F$70,+'8. KW and Non-Weather Sensitive'!$J$49,IF($B28=$F$71,+'8. KW and Non-Weather Sensitive'!$U$49,IF($B28=$F$72,+'8. KW and Non-Weather Sensitive'!$AE$49,IF($B28=$F$73,+'8. KW and Non-Weather Sensitive'!$AO$49,+IF($B28=$F$74,+'8. KW and Non-Weather Sensitive'!$AY$49,0)))))</f>
        <v>123813.1682025896</v>
      </c>
      <c r="P30" s="505">
        <f>IF($B28=$F$70,+'8. KW and Non-Weather Sensitive'!$J$50,IF($B28=$F$71,+'8. KW and Non-Weather Sensitive'!$U$50,IF($B28=$F$72,+'8. KW and Non-Weather Sensitive'!$AE$50,IF($B28=$F$73,+'8. KW and Non-Weather Sensitive'!$AO$50,+IF($B28=$F$74,+'8. KW and Non-Weather Sensitive'!$AY$50,0)))))</f>
        <v>123875.44446740684</v>
      </c>
    </row>
    <row r="31" spans="2:16" x14ac:dyDescent="0.2">
      <c r="B31" s="89"/>
      <c r="C31" s="763"/>
      <c r="D31" s="59"/>
      <c r="E31" s="401"/>
      <c r="F31" s="401"/>
      <c r="G31" s="401"/>
      <c r="H31" s="401"/>
      <c r="I31" s="401"/>
      <c r="J31" s="401"/>
      <c r="K31" s="401"/>
      <c r="L31" s="401"/>
      <c r="M31" s="401"/>
      <c r="N31" s="401"/>
      <c r="O31" s="402"/>
      <c r="P31" s="403"/>
    </row>
    <row r="32" spans="2:16" x14ac:dyDescent="0.2">
      <c r="B32" s="748" t="s">
        <v>236</v>
      </c>
      <c r="C32" s="762" t="str">
        <f>IF($B32=$F$65,+$B$65,+IF($B32=$F$66,+$B$66,+IF($B32=$F$67,+$B$67,+IF($B32=$F$67,$B$67,+IF($B32=$F$68,+$B$68,+IF($B32=$F$69,+$B$69,+IF($B32=$F$70,+$B$70,+IF($B32=$F$71,+$B$71,+IF($B32=$F$72,+$B$72,+IF($B32=$F$73,+$B$73,+IF($B32=$F$74,+$B$74)))))))))))</f>
        <v>Streetlighting</v>
      </c>
      <c r="D32" s="59" t="s">
        <v>126</v>
      </c>
      <c r="E32" s="503">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1149</v>
      </c>
      <c r="F32" s="503">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1151</v>
      </c>
      <c r="G32" s="503">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1158</v>
      </c>
      <c r="H32" s="503">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1167</v>
      </c>
      <c r="I32" s="503">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1174</v>
      </c>
      <c r="J32" s="503">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1176</v>
      </c>
      <c r="K32" s="503">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1176</v>
      </c>
      <c r="L32" s="503">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1190</v>
      </c>
      <c r="M32" s="503">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1190</v>
      </c>
      <c r="N32" s="503">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1190</v>
      </c>
      <c r="O32" s="503">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1194.6449258381904</v>
      </c>
      <c r="P32" s="504">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1199.30798221087</v>
      </c>
    </row>
    <row r="33" spans="2:16" x14ac:dyDescent="0.2">
      <c r="B33" s="89"/>
      <c r="C33" s="763"/>
      <c r="D33" s="59" t="s">
        <v>35</v>
      </c>
      <c r="E33" s="503">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1095963</v>
      </c>
      <c r="F33" s="503">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1105833</v>
      </c>
      <c r="G33" s="503">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1107983</v>
      </c>
      <c r="H33" s="503">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1114732</v>
      </c>
      <c r="I33" s="503">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1116726</v>
      </c>
      <c r="J33" s="503">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1118574</v>
      </c>
      <c r="K33" s="503">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1121260</v>
      </c>
      <c r="L33" s="503">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1118710</v>
      </c>
      <c r="M33" s="503">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1121519</v>
      </c>
      <c r="N33" s="503">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1123682</v>
      </c>
      <c r="O33" s="503">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1135365.9425992433</v>
      </c>
      <c r="P33" s="504">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1135937.0155402902</v>
      </c>
    </row>
    <row r="34" spans="2:16" x14ac:dyDescent="0.2">
      <c r="B34" s="89"/>
      <c r="C34" s="763"/>
      <c r="D34" s="59" t="s">
        <v>36</v>
      </c>
      <c r="E34" s="401">
        <f>IF(B$16=$F$70,+'8. KW and Non-Weather Sensitive'!$F$21,IF($B32=$F$71,+'8. KW and Non-Weather Sensitive'!$Q$21,IF($B32=$F$72,+'8. KW and Non-Weather Sensitive'!$AA$21,IF($B32=$F$73,+'8. KW and Non-Weather Sensitive'!$AK$21,+IF($B32=$F$74,+'8. KW and Non-Weather Sensitive'!$AU$21,0)))))</f>
        <v>3053</v>
      </c>
      <c r="F34" s="401">
        <f>IF($B32=$F$70,+'8. KW and Non-Weather Sensitive'!$F$22,IF($B32=$F$71,+'8. KW and Non-Weather Sensitive'!$Q$22,IF($B32=$F$72,+'8. KW and Non-Weather Sensitive'!$AA$22,IF($B32=$F$73,+'8. KW and Non-Weather Sensitive'!$AK$22,+IF($B32=$F$74,+'8. KW and Non-Weather Sensitive'!$AU$22,0)))))</f>
        <v>3095</v>
      </c>
      <c r="G34" s="401">
        <f>IF($B32=$F$70,+'8. KW and Non-Weather Sensitive'!$F$23,IF($B32=$F$71,+'8. KW and Non-Weather Sensitive'!$Q$23,IF($B32=$F$72,+'8. KW and Non-Weather Sensitive'!$AA$23,IF($B32=$F$73,+'8. KW and Non-Weather Sensitive'!$AK$23,+IF($B32=$F$74,+'8. KW and Non-Weather Sensitive'!$AU$23,0)))))</f>
        <v>3100</v>
      </c>
      <c r="H34" s="401">
        <f>IF($B32=$F$70,+'8. KW and Non-Weather Sensitive'!$F$24,IF($B32=$F$71,+'8. KW and Non-Weather Sensitive'!$Q$24,IF($B32=$F$72,+'8. KW and Non-Weather Sensitive'!$AA$24,IF($B32=$F$73,+'8. KW and Non-Weather Sensitive'!$AK$24,+IF($B32=$F$74,+'8. KW and Non-Weather Sensitive'!$AU$24,0)))))</f>
        <v>3092</v>
      </c>
      <c r="I34" s="401">
        <f>IF($B32=$F$70,+'8. KW and Non-Weather Sensitive'!$F$25,IF($B32=$F$71,+'8. KW and Non-Weather Sensitive'!$Q$25,IF($B32=$F$72,+'8. KW and Non-Weather Sensitive'!$AA$25,IF($B32=$F$73,+'8. KW and Non-Weather Sensitive'!$AK$25,+IF($B32=$F$74,+'8. KW and Non-Weather Sensitive'!$AU$25,0)))))</f>
        <v>3098</v>
      </c>
      <c r="J34" s="401">
        <f>IF($B32=$F$70,+'8. KW and Non-Weather Sensitive'!$F$26,IF($B32=$F$71,+'8. KW and Non-Weather Sensitive'!$Q$26,IF($B32=$F$72,+'8. KW and Non-Weather Sensitive'!$AA$26,IF($B32=$F$73,+'8. KW and Non-Weather Sensitive'!$AK$26,+IF($B32=$F$74,+'8. KW and Non-Weather Sensitive'!$AU$26,0)))))</f>
        <v>3099</v>
      </c>
      <c r="K34" s="401">
        <f>IF($B32=$F$70,+'8. KW and Non-Weather Sensitive'!$F$27,IF($B32=$F$71,+'8. KW and Non-Weather Sensitive'!$Q$27,IF($B32=$F$72,+'8. KW and Non-Weather Sensitive'!$AA$27,IF($B32=$F$73,+'8. KW and Non-Weather Sensitive'!$AK$27,+IF($B32=$F$74,+'8. KW and Non-Weather Sensitive'!$AU$27,0)))))</f>
        <v>3100</v>
      </c>
      <c r="L34" s="401">
        <f>IF($B32=$F$70,+'8. KW and Non-Weather Sensitive'!$F$28,IF($B32=$F$71,+'8. KW and Non-Weather Sensitive'!$Q$28,IF($B32=$F$72,+'8. KW and Non-Weather Sensitive'!$AA$28,IF($B32=$F$73,+'8. KW and Non-Weather Sensitive'!$AK$28,+IF($B32=$F$74,+'8. KW and Non-Weather Sensitive'!$AU$28,0)))))</f>
        <v>3104</v>
      </c>
      <c r="M34" s="401">
        <f>IF($B32=$F$70,+'8. KW and Non-Weather Sensitive'!$F$29,IF($B32=$F$71,+'8. KW and Non-Weather Sensitive'!$Q$29,IF($B32=$F$72,+'8. KW and Non-Weather Sensitive'!$AA$29,IF($B32=$F$73,+'8. KW and Non-Weather Sensitive'!$AK$29,+IF($B32=$F$74,+'8. KW and Non-Weather Sensitive'!$AU$29,0)))))</f>
        <v>3110</v>
      </c>
      <c r="N34" s="401">
        <f>IF($B32=$F$70,+'8. KW and Non-Weather Sensitive'!$F$30,IF($B32=$F$71,+'8. KW and Non-Weather Sensitive'!$Q$30,IF($B32=$F$72,+'8. KW and Non-Weather Sensitive'!$AA$30,IF($B32=$F$73,+'8. KW and Non-Weather Sensitive'!$AK$30,+IF($B32=$F$74,+'8. KW and Non-Weather Sensitive'!$AU$30,0)))))</f>
        <v>3117</v>
      </c>
      <c r="O34" s="401">
        <f>IF($B32=$F$70,+'8. KW and Non-Weather Sensitive'!$J$49,IF($B32=$F$71,+'8. KW and Non-Weather Sensitive'!$U$49,IF($B32=$F$72,+'8. KW and Non-Weather Sensitive'!$AE$49,IF($B32=$F$73,+'8. KW and Non-Weather Sensitive'!$AO$49,+IF($B32=$F$74,+'8. KW and Non-Weather Sensitive'!$AY$49,0)))))</f>
        <v>3154.85223403498</v>
      </c>
      <c r="P34" s="505">
        <f>IF($B32=$F$70,+'8. KW and Non-Weather Sensitive'!$J$50,IF($B32=$F$71,+'8. KW and Non-Weather Sensitive'!$U$50,IF($B32=$F$72,+'8. KW and Non-Weather Sensitive'!$AE$50,IF($B32=$F$73,+'8. KW and Non-Weather Sensitive'!$AO$50,+IF($B32=$F$74,+'8. KW and Non-Weather Sensitive'!$AY$50,0)))))</f>
        <v>3156.4390798934473</v>
      </c>
    </row>
    <row r="35" spans="2:16" x14ac:dyDescent="0.2">
      <c r="B35" s="89"/>
      <c r="C35" s="763"/>
      <c r="D35" s="59"/>
      <c r="E35" s="401"/>
      <c r="F35" s="401"/>
      <c r="G35" s="401"/>
      <c r="H35" s="401"/>
      <c r="I35" s="401"/>
      <c r="J35" s="401"/>
      <c r="K35" s="401"/>
      <c r="L35" s="401"/>
      <c r="M35" s="401"/>
      <c r="N35" s="401"/>
      <c r="O35" s="402"/>
      <c r="P35" s="403"/>
    </row>
    <row r="36" spans="2:16" x14ac:dyDescent="0.2">
      <c r="B36" s="748" t="s">
        <v>263</v>
      </c>
      <c r="C36" s="762">
        <f>IF($B36=$F$65,+$B$65,+IF($B36=$F$66,+$B$66,+IF($B36=$F$67,+$B$67,+IF($B36=$F$67,$B$67,+IF($B36=$F$68,+$B$68,+IF($B36=$F$69,+$B$69,+IF($B36=$F$70,+$B$70,+IF($B36=$F$71,+$B$71,+IF($B36=$F$72,+$B$72,+IF($B36=$F$73,+$B$73,+IF($B36=$F$74,+$B$74)))))))))))</f>
        <v>0</v>
      </c>
      <c r="D36" s="59" t="s">
        <v>126</v>
      </c>
      <c r="E36" s="503">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0</v>
      </c>
      <c r="F36" s="503">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0</v>
      </c>
      <c r="G36" s="503">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0</v>
      </c>
      <c r="H36" s="503">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0</v>
      </c>
      <c r="I36" s="503">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0</v>
      </c>
      <c r="J36" s="503">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0</v>
      </c>
      <c r="K36" s="503">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0</v>
      </c>
      <c r="L36" s="503">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0</v>
      </c>
      <c r="M36" s="503">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0</v>
      </c>
      <c r="N36" s="503">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0</v>
      </c>
      <c r="O36" s="503">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0</v>
      </c>
      <c r="P36" s="504">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0</v>
      </c>
    </row>
    <row r="37" spans="2:16" x14ac:dyDescent="0.2">
      <c r="B37" s="89"/>
      <c r="C37" s="763"/>
      <c r="D37" s="59" t="s">
        <v>35</v>
      </c>
      <c r="E37" s="503">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0</v>
      </c>
      <c r="F37" s="503">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0</v>
      </c>
      <c r="G37" s="503">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0</v>
      </c>
      <c r="H37" s="503">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0</v>
      </c>
      <c r="I37" s="503">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0</v>
      </c>
      <c r="J37" s="503">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0</v>
      </c>
      <c r="K37" s="503">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0</v>
      </c>
      <c r="L37" s="503">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0</v>
      </c>
      <c r="M37" s="503">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0</v>
      </c>
      <c r="N37" s="503">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0</v>
      </c>
      <c r="O37" s="503">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0</v>
      </c>
      <c r="P37" s="504">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0</v>
      </c>
    </row>
    <row r="38" spans="2:16" x14ac:dyDescent="0.2">
      <c r="B38" s="89"/>
      <c r="C38" s="763"/>
      <c r="D38" s="59" t="s">
        <v>36</v>
      </c>
      <c r="E38" s="401">
        <f>IF(B$16=$F$70,+'8. KW and Non-Weather Sensitive'!$F$21,IF($B36=$F$71,+'8. KW and Non-Weather Sensitive'!$Q$21,IF($B36=$F$72,+'8. KW and Non-Weather Sensitive'!$AA$21,IF($B36=$F$73,+'8. KW and Non-Weather Sensitive'!$AK$21,+IF($B36=$F$74,+'8. KW and Non-Weather Sensitive'!$AU$21,0)))))</f>
        <v>0</v>
      </c>
      <c r="F38" s="401">
        <f>IF($B36=$F$70,+'8. KW and Non-Weather Sensitive'!$F$22,IF($B36=$F$71,+'8. KW and Non-Weather Sensitive'!$Q$22,IF($B36=$F$72,+'8. KW and Non-Weather Sensitive'!$AA$22,IF($B36=$F$73,+'8. KW and Non-Weather Sensitive'!$AK$22,+IF($B36=$F$74,+'8. KW and Non-Weather Sensitive'!$AU$22,0)))))</f>
        <v>0</v>
      </c>
      <c r="G38" s="401">
        <f>IF($B36=$F$70,+'8. KW and Non-Weather Sensitive'!$F$23,IF($B36=$F$71,+'8. KW and Non-Weather Sensitive'!$Q$23,IF($B36=$F$72,+'8. KW and Non-Weather Sensitive'!$AA$23,IF($B36=$F$73,+'8. KW and Non-Weather Sensitive'!$AK$23,+IF($B36=$F$74,+'8. KW and Non-Weather Sensitive'!$AU$23,0)))))</f>
        <v>0</v>
      </c>
      <c r="H38" s="401">
        <f>IF($B36=$F$70,+'8. KW and Non-Weather Sensitive'!$F$24,IF($B36=$F$71,+'8. KW and Non-Weather Sensitive'!$Q$24,IF($B36=$F$72,+'8. KW and Non-Weather Sensitive'!$AA$24,IF($B36=$F$73,+'8. KW and Non-Weather Sensitive'!$AK$24,+IF($B36=$F$74,+'8. KW and Non-Weather Sensitive'!$AU$24,0)))))</f>
        <v>0</v>
      </c>
      <c r="I38" s="401">
        <f>IF($B36=$F$70,+'8. KW and Non-Weather Sensitive'!$F$25,IF($B36=$F$71,+'8. KW and Non-Weather Sensitive'!$Q$25,IF($B36=$F$72,+'8. KW and Non-Weather Sensitive'!$AA$25,IF($B36=$F$73,+'8. KW and Non-Weather Sensitive'!$AK$25,+IF($B36=$F$74,+'8. KW and Non-Weather Sensitive'!$AU$25,0)))))</f>
        <v>0</v>
      </c>
      <c r="J38" s="401">
        <f>IF($B36=$F$70,+'8. KW and Non-Weather Sensitive'!$F$26,IF($B36=$F$71,+'8. KW and Non-Weather Sensitive'!$Q$26,IF($B36=$F$72,+'8. KW and Non-Weather Sensitive'!$AA$26,IF($B36=$F$73,+'8. KW and Non-Weather Sensitive'!$AK$26,+IF($B36=$F$74,+'8. KW and Non-Weather Sensitive'!$AU$26,0)))))</f>
        <v>0</v>
      </c>
      <c r="K38" s="401">
        <f>IF($B36=$F$70,+'8. KW and Non-Weather Sensitive'!$F$27,IF($B36=$F$71,+'8. KW and Non-Weather Sensitive'!$Q$27,IF($B36=$F$72,+'8. KW and Non-Weather Sensitive'!$AA$27,IF($B36=$F$73,+'8. KW and Non-Weather Sensitive'!$AK$27,+IF($B36=$F$74,+'8. KW and Non-Weather Sensitive'!$AU$27,0)))))</f>
        <v>0</v>
      </c>
      <c r="L38" s="401">
        <f>IF($B36=$F$70,+'8. KW and Non-Weather Sensitive'!$F$28,IF($B36=$F$71,+'8. KW and Non-Weather Sensitive'!$Q$28,IF($B36=$F$72,+'8. KW and Non-Weather Sensitive'!$AA$28,IF($B36=$F$73,+'8. KW and Non-Weather Sensitive'!$AK$28,+IF($B36=$F$74,+'8. KW and Non-Weather Sensitive'!$AU$28,0)))))</f>
        <v>0</v>
      </c>
      <c r="M38" s="401">
        <f>IF($B36=$F$70,+'8. KW and Non-Weather Sensitive'!$F$29,IF($B36=$F$71,+'8. KW and Non-Weather Sensitive'!$Q$29,IF($B36=$F$72,+'8. KW and Non-Weather Sensitive'!$AA$29,IF($B36=$F$73,+'8. KW and Non-Weather Sensitive'!$AK$29,+IF($B36=$F$74,+'8. KW and Non-Weather Sensitive'!$AU$29,0)))))</f>
        <v>0</v>
      </c>
      <c r="N38" s="401">
        <f>IF($B36=$F$70,+'8. KW and Non-Weather Sensitive'!$F$30,IF($B36=$F$71,+'8. KW and Non-Weather Sensitive'!$Q$30,IF($B36=$F$72,+'8. KW and Non-Weather Sensitive'!$AA$30,IF($B36=$F$73,+'8. KW and Non-Weather Sensitive'!$AK$30,+IF($B36=$F$74,+'8. KW and Non-Weather Sensitive'!$AU$30,0)))))</f>
        <v>0</v>
      </c>
      <c r="O38" s="401">
        <f>IF($B36=$F$70,+'8. KW and Non-Weather Sensitive'!$J$49,IF($B36=$F$71,+'8. KW and Non-Weather Sensitive'!$U$49,IF($B36=$F$72,+'8. KW and Non-Weather Sensitive'!$AE$49,IF($B36=$F$73,+'8. KW and Non-Weather Sensitive'!$AO$49,+IF($B36=$F$74,+'8. KW and Non-Weather Sensitive'!$AY$49,0)))))</f>
        <v>0</v>
      </c>
      <c r="P38" s="505">
        <f>IF($B36=$F$70,+'8. KW and Non-Weather Sensitive'!$J$50,IF($B36=$F$71,+'8. KW and Non-Weather Sensitive'!$U$50,IF($B36=$F$72,+'8. KW and Non-Weather Sensitive'!$AE$50,IF($B36=$F$73,+'8. KW and Non-Weather Sensitive'!$AO$50,+IF($B36=$F$74,+'8. KW and Non-Weather Sensitive'!$AY$50,0)))))</f>
        <v>0</v>
      </c>
    </row>
    <row r="39" spans="2:16" x14ac:dyDescent="0.2">
      <c r="B39" s="89"/>
      <c r="C39" s="763"/>
      <c r="D39" s="59"/>
      <c r="E39" s="401"/>
      <c r="F39" s="401"/>
      <c r="G39" s="401"/>
      <c r="H39" s="401"/>
      <c r="I39" s="401"/>
      <c r="J39" s="401"/>
      <c r="K39" s="401"/>
      <c r="L39" s="401"/>
      <c r="M39" s="401"/>
      <c r="N39" s="401"/>
      <c r="O39" s="402"/>
      <c r="P39" s="403"/>
    </row>
    <row r="40" spans="2:16" x14ac:dyDescent="0.2">
      <c r="B40" s="748" t="s">
        <v>263</v>
      </c>
      <c r="C40" s="762">
        <f>IF($B40=$F$65,+$B$65,+IF($B40=$F$66,+$B$66,+IF($B40=$F$67,+$B$67,+IF($B40=$F$67,$B$67,+IF($B40=$F$68,+$B$68,+IF($B40=$F$69,+$B$69,+IF($B40=$F$70,+$B$70,+IF($B40=$F$71,+$B$71,+IF($B40=$F$72,+$B$72,+IF($B40=$F$73,+$B$73,+IF($B40=$F$74,+$B$74)))))))))))</f>
        <v>0</v>
      </c>
      <c r="D40" s="59" t="s">
        <v>126</v>
      </c>
      <c r="E40" s="506">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06">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06">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06">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06">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06">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06">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06">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06">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06">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06">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07">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63"/>
      <c r="D41" s="59" t="s">
        <v>35</v>
      </c>
      <c r="E41" s="503">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3">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3">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3">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3">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3">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3">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3">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3">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3">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06">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07">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63"/>
      <c r="D42" s="59" t="s">
        <v>36</v>
      </c>
      <c r="E42" s="401">
        <f>IF(B$16=$F$70,+'8. KW and Non-Weather Sensitive'!$F$21,IF($B40=$F$71,+'8. KW and Non-Weather Sensitive'!$Q$21,IF($B40=$F$72,+'8. KW and Non-Weather Sensitive'!$AA$21,IF($B40=$F$73,+'8. KW and Non-Weather Sensitive'!$AK$21,+IF($B40=$F$74,+'8. KW and Non-Weather Sensitive'!$AU$21,0)))))</f>
        <v>0</v>
      </c>
      <c r="F42" s="401">
        <f>IF($B40=$F$70,+'8. KW and Non-Weather Sensitive'!$F$22,IF($B40=$F$71,+'8. KW and Non-Weather Sensitive'!$Q$22,IF($B40=$F$72,+'8. KW and Non-Weather Sensitive'!$AA$22,IF($B40=$F$73,+'8. KW and Non-Weather Sensitive'!$AK$22,+IF($B40=$F$74,+'8. KW and Non-Weather Sensitive'!$AU$22,0)))))</f>
        <v>0</v>
      </c>
      <c r="G42" s="401">
        <f>IF($B40=$F$70,+'8. KW and Non-Weather Sensitive'!$F$23,IF($B40=$F$71,+'8. KW and Non-Weather Sensitive'!$Q$23,IF($B40=$F$72,+'8. KW and Non-Weather Sensitive'!$AA$23,IF($B40=$F$73,+'8. KW and Non-Weather Sensitive'!$AK$23,+IF($B40=$F$74,+'8. KW and Non-Weather Sensitive'!$AU$23,0)))))</f>
        <v>0</v>
      </c>
      <c r="H42" s="401">
        <f>IF($B40=$F$70,+'8. KW and Non-Weather Sensitive'!$F$24,IF($B40=$F$71,+'8. KW and Non-Weather Sensitive'!$Q$24,IF($B40=$F$72,+'8. KW and Non-Weather Sensitive'!$AA$24,IF($B40=$F$73,+'8. KW and Non-Weather Sensitive'!$AK$24,+IF($B40=$F$74,+'8. KW and Non-Weather Sensitive'!$AU$24,0)))))</f>
        <v>0</v>
      </c>
      <c r="I42" s="401">
        <f>IF($B40=$F$70,+'8. KW and Non-Weather Sensitive'!$F$25,IF($B40=$F$71,+'8. KW and Non-Weather Sensitive'!$Q$25,IF($B40=$F$72,+'8. KW and Non-Weather Sensitive'!$AA$25,IF($B40=$F$73,+'8. KW and Non-Weather Sensitive'!$AK$25,+IF($B40=$F$74,+'8. KW and Non-Weather Sensitive'!$AU$25,0)))))</f>
        <v>0</v>
      </c>
      <c r="J42" s="401">
        <f>IF($B40=$F$70,+'8. KW and Non-Weather Sensitive'!$F$26,IF($B40=$F$71,+'8. KW and Non-Weather Sensitive'!$Q$26,IF($B40=$F$72,+'8. KW and Non-Weather Sensitive'!$AA$26,IF($B40=$F$73,+'8. KW and Non-Weather Sensitive'!$AK$26,+IF($B40=$F$74,+'8. KW and Non-Weather Sensitive'!$AU$26,0)))))</f>
        <v>0</v>
      </c>
      <c r="K42" s="401">
        <f>IF($B40=$F$70,+'8. KW and Non-Weather Sensitive'!$F$27,IF($B40=$F$71,+'8. KW and Non-Weather Sensitive'!$Q$27,IF($B40=$F$72,+'8. KW and Non-Weather Sensitive'!$AA$27,IF($B40=$F$73,+'8. KW and Non-Weather Sensitive'!$AK$27,+IF($B40=$F$74,+'8. KW and Non-Weather Sensitive'!$AU$27,0)))))</f>
        <v>0</v>
      </c>
      <c r="L42" s="401">
        <f>IF($B40=$F$70,+'8. KW and Non-Weather Sensitive'!$F$28,IF($B40=$F$71,+'8. KW and Non-Weather Sensitive'!$Q$28,IF($B40=$F$72,+'8. KW and Non-Weather Sensitive'!$AA$28,IF($B40=$F$73,+'8. KW and Non-Weather Sensitive'!$AK$28,+IF($B40=$F$74,+'8. KW and Non-Weather Sensitive'!$AU$28,0)))))</f>
        <v>0</v>
      </c>
      <c r="M42" s="401">
        <f>IF($B40=$F$70,+'8. KW and Non-Weather Sensitive'!$F$29,IF($B40=$F$71,+'8. KW and Non-Weather Sensitive'!$Q$29,IF($B40=$F$72,+'8. KW and Non-Weather Sensitive'!$AA$29,IF($B40=$F$73,+'8. KW and Non-Weather Sensitive'!$AK$29,+IF($B40=$F$74,+'8. KW and Non-Weather Sensitive'!$AU$29,0)))))</f>
        <v>0</v>
      </c>
      <c r="N42" s="401">
        <f>IF($B40=$F$70,+'8. KW and Non-Weather Sensitive'!$F$30,IF($B40=$F$71,+'8. KW and Non-Weather Sensitive'!$Q$30,IF($B40=$F$72,+'8. KW and Non-Weather Sensitive'!$AA$30,IF($B40=$F$73,+'8. KW and Non-Weather Sensitive'!$AK$30,+IF($B40=$F$74,+'8. KW and Non-Weather Sensitive'!$AU$30,0)))))</f>
        <v>0</v>
      </c>
      <c r="O42" s="401">
        <f>IF($B40=$F$70,+'8. KW and Non-Weather Sensitive'!$J$49,IF($B40=$F$71,+'8. KW and Non-Weather Sensitive'!$U$49,IF($B40=$F$72,+'8. KW and Non-Weather Sensitive'!$AE$49,IF($B40=$F$73,+'8. KW and Non-Weather Sensitive'!$AO$49,+IF($B40=$F$74,+'8. KW and Non-Weather Sensitive'!$AY$49,0)))))</f>
        <v>0</v>
      </c>
      <c r="P42" s="505">
        <f>IF($B40=$F$70,+'8. KW and Non-Weather Sensitive'!$J$50,IF($B40=$F$71,+'8. KW and Non-Weather Sensitive'!$U$50,IF($B40=$F$72,+'8. KW and Non-Weather Sensitive'!$AE$50,IF($B40=$F$73,+'8. KW and Non-Weather Sensitive'!$AO$50,+IF($B40=$F$74,+'8. KW and Non-Weather Sensitive'!$AY$50,0)))))</f>
        <v>0</v>
      </c>
    </row>
    <row r="43" spans="2:16" x14ac:dyDescent="0.2">
      <c r="B43" s="89"/>
      <c r="C43" s="764"/>
      <c r="D43" s="59"/>
      <c r="E43" s="404"/>
      <c r="F43" s="404"/>
      <c r="G43" s="404"/>
      <c r="H43" s="404"/>
      <c r="I43" s="404"/>
      <c r="J43" s="404"/>
      <c r="K43" s="404"/>
      <c r="L43" s="404"/>
      <c r="M43" s="404"/>
      <c r="N43" s="404"/>
      <c r="O43" s="405"/>
      <c r="P43" s="406"/>
    </row>
    <row r="44" spans="2:16" hidden="1" x14ac:dyDescent="0.2">
      <c r="B44" s="199">
        <f>'2. Customer Classes'!B21</f>
        <v>0</v>
      </c>
      <c r="C44" s="765"/>
      <c r="D44" s="59" t="s">
        <v>126</v>
      </c>
      <c r="E44" s="404"/>
      <c r="F44" s="404"/>
      <c r="G44" s="404"/>
      <c r="H44" s="404"/>
      <c r="I44" s="404"/>
      <c r="J44" s="404"/>
      <c r="K44" s="404"/>
      <c r="L44" s="404"/>
      <c r="M44" s="404"/>
      <c r="N44" s="404"/>
      <c r="O44" s="405"/>
      <c r="P44" s="406"/>
    </row>
    <row r="45" spans="2:16" hidden="1" x14ac:dyDescent="0.2">
      <c r="B45" s="197"/>
      <c r="C45" s="766"/>
      <c r="D45" s="59" t="s">
        <v>35</v>
      </c>
      <c r="E45" s="404"/>
      <c r="F45" s="404"/>
      <c r="G45" s="404"/>
      <c r="H45" s="404"/>
      <c r="I45" s="404"/>
      <c r="J45" s="404"/>
      <c r="K45" s="404"/>
      <c r="L45" s="404"/>
      <c r="M45" s="404"/>
      <c r="N45" s="404"/>
      <c r="O45" s="405"/>
      <c r="P45" s="406"/>
    </row>
    <row r="46" spans="2:16" hidden="1" x14ac:dyDescent="0.2">
      <c r="B46" s="197"/>
      <c r="C46" s="766"/>
      <c r="D46" s="59" t="s">
        <v>36</v>
      </c>
      <c r="E46" s="404"/>
      <c r="F46" s="404"/>
      <c r="G46" s="404"/>
      <c r="H46" s="404"/>
      <c r="I46" s="404"/>
      <c r="J46" s="404"/>
      <c r="K46" s="404"/>
      <c r="L46" s="404"/>
      <c r="M46" s="404"/>
      <c r="N46" s="404"/>
      <c r="O46" s="405"/>
      <c r="P46" s="406"/>
    </row>
    <row r="47" spans="2:16" hidden="1" x14ac:dyDescent="0.2">
      <c r="B47" s="197"/>
      <c r="C47" s="766"/>
      <c r="D47" s="59"/>
      <c r="E47" s="404"/>
      <c r="F47" s="404"/>
      <c r="G47" s="404"/>
      <c r="H47" s="404"/>
      <c r="I47" s="404"/>
      <c r="J47" s="404"/>
      <c r="K47" s="404"/>
      <c r="L47" s="404"/>
      <c r="M47" s="404"/>
      <c r="N47" s="404"/>
      <c r="O47" s="405"/>
      <c r="P47" s="406"/>
    </row>
    <row r="48" spans="2:16" hidden="1" x14ac:dyDescent="0.2">
      <c r="B48" s="199" t="str">
        <f>'2. Customer Classes'!B22</f>
        <v>other</v>
      </c>
      <c r="C48" s="765"/>
      <c r="D48" s="59" t="s">
        <v>126</v>
      </c>
      <c r="E48" s="404"/>
      <c r="F48" s="404"/>
      <c r="G48" s="404"/>
      <c r="H48" s="404"/>
      <c r="I48" s="404"/>
      <c r="J48" s="404"/>
      <c r="K48" s="404"/>
      <c r="L48" s="404"/>
      <c r="M48" s="404"/>
      <c r="N48" s="404"/>
      <c r="O48" s="405"/>
      <c r="P48" s="406"/>
    </row>
    <row r="49" spans="2:16" hidden="1" x14ac:dyDescent="0.2">
      <c r="B49" s="197"/>
      <c r="C49" s="766"/>
      <c r="D49" s="59" t="s">
        <v>35</v>
      </c>
      <c r="E49" s="404"/>
      <c r="F49" s="404"/>
      <c r="G49" s="404"/>
      <c r="H49" s="404"/>
      <c r="I49" s="404"/>
      <c r="J49" s="404"/>
      <c r="K49" s="404"/>
      <c r="L49" s="404"/>
      <c r="M49" s="404"/>
      <c r="N49" s="404"/>
      <c r="O49" s="405"/>
      <c r="P49" s="406"/>
    </row>
    <row r="50" spans="2:16" hidden="1" x14ac:dyDescent="0.2">
      <c r="B50" s="197"/>
      <c r="C50" s="766"/>
      <c r="D50" s="59" t="s">
        <v>36</v>
      </c>
      <c r="E50" s="404"/>
      <c r="F50" s="404"/>
      <c r="G50" s="404"/>
      <c r="H50" s="404"/>
      <c r="I50" s="404"/>
      <c r="J50" s="404"/>
      <c r="K50" s="404"/>
      <c r="L50" s="404"/>
      <c r="M50" s="404"/>
      <c r="N50" s="404"/>
      <c r="O50" s="405"/>
      <c r="P50" s="406"/>
    </row>
    <row r="51" spans="2:16" hidden="1" x14ac:dyDescent="0.2">
      <c r="B51" s="197"/>
      <c r="C51" s="766"/>
      <c r="D51" s="59"/>
      <c r="E51" s="404"/>
      <c r="F51" s="404"/>
      <c r="G51" s="404"/>
      <c r="H51" s="404"/>
      <c r="I51" s="404"/>
      <c r="J51" s="404"/>
      <c r="K51" s="404"/>
      <c r="L51" s="404"/>
      <c r="M51" s="404"/>
      <c r="N51" s="404"/>
      <c r="O51" s="405"/>
      <c r="P51" s="406"/>
    </row>
    <row r="52" spans="2:16" hidden="1" x14ac:dyDescent="0.2">
      <c r="B52" s="199" t="str">
        <f>'2. Customer Classes'!B23</f>
        <v>other</v>
      </c>
      <c r="C52" s="765"/>
      <c r="D52" s="59" t="s">
        <v>126</v>
      </c>
      <c r="E52" s="404"/>
      <c r="F52" s="404"/>
      <c r="G52" s="404"/>
      <c r="H52" s="404"/>
      <c r="I52" s="404"/>
      <c r="J52" s="404"/>
      <c r="K52" s="404"/>
      <c r="L52" s="404"/>
      <c r="M52" s="404"/>
      <c r="N52" s="404"/>
      <c r="O52" s="405"/>
      <c r="P52" s="406"/>
    </row>
    <row r="53" spans="2:16" hidden="1" x14ac:dyDescent="0.2">
      <c r="B53" s="197"/>
      <c r="C53" s="766"/>
      <c r="D53" s="59" t="s">
        <v>35</v>
      </c>
      <c r="E53" s="401"/>
      <c r="F53" s="401"/>
      <c r="G53" s="401"/>
      <c r="H53" s="401"/>
      <c r="I53" s="401"/>
      <c r="J53" s="401"/>
      <c r="K53" s="401"/>
      <c r="L53" s="401"/>
      <c r="M53" s="401"/>
      <c r="N53" s="401"/>
      <c r="O53" s="402"/>
      <c r="P53" s="403"/>
    </row>
    <row r="54" spans="2:16" hidden="1" x14ac:dyDescent="0.2">
      <c r="B54" s="197"/>
      <c r="C54" s="766"/>
      <c r="D54" s="59" t="s">
        <v>36</v>
      </c>
      <c r="E54" s="404"/>
      <c r="F54" s="404"/>
      <c r="G54" s="404"/>
      <c r="H54" s="404"/>
      <c r="I54" s="404"/>
      <c r="J54" s="404"/>
      <c r="K54" s="404"/>
      <c r="L54" s="404"/>
      <c r="M54" s="404"/>
      <c r="N54" s="404"/>
      <c r="O54" s="405"/>
      <c r="P54" s="406"/>
    </row>
    <row r="55" spans="2:16" ht="13.5" thickBot="1" x14ac:dyDescent="0.25">
      <c r="B55" s="90"/>
      <c r="C55" s="767"/>
      <c r="D55" s="91"/>
      <c r="E55" s="475"/>
      <c r="F55" s="475"/>
      <c r="G55" s="475"/>
      <c r="H55" s="475"/>
      <c r="I55" s="475"/>
      <c r="J55" s="475"/>
      <c r="K55" s="475"/>
      <c r="L55" s="475"/>
      <c r="M55" s="475"/>
      <c r="N55" s="475"/>
      <c r="O55" s="476"/>
      <c r="P55" s="477"/>
    </row>
    <row r="56" spans="2:16" x14ac:dyDescent="0.2">
      <c r="B56" s="469" t="s">
        <v>16</v>
      </c>
      <c r="C56" s="470"/>
      <c r="D56" s="471" t="s">
        <v>126</v>
      </c>
      <c r="E56" s="472">
        <f>E16+E20+E24+E28+E32+E36+E40+E44+E48+E52</f>
        <v>5288</v>
      </c>
      <c r="F56" s="472">
        <f>F16+F20+F24+F28+F32+F36+F40+F44+F48+F52</f>
        <v>5293</v>
      </c>
      <c r="G56" s="472">
        <f t="shared" ref="G56:P56" si="0">G16+G20+G24+G28+G32+G36+G40+G44+G48+G52</f>
        <v>5330</v>
      </c>
      <c r="H56" s="472">
        <f t="shared" si="0"/>
        <v>5354</v>
      </c>
      <c r="I56" s="472">
        <f t="shared" si="0"/>
        <v>5363</v>
      </c>
      <c r="J56" s="472">
        <f t="shared" si="0"/>
        <v>5393</v>
      </c>
      <c r="K56" s="472">
        <f t="shared" si="0"/>
        <v>5411</v>
      </c>
      <c r="L56" s="472">
        <f t="shared" si="0"/>
        <v>5443</v>
      </c>
      <c r="M56" s="472">
        <f t="shared" si="0"/>
        <v>5473</v>
      </c>
      <c r="N56" s="472">
        <f t="shared" si="0"/>
        <v>5493</v>
      </c>
      <c r="O56" s="472">
        <f t="shared" si="0"/>
        <v>5517.77491112178</v>
      </c>
      <c r="P56" s="473">
        <f t="shared" si="0"/>
        <v>5542.9438224770811</v>
      </c>
    </row>
    <row r="57" spans="2:16" x14ac:dyDescent="0.2">
      <c r="B57" s="214"/>
      <c r="C57" s="399"/>
      <c r="D57" s="215" t="s">
        <v>35</v>
      </c>
      <c r="E57" s="409">
        <f>E17+E21+E25+E29+E33+E37+E41+E45+E49+E53</f>
        <v>97304543</v>
      </c>
      <c r="F57" s="407">
        <f t="shared" ref="F57:P57" si="1">F17+F21+F25+F29+F33+F37+F41+F45+F49+F53</f>
        <v>99235605</v>
      </c>
      <c r="G57" s="407">
        <f t="shared" si="1"/>
        <v>101925474</v>
      </c>
      <c r="H57" s="407">
        <f t="shared" si="1"/>
        <v>96981360</v>
      </c>
      <c r="I57" s="407">
        <f t="shared" si="1"/>
        <v>95702324</v>
      </c>
      <c r="J57" s="407">
        <f t="shared" si="1"/>
        <v>89846326</v>
      </c>
      <c r="K57" s="407">
        <f t="shared" si="1"/>
        <v>87042318</v>
      </c>
      <c r="L57" s="407">
        <f t="shared" si="1"/>
        <v>87411656</v>
      </c>
      <c r="M57" s="407">
        <f t="shared" si="1"/>
        <v>86248298</v>
      </c>
      <c r="N57" s="407">
        <f t="shared" si="1"/>
        <v>86807086</v>
      </c>
      <c r="O57" s="407">
        <f t="shared" si="1"/>
        <v>89530480.420528263</v>
      </c>
      <c r="P57" s="408">
        <f t="shared" si="1"/>
        <v>89575512.980382964</v>
      </c>
    </row>
    <row r="58" spans="2:16" ht="13.5" thickBot="1" x14ac:dyDescent="0.25">
      <c r="B58" s="216"/>
      <c r="C58" s="400"/>
      <c r="D58" s="217" t="s">
        <v>36</v>
      </c>
      <c r="E58" s="410">
        <f>E18+E22+E26+E30+E34+E38+E42+E46+E50+E54</f>
        <v>156713</v>
      </c>
      <c r="F58" s="410">
        <f t="shared" ref="F58:P58" si="2">F18+F22+F26+F30+F34+F38+F42+F46+F50+F54</f>
        <v>149616</v>
      </c>
      <c r="G58" s="410">
        <f t="shared" si="2"/>
        <v>152047</v>
      </c>
      <c r="H58" s="410">
        <f t="shared" si="2"/>
        <v>144821</v>
      </c>
      <c r="I58" s="410">
        <f t="shared" si="2"/>
        <v>144895</v>
      </c>
      <c r="J58" s="410">
        <f>J18+J22+J26+J30+J34+J38+J42+J46+J50+J54</f>
        <v>134079</v>
      </c>
      <c r="K58" s="410">
        <f t="shared" si="2"/>
        <v>123479</v>
      </c>
      <c r="L58" s="410">
        <f t="shared" si="2"/>
        <v>118917</v>
      </c>
      <c r="M58" s="410">
        <f t="shared" si="2"/>
        <v>117290</v>
      </c>
      <c r="N58" s="410">
        <f t="shared" si="2"/>
        <v>117039</v>
      </c>
      <c r="O58" s="410">
        <f t="shared" si="2"/>
        <v>126968.02043662457</v>
      </c>
      <c r="P58" s="411">
        <f t="shared" si="2"/>
        <v>127031.88354730028</v>
      </c>
    </row>
    <row r="64" spans="2:16" hidden="1" x14ac:dyDescent="0.2">
      <c r="B64" s="1109" t="s">
        <v>188</v>
      </c>
      <c r="C64" s="1110"/>
      <c r="D64" s="1110"/>
      <c r="E64" s="1110"/>
      <c r="F64" s="1110"/>
      <c r="G64" s="1110"/>
      <c r="H64" s="1111"/>
    </row>
    <row r="65" spans="2:8" hidden="1" x14ac:dyDescent="0.2">
      <c r="B65" s="354" t="str">
        <f>+'7. Weather Senstive Class'!B19</f>
        <v>Residential</v>
      </c>
      <c r="C65" s="356"/>
      <c r="D65" s="355" t="s">
        <v>187</v>
      </c>
      <c r="E65" s="356" t="s">
        <v>186</v>
      </c>
      <c r="F65" s="356" t="str">
        <f t="shared" ref="F65:F73" si="3">+CONCATENATE(B65,D65,E65)</f>
        <v>Residential-WN</v>
      </c>
      <c r="G65" s="357"/>
      <c r="H65" s="358"/>
    </row>
    <row r="66" spans="2:8" hidden="1" x14ac:dyDescent="0.2">
      <c r="B66" s="359" t="str">
        <f>+'7. Weather Senstive Class'!J19</f>
        <v>General Service &lt; 50 kW</v>
      </c>
      <c r="C66" s="361"/>
      <c r="D66" s="360" t="s">
        <v>187</v>
      </c>
      <c r="E66" s="361" t="s">
        <v>186</v>
      </c>
      <c r="F66" s="361" t="str">
        <f t="shared" si="3"/>
        <v>General Service &lt; 50 kW-WN</v>
      </c>
      <c r="G66" s="362"/>
      <c r="H66" s="363"/>
    </row>
    <row r="67" spans="2:8" hidden="1" x14ac:dyDescent="0.2">
      <c r="B67" s="359" t="str">
        <f>+'7. Weather Senstive Class'!R19</f>
        <v>General Service &gt; 50 kW - 4999 kW</v>
      </c>
      <c r="C67" s="361"/>
      <c r="D67" s="360" t="s">
        <v>187</v>
      </c>
      <c r="E67" s="361" t="s">
        <v>186</v>
      </c>
      <c r="F67" s="361" t="str">
        <f t="shared" si="3"/>
        <v>General Service &gt; 50 kW - 4999 kW-WN</v>
      </c>
      <c r="G67" s="362"/>
      <c r="H67" s="363"/>
    </row>
    <row r="68" spans="2:8" hidden="1" x14ac:dyDescent="0.2">
      <c r="B68" s="359">
        <f>+'7. Weather Senstive Class'!Z19</f>
        <v>0</v>
      </c>
      <c r="C68" s="361"/>
      <c r="D68" s="360" t="s">
        <v>187</v>
      </c>
      <c r="E68" s="361" t="s">
        <v>186</v>
      </c>
      <c r="F68" s="361" t="str">
        <f t="shared" si="3"/>
        <v>0-WN</v>
      </c>
      <c r="G68" s="362"/>
      <c r="H68" s="363"/>
    </row>
    <row r="69" spans="2:8" hidden="1" x14ac:dyDescent="0.2">
      <c r="B69" s="359">
        <f>+'7. Weather Senstive Class'!AH19</f>
        <v>0</v>
      </c>
      <c r="C69" s="361"/>
      <c r="D69" s="360" t="s">
        <v>187</v>
      </c>
      <c r="E69" s="361" t="s">
        <v>186</v>
      </c>
      <c r="F69" s="361" t="str">
        <f t="shared" si="3"/>
        <v>0-WN</v>
      </c>
      <c r="G69" s="362"/>
      <c r="H69" s="363"/>
    </row>
    <row r="70" spans="2:8" hidden="1" x14ac:dyDescent="0.2">
      <c r="B70" s="359" t="str">
        <f>+'8. KW and Non-Weather Sensitive'!B18</f>
        <v>General Service &gt; 50 kW - 4999 kW</v>
      </c>
      <c r="C70" s="361"/>
      <c r="D70" s="360" t="s">
        <v>187</v>
      </c>
      <c r="E70" s="361" t="s">
        <v>235</v>
      </c>
      <c r="F70" s="361" t="str">
        <f t="shared" si="3"/>
        <v>General Service &gt; 50 kW - 4999 kW-Non-WN/kW</v>
      </c>
      <c r="G70" s="362"/>
      <c r="H70" s="363"/>
    </row>
    <row r="71" spans="2:8" hidden="1" x14ac:dyDescent="0.2">
      <c r="B71" s="359" t="str">
        <f>+'8. KW and Non-Weather Sensitive'!M18</f>
        <v>Streetlighting</v>
      </c>
      <c r="C71" s="361"/>
      <c r="D71" s="360" t="s">
        <v>187</v>
      </c>
      <c r="E71" s="361" t="s">
        <v>235</v>
      </c>
      <c r="F71" s="361" t="str">
        <f t="shared" si="3"/>
        <v>Streetlighting-Non-WN/kW</v>
      </c>
      <c r="G71" s="362"/>
      <c r="H71" s="363"/>
    </row>
    <row r="72" spans="2:8" hidden="1" x14ac:dyDescent="0.2">
      <c r="B72" s="359" t="str">
        <f>+'8. KW and Non-Weather Sensitive'!W18</f>
        <v>Sentinel Lighting</v>
      </c>
      <c r="C72" s="361"/>
      <c r="D72" s="360" t="s">
        <v>187</v>
      </c>
      <c r="E72" s="361" t="s">
        <v>235</v>
      </c>
      <c r="F72" s="361" t="str">
        <f t="shared" si="3"/>
        <v>Sentinel Lighting-Non-WN/kW</v>
      </c>
      <c r="G72" s="362"/>
      <c r="H72" s="363"/>
    </row>
    <row r="73" spans="2:8" hidden="1" x14ac:dyDescent="0.2">
      <c r="B73" s="359" t="str">
        <f>+'8. KW and Non-Weather Sensitive'!AG18</f>
        <v>Unmetered Scattered Load</v>
      </c>
      <c r="C73" s="361"/>
      <c r="D73" s="360" t="s">
        <v>187</v>
      </c>
      <c r="E73" s="361" t="s">
        <v>235</v>
      </c>
      <c r="F73" s="361" t="str">
        <f t="shared" si="3"/>
        <v>Unmetered Scattered Load-Non-WN/kW</v>
      </c>
      <c r="G73" s="362"/>
      <c r="H73" s="363"/>
    </row>
    <row r="74" spans="2:8" hidden="1" x14ac:dyDescent="0.2">
      <c r="B74" s="364">
        <f>+'8. KW and Non-Weather Sensitive'!AQ18</f>
        <v>0</v>
      </c>
      <c r="C74" s="366"/>
      <c r="D74" s="365" t="s">
        <v>187</v>
      </c>
      <c r="E74" s="366" t="s">
        <v>235</v>
      </c>
      <c r="F74" s="366" t="str">
        <f>+CONCATENATE(B74,D74,E74)</f>
        <v>0-Non-WN/kW</v>
      </c>
      <c r="G74" s="367"/>
      <c r="H74" s="368"/>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78" customWidth="1"/>
    <col min="2" max="2" width="30.83203125" style="378" bestFit="1" customWidth="1"/>
    <col min="3" max="9" width="19.83203125" style="378" customWidth="1"/>
    <col min="10" max="10" width="13.1640625" style="378" customWidth="1"/>
    <col min="11" max="13" width="17.5" style="378"/>
    <col min="14" max="14" width="21" style="378" bestFit="1" customWidth="1"/>
    <col min="15" max="16384" width="17.5" style="378"/>
  </cols>
  <sheetData>
    <row r="1" spans="1:13" x14ac:dyDescent="0.2">
      <c r="A1" s="744" t="s">
        <v>264</v>
      </c>
    </row>
    <row r="10" spans="1:13" s="102" customFormat="1" x14ac:dyDescent="0.2">
      <c r="H10" s="104"/>
    </row>
    <row r="11" spans="1:13" ht="23.25" x14ac:dyDescent="0.35">
      <c r="B11" s="1126" t="s">
        <v>206</v>
      </c>
      <c r="C11" s="1126"/>
      <c r="D11" s="1126"/>
      <c r="E11" s="1126"/>
      <c r="F11" s="1126"/>
      <c r="G11" s="1126"/>
      <c r="H11" s="1126"/>
      <c r="I11" s="1126"/>
    </row>
    <row r="12" spans="1:13" ht="14.25" x14ac:dyDescent="0.2">
      <c r="B12" s="557"/>
      <c r="C12" s="557"/>
      <c r="D12" s="557"/>
      <c r="E12" s="557"/>
      <c r="F12" s="557"/>
      <c r="G12" s="557"/>
      <c r="H12" s="557"/>
      <c r="I12" s="557"/>
    </row>
    <row r="13" spans="1:13" ht="75" customHeight="1" x14ac:dyDescent="0.2">
      <c r="B13" s="1127" t="s">
        <v>222</v>
      </c>
      <c r="C13" s="1127"/>
      <c r="D13" s="1127"/>
      <c r="E13" s="1127"/>
      <c r="F13" s="1127"/>
      <c r="G13" s="1127"/>
      <c r="H13" s="1127"/>
      <c r="I13" s="1127"/>
      <c r="J13" s="106"/>
      <c r="K13" s="107"/>
      <c r="L13" s="108"/>
      <c r="M13" s="108"/>
    </row>
    <row r="14" spans="1:13" ht="14.25" x14ac:dyDescent="0.2">
      <c r="B14" s="557"/>
      <c r="C14" s="557"/>
      <c r="D14" s="557"/>
      <c r="E14" s="557"/>
      <c r="F14" s="557"/>
      <c r="G14" s="557"/>
      <c r="H14" s="557"/>
      <c r="I14" s="557"/>
      <c r="J14" s="103"/>
      <c r="K14" s="107"/>
      <c r="L14" s="108"/>
      <c r="M14" s="108"/>
    </row>
    <row r="15" spans="1:13" ht="23.25" x14ac:dyDescent="0.2">
      <c r="B15" s="1113" t="s">
        <v>207</v>
      </c>
      <c r="C15" s="1113"/>
      <c r="D15" s="1113"/>
      <c r="E15" s="1113"/>
      <c r="F15" s="1113"/>
      <c r="G15" s="1113"/>
      <c r="H15" s="1113"/>
      <c r="I15" s="1113"/>
    </row>
    <row r="16" spans="1:13" ht="15" thickBot="1" x14ac:dyDescent="0.25">
      <c r="B16" s="558"/>
      <c r="C16" s="559"/>
      <c r="D16" s="559"/>
      <c r="E16" s="559"/>
      <c r="F16" s="559"/>
      <c r="G16" s="559"/>
      <c r="H16" s="557"/>
      <c r="I16" s="557"/>
    </row>
    <row r="17" spans="2:9" ht="15" x14ac:dyDescent="0.25">
      <c r="B17" s="1120" t="s">
        <v>48</v>
      </c>
      <c r="C17" s="1121"/>
      <c r="D17" s="1121"/>
      <c r="E17" s="1121"/>
      <c r="F17" s="1121"/>
      <c r="G17" s="1122"/>
      <c r="H17" s="557"/>
      <c r="I17" s="557"/>
    </row>
    <row r="18" spans="2:9" ht="12.75" customHeight="1" x14ac:dyDescent="0.2">
      <c r="B18" s="1117">
        <v>8970000</v>
      </c>
      <c r="C18" s="1118"/>
      <c r="D18" s="1118"/>
      <c r="E18" s="1118"/>
      <c r="F18" s="1118"/>
      <c r="G18" s="1119"/>
      <c r="H18" s="557"/>
      <c r="I18" s="557"/>
    </row>
    <row r="19" spans="2:9" ht="15" x14ac:dyDescent="0.25">
      <c r="B19" s="560"/>
      <c r="C19" s="561">
        <v>2011</v>
      </c>
      <c r="D19" s="561">
        <v>2012</v>
      </c>
      <c r="E19" s="561">
        <v>2013</v>
      </c>
      <c r="F19" s="561">
        <v>2014</v>
      </c>
      <c r="G19" s="562" t="s">
        <v>16</v>
      </c>
      <c r="H19" s="557"/>
      <c r="I19" s="557"/>
    </row>
    <row r="20" spans="2:9" ht="14.25" x14ac:dyDescent="0.2">
      <c r="B20" s="563" t="s">
        <v>49</v>
      </c>
      <c r="C20" s="733">
        <f>C26/$G$30</f>
        <v>8.8963210702341131E-2</v>
      </c>
      <c r="D20" s="564">
        <f>D26/$G$30</f>
        <v>8.8963210702341131E-2</v>
      </c>
      <c r="E20" s="564">
        <f>E26/$G$30</f>
        <v>8.7959866220735788E-2</v>
      </c>
      <c r="F20" s="565">
        <f>F26/$G$30</f>
        <v>7.8149386845039012E-2</v>
      </c>
      <c r="G20" s="566">
        <f>SUM(C20:F20)</f>
        <v>0.34403567447045708</v>
      </c>
      <c r="H20" s="557"/>
      <c r="I20" s="557"/>
    </row>
    <row r="21" spans="2:9" ht="14.25" x14ac:dyDescent="0.2">
      <c r="B21" s="563" t="s">
        <v>50</v>
      </c>
      <c r="C21" s="567"/>
      <c r="D21" s="564">
        <f>D27/$G$30</f>
        <v>8.6510590858416947E-2</v>
      </c>
      <c r="E21" s="564">
        <f>E27/$G$30</f>
        <v>8.6510590858416947E-2</v>
      </c>
      <c r="F21" s="565">
        <f>F27/$G$30</f>
        <v>8.595317725752509E-2</v>
      </c>
      <c r="G21" s="566">
        <f>SUM(C21:F21)</f>
        <v>0.258974358974359</v>
      </c>
      <c r="H21" s="557"/>
      <c r="I21" s="557"/>
    </row>
    <row r="22" spans="2:9" ht="14.25" x14ac:dyDescent="0.2">
      <c r="B22" s="563" t="s">
        <v>51</v>
      </c>
      <c r="C22" s="567"/>
      <c r="D22" s="567"/>
      <c r="E22" s="564">
        <f>E28/$G$30</f>
        <v>8.0713489409141581E-2</v>
      </c>
      <c r="F22" s="565">
        <f>F28/$G$30</f>
        <v>8.0713489409141581E-2</v>
      </c>
      <c r="G22" s="566">
        <f>SUM(C22:F22)</f>
        <v>0.16142697881828316</v>
      </c>
      <c r="H22" s="557"/>
      <c r="I22" s="557"/>
    </row>
    <row r="23" spans="2:9" ht="15" thickBot="1" x14ac:dyDescent="0.25">
      <c r="B23" s="568" t="s">
        <v>52</v>
      </c>
      <c r="C23" s="569"/>
      <c r="D23" s="569"/>
      <c r="E23" s="569"/>
      <c r="F23" s="570">
        <f>F29/$G$30</f>
        <v>0.22630992196209587</v>
      </c>
      <c r="G23" s="571">
        <f>SUM(C23:F23)</f>
        <v>0.22630992196209587</v>
      </c>
      <c r="H23" s="557"/>
      <c r="I23" s="557"/>
    </row>
    <row r="24" spans="2:9" ht="12.75" customHeight="1" thickTop="1" x14ac:dyDescent="0.25">
      <c r="B24" s="572" t="s">
        <v>53</v>
      </c>
      <c r="C24" s="573">
        <f>SUM(C20:C23)</f>
        <v>8.8963210702341131E-2</v>
      </c>
      <c r="D24" s="573">
        <f>SUM(D20:D23)</f>
        <v>0.17547380156075809</v>
      </c>
      <c r="E24" s="573">
        <f>SUM(E20:E23)</f>
        <v>0.25518394648829434</v>
      </c>
      <c r="F24" s="574">
        <f>SUM(F20:F23)</f>
        <v>0.47112597547380153</v>
      </c>
      <c r="G24" s="575">
        <f>SUM(C24:F24)</f>
        <v>0.99074693422519511</v>
      </c>
      <c r="H24" s="557"/>
      <c r="I24" s="557"/>
    </row>
    <row r="25" spans="2:9" ht="12.75" customHeight="1" x14ac:dyDescent="0.2">
      <c r="B25" s="1123" t="s">
        <v>35</v>
      </c>
      <c r="C25" s="1124"/>
      <c r="D25" s="1124"/>
      <c r="E25" s="1124"/>
      <c r="F25" s="1124"/>
      <c r="G25" s="1125"/>
      <c r="H25" s="557"/>
      <c r="I25" s="557"/>
    </row>
    <row r="26" spans="2:9" ht="14.25" x14ac:dyDescent="0.2">
      <c r="B26" s="563" t="s">
        <v>49</v>
      </c>
      <c r="C26" s="576">
        <v>798000</v>
      </c>
      <c r="D26" s="576">
        <v>798000</v>
      </c>
      <c r="E26" s="576">
        <v>789000</v>
      </c>
      <c r="F26" s="577">
        <v>701000</v>
      </c>
      <c r="G26" s="578">
        <v>3086000</v>
      </c>
      <c r="H26" s="557"/>
      <c r="I26" s="557"/>
    </row>
    <row r="27" spans="2:9" ht="14.25" x14ac:dyDescent="0.2">
      <c r="B27" s="563" t="s">
        <v>50</v>
      </c>
      <c r="C27" s="579">
        <v>-16000</v>
      </c>
      <c r="D27" s="580">
        <v>776000</v>
      </c>
      <c r="E27" s="580">
        <v>776000</v>
      </c>
      <c r="F27" s="581">
        <v>771000</v>
      </c>
      <c r="G27" s="578">
        <v>2307000</v>
      </c>
      <c r="H27" s="557"/>
      <c r="I27" s="557"/>
    </row>
    <row r="28" spans="2:9" ht="14.25" x14ac:dyDescent="0.2">
      <c r="B28" s="563" t="s">
        <v>51</v>
      </c>
      <c r="C28" s="579"/>
      <c r="D28" s="579">
        <v>99000</v>
      </c>
      <c r="E28" s="580">
        <v>724000</v>
      </c>
      <c r="F28" s="581">
        <v>724000</v>
      </c>
      <c r="G28" s="578">
        <v>1547000</v>
      </c>
      <c r="H28" s="557"/>
      <c r="I28" s="557"/>
    </row>
    <row r="29" spans="2:9" ht="15" thickBot="1" x14ac:dyDescent="0.25">
      <c r="B29" s="568" t="s">
        <v>52</v>
      </c>
      <c r="C29" s="582"/>
      <c r="D29" s="582"/>
      <c r="E29" s="582"/>
      <c r="F29" s="583">
        <f>MAX(0,B18-SUM(C26:F28))</f>
        <v>2030000</v>
      </c>
      <c r="G29" s="584">
        <f>SUM(C29:F29)</f>
        <v>2030000</v>
      </c>
      <c r="H29" s="557"/>
      <c r="I29" s="557"/>
    </row>
    <row r="30" spans="2:9" ht="16.5" thickTop="1" thickBot="1" x14ac:dyDescent="0.3">
      <c r="B30" s="585" t="s">
        <v>53</v>
      </c>
      <c r="C30" s="586">
        <f>SUM(C26:C29)</f>
        <v>782000</v>
      </c>
      <c r="D30" s="586">
        <f>SUM(D26:D29)</f>
        <v>1673000</v>
      </c>
      <c r="E30" s="586">
        <f>SUM(E26:E29)</f>
        <v>2289000</v>
      </c>
      <c r="F30" s="587">
        <f>SUM(F26:F29)</f>
        <v>4226000</v>
      </c>
      <c r="G30" s="588">
        <f>SUM(G26:G29)</f>
        <v>8970000</v>
      </c>
      <c r="H30" s="557"/>
      <c r="I30" s="557"/>
    </row>
    <row r="31" spans="2:9" ht="15" x14ac:dyDescent="0.25">
      <c r="B31" s="589"/>
      <c r="C31" s="590"/>
      <c r="D31" s="590"/>
      <c r="E31" s="590"/>
      <c r="F31" s="590"/>
      <c r="G31" s="590"/>
      <c r="H31" s="557"/>
      <c r="I31" s="557"/>
    </row>
    <row r="32" spans="2:9" ht="23.25" x14ac:dyDescent="0.2">
      <c r="B32" s="1113" t="s">
        <v>191</v>
      </c>
      <c r="C32" s="1113"/>
      <c r="D32" s="1113"/>
      <c r="E32" s="1113"/>
      <c r="F32" s="1113"/>
      <c r="G32" s="1113"/>
      <c r="H32" s="557"/>
      <c r="I32" s="557"/>
    </row>
    <row r="33" spans="2:9" ht="15" x14ac:dyDescent="0.25">
      <c r="B33" s="589"/>
      <c r="C33" s="590"/>
      <c r="D33" s="590"/>
      <c r="E33" s="590"/>
      <c r="F33" s="590"/>
      <c r="G33" s="590"/>
      <c r="H33" s="557"/>
      <c r="I33" s="557"/>
    </row>
    <row r="34" spans="2:9" ht="86.25" customHeight="1" x14ac:dyDescent="0.2">
      <c r="B34" s="1112" t="s">
        <v>192</v>
      </c>
      <c r="C34" s="1112"/>
      <c r="D34" s="1112"/>
      <c r="E34" s="1112"/>
      <c r="F34" s="1112"/>
      <c r="G34" s="1112"/>
      <c r="H34" s="1112"/>
      <c r="I34" s="1112"/>
    </row>
    <row r="35" spans="2:9" ht="15.75" thickBot="1" x14ac:dyDescent="0.3">
      <c r="B35" s="589"/>
      <c r="C35" s="590"/>
      <c r="D35" s="590"/>
      <c r="E35" s="590"/>
      <c r="F35" s="590"/>
      <c r="G35" s="590"/>
      <c r="H35" s="557"/>
      <c r="I35" s="557"/>
    </row>
    <row r="36" spans="2:9" ht="15" x14ac:dyDescent="0.2">
      <c r="B36" s="1114" t="s">
        <v>193</v>
      </c>
      <c r="C36" s="1115"/>
      <c r="D36" s="1115"/>
      <c r="E36" s="1115"/>
      <c r="F36" s="1115"/>
      <c r="G36" s="1115"/>
      <c r="H36" s="1115"/>
      <c r="I36" s="1116"/>
    </row>
    <row r="37" spans="2:9" ht="14.25" x14ac:dyDescent="0.2">
      <c r="B37" s="1142">
        <v>10000000</v>
      </c>
      <c r="C37" s="1143"/>
      <c r="D37" s="1143"/>
      <c r="E37" s="1143"/>
      <c r="F37" s="1143"/>
      <c r="G37" s="1143"/>
      <c r="H37" s="1143"/>
      <c r="I37" s="1144"/>
    </row>
    <row r="38" spans="2:9" ht="15" x14ac:dyDescent="0.25">
      <c r="B38" s="591"/>
      <c r="C38" s="592">
        <v>2015</v>
      </c>
      <c r="D38" s="592">
        <v>2016</v>
      </c>
      <c r="E38" s="592">
        <v>2017</v>
      </c>
      <c r="F38" s="592">
        <v>2018</v>
      </c>
      <c r="G38" s="592">
        <v>2019</v>
      </c>
      <c r="H38" s="592">
        <v>2020</v>
      </c>
      <c r="I38" s="593" t="s">
        <v>16</v>
      </c>
    </row>
    <row r="39" spans="2:9" ht="15" customHeight="1" x14ac:dyDescent="0.2">
      <c r="B39" s="1131" t="s">
        <v>194</v>
      </c>
      <c r="C39" s="1132"/>
      <c r="D39" s="1132"/>
      <c r="E39" s="1132"/>
      <c r="F39" s="1132"/>
      <c r="G39" s="1132"/>
      <c r="H39" s="1132"/>
      <c r="I39" s="1133"/>
    </row>
    <row r="40" spans="2:9" ht="14.25" x14ac:dyDescent="0.2">
      <c r="B40" s="563" t="s">
        <v>195</v>
      </c>
      <c r="C40" s="564">
        <f>C48/$I$54</f>
        <v>0.16666666666666666</v>
      </c>
      <c r="D40" s="594"/>
      <c r="E40" s="594"/>
      <c r="F40" s="594"/>
      <c r="G40" s="594"/>
      <c r="H40" s="595"/>
      <c r="I40" s="566">
        <f>SUM(C40:H40)</f>
        <v>0.16666666666666666</v>
      </c>
    </row>
    <row r="41" spans="2:9" ht="15" customHeight="1" x14ac:dyDescent="0.2">
      <c r="B41" s="563" t="s">
        <v>196</v>
      </c>
      <c r="C41" s="567"/>
      <c r="D41" s="564">
        <f>D49/$I$54</f>
        <v>0.16666666666666666</v>
      </c>
      <c r="E41" s="594"/>
      <c r="F41" s="594"/>
      <c r="G41" s="594"/>
      <c r="H41" s="595"/>
      <c r="I41" s="566">
        <f>SUM(C41:H41)</f>
        <v>0.16666666666666666</v>
      </c>
    </row>
    <row r="42" spans="2:9" ht="14.25" x14ac:dyDescent="0.2">
      <c r="B42" s="563" t="s">
        <v>197</v>
      </c>
      <c r="C42" s="567"/>
      <c r="D42" s="567"/>
      <c r="E42" s="564">
        <f>E50/$I$54</f>
        <v>0.16666666666666666</v>
      </c>
      <c r="F42" s="594"/>
      <c r="G42" s="594"/>
      <c r="H42" s="595"/>
      <c r="I42" s="566">
        <f>SUM(C42:H42)</f>
        <v>0.16666666666666666</v>
      </c>
    </row>
    <row r="43" spans="2:9" ht="14.25" x14ac:dyDescent="0.2">
      <c r="B43" s="563" t="s">
        <v>198</v>
      </c>
      <c r="C43" s="567"/>
      <c r="D43" s="567"/>
      <c r="E43" s="564"/>
      <c r="F43" s="564">
        <f>F51/$I$54</f>
        <v>0.16666666666666666</v>
      </c>
      <c r="G43" s="594"/>
      <c r="H43" s="595"/>
      <c r="I43" s="566">
        <f>SUM(F43:H43)</f>
        <v>0.16666666666666666</v>
      </c>
    </row>
    <row r="44" spans="2:9" ht="14.25" x14ac:dyDescent="0.2">
      <c r="B44" s="563" t="s">
        <v>199</v>
      </c>
      <c r="C44" s="567"/>
      <c r="D44" s="567"/>
      <c r="E44" s="564"/>
      <c r="F44" s="564"/>
      <c r="G44" s="564">
        <f>G52/$I$54</f>
        <v>0.16666666666666666</v>
      </c>
      <c r="H44" s="595"/>
      <c r="I44" s="566">
        <f>SUM(G44:H44)</f>
        <v>0.16666666666666666</v>
      </c>
    </row>
    <row r="45" spans="2:9" ht="15" thickBot="1" x14ac:dyDescent="0.25">
      <c r="B45" s="568" t="s">
        <v>200</v>
      </c>
      <c r="C45" s="569"/>
      <c r="D45" s="569"/>
      <c r="E45" s="569"/>
      <c r="F45" s="569"/>
      <c r="G45" s="569"/>
      <c r="H45" s="570">
        <f>H53/$I$54</f>
        <v>0.16666666666666666</v>
      </c>
      <c r="I45" s="571">
        <f>SUM(C45:H45)</f>
        <v>0.16666666666666666</v>
      </c>
    </row>
    <row r="46" spans="2:9" ht="15.75" thickTop="1" x14ac:dyDescent="0.25">
      <c r="B46" s="596" t="s">
        <v>53</v>
      </c>
      <c r="C46" s="597">
        <f>SUM(C40:C45)</f>
        <v>0.16666666666666666</v>
      </c>
      <c r="D46" s="597">
        <f>SUM(D40:D45)</f>
        <v>0.16666666666666666</v>
      </c>
      <c r="E46" s="597">
        <f>SUM(E40:E45)</f>
        <v>0.16666666666666666</v>
      </c>
      <c r="F46" s="597">
        <f>SUM(F40:F43)</f>
        <v>0.16666666666666666</v>
      </c>
      <c r="G46" s="597">
        <f>SUM(G40:G44)</f>
        <v>0.16666666666666666</v>
      </c>
      <c r="H46" s="598">
        <f>SUM(H40:H45)</f>
        <v>0.16666666666666666</v>
      </c>
      <c r="I46" s="599">
        <f>SUM(C46:H46)</f>
        <v>0.99999999999999989</v>
      </c>
    </row>
    <row r="47" spans="2:9" ht="15" x14ac:dyDescent="0.2">
      <c r="B47" s="1123" t="s">
        <v>35</v>
      </c>
      <c r="C47" s="1124"/>
      <c r="D47" s="1124"/>
      <c r="E47" s="1124"/>
      <c r="F47" s="1124"/>
      <c r="G47" s="1124"/>
      <c r="H47" s="1124"/>
      <c r="I47" s="1125"/>
    </row>
    <row r="48" spans="2:9" ht="15" customHeight="1" x14ac:dyDescent="0.2">
      <c r="B48" s="563" t="str">
        <f t="shared" ref="B48:B53" si="0">B40</f>
        <v>2015 CDM Programs</v>
      </c>
      <c r="C48" s="576">
        <f>1/6*B37</f>
        <v>1666666.6666666665</v>
      </c>
      <c r="D48" s="600"/>
      <c r="E48" s="594"/>
      <c r="F48" s="600"/>
      <c r="G48" s="600"/>
      <c r="H48" s="601"/>
      <c r="I48" s="578">
        <f>SUM(C48:H48)</f>
        <v>1666666.6666666665</v>
      </c>
    </row>
    <row r="49" spans="2:9" ht="14.25" x14ac:dyDescent="0.2">
      <c r="B49" s="563" t="str">
        <f t="shared" si="0"/>
        <v>2016 CDM Programs</v>
      </c>
      <c r="C49" s="579"/>
      <c r="D49" s="580">
        <f>C48</f>
        <v>1666666.6666666665</v>
      </c>
      <c r="E49" s="602"/>
      <c r="F49" s="602"/>
      <c r="G49" s="602"/>
      <c r="H49" s="603"/>
      <c r="I49" s="578">
        <f>SUM(C49:H49)</f>
        <v>1666666.6666666665</v>
      </c>
    </row>
    <row r="50" spans="2:9" ht="14.25" x14ac:dyDescent="0.2">
      <c r="B50" s="563" t="str">
        <f t="shared" si="0"/>
        <v>2017 CDM Programs</v>
      </c>
      <c r="C50" s="579"/>
      <c r="D50" s="579"/>
      <c r="E50" s="580">
        <f>D49</f>
        <v>1666666.6666666665</v>
      </c>
      <c r="F50" s="602"/>
      <c r="G50" s="602"/>
      <c r="H50" s="603"/>
      <c r="I50" s="578">
        <f>SUM(C50:H50)</f>
        <v>1666666.6666666665</v>
      </c>
    </row>
    <row r="51" spans="2:9" ht="14.25" x14ac:dyDescent="0.2">
      <c r="B51" s="563" t="str">
        <f t="shared" si="0"/>
        <v>2018 CDM Programs</v>
      </c>
      <c r="C51" s="579"/>
      <c r="D51" s="579"/>
      <c r="E51" s="604"/>
      <c r="F51" s="576">
        <f>E50</f>
        <v>1666666.6666666665</v>
      </c>
      <c r="G51" s="600"/>
      <c r="H51" s="601"/>
      <c r="I51" s="578">
        <f>SUM(F51:H51)</f>
        <v>1666666.6666666665</v>
      </c>
    </row>
    <row r="52" spans="2:9" ht="14.25" x14ac:dyDescent="0.2">
      <c r="B52" s="563" t="str">
        <f t="shared" si="0"/>
        <v>2019 CDM Programs</v>
      </c>
      <c r="C52" s="579"/>
      <c r="D52" s="579"/>
      <c r="E52" s="604"/>
      <c r="F52" s="604"/>
      <c r="G52" s="576">
        <f>F51</f>
        <v>1666666.6666666665</v>
      </c>
      <c r="H52" s="601"/>
      <c r="I52" s="578">
        <f>SUM(G52:H52)</f>
        <v>1666666.6666666665</v>
      </c>
    </row>
    <row r="53" spans="2:9" ht="16.5" customHeight="1" thickBot="1" x14ac:dyDescent="0.25">
      <c r="B53" s="568" t="str">
        <f t="shared" si="0"/>
        <v>2020 CDM Programs</v>
      </c>
      <c r="C53" s="582"/>
      <c r="D53" s="582"/>
      <c r="E53" s="582"/>
      <c r="F53" s="582"/>
      <c r="G53" s="582"/>
      <c r="H53" s="605">
        <f>G52</f>
        <v>1666666.6666666665</v>
      </c>
      <c r="I53" s="584">
        <f>SUM(C53:H53)</f>
        <v>1666666.6666666665</v>
      </c>
    </row>
    <row r="54" spans="2:9" ht="16.5" thickTop="1" thickBot="1" x14ac:dyDescent="0.3">
      <c r="B54" s="585" t="s">
        <v>53</v>
      </c>
      <c r="C54" s="586">
        <f>SUM(C48:C53)</f>
        <v>1666666.6666666665</v>
      </c>
      <c r="D54" s="586">
        <f>SUM(D48:D53)</f>
        <v>1666666.6666666665</v>
      </c>
      <c r="E54" s="586">
        <f>SUM(E48:E53)</f>
        <v>1666666.6666666665</v>
      </c>
      <c r="F54" s="586">
        <f>SUM(F48:F51)</f>
        <v>1666666.6666666665</v>
      </c>
      <c r="G54" s="586">
        <f>SUM(G48:G52)</f>
        <v>1666666.6666666665</v>
      </c>
      <c r="H54" s="587">
        <f>SUM(H48:H53)</f>
        <v>1666666.6666666665</v>
      </c>
      <c r="I54" s="588">
        <f>B37</f>
        <v>10000000</v>
      </c>
    </row>
    <row r="55" spans="2:9" ht="15" x14ac:dyDescent="0.25">
      <c r="B55" s="589"/>
      <c r="C55" s="590"/>
      <c r="D55" s="590"/>
      <c r="E55" s="590"/>
      <c r="F55" s="590"/>
      <c r="G55" s="590"/>
      <c r="H55" s="557"/>
      <c r="I55" s="557"/>
    </row>
    <row r="56" spans="2:9" ht="23.25" x14ac:dyDescent="0.35">
      <c r="B56" s="1134" t="s">
        <v>201</v>
      </c>
      <c r="C56" s="1134"/>
      <c r="D56" s="1134"/>
      <c r="E56" s="1134"/>
      <c r="F56" s="1134"/>
      <c r="G56" s="1134"/>
      <c r="H56" s="1134"/>
      <c r="I56" s="1134"/>
    </row>
    <row r="57" spans="2:9" ht="15" x14ac:dyDescent="0.25">
      <c r="B57" s="589"/>
      <c r="C57" s="590"/>
      <c r="D57" s="590"/>
      <c r="E57" s="590"/>
      <c r="F57" s="590"/>
      <c r="G57" s="590"/>
      <c r="H57" s="557"/>
      <c r="I57" s="557"/>
    </row>
    <row r="58" spans="2:9" ht="60" customHeight="1" x14ac:dyDescent="0.2">
      <c r="B58" s="1112" t="s">
        <v>202</v>
      </c>
      <c r="C58" s="1112"/>
      <c r="D58" s="1112"/>
      <c r="E58" s="1112"/>
      <c r="F58" s="1112"/>
      <c r="G58" s="1112"/>
      <c r="H58" s="1112"/>
      <c r="I58" s="1112"/>
    </row>
    <row r="59" spans="2:9" ht="15" customHeight="1" x14ac:dyDescent="0.2">
      <c r="B59" s="1112" t="s">
        <v>203</v>
      </c>
      <c r="C59" s="1112"/>
      <c r="D59" s="1112"/>
      <c r="E59" s="1112"/>
      <c r="F59" s="1112"/>
      <c r="G59" s="1112"/>
      <c r="H59" s="1112"/>
      <c r="I59" s="1112"/>
    </row>
    <row r="60" spans="2:9" ht="15" thickBot="1" x14ac:dyDescent="0.25">
      <c r="B60" s="606"/>
      <c r="C60" s="607"/>
      <c r="D60" s="607"/>
      <c r="E60" s="607"/>
      <c r="F60" s="607"/>
      <c r="G60" s="607"/>
      <c r="H60" s="557"/>
      <c r="I60" s="557"/>
    </row>
    <row r="61" spans="2:9" ht="15" x14ac:dyDescent="0.25">
      <c r="B61" s="1120" t="s">
        <v>68</v>
      </c>
      <c r="C61" s="1121"/>
      <c r="D61" s="1121"/>
      <c r="E61" s="1121"/>
      <c r="F61" s="1121"/>
      <c r="G61" s="1122"/>
      <c r="H61" s="557"/>
      <c r="I61" s="557"/>
    </row>
    <row r="62" spans="2:9" ht="15" x14ac:dyDescent="0.25">
      <c r="B62" s="608"/>
      <c r="C62" s="609"/>
      <c r="D62" s="609"/>
      <c r="E62" s="609"/>
      <c r="F62" s="609"/>
      <c r="G62" s="610"/>
      <c r="H62" s="557"/>
      <c r="I62" s="557"/>
    </row>
    <row r="63" spans="2:9" ht="15" x14ac:dyDescent="0.25">
      <c r="B63" s="1136" t="s">
        <v>69</v>
      </c>
      <c r="C63" s="1137"/>
      <c r="D63" s="1137"/>
      <c r="E63" s="1137"/>
      <c r="F63" s="1137"/>
      <c r="G63" s="611" t="s">
        <v>70</v>
      </c>
      <c r="H63" s="557"/>
      <c r="I63" s="557"/>
    </row>
    <row r="64" spans="2:9" ht="15" x14ac:dyDescent="0.25">
      <c r="B64" s="612"/>
      <c r="C64" s="613"/>
      <c r="D64" s="613"/>
      <c r="E64" s="613"/>
      <c r="F64" s="613"/>
      <c r="G64" s="614"/>
      <c r="H64" s="557"/>
      <c r="I64" s="557"/>
    </row>
    <row r="65" spans="2:9" ht="45" x14ac:dyDescent="0.25">
      <c r="B65" s="615"/>
      <c r="C65" s="616"/>
      <c r="D65" s="609" t="s">
        <v>54</v>
      </c>
      <c r="E65" s="609" t="s">
        <v>55</v>
      </c>
      <c r="F65" s="609" t="s">
        <v>56</v>
      </c>
      <c r="G65" s="617" t="s">
        <v>71</v>
      </c>
      <c r="H65" s="557"/>
      <c r="I65" s="557"/>
    </row>
    <row r="66" spans="2:9" ht="15" customHeight="1" x14ac:dyDescent="0.2">
      <c r="B66" s="1138" t="s">
        <v>72</v>
      </c>
      <c r="C66" s="1139"/>
      <c r="D66" s="618" t="s">
        <v>35</v>
      </c>
      <c r="E66" s="618" t="s">
        <v>35</v>
      </c>
      <c r="F66" s="618" t="s">
        <v>35</v>
      </c>
      <c r="G66" s="619" t="s">
        <v>73</v>
      </c>
      <c r="H66" s="557"/>
      <c r="I66" s="557"/>
    </row>
    <row r="67" spans="2:9" ht="15" x14ac:dyDescent="0.2">
      <c r="B67" s="620" t="s">
        <v>74</v>
      </c>
      <c r="C67" s="621"/>
      <c r="D67" s="622"/>
      <c r="E67" s="622"/>
      <c r="F67" s="623"/>
      <c r="G67" s="624"/>
      <c r="H67" s="557"/>
      <c r="I67" s="557"/>
    </row>
    <row r="68" spans="2:9" ht="15" x14ac:dyDescent="0.2">
      <c r="B68" s="620" t="s">
        <v>75</v>
      </c>
      <c r="C68" s="621"/>
      <c r="D68" s="622"/>
      <c r="E68" s="622"/>
      <c r="F68" s="623"/>
      <c r="G68" s="624"/>
      <c r="H68" s="557"/>
      <c r="I68" s="557"/>
    </row>
    <row r="69" spans="2:9" ht="15" x14ac:dyDescent="0.2">
      <c r="B69" s="620" t="s">
        <v>76</v>
      </c>
      <c r="C69" s="621"/>
      <c r="D69" s="622"/>
      <c r="E69" s="622"/>
      <c r="F69" s="623"/>
      <c r="G69" s="624"/>
      <c r="H69" s="557"/>
      <c r="I69" s="557"/>
    </row>
    <row r="70" spans="2:9" ht="15.75" thickBot="1" x14ac:dyDescent="0.25">
      <c r="B70" s="625" t="s">
        <v>204</v>
      </c>
      <c r="C70" s="626"/>
      <c r="D70" s="627"/>
      <c r="E70" s="627"/>
      <c r="F70" s="623"/>
      <c r="G70" s="624"/>
      <c r="H70" s="557"/>
      <c r="I70" s="557"/>
    </row>
    <row r="71" spans="2:9" ht="16.5" customHeight="1" thickTop="1" thickBot="1" x14ac:dyDescent="0.25">
      <c r="B71" s="1140" t="s">
        <v>205</v>
      </c>
      <c r="C71" s="1141"/>
      <c r="D71" s="628">
        <f>SUM(D67:D70)</f>
        <v>0</v>
      </c>
      <c r="E71" s="628">
        <f>SUM(E67:E70)</f>
        <v>0</v>
      </c>
      <c r="F71" s="629">
        <f>D71-E71</f>
        <v>0</v>
      </c>
      <c r="G71" s="630">
        <f>IF(E71=0,0,IF(G63="net",0,F71/E71))</f>
        <v>0</v>
      </c>
      <c r="H71" s="557"/>
      <c r="I71" s="557"/>
    </row>
    <row r="72" spans="2:9" ht="15" x14ac:dyDescent="0.2">
      <c r="B72" s="631"/>
      <c r="C72" s="631"/>
      <c r="D72" s="632"/>
      <c r="E72" s="632"/>
      <c r="F72" s="567"/>
      <c r="G72" s="633"/>
      <c r="H72" s="557"/>
      <c r="I72" s="557"/>
    </row>
    <row r="73" spans="2:9" ht="38.25" customHeight="1" x14ac:dyDescent="0.2">
      <c r="B73" s="1112" t="s">
        <v>77</v>
      </c>
      <c r="C73" s="1112"/>
      <c r="D73" s="1112"/>
      <c r="E73" s="1112"/>
      <c r="F73" s="1112"/>
      <c r="G73" s="1112"/>
      <c r="H73" s="1112"/>
      <c r="I73" s="1112"/>
    </row>
    <row r="74" spans="2:9" ht="33.75" customHeight="1" x14ac:dyDescent="0.2">
      <c r="B74" s="1112" t="s">
        <v>78</v>
      </c>
      <c r="C74" s="1112"/>
      <c r="D74" s="1112"/>
      <c r="E74" s="1112"/>
      <c r="F74" s="1112"/>
      <c r="G74" s="1112"/>
      <c r="H74" s="1112"/>
      <c r="I74" s="1112"/>
    </row>
    <row r="75" spans="2:9" ht="15" x14ac:dyDescent="0.2">
      <c r="B75" s="631"/>
      <c r="C75" s="634"/>
      <c r="D75" s="632"/>
      <c r="E75" s="632"/>
      <c r="F75" s="632"/>
      <c r="G75" s="633"/>
      <c r="H75" s="557"/>
      <c r="I75" s="557"/>
    </row>
    <row r="76" spans="2:9" ht="15.75" customHeight="1" thickBot="1" x14ac:dyDescent="0.25">
      <c r="B76" s="1135" t="s">
        <v>79</v>
      </c>
      <c r="C76" s="1135"/>
      <c r="D76" s="1135"/>
      <c r="E76" s="1135"/>
      <c r="F76" s="1135"/>
      <c r="G76" s="1135"/>
      <c r="H76" s="567"/>
      <c r="I76" s="557"/>
    </row>
    <row r="77" spans="2:9" ht="15" x14ac:dyDescent="0.2">
      <c r="B77" s="635"/>
      <c r="C77" s="636">
        <v>2011</v>
      </c>
      <c r="D77" s="636">
        <v>2012</v>
      </c>
      <c r="E77" s="636">
        <v>2013</v>
      </c>
      <c r="F77" s="636">
        <v>2014</v>
      </c>
      <c r="G77" s="637">
        <v>2015</v>
      </c>
      <c r="H77" s="638"/>
      <c r="I77" s="557"/>
    </row>
    <row r="78" spans="2:9" ht="60" x14ac:dyDescent="0.2">
      <c r="B78" s="639" t="s">
        <v>80</v>
      </c>
      <c r="C78" s="640">
        <v>0</v>
      </c>
      <c r="D78" s="640">
        <v>0</v>
      </c>
      <c r="E78" s="640">
        <v>0.5</v>
      </c>
      <c r="F78" s="640">
        <v>1</v>
      </c>
      <c r="G78" s="640">
        <v>0.5</v>
      </c>
      <c r="H78" s="641" t="s">
        <v>208</v>
      </c>
      <c r="I78" s="557"/>
    </row>
    <row r="79" spans="2:9" ht="271.5" thickBot="1" x14ac:dyDescent="0.25">
      <c r="B79" s="642" t="s">
        <v>81</v>
      </c>
      <c r="C79" s="643" t="s">
        <v>209</v>
      </c>
      <c r="D79" s="643" t="s">
        <v>210</v>
      </c>
      <c r="E79" s="643" t="s">
        <v>211</v>
      </c>
      <c r="F79" s="643" t="s">
        <v>212</v>
      </c>
      <c r="G79" s="643" t="s">
        <v>213</v>
      </c>
      <c r="H79" s="630"/>
      <c r="I79" s="557"/>
    </row>
    <row r="80" spans="2:9" ht="14.25" x14ac:dyDescent="0.2">
      <c r="B80" s="644"/>
      <c r="C80" s="645"/>
      <c r="D80" s="645"/>
      <c r="E80" s="645"/>
      <c r="F80" s="645"/>
      <c r="G80" s="645"/>
      <c r="H80" s="633"/>
      <c r="I80" s="557"/>
    </row>
    <row r="81" spans="2:11" ht="23.25" x14ac:dyDescent="0.2">
      <c r="B81" s="1130" t="s">
        <v>214</v>
      </c>
      <c r="C81" s="1130"/>
      <c r="D81" s="1130"/>
      <c r="E81" s="1130"/>
      <c r="F81" s="1130"/>
      <c r="G81" s="1130"/>
      <c r="H81" s="1130"/>
      <c r="I81" s="1130"/>
    </row>
    <row r="82" spans="2:11" ht="18.75" x14ac:dyDescent="0.2">
      <c r="B82" s="646"/>
      <c r="C82" s="646"/>
      <c r="D82" s="646"/>
      <c r="E82" s="646"/>
      <c r="F82" s="646"/>
      <c r="G82" s="646"/>
      <c r="H82" s="646"/>
      <c r="I82" s="646"/>
    </row>
    <row r="83" spans="2:11" ht="34.5" customHeight="1" x14ac:dyDescent="0.2">
      <c r="B83" s="1127" t="s">
        <v>215</v>
      </c>
      <c r="C83" s="1127"/>
      <c r="D83" s="1127"/>
      <c r="E83" s="1127"/>
      <c r="F83" s="1127"/>
      <c r="G83" s="1127"/>
      <c r="H83" s="1127"/>
      <c r="I83" s="1127"/>
    </row>
    <row r="84" spans="2:11" ht="15.75" thickBot="1" x14ac:dyDescent="0.25">
      <c r="B84" s="631"/>
      <c r="C84" s="634"/>
      <c r="D84" s="632"/>
      <c r="E84" s="632"/>
      <c r="F84" s="632"/>
      <c r="G84" s="633"/>
      <c r="H84" s="557"/>
      <c r="I84" s="557"/>
    </row>
    <row r="85" spans="2:11" ht="15" x14ac:dyDescent="0.25">
      <c r="B85" s="647"/>
      <c r="C85" s="648">
        <v>2011</v>
      </c>
      <c r="D85" s="648">
        <v>2012</v>
      </c>
      <c r="E85" s="648">
        <v>2013</v>
      </c>
      <c r="F85" s="648">
        <v>2014</v>
      </c>
      <c r="G85" s="649">
        <v>2015</v>
      </c>
      <c r="H85" s="649" t="s">
        <v>216</v>
      </c>
      <c r="I85" s="650" t="s">
        <v>156</v>
      </c>
    </row>
    <row r="86" spans="2:11" ht="15" x14ac:dyDescent="0.2">
      <c r="B86" s="651"/>
      <c r="C86" s="1128" t="s">
        <v>35</v>
      </c>
      <c r="D86" s="1128"/>
      <c r="E86" s="1128"/>
      <c r="F86" s="1128"/>
      <c r="G86" s="1128"/>
      <c r="H86" s="1128"/>
      <c r="I86" s="1129"/>
    </row>
    <row r="87" spans="2:11" ht="42.75" x14ac:dyDescent="0.2">
      <c r="B87" s="652" t="s">
        <v>82</v>
      </c>
      <c r="C87" s="653">
        <f>F26</f>
        <v>701000</v>
      </c>
      <c r="D87" s="653">
        <f>F27</f>
        <v>771000</v>
      </c>
      <c r="E87" s="653">
        <f>F28</f>
        <v>724000</v>
      </c>
      <c r="F87" s="653">
        <f>F29</f>
        <v>2030000</v>
      </c>
      <c r="G87" s="654"/>
      <c r="H87" s="655">
        <f>SUM(C87:F87)</f>
        <v>4226000</v>
      </c>
      <c r="I87" s="656"/>
    </row>
    <row r="88" spans="2:11" ht="14.25" x14ac:dyDescent="0.2">
      <c r="B88" s="652"/>
      <c r="C88" s="653"/>
      <c r="D88" s="653"/>
      <c r="E88" s="653"/>
      <c r="F88" s="653"/>
      <c r="G88" s="657"/>
      <c r="H88" s="658"/>
      <c r="I88" s="656"/>
    </row>
    <row r="89" spans="2:11" ht="57" x14ac:dyDescent="0.2">
      <c r="B89" s="659" t="s">
        <v>217</v>
      </c>
      <c r="C89" s="660">
        <v>100000</v>
      </c>
      <c r="D89" s="661">
        <f>C89</f>
        <v>100000</v>
      </c>
      <c r="E89" s="661">
        <f>C89</f>
        <v>100000</v>
      </c>
      <c r="F89" s="661">
        <f>C89</f>
        <v>100000</v>
      </c>
      <c r="G89" s="662"/>
      <c r="H89" s="663">
        <f>SUM(C89:F90)</f>
        <v>400000</v>
      </c>
      <c r="I89" s="664"/>
    </row>
    <row r="90" spans="2:11" ht="14.25" x14ac:dyDescent="0.2">
      <c r="B90" s="665"/>
      <c r="C90" s="666"/>
      <c r="D90" s="666"/>
      <c r="E90" s="666"/>
      <c r="F90" s="666"/>
      <c r="G90" s="666"/>
      <c r="H90" s="666"/>
      <c r="I90" s="667"/>
    </row>
    <row r="91" spans="2:11" ht="43.5" thickBot="1" x14ac:dyDescent="0.25">
      <c r="B91" s="668" t="s">
        <v>218</v>
      </c>
      <c r="C91" s="669"/>
      <c r="D91" s="670"/>
      <c r="E91" s="670"/>
      <c r="F91" s="670"/>
      <c r="G91" s="654">
        <f>C48</f>
        <v>1666666.6666666665</v>
      </c>
      <c r="H91" s="671"/>
      <c r="I91" s="672">
        <f>SUM(C91:G91)</f>
        <v>1666666.6666666665</v>
      </c>
    </row>
    <row r="92" spans="2:11" ht="15.75" thickTop="1" thickBot="1" x14ac:dyDescent="0.25">
      <c r="B92" s="673"/>
      <c r="C92" s="674"/>
      <c r="D92" s="675"/>
      <c r="E92" s="675"/>
      <c r="F92" s="675"/>
      <c r="G92" s="674"/>
      <c r="H92" s="675"/>
      <c r="I92" s="676"/>
    </row>
    <row r="93" spans="2:11" ht="43.5" thickTop="1" x14ac:dyDescent="0.2">
      <c r="B93" s="659" t="s">
        <v>219</v>
      </c>
      <c r="C93" s="677">
        <v>0</v>
      </c>
      <c r="D93" s="678">
        <f>D87*(1+G71)*D78</f>
        <v>0</v>
      </c>
      <c r="E93" s="678">
        <f>E87*(1+G71)*E78</f>
        <v>362000</v>
      </c>
      <c r="F93" s="678">
        <f>F87*(1+G71)*F78</f>
        <v>2030000</v>
      </c>
      <c r="G93" s="679">
        <f>G91*(1+G71)*G78</f>
        <v>833333.33333333326</v>
      </c>
      <c r="H93" s="680"/>
      <c r="I93" s="683">
        <f>SUM(C93:G93)</f>
        <v>3225333.333333333</v>
      </c>
      <c r="K93" s="417" t="s">
        <v>221</v>
      </c>
    </row>
    <row r="94" spans="2:11" ht="14.25" x14ac:dyDescent="0.2">
      <c r="B94" s="665"/>
      <c r="C94" s="681"/>
      <c r="D94" s="681"/>
      <c r="E94" s="681"/>
      <c r="F94" s="681"/>
      <c r="G94" s="681"/>
      <c r="H94" s="681"/>
      <c r="I94" s="682"/>
    </row>
    <row r="95" spans="2:11" x14ac:dyDescent="0.2">
      <c r="B95" s="380"/>
      <c r="C95" s="380"/>
      <c r="D95" s="381"/>
      <c r="E95" s="381"/>
      <c r="F95" s="381"/>
      <c r="G95" s="381"/>
      <c r="H95" s="379"/>
    </row>
    <row r="96" spans="2:11" x14ac:dyDescent="0.2">
      <c r="B96" s="380"/>
      <c r="C96" s="380"/>
      <c r="D96" s="381"/>
      <c r="E96" s="381"/>
      <c r="F96" s="381"/>
      <c r="G96" s="381"/>
      <c r="H96" s="379"/>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6"/>
      <c r="O101" s="233"/>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5"/>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O141"/>
  <sheetViews>
    <sheetView showGridLines="0" topLeftCell="A109" zoomScale="90" zoomScaleNormal="90" workbookViewId="0">
      <selection activeCell="F122" sqref="F122"/>
    </sheetView>
  </sheetViews>
  <sheetFormatPr defaultRowHeight="15" x14ac:dyDescent="0.25"/>
  <cols>
    <col min="1" max="1" width="36" style="913" customWidth="1"/>
    <col min="2" max="5" width="17.6640625" style="913" customWidth="1"/>
    <col min="6" max="6" width="20" style="913" bestFit="1" customWidth="1"/>
    <col min="7" max="7" width="17.6640625" style="913" customWidth="1"/>
    <col min="8" max="8" width="18.5" style="913" bestFit="1" customWidth="1"/>
    <col min="9" max="9" width="17" style="913" bestFit="1" customWidth="1"/>
    <col min="10" max="12" width="10.6640625" style="913" hidden="1" customWidth="1"/>
    <col min="13" max="13" width="0" style="913" hidden="1" customWidth="1"/>
    <col min="14" max="14" width="7" style="913" bestFit="1" customWidth="1"/>
    <col min="15" max="16384" width="9.33203125" style="913"/>
  </cols>
  <sheetData>
    <row r="1" spans="1:10" s="791" customFormat="1" ht="12.75" customHeight="1" x14ac:dyDescent="0.25">
      <c r="G1" s="912" t="s">
        <v>442</v>
      </c>
      <c r="H1" s="840" t="s">
        <v>464</v>
      </c>
      <c r="I1" s="913"/>
      <c r="J1" s="840"/>
    </row>
    <row r="2" spans="1:10" s="791" customFormat="1" ht="12.75" customHeight="1" x14ac:dyDescent="0.25">
      <c r="G2" s="912" t="s">
        <v>443</v>
      </c>
      <c r="H2" s="914">
        <v>3</v>
      </c>
      <c r="I2" s="913"/>
      <c r="J2" s="915"/>
    </row>
    <row r="3" spans="1:10" s="791" customFormat="1" ht="12.75" customHeight="1" x14ac:dyDescent="0.25">
      <c r="G3" s="912" t="s">
        <v>444</v>
      </c>
      <c r="H3" s="914">
        <v>2</v>
      </c>
      <c r="I3" s="913"/>
      <c r="J3" s="915"/>
    </row>
    <row r="4" spans="1:10" s="791" customFormat="1" ht="12.75" customHeight="1" x14ac:dyDescent="0.25">
      <c r="G4" s="912" t="s">
        <v>445</v>
      </c>
      <c r="H4" s="914">
        <v>1</v>
      </c>
      <c r="I4" s="913"/>
      <c r="J4" s="915"/>
    </row>
    <row r="5" spans="1:10" s="791" customFormat="1" ht="12.75" customHeight="1" x14ac:dyDescent="0.25">
      <c r="G5" s="912" t="s">
        <v>446</v>
      </c>
      <c r="H5" s="916" t="s">
        <v>475</v>
      </c>
      <c r="I5" s="913"/>
      <c r="J5" s="917"/>
    </row>
    <row r="6" spans="1:10" s="791" customFormat="1" ht="12.75" customHeight="1" x14ac:dyDescent="0.25">
      <c r="G6" s="912"/>
      <c r="H6" s="840"/>
      <c r="I6" s="913"/>
      <c r="J6" s="917"/>
    </row>
    <row r="7" spans="1:10" s="791" customFormat="1" ht="12.75" customHeight="1" x14ac:dyDescent="0.25">
      <c r="G7" s="912" t="s">
        <v>447</v>
      </c>
      <c r="H7" s="918">
        <v>42489</v>
      </c>
      <c r="I7" s="913"/>
      <c r="J7" s="917"/>
    </row>
    <row r="8" spans="1:10" s="791" customFormat="1" ht="12.75" x14ac:dyDescent="0.2">
      <c r="G8" s="792"/>
    </row>
    <row r="9" spans="1:10" s="791" customFormat="1" ht="18" x14ac:dyDescent="0.25">
      <c r="A9" s="1147" t="s">
        <v>476</v>
      </c>
      <c r="B9" s="1147"/>
      <c r="C9" s="1147"/>
      <c r="D9" s="1147"/>
      <c r="E9" s="1147"/>
      <c r="F9" s="1147"/>
      <c r="G9" s="1147"/>
      <c r="H9" s="1147"/>
    </row>
    <row r="10" spans="1:10" s="791" customFormat="1" ht="18" x14ac:dyDescent="0.25">
      <c r="A10" s="1147" t="s">
        <v>404</v>
      </c>
      <c r="B10" s="1147"/>
      <c r="C10" s="1147"/>
      <c r="D10" s="1147"/>
      <c r="E10" s="1147"/>
      <c r="F10" s="1147"/>
      <c r="G10" s="1147"/>
      <c r="H10" s="1147"/>
    </row>
    <row r="11" spans="1:10" ht="12" customHeight="1" x14ac:dyDescent="0.25"/>
    <row r="12" spans="1:10" ht="57" customHeight="1" x14ac:dyDescent="0.25">
      <c r="A12" s="1148" t="s">
        <v>405</v>
      </c>
      <c r="B12" s="1148"/>
      <c r="C12" s="1148"/>
      <c r="D12" s="1148"/>
      <c r="E12" s="1148"/>
      <c r="F12" s="1148"/>
      <c r="G12" s="1148"/>
      <c r="H12" s="1148"/>
    </row>
    <row r="13" spans="1:10" ht="12" customHeight="1" x14ac:dyDescent="0.25"/>
    <row r="14" spans="1:10" ht="77.25" customHeight="1" x14ac:dyDescent="0.25">
      <c r="A14" s="1148" t="s">
        <v>406</v>
      </c>
      <c r="B14" s="1148"/>
      <c r="C14" s="1148"/>
      <c r="D14" s="1148"/>
      <c r="E14" s="1148"/>
      <c r="F14" s="1148"/>
      <c r="G14" s="1148"/>
      <c r="H14" s="1148"/>
    </row>
    <row r="15" spans="1:10" ht="12" customHeight="1" x14ac:dyDescent="0.25"/>
    <row r="16" spans="1:10" ht="77.25" customHeight="1" x14ac:dyDescent="0.25">
      <c r="A16" s="1148" t="s">
        <v>407</v>
      </c>
      <c r="B16" s="1148"/>
      <c r="C16" s="1148"/>
      <c r="D16" s="1148"/>
      <c r="E16" s="1148"/>
      <c r="F16" s="1148"/>
      <c r="G16" s="1148"/>
      <c r="H16" s="1148"/>
    </row>
    <row r="17" spans="1:8" ht="12" customHeight="1" x14ac:dyDescent="0.25"/>
    <row r="18" spans="1:8" ht="61.5" customHeight="1" x14ac:dyDescent="0.25">
      <c r="A18" s="1148" t="s">
        <v>408</v>
      </c>
      <c r="B18" s="1148"/>
      <c r="C18" s="1148"/>
      <c r="D18" s="1148"/>
      <c r="E18" s="1148"/>
      <c r="F18" s="1148"/>
      <c r="G18" s="1148"/>
      <c r="H18" s="1148"/>
    </row>
    <row r="19" spans="1:8" ht="12" customHeight="1" x14ac:dyDescent="0.25"/>
    <row r="20" spans="1:8" ht="18.75" x14ac:dyDescent="0.25">
      <c r="A20" s="1153" t="s">
        <v>207</v>
      </c>
      <c r="B20" s="1153"/>
      <c r="C20" s="1153"/>
      <c r="D20" s="1153"/>
      <c r="E20" s="1153"/>
      <c r="F20" s="1153"/>
      <c r="G20" s="1153"/>
      <c r="H20" s="1153"/>
    </row>
    <row r="21" spans="1:8" ht="12" customHeight="1" x14ac:dyDescent="0.25"/>
    <row r="22" spans="1:8" x14ac:dyDescent="0.25">
      <c r="A22" s="1154" t="s">
        <v>409</v>
      </c>
      <c r="B22" s="1154"/>
      <c r="C22" s="1154"/>
      <c r="D22" s="1154"/>
      <c r="E22" s="1154"/>
      <c r="F22" s="1154"/>
      <c r="G22" s="1154"/>
      <c r="H22" s="1154"/>
    </row>
    <row r="23" spans="1:8" x14ac:dyDescent="0.25">
      <c r="A23" s="919"/>
      <c r="B23" s="919"/>
      <c r="C23" s="919"/>
      <c r="D23" s="919"/>
      <c r="E23" s="919"/>
      <c r="F23" s="919"/>
    </row>
    <row r="24" spans="1:8" ht="28.5" customHeight="1" x14ac:dyDescent="0.25">
      <c r="A24" s="1152" t="s">
        <v>410</v>
      </c>
      <c r="B24" s="1152"/>
      <c r="C24" s="1152"/>
      <c r="D24" s="1152"/>
      <c r="E24" s="1152"/>
      <c r="F24" s="1152"/>
      <c r="G24" s="1152"/>
      <c r="H24" s="1152"/>
    </row>
    <row r="25" spans="1:8" ht="12" customHeight="1" x14ac:dyDescent="0.25">
      <c r="A25" s="919"/>
      <c r="B25" s="919"/>
      <c r="C25" s="919"/>
      <c r="D25" s="919"/>
      <c r="E25" s="919"/>
      <c r="F25" s="919"/>
    </row>
    <row r="26" spans="1:8" ht="28.5" customHeight="1" x14ac:dyDescent="0.25">
      <c r="A26" s="1152" t="s">
        <v>411</v>
      </c>
      <c r="B26" s="1152"/>
      <c r="C26" s="1152"/>
      <c r="D26" s="1152"/>
      <c r="E26" s="1152"/>
      <c r="F26" s="1152"/>
      <c r="G26" s="1152"/>
      <c r="H26" s="1152"/>
    </row>
    <row r="27" spans="1:8" ht="12" customHeight="1" x14ac:dyDescent="0.25">
      <c r="A27" s="793"/>
      <c r="B27" s="920"/>
      <c r="C27" s="920"/>
      <c r="D27" s="920"/>
      <c r="E27" s="920"/>
      <c r="F27" s="920"/>
    </row>
    <row r="28" spans="1:8" ht="46.5" customHeight="1" x14ac:dyDescent="0.25">
      <c r="A28" s="1152" t="s">
        <v>412</v>
      </c>
      <c r="B28" s="1152"/>
      <c r="C28" s="1152"/>
      <c r="D28" s="1152"/>
      <c r="E28" s="1152"/>
      <c r="F28" s="1152"/>
      <c r="G28" s="1152"/>
      <c r="H28" s="1152"/>
    </row>
    <row r="29" spans="1:8" ht="12" customHeight="1" x14ac:dyDescent="0.25">
      <c r="A29" s="793"/>
      <c r="B29" s="920"/>
      <c r="C29" s="920"/>
      <c r="D29" s="920"/>
      <c r="E29" s="920"/>
      <c r="F29" s="920"/>
    </row>
    <row r="30" spans="1:8" ht="57.75" customHeight="1" x14ac:dyDescent="0.25">
      <c r="A30" s="1152" t="s">
        <v>413</v>
      </c>
      <c r="B30" s="1152"/>
      <c r="C30" s="1152"/>
      <c r="D30" s="1152"/>
      <c r="E30" s="1152"/>
      <c r="F30" s="1152"/>
      <c r="G30" s="1152"/>
      <c r="H30" s="1152"/>
    </row>
    <row r="31" spans="1:8" ht="12" customHeight="1" x14ac:dyDescent="0.25">
      <c r="A31" s="1152"/>
      <c r="B31" s="1152"/>
      <c r="C31" s="1152"/>
      <c r="D31" s="1152"/>
      <c r="E31" s="1152"/>
      <c r="F31" s="1152"/>
      <c r="G31" s="1152"/>
      <c r="H31" s="1152"/>
    </row>
    <row r="32" spans="1:8" ht="12" customHeight="1" thickBot="1" x14ac:dyDescent="0.3">
      <c r="A32" s="794"/>
      <c r="B32" s="920"/>
      <c r="C32" s="920"/>
      <c r="D32" s="920"/>
      <c r="E32" s="920"/>
      <c r="F32" s="920"/>
    </row>
    <row r="33" spans="1:14" x14ac:dyDescent="0.25">
      <c r="A33" s="1155" t="s">
        <v>48</v>
      </c>
      <c r="B33" s="1156"/>
      <c r="C33" s="1156"/>
      <c r="D33" s="1156"/>
      <c r="E33" s="1156"/>
      <c r="F33" s="1157"/>
      <c r="G33" s="1158" t="s">
        <v>414</v>
      </c>
      <c r="H33" s="1159"/>
    </row>
    <row r="34" spans="1:14" x14ac:dyDescent="0.25">
      <c r="A34" s="1149">
        <v>4860000</v>
      </c>
      <c r="B34" s="1150"/>
      <c r="C34" s="1150"/>
      <c r="D34" s="1150"/>
      <c r="E34" s="1150"/>
      <c r="F34" s="1151"/>
      <c r="G34" s="1160"/>
      <c r="H34" s="1161"/>
    </row>
    <row r="35" spans="1:14" x14ac:dyDescent="0.25">
      <c r="A35" s="921"/>
      <c r="B35" s="922">
        <v>2011</v>
      </c>
      <c r="C35" s="922">
        <v>2012</v>
      </c>
      <c r="D35" s="922">
        <v>2013</v>
      </c>
      <c r="E35" s="922">
        <v>2014</v>
      </c>
      <c r="F35" s="923" t="s">
        <v>16</v>
      </c>
      <c r="G35" s="924">
        <v>2015</v>
      </c>
      <c r="H35" s="925">
        <v>2016</v>
      </c>
      <c r="K35" s="913">
        <f>B35</f>
        <v>2011</v>
      </c>
      <c r="L35" s="913">
        <f>C35</f>
        <v>2012</v>
      </c>
      <c r="M35" s="913">
        <f>D35</f>
        <v>2013</v>
      </c>
      <c r="N35" s="913">
        <f>E35</f>
        <v>2014</v>
      </c>
    </row>
    <row r="36" spans="1:14" x14ac:dyDescent="0.25">
      <c r="A36" s="926" t="s">
        <v>49</v>
      </c>
      <c r="B36" s="795">
        <f>B42/$F$46</f>
        <v>0.1098055970946379</v>
      </c>
      <c r="C36" s="795">
        <f t="shared" ref="C36:E39" si="0">C42/$F$46</f>
        <v>0.1098055970946379</v>
      </c>
      <c r="D36" s="795">
        <f t="shared" si="0"/>
        <v>0.1098055970946379</v>
      </c>
      <c r="E36" s="796">
        <f t="shared" si="0"/>
        <v>0.1098055970946379</v>
      </c>
      <c r="F36" s="797">
        <f>SUM(B36:E36)</f>
        <v>0.4392223883785516</v>
      </c>
      <c r="G36" s="927"/>
      <c r="H36" s="928"/>
      <c r="J36" s="913" t="str">
        <f>A36</f>
        <v>2011 CDM Programs</v>
      </c>
      <c r="K36" s="798">
        <f>50%</f>
        <v>0.5</v>
      </c>
      <c r="L36" s="929">
        <v>1</v>
      </c>
      <c r="M36" s="930">
        <v>1</v>
      </c>
      <c r="N36" s="930">
        <v>1</v>
      </c>
    </row>
    <row r="37" spans="1:14" x14ac:dyDescent="0.25">
      <c r="A37" s="926" t="s">
        <v>50</v>
      </c>
      <c r="B37" s="931"/>
      <c r="C37" s="795">
        <f t="shared" si="0"/>
        <v>9.4210638752403333E-2</v>
      </c>
      <c r="D37" s="795">
        <f t="shared" si="0"/>
        <v>9.3997009186071359E-2</v>
      </c>
      <c r="E37" s="796">
        <f t="shared" si="0"/>
        <v>9.3997009186071359E-2</v>
      </c>
      <c r="F37" s="797">
        <f>SUM(B37:E37)</f>
        <v>0.28220465712454607</v>
      </c>
      <c r="G37" s="927"/>
      <c r="H37" s="928"/>
      <c r="J37" s="913" t="str">
        <f>A37</f>
        <v>2012 CDM Programs</v>
      </c>
      <c r="L37" s="929">
        <v>0.5</v>
      </c>
      <c r="M37" s="930">
        <v>1</v>
      </c>
      <c r="N37" s="930">
        <v>1</v>
      </c>
    </row>
    <row r="38" spans="1:14" x14ac:dyDescent="0.25">
      <c r="A38" s="926" t="s">
        <v>51</v>
      </c>
      <c r="B38" s="931"/>
      <c r="C38" s="931"/>
      <c r="D38" s="795">
        <f t="shared" si="0"/>
        <v>5.3834650715659051E-2</v>
      </c>
      <c r="E38" s="796">
        <f t="shared" si="0"/>
        <v>5.3621021149327069E-2</v>
      </c>
      <c r="F38" s="797">
        <f>SUM(B38:E38)</f>
        <v>0.10745567186498611</v>
      </c>
      <c r="G38" s="927"/>
      <c r="H38" s="928"/>
      <c r="J38" s="913" t="str">
        <f>A38</f>
        <v>2013 CDM Programs</v>
      </c>
      <c r="M38" s="930">
        <v>0.5</v>
      </c>
      <c r="N38" s="930">
        <v>1</v>
      </c>
    </row>
    <row r="39" spans="1:14" ht="15.75" thickBot="1" x14ac:dyDescent="0.3">
      <c r="A39" s="932" t="s">
        <v>52</v>
      </c>
      <c r="B39" s="933"/>
      <c r="C39" s="933"/>
      <c r="D39" s="933"/>
      <c r="E39" s="799">
        <f t="shared" si="0"/>
        <v>0.1337321085238197</v>
      </c>
      <c r="F39" s="800">
        <f>SUM(B39:E39)</f>
        <v>0.1337321085238197</v>
      </c>
      <c r="G39" s="927"/>
      <c r="H39" s="928"/>
      <c r="J39" s="913" t="str">
        <f>A39</f>
        <v>2014 CDM Programs</v>
      </c>
      <c r="N39" s="930">
        <v>0.5</v>
      </c>
    </row>
    <row r="40" spans="1:14" ht="15.75" thickTop="1" x14ac:dyDescent="0.25">
      <c r="A40" s="924" t="s">
        <v>53</v>
      </c>
      <c r="B40" s="934">
        <f>SUM(B36:B39)</f>
        <v>0.1098055970946379</v>
      </c>
      <c r="C40" s="934">
        <f>SUM(C36:C39)</f>
        <v>0.20401623584704123</v>
      </c>
      <c r="D40" s="934">
        <f>SUM(D36:D39)</f>
        <v>0.2576372569963683</v>
      </c>
      <c r="E40" s="935">
        <f>SUM(E36:E39)</f>
        <v>0.391155735953856</v>
      </c>
      <c r="F40" s="936">
        <f>SUM(B40:E40)</f>
        <v>0.96261482589190339</v>
      </c>
      <c r="G40" s="927"/>
      <c r="H40" s="928"/>
    </row>
    <row r="41" spans="1:14" ht="12" customHeight="1" x14ac:dyDescent="0.25">
      <c r="A41" s="1162" t="s">
        <v>35</v>
      </c>
      <c r="B41" s="1163"/>
      <c r="C41" s="1163"/>
      <c r="D41" s="1163"/>
      <c r="E41" s="1163"/>
      <c r="F41" s="1164"/>
      <c r="G41" s="927"/>
      <c r="H41" s="928"/>
    </row>
    <row r="42" spans="1:14" x14ac:dyDescent="0.25">
      <c r="A42" s="926" t="s">
        <v>49</v>
      </c>
      <c r="B42" s="801">
        <v>514000</v>
      </c>
      <c r="C42" s="801">
        <v>514000</v>
      </c>
      <c r="D42" s="801">
        <v>514000</v>
      </c>
      <c r="E42" s="801">
        <v>514000</v>
      </c>
      <c r="F42" s="802">
        <f>SUM(B42:E42)</f>
        <v>2056000</v>
      </c>
      <c r="G42" s="927"/>
      <c r="H42" s="928"/>
    </row>
    <row r="43" spans="1:14" x14ac:dyDescent="0.25">
      <c r="A43" s="926" t="s">
        <v>50</v>
      </c>
      <c r="B43" s="801">
        <v>-9000</v>
      </c>
      <c r="C43" s="801">
        <v>441000</v>
      </c>
      <c r="D43" s="801">
        <v>440000</v>
      </c>
      <c r="E43" s="801">
        <v>440000</v>
      </c>
      <c r="F43" s="802">
        <f>SUM(B43:E43)</f>
        <v>1312000</v>
      </c>
      <c r="G43" s="927"/>
      <c r="H43" s="928"/>
    </row>
    <row r="44" spans="1:14" x14ac:dyDescent="0.25">
      <c r="A44" s="926" t="s">
        <v>51</v>
      </c>
      <c r="B44" s="803"/>
      <c r="C44" s="803">
        <v>1000</v>
      </c>
      <c r="D44" s="801">
        <v>252000</v>
      </c>
      <c r="E44" s="801">
        <v>251000</v>
      </c>
      <c r="F44" s="802">
        <f>SUM(B44:E44)</f>
        <v>504000</v>
      </c>
      <c r="G44" s="927"/>
      <c r="H44" s="928"/>
    </row>
    <row r="45" spans="1:14" ht="15.75" thickBot="1" x14ac:dyDescent="0.3">
      <c r="A45" s="932" t="s">
        <v>52</v>
      </c>
      <c r="B45" s="805"/>
      <c r="C45" s="805"/>
      <c r="D45" s="801">
        <v>183000</v>
      </c>
      <c r="E45" s="801">
        <v>626000</v>
      </c>
      <c r="F45" s="807">
        <f>SUM(B45:E45)</f>
        <v>809000</v>
      </c>
      <c r="G45" s="937">
        <v>619740</v>
      </c>
      <c r="H45" s="938">
        <v>550880</v>
      </c>
    </row>
    <row r="46" spans="1:14" ht="16.5" thickTop="1" thickBot="1" x14ac:dyDescent="0.3">
      <c r="A46" s="939" t="s">
        <v>53</v>
      </c>
      <c r="B46" s="808">
        <f>SUM(B42:B45)</f>
        <v>505000</v>
      </c>
      <c r="C46" s="808">
        <f>SUM(C42:C45)</f>
        <v>956000</v>
      </c>
      <c r="D46" s="808">
        <f>SUM(D42:D45)</f>
        <v>1389000</v>
      </c>
      <c r="E46" s="809">
        <f>SUM(E42:E45)</f>
        <v>1831000</v>
      </c>
      <c r="F46" s="810">
        <f>SUM(F42:F45)</f>
        <v>4681000</v>
      </c>
      <c r="G46" s="940"/>
      <c r="H46" s="941"/>
    </row>
    <row r="47" spans="1:14" ht="12" customHeight="1" x14ac:dyDescent="0.25">
      <c r="A47" s="942"/>
      <c r="B47" s="811"/>
      <c r="C47" s="811"/>
      <c r="D47" s="811"/>
      <c r="E47" s="811"/>
      <c r="F47" s="811"/>
    </row>
    <row r="48" spans="1:14" ht="18.75" x14ac:dyDescent="0.25">
      <c r="A48" s="1153" t="s">
        <v>415</v>
      </c>
      <c r="B48" s="1153"/>
      <c r="C48" s="1153"/>
      <c r="D48" s="1153"/>
      <c r="E48" s="1153"/>
      <c r="F48" s="1153"/>
    </row>
    <row r="49" spans="1:8" x14ac:dyDescent="0.25">
      <c r="A49" s="942"/>
      <c r="B49" s="811"/>
      <c r="C49" s="811"/>
      <c r="D49" s="811"/>
      <c r="E49" s="811"/>
      <c r="F49" s="811"/>
    </row>
    <row r="50" spans="1:8" ht="96.75" customHeight="1" x14ac:dyDescent="0.25">
      <c r="A50" s="1145" t="s">
        <v>416</v>
      </c>
      <c r="B50" s="1145"/>
      <c r="C50" s="1145"/>
      <c r="D50" s="1145"/>
      <c r="E50" s="1145"/>
      <c r="F50" s="1145"/>
      <c r="G50" s="1145"/>
      <c r="H50" s="1145"/>
    </row>
    <row r="51" spans="1:8" ht="15.75" thickBot="1" x14ac:dyDescent="0.3">
      <c r="A51" s="942"/>
      <c r="B51" s="811"/>
      <c r="C51" s="811"/>
      <c r="D51" s="811"/>
      <c r="E51" s="811"/>
      <c r="F51" s="811"/>
    </row>
    <row r="52" spans="1:8" x14ac:dyDescent="0.25">
      <c r="A52" s="1165" t="s">
        <v>193</v>
      </c>
      <c r="B52" s="1166"/>
      <c r="C52" s="1166"/>
      <c r="D52" s="1166"/>
      <c r="E52" s="1166"/>
      <c r="F52" s="1166"/>
      <c r="G52" s="1166"/>
      <c r="H52" s="1167"/>
    </row>
    <row r="53" spans="1:8" x14ac:dyDescent="0.25">
      <c r="A53" s="1168">
        <v>4170000</v>
      </c>
      <c r="B53" s="1169"/>
      <c r="C53" s="1169"/>
      <c r="D53" s="1169"/>
      <c r="E53" s="1169"/>
      <c r="F53" s="1169"/>
      <c r="G53" s="1169"/>
      <c r="H53" s="1170"/>
    </row>
    <row r="54" spans="1:8" x14ac:dyDescent="0.25">
      <c r="A54" s="943"/>
      <c r="B54" s="944">
        <v>2015</v>
      </c>
      <c r="C54" s="944">
        <v>2016</v>
      </c>
      <c r="D54" s="944">
        <v>2017</v>
      </c>
      <c r="E54" s="944">
        <v>2018</v>
      </c>
      <c r="F54" s="944">
        <v>2019</v>
      </c>
      <c r="G54" s="944">
        <v>2020</v>
      </c>
      <c r="H54" s="945" t="s">
        <v>16</v>
      </c>
    </row>
    <row r="55" spans="1:8" x14ac:dyDescent="0.25">
      <c r="A55" s="1171" t="s">
        <v>194</v>
      </c>
      <c r="B55" s="1172"/>
      <c r="C55" s="1172"/>
      <c r="D55" s="1172"/>
      <c r="E55" s="1172"/>
      <c r="F55" s="1172"/>
      <c r="G55" s="1172"/>
      <c r="H55" s="1173"/>
    </row>
    <row r="56" spans="1:8" x14ac:dyDescent="0.25">
      <c r="A56" s="926" t="s">
        <v>195</v>
      </c>
      <c r="B56" s="795">
        <f>B64/$H$70</f>
        <v>8.4264748201438852E-2</v>
      </c>
      <c r="C56" s="812"/>
      <c r="D56" s="812"/>
      <c r="E56" s="812"/>
      <c r="F56" s="812"/>
      <c r="G56" s="813"/>
      <c r="H56" s="797">
        <f>SUM(B56:G56)</f>
        <v>8.4264748201438852E-2</v>
      </c>
    </row>
    <row r="57" spans="1:8" x14ac:dyDescent="0.25">
      <c r="A57" s="926" t="s">
        <v>196</v>
      </c>
      <c r="B57" s="931"/>
      <c r="C57" s="795">
        <f>C65/$H$70</f>
        <v>0.18314705035971221</v>
      </c>
      <c r="D57" s="812"/>
      <c r="E57" s="812"/>
      <c r="F57" s="812"/>
      <c r="G57" s="813"/>
      <c r="H57" s="797">
        <f>SUM(B57:G57)</f>
        <v>0.18314705035971221</v>
      </c>
    </row>
    <row r="58" spans="1:8" x14ac:dyDescent="0.25">
      <c r="A58" s="926" t="s">
        <v>197</v>
      </c>
      <c r="B58" s="931"/>
      <c r="C58" s="931"/>
      <c r="D58" s="795">
        <f>D66/$H$70</f>
        <v>0.18314705035971221</v>
      </c>
      <c r="E58" s="812"/>
      <c r="F58" s="812"/>
      <c r="G58" s="813"/>
      <c r="H58" s="797">
        <f>SUM(B58:G58)</f>
        <v>0.18314705035971221</v>
      </c>
    </row>
    <row r="59" spans="1:8" x14ac:dyDescent="0.25">
      <c r="A59" s="926" t="s">
        <v>198</v>
      </c>
      <c r="B59" s="931"/>
      <c r="C59" s="931"/>
      <c r="D59" s="795"/>
      <c r="E59" s="795">
        <f>E67/$H$70</f>
        <v>0.18314705035971221</v>
      </c>
      <c r="F59" s="812"/>
      <c r="G59" s="813"/>
      <c r="H59" s="797">
        <f>SUM(E59:G59)</f>
        <v>0.18314705035971221</v>
      </c>
    </row>
    <row r="60" spans="1:8" x14ac:dyDescent="0.25">
      <c r="A60" s="926" t="s">
        <v>199</v>
      </c>
      <c r="B60" s="931"/>
      <c r="C60" s="931"/>
      <c r="D60" s="795"/>
      <c r="E60" s="795"/>
      <c r="F60" s="795">
        <f>F68/$H$70</f>
        <v>0.18314705035971221</v>
      </c>
      <c r="G60" s="813"/>
      <c r="H60" s="797">
        <f>SUM(F60:G60)</f>
        <v>0.18314705035971221</v>
      </c>
    </row>
    <row r="61" spans="1:8" ht="15.75" thickBot="1" x14ac:dyDescent="0.3">
      <c r="A61" s="932" t="s">
        <v>200</v>
      </c>
      <c r="B61" s="933"/>
      <c r="C61" s="933"/>
      <c r="D61" s="933"/>
      <c r="E61" s="933"/>
      <c r="F61" s="933"/>
      <c r="G61" s="799">
        <f>G69/$H$70</f>
        <v>0.18314705035971221</v>
      </c>
      <c r="H61" s="800">
        <f>SUM(B61:G61)</f>
        <v>0.18314705035971221</v>
      </c>
    </row>
    <row r="62" spans="1:8" ht="15.75" thickTop="1" x14ac:dyDescent="0.25">
      <c r="A62" s="946" t="s">
        <v>53</v>
      </c>
      <c r="B62" s="947">
        <f>SUM(B56:B61)</f>
        <v>8.4264748201438852E-2</v>
      </c>
      <c r="C62" s="947">
        <f>SUM(C56:C61)</f>
        <v>0.18314705035971221</v>
      </c>
      <c r="D62" s="947">
        <f>SUM(D56:D61)</f>
        <v>0.18314705035971221</v>
      </c>
      <c r="E62" s="947">
        <f>SUM(E56:E59)</f>
        <v>0.18314705035971221</v>
      </c>
      <c r="F62" s="947">
        <f>SUM(F56:F60)</f>
        <v>0.18314705035971221</v>
      </c>
      <c r="G62" s="948">
        <f>SUM(G56:G61)</f>
        <v>0.18314705035971221</v>
      </c>
      <c r="H62" s="949">
        <f>SUM(B62:G62)</f>
        <v>1</v>
      </c>
    </row>
    <row r="63" spans="1:8" ht="12" customHeight="1" x14ac:dyDescent="0.25">
      <c r="A63" s="1162" t="s">
        <v>35</v>
      </c>
      <c r="B63" s="1163"/>
      <c r="C63" s="1163"/>
      <c r="D63" s="1163"/>
      <c r="E63" s="1163"/>
      <c r="F63" s="1163"/>
      <c r="G63" s="1163"/>
      <c r="H63" s="1164"/>
    </row>
    <row r="64" spans="1:8" x14ac:dyDescent="0.25">
      <c r="A64" s="926" t="str">
        <f t="shared" ref="A64:A69" si="1">A56</f>
        <v>2015 CDM Programs</v>
      </c>
      <c r="B64" s="1039">
        <v>351384</v>
      </c>
      <c r="C64" s="801"/>
      <c r="D64" s="812"/>
      <c r="E64" s="814"/>
      <c r="F64" s="814"/>
      <c r="G64" s="815"/>
      <c r="H64" s="802">
        <f>SUM(B64:G64)</f>
        <v>351384</v>
      </c>
    </row>
    <row r="65" spans="1:8" x14ac:dyDescent="0.25">
      <c r="A65" s="926" t="str">
        <f t="shared" si="1"/>
        <v>2016 CDM Programs</v>
      </c>
      <c r="B65" s="803"/>
      <c r="C65" s="804">
        <f>(A53-B64)/5</f>
        <v>763723.2</v>
      </c>
      <c r="D65" s="816"/>
      <c r="E65" s="816"/>
      <c r="F65" s="816"/>
      <c r="G65" s="817"/>
      <c r="H65" s="802">
        <f>SUM(B65:G65)</f>
        <v>763723.2</v>
      </c>
    </row>
    <row r="66" spans="1:8" x14ac:dyDescent="0.25">
      <c r="A66" s="926" t="str">
        <f t="shared" si="1"/>
        <v>2017 CDM Programs</v>
      </c>
      <c r="B66" s="803"/>
      <c r="C66" s="803"/>
      <c r="D66" s="804">
        <f>C65</f>
        <v>763723.2</v>
      </c>
      <c r="E66" s="816"/>
      <c r="F66" s="816"/>
      <c r="G66" s="817"/>
      <c r="H66" s="802">
        <f>SUM(B66:G66)</f>
        <v>763723.2</v>
      </c>
    </row>
    <row r="67" spans="1:8" x14ac:dyDescent="0.25">
      <c r="A67" s="926" t="str">
        <f t="shared" si="1"/>
        <v>2018 CDM Programs</v>
      </c>
      <c r="B67" s="803"/>
      <c r="C67" s="803"/>
      <c r="D67" s="818"/>
      <c r="E67" s="801">
        <f>D66</f>
        <v>763723.2</v>
      </c>
      <c r="F67" s="814"/>
      <c r="G67" s="815"/>
      <c r="H67" s="802">
        <f>SUM(E67:G67)</f>
        <v>763723.2</v>
      </c>
    </row>
    <row r="68" spans="1:8" x14ac:dyDescent="0.25">
      <c r="A68" s="926" t="str">
        <f t="shared" si="1"/>
        <v>2019 CDM Programs</v>
      </c>
      <c r="B68" s="803"/>
      <c r="C68" s="803"/>
      <c r="D68" s="818"/>
      <c r="E68" s="818"/>
      <c r="F68" s="801">
        <f>E67</f>
        <v>763723.2</v>
      </c>
      <c r="G68" s="815"/>
      <c r="H68" s="802">
        <f>SUM(F68:G68)</f>
        <v>763723.2</v>
      </c>
    </row>
    <row r="69" spans="1:8" ht="15.75" thickBot="1" x14ac:dyDescent="0.3">
      <c r="A69" s="932" t="str">
        <f t="shared" si="1"/>
        <v>2020 CDM Programs</v>
      </c>
      <c r="B69" s="805"/>
      <c r="C69" s="805"/>
      <c r="D69" s="805"/>
      <c r="E69" s="805"/>
      <c r="F69" s="805"/>
      <c r="G69" s="806">
        <f>F68</f>
        <v>763723.2</v>
      </c>
      <c r="H69" s="807">
        <f>SUM(B69:G69)</f>
        <v>763723.2</v>
      </c>
    </row>
    <row r="70" spans="1:8" ht="16.5" thickTop="1" thickBot="1" x14ac:dyDescent="0.3">
      <c r="A70" s="939" t="s">
        <v>53</v>
      </c>
      <c r="B70" s="808">
        <f>SUM(B64:B69)</f>
        <v>351384</v>
      </c>
      <c r="C70" s="808">
        <f>SUM(C64:C69)</f>
        <v>763723.2</v>
      </c>
      <c r="D70" s="808">
        <f>SUM(D64:D69)</f>
        <v>763723.2</v>
      </c>
      <c r="E70" s="808">
        <f>SUM(E64:E67)</f>
        <v>763723.2</v>
      </c>
      <c r="F70" s="808">
        <f>SUM(F64:F68)</f>
        <v>763723.2</v>
      </c>
      <c r="G70" s="809">
        <f>SUM(G64:G69)</f>
        <v>763723.2</v>
      </c>
      <c r="H70" s="810">
        <f>SUM(H64:H69)</f>
        <v>4170000</v>
      </c>
    </row>
    <row r="71" spans="1:8" ht="12" customHeight="1" x14ac:dyDescent="0.25">
      <c r="A71" s="942"/>
      <c r="B71" s="811"/>
      <c r="C71" s="811"/>
      <c r="D71" s="811"/>
      <c r="E71" s="811"/>
      <c r="F71" s="811"/>
    </row>
    <row r="72" spans="1:8" ht="18.75" x14ac:dyDescent="0.3">
      <c r="A72" s="1174" t="s">
        <v>417</v>
      </c>
      <c r="B72" s="1174"/>
      <c r="C72" s="1174"/>
      <c r="D72" s="1174"/>
      <c r="E72" s="1174"/>
      <c r="F72" s="1174"/>
      <c r="G72" s="1174"/>
      <c r="H72" s="1174"/>
    </row>
    <row r="73" spans="1:8" ht="12" customHeight="1" x14ac:dyDescent="0.25">
      <c r="A73" s="942"/>
      <c r="B73" s="811"/>
      <c r="C73" s="811"/>
      <c r="D73" s="811"/>
      <c r="E73" s="811"/>
      <c r="F73" s="811"/>
    </row>
    <row r="74" spans="1:8" ht="75" customHeight="1" x14ac:dyDescent="0.25">
      <c r="A74" s="1145" t="s">
        <v>202</v>
      </c>
      <c r="B74" s="1145"/>
      <c r="C74" s="1145"/>
      <c r="D74" s="1145"/>
      <c r="E74" s="1145"/>
      <c r="F74" s="1145"/>
      <c r="G74" s="1145"/>
      <c r="H74" s="1145"/>
    </row>
    <row r="75" spans="1:8" ht="12" customHeight="1" x14ac:dyDescent="0.25">
      <c r="A75" s="942"/>
      <c r="B75" s="811"/>
      <c r="C75" s="811"/>
      <c r="D75" s="811"/>
      <c r="E75" s="811"/>
      <c r="F75" s="811"/>
    </row>
    <row r="76" spans="1:8" ht="47.25" customHeight="1" x14ac:dyDescent="0.25">
      <c r="A76" s="1145" t="s">
        <v>418</v>
      </c>
      <c r="B76" s="1145"/>
      <c r="C76" s="1145"/>
      <c r="D76" s="1145"/>
      <c r="E76" s="1145"/>
      <c r="F76" s="1145"/>
      <c r="G76" s="1145"/>
      <c r="H76" s="1145"/>
    </row>
    <row r="77" spans="1:8" ht="12" customHeight="1" thickBot="1" x14ac:dyDescent="0.3">
      <c r="A77" s="950"/>
      <c r="B77" s="951"/>
      <c r="C77" s="951"/>
      <c r="D77" s="951"/>
      <c r="E77" s="951"/>
      <c r="F77" s="951"/>
    </row>
    <row r="78" spans="1:8" x14ac:dyDescent="0.25">
      <c r="A78" s="1155" t="s">
        <v>68</v>
      </c>
      <c r="B78" s="1156"/>
      <c r="C78" s="1156"/>
      <c r="D78" s="1156"/>
      <c r="E78" s="1156"/>
      <c r="F78" s="1157"/>
    </row>
    <row r="79" spans="1:8" ht="12" customHeight="1" x14ac:dyDescent="0.25">
      <c r="A79" s="952"/>
      <c r="B79" s="953"/>
      <c r="C79" s="953"/>
      <c r="D79" s="953"/>
      <c r="E79" s="953"/>
      <c r="F79" s="954"/>
    </row>
    <row r="80" spans="1:8" x14ac:dyDescent="0.25">
      <c r="A80" s="1179" t="s">
        <v>69</v>
      </c>
      <c r="B80" s="1180"/>
      <c r="C80" s="1180"/>
      <c r="D80" s="1180"/>
      <c r="E80" s="1180"/>
      <c r="F80" s="955" t="s">
        <v>70</v>
      </c>
    </row>
    <row r="81" spans="1:9" ht="12" customHeight="1" x14ac:dyDescent="0.25">
      <c r="A81" s="956"/>
      <c r="B81" s="957"/>
      <c r="C81" s="957"/>
      <c r="D81" s="957"/>
      <c r="E81" s="957"/>
      <c r="F81" s="958"/>
    </row>
    <row r="82" spans="1:9" ht="32.25" customHeight="1" x14ac:dyDescent="0.25">
      <c r="A82" s="959"/>
      <c r="B82" s="960"/>
      <c r="C82" s="953" t="s">
        <v>54</v>
      </c>
      <c r="D82" s="953" t="s">
        <v>55</v>
      </c>
      <c r="E82" s="953" t="s">
        <v>56</v>
      </c>
      <c r="F82" s="961" t="s">
        <v>71</v>
      </c>
    </row>
    <row r="83" spans="1:9" ht="15" customHeight="1" x14ac:dyDescent="0.25">
      <c r="A83" s="1175" t="s">
        <v>72</v>
      </c>
      <c r="B83" s="1176"/>
      <c r="C83" s="962" t="s">
        <v>35</v>
      </c>
      <c r="D83" s="962" t="s">
        <v>35</v>
      </c>
      <c r="E83" s="962" t="s">
        <v>35</v>
      </c>
      <c r="F83" s="963" t="s">
        <v>73</v>
      </c>
    </row>
    <row r="84" spans="1:9" x14ac:dyDescent="0.25">
      <c r="A84" s="964" t="s">
        <v>74</v>
      </c>
      <c r="B84" s="965"/>
      <c r="C84" s="966"/>
      <c r="D84" s="966"/>
      <c r="E84" s="967"/>
      <c r="F84" s="968"/>
    </row>
    <row r="85" spans="1:9" x14ac:dyDescent="0.25">
      <c r="A85" s="964" t="s">
        <v>75</v>
      </c>
      <c r="B85" s="965"/>
      <c r="C85" s="969">
        <v>787087</v>
      </c>
      <c r="D85" s="969">
        <v>514073</v>
      </c>
      <c r="E85" s="967"/>
      <c r="F85" s="968"/>
    </row>
    <row r="86" spans="1:9" x14ac:dyDescent="0.25">
      <c r="A86" s="964" t="s">
        <v>76</v>
      </c>
      <c r="B86" s="965"/>
      <c r="C86" s="966">
        <v>487911</v>
      </c>
      <c r="D86" s="966">
        <v>440648</v>
      </c>
      <c r="E86" s="967"/>
      <c r="F86" s="968"/>
    </row>
    <row r="87" spans="1:9" x14ac:dyDescent="0.25">
      <c r="A87" s="964" t="s">
        <v>204</v>
      </c>
      <c r="B87" s="965"/>
      <c r="C87" s="966">
        <v>352175</v>
      </c>
      <c r="D87" s="966">
        <v>252369</v>
      </c>
      <c r="E87" s="967"/>
      <c r="F87" s="968"/>
    </row>
    <row r="88" spans="1:9" ht="15.75" thickBot="1" x14ac:dyDescent="0.3">
      <c r="A88" s="970" t="s">
        <v>419</v>
      </c>
      <c r="B88" s="971"/>
      <c r="C88" s="972">
        <v>814978</v>
      </c>
      <c r="D88" s="972">
        <v>626488</v>
      </c>
      <c r="E88" s="967"/>
      <c r="F88" s="968"/>
    </row>
    <row r="89" spans="1:9" ht="29.25" customHeight="1" thickTop="1" thickBot="1" x14ac:dyDescent="0.3">
      <c r="A89" s="1177" t="s">
        <v>420</v>
      </c>
      <c r="B89" s="1178"/>
      <c r="C89" s="973">
        <f>SUM(C84:C88)</f>
        <v>2442151</v>
      </c>
      <c r="D89" s="973">
        <f>SUM(D84:D88)</f>
        <v>1833578</v>
      </c>
      <c r="E89" s="974">
        <f>C89-D89</f>
        <v>608573</v>
      </c>
      <c r="F89" s="819">
        <f>IF(D89=0,0,IF(F80="net",0,E89/D89))</f>
        <v>0</v>
      </c>
    </row>
    <row r="90" spans="1:9" ht="13.5" customHeight="1" x14ac:dyDescent="0.25">
      <c r="A90" s="975"/>
      <c r="B90" s="975"/>
      <c r="C90" s="976"/>
      <c r="D90" s="976"/>
      <c r="E90" s="931"/>
      <c r="F90" s="820"/>
    </row>
    <row r="91" spans="1:9" ht="29.25" customHeight="1" x14ac:dyDescent="0.25">
      <c r="A91" s="1145" t="s">
        <v>77</v>
      </c>
      <c r="B91" s="1145"/>
      <c r="C91" s="1145"/>
      <c r="D91" s="1145"/>
      <c r="E91" s="1145"/>
      <c r="F91" s="1145"/>
      <c r="G91" s="1145"/>
      <c r="H91" s="1145"/>
    </row>
    <row r="92" spans="1:9" ht="12" customHeight="1" x14ac:dyDescent="0.25">
      <c r="A92" s="977"/>
      <c r="B92" s="977"/>
      <c r="C92" s="977"/>
      <c r="D92" s="977"/>
      <c r="E92" s="977"/>
      <c r="F92" s="977"/>
      <c r="G92" s="977"/>
      <c r="H92" s="977"/>
    </row>
    <row r="93" spans="1:9" ht="41.25" customHeight="1" x14ac:dyDescent="0.25">
      <c r="A93" s="1145" t="s">
        <v>421</v>
      </c>
      <c r="B93" s="1145"/>
      <c r="C93" s="1145"/>
      <c r="D93" s="1145"/>
      <c r="E93" s="1145"/>
      <c r="F93" s="1145"/>
      <c r="G93" s="1145"/>
      <c r="H93" s="1145"/>
    </row>
    <row r="94" spans="1:9" ht="12" customHeight="1" x14ac:dyDescent="0.25">
      <c r="A94" s="975"/>
      <c r="B94" s="978"/>
      <c r="C94" s="976"/>
      <c r="D94" s="976"/>
      <c r="E94" s="976"/>
      <c r="F94" s="820"/>
    </row>
    <row r="95" spans="1:9" ht="15.75" customHeight="1" thickBot="1" x14ac:dyDescent="0.3">
      <c r="A95" s="1146" t="s">
        <v>79</v>
      </c>
      <c r="B95" s="1146"/>
      <c r="C95" s="1146"/>
      <c r="D95" s="1146"/>
      <c r="E95" s="1146"/>
      <c r="F95" s="1146"/>
      <c r="G95" s="979"/>
    </row>
    <row r="96" spans="1:9" ht="16.5" customHeight="1" x14ac:dyDescent="0.25">
      <c r="A96" s="980"/>
      <c r="B96" s="981">
        <v>2011</v>
      </c>
      <c r="C96" s="981">
        <v>2012</v>
      </c>
      <c r="D96" s="981">
        <v>2013</v>
      </c>
      <c r="E96" s="981">
        <v>2014</v>
      </c>
      <c r="F96" s="821">
        <v>2015</v>
      </c>
      <c r="G96" s="821">
        <v>2016</v>
      </c>
      <c r="H96" s="821">
        <v>2017</v>
      </c>
      <c r="I96" s="982"/>
    </row>
    <row r="97" spans="1:9" ht="62.25" customHeight="1" x14ac:dyDescent="0.25">
      <c r="A97" s="983" t="s">
        <v>80</v>
      </c>
      <c r="B97" s="984">
        <v>0</v>
      </c>
      <c r="C97" s="984">
        <v>0</v>
      </c>
      <c r="D97" s="984">
        <v>0</v>
      </c>
      <c r="E97" s="984">
        <v>0</v>
      </c>
      <c r="F97" s="984">
        <v>0.5</v>
      </c>
      <c r="G97" s="984">
        <v>1</v>
      </c>
      <c r="H97" s="984">
        <v>0.5</v>
      </c>
      <c r="I97" s="822" t="s">
        <v>208</v>
      </c>
    </row>
    <row r="98" spans="1:9" ht="288.75" customHeight="1" thickBot="1" x14ac:dyDescent="0.3">
      <c r="A98" s="985" t="s">
        <v>81</v>
      </c>
      <c r="B98" s="986" t="s">
        <v>209</v>
      </c>
      <c r="C98" s="986" t="s">
        <v>210</v>
      </c>
      <c r="D98" s="987" t="s">
        <v>422</v>
      </c>
      <c r="E98" s="987" t="s">
        <v>423</v>
      </c>
      <c r="F98" s="987" t="s">
        <v>423</v>
      </c>
      <c r="G98" s="986" t="s">
        <v>424</v>
      </c>
      <c r="H98" s="986" t="s">
        <v>425</v>
      </c>
      <c r="I98" s="819"/>
    </row>
    <row r="99" spans="1:9" ht="12" customHeight="1" x14ac:dyDescent="0.25">
      <c r="A99" s="988"/>
      <c r="B99" s="989"/>
      <c r="C99" s="989"/>
      <c r="D99" s="989"/>
      <c r="E99" s="989"/>
      <c r="F99" s="989"/>
      <c r="G99" s="820"/>
    </row>
    <row r="100" spans="1:9" ht="19.5" customHeight="1" x14ac:dyDescent="0.25">
      <c r="A100" s="1182" t="s">
        <v>214</v>
      </c>
      <c r="B100" s="1182"/>
      <c r="C100" s="1182"/>
      <c r="D100" s="1182"/>
      <c r="E100" s="1182"/>
      <c r="F100" s="1182"/>
      <c r="G100" s="1182"/>
      <c r="H100" s="1182"/>
    </row>
    <row r="101" spans="1:9" ht="13.5" customHeight="1" x14ac:dyDescent="0.25">
      <c r="A101" s="990"/>
      <c r="B101" s="990"/>
      <c r="C101" s="990"/>
      <c r="D101" s="990"/>
      <c r="E101" s="990"/>
      <c r="F101" s="990"/>
      <c r="G101" s="990"/>
      <c r="H101" s="990"/>
    </row>
    <row r="102" spans="1:9" ht="75.75" customHeight="1" x14ac:dyDescent="0.25">
      <c r="A102" s="1148" t="s">
        <v>426</v>
      </c>
      <c r="B102" s="1148"/>
      <c r="C102" s="1148"/>
      <c r="D102" s="1148"/>
      <c r="E102" s="1148"/>
      <c r="F102" s="1148"/>
      <c r="G102" s="1148"/>
      <c r="H102" s="1148"/>
    </row>
    <row r="103" spans="1:9" ht="12" customHeight="1" x14ac:dyDescent="0.25">
      <c r="A103" s="975"/>
      <c r="B103" s="989"/>
      <c r="C103" s="989"/>
      <c r="D103" s="989"/>
      <c r="E103" s="989"/>
      <c r="F103" s="820"/>
    </row>
    <row r="104" spans="1:9" ht="57.75" customHeight="1" x14ac:dyDescent="0.25">
      <c r="A104" s="1148" t="s">
        <v>427</v>
      </c>
      <c r="B104" s="1148"/>
      <c r="C104" s="1148"/>
      <c r="D104" s="1148"/>
      <c r="E104" s="1148"/>
      <c r="F104" s="1148"/>
      <c r="G104" s="1148"/>
      <c r="H104" s="1148"/>
    </row>
    <row r="105" spans="1:9" ht="12" customHeight="1" x14ac:dyDescent="0.25">
      <c r="A105" s="919"/>
      <c r="B105" s="919"/>
      <c r="C105" s="919"/>
      <c r="D105" s="919"/>
      <c r="E105" s="919"/>
      <c r="F105" s="919"/>
    </row>
    <row r="106" spans="1:9" x14ac:dyDescent="0.25">
      <c r="A106" s="1183" t="s">
        <v>428</v>
      </c>
      <c r="B106" s="1183"/>
      <c r="C106" s="1183"/>
      <c r="D106" s="1183"/>
      <c r="E106" s="1183"/>
      <c r="F106" s="1183"/>
      <c r="G106" s="1183"/>
      <c r="H106" s="1183"/>
    </row>
    <row r="107" spans="1:9" x14ac:dyDescent="0.25">
      <c r="A107" s="919"/>
      <c r="B107" s="919"/>
      <c r="C107" s="919"/>
      <c r="D107" s="919"/>
      <c r="E107" s="919"/>
      <c r="F107" s="919"/>
    </row>
    <row r="108" spans="1:9" ht="29.25" customHeight="1" x14ac:dyDescent="0.25">
      <c r="A108" s="1148" t="s">
        <v>429</v>
      </c>
      <c r="B108" s="1148"/>
      <c r="C108" s="1148"/>
      <c r="D108" s="1148"/>
      <c r="E108" s="1148"/>
      <c r="F108" s="1148"/>
      <c r="G108" s="1148"/>
      <c r="H108" s="1148"/>
    </row>
    <row r="109" spans="1:9" ht="12" customHeight="1" x14ac:dyDescent="0.25">
      <c r="A109" s="919"/>
      <c r="B109" s="919"/>
      <c r="C109" s="919"/>
      <c r="D109" s="919"/>
      <c r="E109" s="919"/>
      <c r="F109" s="919"/>
    </row>
    <row r="110" spans="1:9" ht="46.5" customHeight="1" x14ac:dyDescent="0.25">
      <c r="A110" s="1148" t="s">
        <v>430</v>
      </c>
      <c r="B110" s="1148"/>
      <c r="C110" s="1148"/>
      <c r="D110" s="1148"/>
      <c r="E110" s="1148"/>
      <c r="F110" s="1148"/>
      <c r="G110" s="1148"/>
      <c r="H110" s="1148"/>
    </row>
    <row r="111" spans="1:9" ht="12" customHeight="1" x14ac:dyDescent="0.25">
      <c r="A111" s="919"/>
      <c r="B111" s="919"/>
      <c r="C111" s="919"/>
      <c r="D111" s="919"/>
      <c r="E111" s="919"/>
      <c r="F111" s="919"/>
    </row>
    <row r="112" spans="1:9" ht="30" customHeight="1" x14ac:dyDescent="0.25">
      <c r="A112" s="1148" t="s">
        <v>215</v>
      </c>
      <c r="B112" s="1148"/>
      <c r="C112" s="1148"/>
      <c r="D112" s="1148"/>
      <c r="E112" s="1148"/>
      <c r="F112" s="1148"/>
      <c r="G112" s="1148"/>
      <c r="H112" s="1148"/>
    </row>
    <row r="113" spans="1:15" ht="13.5" customHeight="1" thickBot="1" x14ac:dyDescent="0.3">
      <c r="A113" s="975"/>
      <c r="B113" s="978"/>
      <c r="C113" s="976"/>
      <c r="D113" s="976"/>
      <c r="E113" s="976"/>
      <c r="F113" s="820"/>
    </row>
    <row r="114" spans="1:15" x14ac:dyDescent="0.25">
      <c r="A114" s="991"/>
      <c r="B114" s="992">
        <v>2011</v>
      </c>
      <c r="C114" s="993">
        <v>2012</v>
      </c>
      <c r="D114" s="993">
        <v>2013</v>
      </c>
      <c r="E114" s="993">
        <v>2014</v>
      </c>
      <c r="F114" s="993">
        <v>2015</v>
      </c>
      <c r="G114" s="994">
        <v>2016</v>
      </c>
      <c r="H114" s="994">
        <v>2017</v>
      </c>
      <c r="I114" s="995" t="s">
        <v>477</v>
      </c>
    </row>
    <row r="115" spans="1:15" x14ac:dyDescent="0.25">
      <c r="A115" s="996"/>
      <c r="B115" s="997" t="s">
        <v>35</v>
      </c>
      <c r="C115" s="998"/>
      <c r="D115" s="998"/>
      <c r="E115" s="998"/>
      <c r="F115" s="998"/>
      <c r="G115" s="998"/>
      <c r="H115" s="998"/>
      <c r="I115" s="999"/>
    </row>
    <row r="116" spans="1:15" ht="30" x14ac:dyDescent="0.25">
      <c r="A116" s="1000" t="s">
        <v>82</v>
      </c>
      <c r="B116" s="1001">
        <f>E42</f>
        <v>514000</v>
      </c>
      <c r="C116" s="1001">
        <f>E43</f>
        <v>440000</v>
      </c>
      <c r="D116" s="1001">
        <f>E44</f>
        <v>251000</v>
      </c>
      <c r="E116" s="1001">
        <f>E45</f>
        <v>626000</v>
      </c>
      <c r="F116" s="1001"/>
      <c r="G116" s="1001"/>
      <c r="H116" s="1002"/>
      <c r="I116" s="1003"/>
    </row>
    <row r="117" spans="1:15" ht="12" customHeight="1" x14ac:dyDescent="0.25">
      <c r="A117" s="1000"/>
      <c r="B117" s="1001"/>
      <c r="C117" s="1001"/>
      <c r="D117" s="1001"/>
      <c r="E117" s="1001"/>
      <c r="F117" s="1001"/>
      <c r="G117" s="1001"/>
      <c r="H117" s="1002"/>
      <c r="I117" s="1003"/>
    </row>
    <row r="118" spans="1:15" ht="75" x14ac:dyDescent="0.25">
      <c r="A118" s="1004" t="s">
        <v>431</v>
      </c>
      <c r="B118" s="1005"/>
      <c r="C118" s="1006"/>
      <c r="D118" s="1001">
        <f>B118</f>
        <v>0</v>
      </c>
      <c r="E118" s="1001">
        <f>B118</f>
        <v>0</v>
      </c>
      <c r="F118" s="1001"/>
      <c r="G118" s="1001"/>
      <c r="H118" s="1002"/>
      <c r="I118" s="1003"/>
    </row>
    <row r="119" spans="1:15" ht="12" customHeight="1" x14ac:dyDescent="0.25">
      <c r="A119" s="1007"/>
      <c r="B119" s="1008"/>
      <c r="C119" s="1008"/>
      <c r="D119" s="1008"/>
      <c r="E119" s="1008"/>
      <c r="F119" s="1008"/>
      <c r="G119" s="1008"/>
      <c r="H119" s="1009"/>
      <c r="I119" s="1010"/>
    </row>
    <row r="120" spans="1:15" ht="30.75" thickBot="1" x14ac:dyDescent="0.3">
      <c r="A120" s="1011" t="s">
        <v>432</v>
      </c>
      <c r="B120" s="1001"/>
      <c r="C120" s="1001"/>
      <c r="D120" s="1001"/>
      <c r="E120" s="1001"/>
      <c r="F120" s="1001">
        <f>B64</f>
        <v>351384</v>
      </c>
      <c r="G120" s="1037">
        <v>606000</v>
      </c>
      <c r="H120" s="1038">
        <v>616000</v>
      </c>
      <c r="I120" s="1003">
        <f>SUM(B120:H120)</f>
        <v>1573384</v>
      </c>
    </row>
    <row r="121" spans="1:15" ht="12" customHeight="1" thickTop="1" thickBot="1" x14ac:dyDescent="0.3">
      <c r="A121" s="1012"/>
      <c r="B121" s="1008"/>
      <c r="C121" s="1008"/>
      <c r="D121" s="1008"/>
      <c r="E121" s="1008"/>
      <c r="F121" s="1008"/>
      <c r="G121" s="1008"/>
      <c r="H121" s="1009"/>
      <c r="I121" s="1010"/>
    </row>
    <row r="122" spans="1:15" ht="30.75" thickTop="1" x14ac:dyDescent="0.25">
      <c r="A122" s="1004" t="s">
        <v>433</v>
      </c>
      <c r="B122" s="1013">
        <f>B116*(1+F89)*B97</f>
        <v>0</v>
      </c>
      <c r="C122" s="1013">
        <f>C116*(1+F89)*C97</f>
        <v>0</v>
      </c>
      <c r="D122" s="1013">
        <f>D116*(1+F89)*D97</f>
        <v>0</v>
      </c>
      <c r="E122" s="1013">
        <f>E116*(1+F89)*E97</f>
        <v>0</v>
      </c>
      <c r="F122" s="1013">
        <f>F120*(1+F89)*F97</f>
        <v>175692</v>
      </c>
      <c r="G122" s="1013">
        <f>G120*(1+F89)*G97</f>
        <v>606000</v>
      </c>
      <c r="H122" s="1014">
        <f>H120*(1+F89)*H97</f>
        <v>308000</v>
      </c>
      <c r="I122" s="1015">
        <f>SUM(B122:H122)</f>
        <v>1089692</v>
      </c>
    </row>
    <row r="123" spans="1:15" ht="12" customHeight="1" x14ac:dyDescent="0.25">
      <c r="A123" s="1007"/>
      <c r="B123" s="1016"/>
      <c r="C123" s="1016"/>
      <c r="D123" s="1016"/>
      <c r="E123" s="1016"/>
      <c r="F123" s="1016"/>
      <c r="G123" s="1016"/>
      <c r="H123" s="1017"/>
      <c r="I123" s="1018"/>
    </row>
    <row r="124" spans="1:15" x14ac:dyDescent="0.25">
      <c r="A124" s="1000" t="s">
        <v>434</v>
      </c>
      <c r="B124" s="1019">
        <v>8.1000000000000003E-2</v>
      </c>
      <c r="C124" s="1013" t="s">
        <v>435</v>
      </c>
      <c r="D124" s="1020"/>
      <c r="E124" s="1013"/>
      <c r="F124" s="1013"/>
      <c r="G124" s="1013"/>
      <c r="H124" s="1014"/>
      <c r="I124" s="1021"/>
    </row>
    <row r="125" spans="1:15" ht="45.75" thickBot="1" x14ac:dyDescent="0.3">
      <c r="A125" s="1022" t="s">
        <v>436</v>
      </c>
      <c r="B125" s="1013">
        <f t="shared" ref="B125:H125" si="2">B122*(1+$B124)</f>
        <v>0</v>
      </c>
      <c r="C125" s="1013">
        <f t="shared" si="2"/>
        <v>0</v>
      </c>
      <c r="D125" s="1013">
        <f t="shared" si="2"/>
        <v>0</v>
      </c>
      <c r="E125" s="1013">
        <f t="shared" si="2"/>
        <v>0</v>
      </c>
      <c r="F125" s="1013">
        <f t="shared" si="2"/>
        <v>189923.052</v>
      </c>
      <c r="G125" s="1013">
        <f t="shared" si="2"/>
        <v>655086</v>
      </c>
      <c r="H125" s="1014">
        <f t="shared" si="2"/>
        <v>332948</v>
      </c>
      <c r="I125" s="1023">
        <f>SUM(B125:H125)</f>
        <v>1177957.0520000001</v>
      </c>
      <c r="J125" s="979"/>
      <c r="O125" s="979"/>
    </row>
    <row r="126" spans="1:15" ht="12" customHeight="1" x14ac:dyDescent="0.25">
      <c r="A126" s="1024"/>
      <c r="B126" s="823"/>
      <c r="C126" s="823"/>
      <c r="D126" s="823"/>
      <c r="E126" s="823"/>
      <c r="F126" s="823"/>
      <c r="G126" s="823"/>
      <c r="H126" s="823"/>
    </row>
    <row r="127" spans="1:15" ht="31.5" customHeight="1" x14ac:dyDescent="0.25">
      <c r="A127" s="1181" t="s">
        <v>437</v>
      </c>
      <c r="B127" s="1181"/>
      <c r="C127" s="1181"/>
      <c r="D127" s="1181"/>
      <c r="E127" s="1181"/>
      <c r="F127" s="1181"/>
      <c r="G127" s="1181"/>
      <c r="H127" s="1181"/>
    </row>
    <row r="128" spans="1:15" x14ac:dyDescent="0.25">
      <c r="A128" s="919"/>
      <c r="B128" s="919"/>
      <c r="C128" s="919"/>
      <c r="D128" s="919"/>
      <c r="E128" s="919"/>
      <c r="F128" s="919"/>
    </row>
    <row r="129" spans="1:6" x14ac:dyDescent="0.25">
      <c r="A129" s="1025"/>
      <c r="B129" s="919"/>
      <c r="C129" s="919"/>
      <c r="D129" s="919"/>
      <c r="E129" s="919"/>
      <c r="F129" s="919"/>
    </row>
    <row r="130" spans="1:6" x14ac:dyDescent="0.25">
      <c r="A130" s="919"/>
      <c r="B130" s="919"/>
      <c r="C130" s="919"/>
      <c r="D130" s="919"/>
      <c r="E130" s="919"/>
      <c r="F130" s="919"/>
    </row>
    <row r="131" spans="1:6" x14ac:dyDescent="0.25">
      <c r="A131" s="919"/>
      <c r="B131" s="919"/>
      <c r="C131" s="919"/>
      <c r="D131" s="919"/>
      <c r="E131" s="919"/>
      <c r="F131" s="919"/>
    </row>
    <row r="132" spans="1:6" x14ac:dyDescent="0.25">
      <c r="A132" s="919"/>
      <c r="B132" s="919"/>
      <c r="C132" s="919"/>
      <c r="D132" s="919"/>
      <c r="E132" s="919"/>
      <c r="F132" s="919"/>
    </row>
    <row r="133" spans="1:6" x14ac:dyDescent="0.25">
      <c r="A133" s="919"/>
      <c r="B133" s="919"/>
      <c r="C133" s="919"/>
      <c r="D133" s="919"/>
      <c r="E133" s="919"/>
      <c r="F133" s="919"/>
    </row>
    <row r="134" spans="1:6" x14ac:dyDescent="0.25">
      <c r="A134" s="919"/>
      <c r="B134" s="919"/>
      <c r="C134" s="919"/>
      <c r="D134" s="919"/>
      <c r="E134" s="919"/>
      <c r="F134" s="919"/>
    </row>
    <row r="135" spans="1:6" x14ac:dyDescent="0.25">
      <c r="A135" s="919"/>
      <c r="B135" s="919"/>
      <c r="C135" s="919"/>
      <c r="D135" s="919"/>
      <c r="E135" s="919"/>
      <c r="F135" s="919"/>
    </row>
    <row r="136" spans="1:6" x14ac:dyDescent="0.25">
      <c r="A136" s="919"/>
      <c r="B136" s="919"/>
      <c r="C136" s="919"/>
      <c r="D136" s="919"/>
      <c r="E136" s="919"/>
      <c r="F136" s="919"/>
    </row>
    <row r="137" spans="1:6" x14ac:dyDescent="0.25">
      <c r="A137" s="919"/>
      <c r="B137" s="919"/>
      <c r="C137" s="919"/>
      <c r="D137" s="919"/>
      <c r="E137" s="919"/>
      <c r="F137" s="919"/>
    </row>
    <row r="138" spans="1:6" x14ac:dyDescent="0.25">
      <c r="A138" s="919"/>
      <c r="B138" s="919"/>
      <c r="C138" s="919"/>
      <c r="D138" s="919"/>
      <c r="E138" s="919"/>
      <c r="F138" s="919"/>
    </row>
    <row r="139" spans="1:6" x14ac:dyDescent="0.25">
      <c r="A139" s="919"/>
      <c r="B139" s="919"/>
      <c r="C139" s="919"/>
      <c r="D139" s="919"/>
      <c r="E139" s="919"/>
      <c r="F139" s="919"/>
    </row>
    <row r="140" spans="1:6" x14ac:dyDescent="0.25">
      <c r="A140" s="919"/>
      <c r="B140" s="919"/>
      <c r="C140" s="919"/>
      <c r="D140" s="919"/>
      <c r="E140" s="919"/>
      <c r="F140" s="919"/>
    </row>
    <row r="141" spans="1:6" x14ac:dyDescent="0.25">
      <c r="A141" s="919"/>
      <c r="B141" s="919"/>
      <c r="C141" s="919"/>
      <c r="D141" s="919"/>
      <c r="E141" s="919"/>
      <c r="F141" s="919"/>
    </row>
  </sheetData>
  <mergeCells count="41">
    <mergeCell ref="A127:H127"/>
    <mergeCell ref="A100:H100"/>
    <mergeCell ref="A102:H102"/>
    <mergeCell ref="A104:H104"/>
    <mergeCell ref="A106:H106"/>
    <mergeCell ref="A108:H108"/>
    <mergeCell ref="A112:H112"/>
    <mergeCell ref="A110:H110"/>
    <mergeCell ref="A72:H72"/>
    <mergeCell ref="A83:B83"/>
    <mergeCell ref="A89:B89"/>
    <mergeCell ref="A74:H74"/>
    <mergeCell ref="A76:H76"/>
    <mergeCell ref="A78:F78"/>
    <mergeCell ref="A80:E80"/>
    <mergeCell ref="A50:H50"/>
    <mergeCell ref="A52:H52"/>
    <mergeCell ref="A53:H53"/>
    <mergeCell ref="A55:H55"/>
    <mergeCell ref="A63:H63"/>
    <mergeCell ref="A24:H24"/>
    <mergeCell ref="A33:F33"/>
    <mergeCell ref="G33:H34"/>
    <mergeCell ref="A41:F41"/>
    <mergeCell ref="A48:F48"/>
    <mergeCell ref="A91:H91"/>
    <mergeCell ref="A93:H93"/>
    <mergeCell ref="A95:F95"/>
    <mergeCell ref="A9:H9"/>
    <mergeCell ref="A10:H10"/>
    <mergeCell ref="A12:H12"/>
    <mergeCell ref="A14:H14"/>
    <mergeCell ref="A34:F34"/>
    <mergeCell ref="A26:H26"/>
    <mergeCell ref="A28:H28"/>
    <mergeCell ref="A30:H30"/>
    <mergeCell ref="A31:H31"/>
    <mergeCell ref="A16:H16"/>
    <mergeCell ref="A18:H18"/>
    <mergeCell ref="A20:H20"/>
    <mergeCell ref="A22:H22"/>
  </mergeCells>
  <conditionalFormatting sqref="F46">
    <cfRule type="expression" dxfId="0" priority="1">
      <formula>$F$46&lt;$A$34</formula>
    </cfRule>
  </conditionalFormatting>
  <dataValidations count="2">
    <dataValidation type="list" allowBlank="1" showInputMessage="1" showErrorMessage="1" sqref="B97:H97">
      <formula1>"0, 0.5, 1"</formula1>
    </dataValidation>
    <dataValidation type="list" allowBlank="1" showInputMessage="1" showErrorMessage="1" sqref="F80">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abSelected="1" topLeftCell="A16" workbookViewId="0">
      <selection activeCell="L24" sqref="L24"/>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44" t="s">
        <v>264</v>
      </c>
    </row>
    <row r="11" spans="1:2" ht="23.25" x14ac:dyDescent="0.2">
      <c r="B11" s="133" t="s">
        <v>220</v>
      </c>
    </row>
    <row r="12" spans="1:2" ht="15" x14ac:dyDescent="0.2">
      <c r="B12" s="63" t="s">
        <v>62</v>
      </c>
    </row>
    <row r="13" spans="1:2" ht="14.25" x14ac:dyDescent="0.2">
      <c r="B13" s="100" t="s">
        <v>256</v>
      </c>
    </row>
    <row r="14" spans="1:2" ht="14.25" x14ac:dyDescent="0.2">
      <c r="B14" s="100" t="s">
        <v>257</v>
      </c>
    </row>
    <row r="15" spans="1:2" ht="14.25" x14ac:dyDescent="0.2">
      <c r="B15" s="100" t="s">
        <v>258</v>
      </c>
    </row>
    <row r="17" spans="2:15" x14ac:dyDescent="0.2">
      <c r="B17" s="128" t="s">
        <v>223</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35</v>
      </c>
      <c r="C19" s="227"/>
      <c r="D19" s="112" t="s">
        <v>33</v>
      </c>
      <c r="E19" s="210">
        <f>'1. LDC Info'!$F$25-3</f>
        <v>2013</v>
      </c>
      <c r="F19" s="210">
        <f>'1. LDC Info'!$F$25-2</f>
        <v>2014</v>
      </c>
      <c r="G19" s="213">
        <f>'1. LDC Info'!$F$25-1</f>
        <v>2015</v>
      </c>
      <c r="H19" s="211" t="str">
        <f>'1. LDC Info'!F25</f>
        <v>2016</v>
      </c>
      <c r="I19" s="212" t="str">
        <f>'1. LDC Info'!F27</f>
        <v>2017</v>
      </c>
      <c r="J19" s="102"/>
      <c r="K19" s="434" t="s">
        <v>58</v>
      </c>
      <c r="L19" s="435" t="s">
        <v>59</v>
      </c>
      <c r="M19" s="436" t="s">
        <v>224</v>
      </c>
      <c r="N19" s="439" t="s">
        <v>226</v>
      </c>
      <c r="O19" s="440" t="s">
        <v>227</v>
      </c>
    </row>
    <row r="20" spans="2:15" x14ac:dyDescent="0.2">
      <c r="B20" s="422" t="str">
        <f>+'9. Weather Adj LF'!C16</f>
        <v>Residential</v>
      </c>
      <c r="C20" s="423"/>
      <c r="D20" s="424" t="s">
        <v>35</v>
      </c>
      <c r="E20" s="457">
        <f>+'9. Weather Adj LF'!L17</f>
        <v>30486731</v>
      </c>
      <c r="F20" s="457">
        <f>+'9. Weather Adj LF'!M17</f>
        <v>30037011</v>
      </c>
      <c r="G20" s="457">
        <f>+'9. Weather Adj LF'!N17</f>
        <v>29589162</v>
      </c>
      <c r="H20" s="457">
        <f>+'9. Weather Adj LF'!O17</f>
        <v>30348059.666272782</v>
      </c>
      <c r="I20" s="458">
        <f>+'9. Weather Adj LF'!P17</f>
        <v>30363324.309185188</v>
      </c>
      <c r="J20" s="102"/>
      <c r="K20" s="442">
        <f>I20/$I$34</f>
        <v>0.33896902511554422</v>
      </c>
      <c r="L20" s="443">
        <f>K20*$L$34</f>
        <v>369371.83491620759</v>
      </c>
      <c r="M20" s="444">
        <f>I20-L20</f>
        <v>29993952.47426898</v>
      </c>
      <c r="N20" s="451"/>
      <c r="O20" s="445">
        <f>+M20-N20</f>
        <v>29993952.47426898</v>
      </c>
    </row>
    <row r="21" spans="2:15" x14ac:dyDescent="0.2">
      <c r="B21" s="114"/>
      <c r="C21" s="229"/>
      <c r="D21" s="129"/>
      <c r="E21" s="384"/>
      <c r="F21" s="384"/>
      <c r="G21" s="384"/>
      <c r="H21" s="384"/>
      <c r="I21" s="385"/>
      <c r="J21" s="102"/>
      <c r="K21" s="116"/>
      <c r="L21" s="431"/>
      <c r="M21" s="437"/>
      <c r="N21" s="452"/>
      <c r="O21" s="241"/>
    </row>
    <row r="22" spans="2:15" x14ac:dyDescent="0.2">
      <c r="B22" s="419" t="str">
        <f>+'9. Weather Adj LF'!C20</f>
        <v>General Service &lt; 50 kW</v>
      </c>
      <c r="C22" s="229"/>
      <c r="D22" s="129" t="s">
        <v>35</v>
      </c>
      <c r="E22" s="384">
        <f>+'9. Weather Adj LF'!L21</f>
        <v>11531242</v>
      </c>
      <c r="F22" s="384">
        <f>+'9. Weather Adj LF'!M21</f>
        <v>11294125</v>
      </c>
      <c r="G22" s="384">
        <f>+'9. Weather Adj LF'!N21</f>
        <v>10843312</v>
      </c>
      <c r="H22" s="384">
        <f>+'9. Weather Adj LF'!O21</f>
        <v>12325609.78277586</v>
      </c>
      <c r="I22" s="385">
        <f>+'9. Weather Adj LF'!P21</f>
        <v>12331809.38940906</v>
      </c>
      <c r="J22" s="102"/>
      <c r="K22" s="117">
        <f>I22/$I$34</f>
        <v>0.13766942526033565</v>
      </c>
      <c r="L22" s="432">
        <f>K22*$L$34</f>
        <v>150017.27135078568</v>
      </c>
      <c r="M22" s="437">
        <f>I22-L22</f>
        <v>12181792.118058274</v>
      </c>
      <c r="N22" s="452"/>
      <c r="O22" s="446">
        <f>+M22-N22</f>
        <v>12181792.118058274</v>
      </c>
    </row>
    <row r="23" spans="2:15" x14ac:dyDescent="0.2">
      <c r="B23" s="114"/>
      <c r="C23" s="229"/>
      <c r="D23" s="129"/>
      <c r="E23" s="384"/>
      <c r="F23" s="384"/>
      <c r="G23" s="384"/>
      <c r="H23" s="384"/>
      <c r="I23" s="385"/>
      <c r="J23" s="102"/>
      <c r="K23" s="117"/>
      <c r="L23" s="431"/>
      <c r="M23" s="437"/>
      <c r="N23" s="452"/>
      <c r="O23" s="241"/>
    </row>
    <row r="24" spans="2:15" x14ac:dyDescent="0.2">
      <c r="B24" s="419" t="str">
        <f>+'9. Weather Adj LF'!C24</f>
        <v>Unmetered Scattered Load</v>
      </c>
      <c r="C24" s="229"/>
      <c r="D24" s="129" t="s">
        <v>35</v>
      </c>
      <c r="E24" s="384">
        <f>+'9. Weather Adj LF'!L25</f>
        <v>155619</v>
      </c>
      <c r="F24" s="384">
        <f>+'9. Weather Adj LF'!M25</f>
        <v>155019</v>
      </c>
      <c r="G24" s="384">
        <f>+'9. Weather Adj LF'!N25</f>
        <v>155364</v>
      </c>
      <c r="H24" s="384">
        <f>+'9. Weather Adj LF'!O25</f>
        <v>156979.46065344894</v>
      </c>
      <c r="I24" s="385">
        <f>+'9. Weather Adj LF'!P25</f>
        <v>157058.41909223574</v>
      </c>
      <c r="J24" s="102"/>
      <c r="K24" s="117">
        <f>I24/$I$34</f>
        <v>1.7533633229276791E-3</v>
      </c>
      <c r="L24" s="432">
        <f>K24*$L$34</f>
        <v>1910.6259860877085</v>
      </c>
      <c r="M24" s="437">
        <f>I24-L24</f>
        <v>155147.79310614802</v>
      </c>
      <c r="N24" s="452"/>
      <c r="O24" s="446">
        <f>+M24-N24</f>
        <v>155147.79310614802</v>
      </c>
    </row>
    <row r="25" spans="2:15" x14ac:dyDescent="0.2">
      <c r="B25" s="114"/>
      <c r="C25" s="229"/>
      <c r="D25" s="129"/>
      <c r="E25" s="384"/>
      <c r="F25" s="384"/>
      <c r="G25" s="384"/>
      <c r="H25" s="384"/>
      <c r="I25" s="385"/>
      <c r="J25" s="102"/>
      <c r="K25" s="117"/>
      <c r="L25" s="432"/>
      <c r="M25" s="437"/>
      <c r="N25" s="452"/>
      <c r="O25" s="241"/>
    </row>
    <row r="26" spans="2:15" x14ac:dyDescent="0.2">
      <c r="B26" s="419" t="str">
        <f>+'9. Weather Adj LF'!C28</f>
        <v>General Service &gt; 50 kW - 4999 kW</v>
      </c>
      <c r="C26" s="229"/>
      <c r="D26" s="129" t="s">
        <v>35</v>
      </c>
      <c r="E26" s="384">
        <f>+'9. Weather Adj LF'!L29</f>
        <v>44119354</v>
      </c>
      <c r="F26" s="384">
        <f>+'9. Weather Adj LF'!M29</f>
        <v>43640624</v>
      </c>
      <c r="G26" s="384">
        <f>+'9. Weather Adj LF'!N29</f>
        <v>45095566</v>
      </c>
      <c r="H26" s="384">
        <f>+'9. Weather Adj LF'!O29</f>
        <v>45564465.568226933</v>
      </c>
      <c r="I26" s="385">
        <f>+'9. Weather Adj LF'!P29</f>
        <v>45587383.847156197</v>
      </c>
      <c r="J26" s="102"/>
      <c r="K26" s="117">
        <f>I26/$I$34</f>
        <v>0.50892685210901145</v>
      </c>
      <c r="L26" s="432">
        <f>K26*$L$34</f>
        <v>554573.5193283729</v>
      </c>
      <c r="M26" s="437">
        <f>I26-L26</f>
        <v>45032810.327827826</v>
      </c>
      <c r="N26" s="452"/>
      <c r="O26" s="446">
        <f>+M26+N26</f>
        <v>45032810.327827826</v>
      </c>
    </row>
    <row r="27" spans="2:15" x14ac:dyDescent="0.2">
      <c r="B27" s="114"/>
      <c r="C27" s="229"/>
      <c r="D27" s="129"/>
      <c r="E27" s="384"/>
      <c r="F27" s="384"/>
      <c r="G27" s="384"/>
      <c r="H27" s="384"/>
      <c r="I27" s="385"/>
      <c r="J27" s="102"/>
      <c r="K27" s="117"/>
      <c r="L27" s="432"/>
      <c r="M27" s="437"/>
      <c r="N27" s="452"/>
      <c r="O27" s="241"/>
    </row>
    <row r="28" spans="2:15" x14ac:dyDescent="0.2">
      <c r="B28" s="419" t="str">
        <f>+'9. Weather Adj LF'!C32</f>
        <v>Streetlighting</v>
      </c>
      <c r="C28" s="229"/>
      <c r="D28" s="129" t="s">
        <v>35</v>
      </c>
      <c r="E28" s="384">
        <f>+'9. Weather Adj LF'!L33</f>
        <v>1118710</v>
      </c>
      <c r="F28" s="384">
        <f>+'9. Weather Adj LF'!M33</f>
        <v>1121519</v>
      </c>
      <c r="G28" s="384">
        <f>+'9. Weather Adj LF'!N33</f>
        <v>1123682</v>
      </c>
      <c r="H28" s="384">
        <f>+'9. Weather Adj LF'!O33</f>
        <v>1135365.9425992433</v>
      </c>
      <c r="I28" s="385">
        <f>+'9. Weather Adj LF'!P33</f>
        <v>1135937.0155402902</v>
      </c>
      <c r="J28" s="102"/>
      <c r="K28" s="117">
        <f>I28/$I$34</f>
        <v>1.2681334192181074E-2</v>
      </c>
      <c r="L28" s="432">
        <f>K28*$L$34</f>
        <v>13818.748418546178</v>
      </c>
      <c r="M28" s="437">
        <f>I28-L28</f>
        <v>1122118.2671217439</v>
      </c>
      <c r="N28" s="452"/>
      <c r="O28" s="446">
        <f>+M28-N28</f>
        <v>1122118.2671217439</v>
      </c>
    </row>
    <row r="29" spans="2:15" x14ac:dyDescent="0.2">
      <c r="B29" s="114"/>
      <c r="C29" s="229"/>
      <c r="D29" s="129"/>
      <c r="E29" s="384"/>
      <c r="F29" s="384"/>
      <c r="G29" s="384"/>
      <c r="H29" s="384"/>
      <c r="I29" s="385"/>
      <c r="J29" s="102"/>
      <c r="K29" s="117"/>
      <c r="L29" s="431"/>
      <c r="M29" s="437"/>
      <c r="N29" s="452"/>
      <c r="O29" s="241"/>
    </row>
    <row r="30" spans="2:15" x14ac:dyDescent="0.2">
      <c r="B30" s="419">
        <f>'9. Weather Adj LF'!C36</f>
        <v>0</v>
      </c>
      <c r="C30" s="230"/>
      <c r="D30" s="129" t="s">
        <v>35</v>
      </c>
      <c r="E30" s="384">
        <f>+'9. Weather Adj LF'!L37</f>
        <v>0</v>
      </c>
      <c r="F30" s="384">
        <f>+'9. Weather Adj LF'!M37</f>
        <v>0</v>
      </c>
      <c r="G30" s="384">
        <f>+'9. Weather Adj LF'!N37</f>
        <v>0</v>
      </c>
      <c r="H30" s="384">
        <f>+'9. Weather Adj LF'!O37</f>
        <v>0</v>
      </c>
      <c r="I30" s="385">
        <f>+'9. Weather Adj LF'!P37</f>
        <v>0</v>
      </c>
      <c r="J30" s="102"/>
      <c r="K30" s="117">
        <f>I30/$I$35</f>
        <v>0</v>
      </c>
      <c r="L30" s="432">
        <f>K30*$L$34</f>
        <v>0</v>
      </c>
      <c r="M30" s="437">
        <f>I30-L30</f>
        <v>0</v>
      </c>
      <c r="N30" s="452"/>
      <c r="O30" s="446">
        <f>+M30-N30</f>
        <v>0</v>
      </c>
    </row>
    <row r="31" spans="2:15" x14ac:dyDescent="0.2">
      <c r="B31" s="118"/>
      <c r="C31" s="231"/>
      <c r="D31" s="207"/>
      <c r="E31" s="387"/>
      <c r="F31" s="387"/>
      <c r="G31" s="387"/>
      <c r="H31" s="387"/>
      <c r="I31" s="425"/>
      <c r="J31" s="102"/>
      <c r="K31" s="117"/>
      <c r="L31" s="431"/>
      <c r="M31" s="437"/>
      <c r="N31" s="452"/>
      <c r="O31" s="241"/>
    </row>
    <row r="32" spans="2:15" x14ac:dyDescent="0.2">
      <c r="B32" s="420">
        <f>+'9. Weather Adj LF'!C40</f>
        <v>0</v>
      </c>
      <c r="C32" s="231"/>
      <c r="D32" s="129" t="s">
        <v>35</v>
      </c>
      <c r="E32" s="387">
        <f>+'9. Weather Adj LF'!L41</f>
        <v>0</v>
      </c>
      <c r="F32" s="387">
        <f>+'9. Weather Adj LF'!M41</f>
        <v>0</v>
      </c>
      <c r="G32" s="387">
        <f>+'9. Weather Adj LF'!N41</f>
        <v>0</v>
      </c>
      <c r="H32" s="387">
        <f>+'9. Weather Adj LF'!O41</f>
        <v>0</v>
      </c>
      <c r="I32" s="425">
        <f>+'9. Weather Adj LF'!P41</f>
        <v>0</v>
      </c>
      <c r="J32" s="102"/>
      <c r="K32" s="117">
        <f>I32/$I$34</f>
        <v>0</v>
      </c>
      <c r="L32" s="432">
        <f>K32*$L$34</f>
        <v>0</v>
      </c>
      <c r="M32" s="437">
        <f>I32-L32</f>
        <v>0</v>
      </c>
      <c r="N32" s="452"/>
      <c r="O32" s="446">
        <f>+M32-N32</f>
        <v>0</v>
      </c>
    </row>
    <row r="33" spans="2:18" ht="13.5" thickBot="1" x14ac:dyDescent="0.25">
      <c r="B33" s="119"/>
      <c r="C33" s="232"/>
      <c r="D33" s="208"/>
      <c r="E33" s="290"/>
      <c r="F33" s="290"/>
      <c r="G33" s="290"/>
      <c r="H33" s="290"/>
      <c r="I33" s="430"/>
      <c r="J33" s="102"/>
      <c r="K33" s="120"/>
      <c r="L33" s="433"/>
      <c r="M33" s="438"/>
      <c r="N33" s="464"/>
      <c r="O33" s="194"/>
    </row>
    <row r="34" spans="2:18" ht="20.25" thickTop="1" thickBot="1" x14ac:dyDescent="0.25">
      <c r="B34" s="778" t="s">
        <v>16</v>
      </c>
      <c r="C34" s="779"/>
      <c r="D34" s="780"/>
      <c r="E34" s="781">
        <f>SUM(E20:E33)</f>
        <v>87411656</v>
      </c>
      <c r="F34" s="781">
        <f>SUM(F20:F33)</f>
        <v>86248298</v>
      </c>
      <c r="G34" s="781">
        <f>SUM(G20:G33)</f>
        <v>86807086</v>
      </c>
      <c r="H34" s="781">
        <f>SUM(H20:H33)</f>
        <v>89530480.420528263</v>
      </c>
      <c r="I34" s="782">
        <f>SUM(I20:I33)</f>
        <v>89575512.980382964</v>
      </c>
      <c r="J34" s="783"/>
      <c r="K34" s="784">
        <f>I34/$I$34</f>
        <v>1</v>
      </c>
      <c r="L34" s="777">
        <f>'10. CDM Adjustment V2'!I122</f>
        <v>1089692</v>
      </c>
      <c r="M34" s="785">
        <f>I34-L34</f>
        <v>88485820.980382964</v>
      </c>
      <c r="N34" s="786">
        <f>SUM(N20:N33)</f>
        <v>0</v>
      </c>
      <c r="O34" s="787">
        <f>SUM(O20:O33)</f>
        <v>88485820.980382964</v>
      </c>
      <c r="Q34" s="453">
        <f>+M34-O34</f>
        <v>0</v>
      </c>
      <c r="R34" s="454" t="s">
        <v>228</v>
      </c>
    </row>
    <row r="35" spans="2:18" x14ac:dyDescent="0.2">
      <c r="B35" s="121"/>
      <c r="C35" s="121"/>
      <c r="D35" s="125"/>
      <c r="E35" s="122"/>
      <c r="F35" s="122"/>
      <c r="G35" s="122"/>
      <c r="H35" s="123"/>
      <c r="I35" s="824">
        <f>I20+I22+I24+I26+I30</f>
        <v>88439575.964842677</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7"/>
      <c r="D37" s="112" t="s">
        <v>33</v>
      </c>
      <c r="E37" s="210">
        <f>E19</f>
        <v>2013</v>
      </c>
      <c r="F37" s="210">
        <f>F19</f>
        <v>2014</v>
      </c>
      <c r="G37" s="210">
        <f>G19</f>
        <v>2015</v>
      </c>
      <c r="H37" s="210" t="str">
        <f>H19</f>
        <v>2016</v>
      </c>
      <c r="I37" s="421" t="str">
        <f>I19</f>
        <v>2017</v>
      </c>
      <c r="J37" s="102"/>
      <c r="K37" s="125"/>
      <c r="L37" s="125"/>
      <c r="M37" s="456" t="s">
        <v>225</v>
      </c>
      <c r="N37" s="441" t="s">
        <v>226</v>
      </c>
      <c r="O37" s="447" t="s">
        <v>227</v>
      </c>
    </row>
    <row r="38" spans="2:18" x14ac:dyDescent="0.2">
      <c r="B38" s="422" t="str">
        <f>+B20</f>
        <v>Residential</v>
      </c>
      <c r="C38" s="423"/>
      <c r="D38" s="424" t="s">
        <v>36</v>
      </c>
      <c r="E38" s="426">
        <f>+'9. Weather Adj LF'!L18</f>
        <v>0</v>
      </c>
      <c r="F38" s="426">
        <f>+'9. Weather Adj LF'!M18</f>
        <v>0</v>
      </c>
      <c r="G38" s="426">
        <f>+'9. Weather Adj LF'!N18</f>
        <v>0</v>
      </c>
      <c r="H38" s="426">
        <f>+'9. Weather Adj LF'!O18</f>
        <v>0</v>
      </c>
      <c r="I38" s="427">
        <f>+'9. Weather Adj LF'!P18</f>
        <v>0</v>
      </c>
      <c r="J38" s="102"/>
      <c r="K38" s="126"/>
      <c r="L38" s="127"/>
      <c r="M38" s="448">
        <f>IF(I38&gt;0,+M20/I20*I38,0)</f>
        <v>0</v>
      </c>
      <c r="N38" s="455">
        <f>IF(I38&gt;0,+N20/I20*I38,0)</f>
        <v>0</v>
      </c>
      <c r="O38" s="445">
        <f>+M38-N38</f>
        <v>0</v>
      </c>
    </row>
    <row r="39" spans="2:18" x14ac:dyDescent="0.2">
      <c r="B39" s="113" t="s">
        <v>30</v>
      </c>
      <c r="C39" s="228"/>
      <c r="D39" s="129"/>
      <c r="E39" s="428"/>
      <c r="F39" s="428"/>
      <c r="G39" s="428"/>
      <c r="H39" s="428"/>
      <c r="I39" s="429"/>
      <c r="J39" s="102"/>
      <c r="K39" s="126"/>
      <c r="L39" s="127"/>
      <c r="M39" s="449"/>
      <c r="N39" s="59"/>
      <c r="O39" s="241"/>
    </row>
    <row r="40" spans="2:18" x14ac:dyDescent="0.2">
      <c r="B40" s="418" t="str">
        <f>+B22</f>
        <v>General Service &lt; 50 kW</v>
      </c>
      <c r="C40" s="228"/>
      <c r="D40" s="130" t="s">
        <v>36</v>
      </c>
      <c r="E40" s="428">
        <f>+'9. Weather Adj LF'!L22</f>
        <v>0</v>
      </c>
      <c r="F40" s="428">
        <f>+'9. Weather Adj LF'!M22</f>
        <v>0</v>
      </c>
      <c r="G40" s="428">
        <f>+'9. Weather Adj LF'!N22</f>
        <v>0</v>
      </c>
      <c r="H40" s="428">
        <f>+'9. Weather Adj LF'!O22</f>
        <v>0</v>
      </c>
      <c r="I40" s="429">
        <f>+'9. Weather Adj LF'!P22</f>
        <v>0</v>
      </c>
      <c r="J40" s="102"/>
      <c r="K40" s="126"/>
      <c r="L40" s="127"/>
      <c r="M40" s="449">
        <f>IF(I40&gt;0,+M22/I22*I40,0)</f>
        <v>0</v>
      </c>
      <c r="N40" s="115">
        <f>IF(I40&gt;0,+N22/I22*I40,0)</f>
        <v>0</v>
      </c>
      <c r="O40" s="446">
        <f>+M40-N40</f>
        <v>0</v>
      </c>
    </row>
    <row r="41" spans="2:18" x14ac:dyDescent="0.2">
      <c r="B41" s="113" t="s">
        <v>30</v>
      </c>
      <c r="C41" s="228"/>
      <c r="D41" s="129"/>
      <c r="E41" s="428"/>
      <c r="F41" s="428"/>
      <c r="G41" s="428"/>
      <c r="H41" s="428"/>
      <c r="I41" s="429"/>
      <c r="J41" s="102"/>
      <c r="K41" s="126"/>
      <c r="L41" s="127"/>
      <c r="M41" s="449"/>
      <c r="N41" s="59"/>
      <c r="O41" s="241"/>
    </row>
    <row r="42" spans="2:18" x14ac:dyDescent="0.2">
      <c r="B42" s="418" t="str">
        <f>+B24</f>
        <v>Unmetered Scattered Load</v>
      </c>
      <c r="C42" s="228"/>
      <c r="D42" s="130" t="s">
        <v>36</v>
      </c>
      <c r="E42" s="382">
        <f>+'9. Weather Adj LF'!L26</f>
        <v>0</v>
      </c>
      <c r="F42" s="382">
        <f>+'9. Weather Adj LF'!M26</f>
        <v>0</v>
      </c>
      <c r="G42" s="382">
        <f>+'9. Weather Adj LF'!N26</f>
        <v>0</v>
      </c>
      <c r="H42" s="382">
        <f>+'9. Weather Adj LF'!O26</f>
        <v>0</v>
      </c>
      <c r="I42" s="383">
        <f>+'9. Weather Adj LF'!P26</f>
        <v>0</v>
      </c>
      <c r="J42" s="102"/>
      <c r="K42" s="126"/>
      <c r="L42" s="127"/>
      <c r="M42" s="449">
        <f>IF(I42&gt;0,+M24/I24*I42,0)</f>
        <v>0</v>
      </c>
      <c r="N42" s="115">
        <f>IF(I42&gt;0,+N24/I24*I42,0)</f>
        <v>0</v>
      </c>
      <c r="O42" s="446">
        <f>+M42-N42</f>
        <v>0</v>
      </c>
    </row>
    <row r="43" spans="2:18" x14ac:dyDescent="0.2">
      <c r="B43" s="113" t="s">
        <v>30</v>
      </c>
      <c r="C43" s="228"/>
      <c r="D43" s="129"/>
      <c r="E43" s="384"/>
      <c r="F43" s="384"/>
      <c r="G43" s="384"/>
      <c r="H43" s="384"/>
      <c r="I43" s="385"/>
      <c r="J43" s="102"/>
      <c r="K43" s="126"/>
      <c r="L43" s="127"/>
      <c r="M43" s="449"/>
      <c r="N43" s="59"/>
      <c r="O43" s="241"/>
    </row>
    <row r="44" spans="2:18" x14ac:dyDescent="0.2">
      <c r="B44" s="418" t="str">
        <f>+B26</f>
        <v>General Service &gt; 50 kW - 4999 kW</v>
      </c>
      <c r="C44" s="228"/>
      <c r="D44" s="130" t="s">
        <v>36</v>
      </c>
      <c r="E44" s="384">
        <f>+'9. Weather Adj LF'!L30</f>
        <v>115813</v>
      </c>
      <c r="F44" s="384">
        <f>+'9. Weather Adj LF'!M30</f>
        <v>114180</v>
      </c>
      <c r="G44" s="384">
        <f>+'9. Weather Adj LF'!N30</f>
        <v>113922</v>
      </c>
      <c r="H44" s="384">
        <f>+'9. Weather Adj LF'!O30</f>
        <v>123813.1682025896</v>
      </c>
      <c r="I44" s="385">
        <f>+'9. Weather Adj LF'!P30</f>
        <v>123875.44446740684</v>
      </c>
      <c r="J44" s="102"/>
      <c r="K44" s="126"/>
      <c r="L44" s="127"/>
      <c r="M44" s="449">
        <f>IF(I44&gt;0,+M26/I26*I44,0)</f>
        <v>122368.49154755988</v>
      </c>
      <c r="N44" s="115">
        <f>IF(I44&gt;0,+N26/I26*I44,0)</f>
        <v>0</v>
      </c>
      <c r="O44" s="446">
        <f>+M44-N44</f>
        <v>122368.49154755988</v>
      </c>
    </row>
    <row r="45" spans="2:18" x14ac:dyDescent="0.2">
      <c r="B45" s="113" t="s">
        <v>30</v>
      </c>
      <c r="C45" s="228"/>
      <c r="D45" s="129"/>
      <c r="E45" s="384"/>
      <c r="F45" s="384"/>
      <c r="G45" s="384"/>
      <c r="H45" s="384"/>
      <c r="I45" s="385"/>
      <c r="J45" s="102"/>
      <c r="K45" s="126"/>
      <c r="L45" s="127"/>
      <c r="M45" s="449"/>
      <c r="N45" s="59"/>
      <c r="O45" s="241"/>
    </row>
    <row r="46" spans="2:18" x14ac:dyDescent="0.2">
      <c r="B46" s="418" t="str">
        <f>+B28</f>
        <v>Streetlighting</v>
      </c>
      <c r="C46" s="228"/>
      <c r="D46" s="130" t="s">
        <v>36</v>
      </c>
      <c r="E46" s="384">
        <f>+'9. Weather Adj LF'!L34</f>
        <v>3104</v>
      </c>
      <c r="F46" s="384">
        <f>+'9. Weather Adj LF'!M34</f>
        <v>3110</v>
      </c>
      <c r="G46" s="384">
        <f>+'9. Weather Adj LF'!N34</f>
        <v>3117</v>
      </c>
      <c r="H46" s="384">
        <f>+'9. Weather Adj LF'!O34</f>
        <v>3154.85223403498</v>
      </c>
      <c r="I46" s="385">
        <f>+'9. Weather Adj LF'!P34</f>
        <v>3156.4390798934473</v>
      </c>
      <c r="J46" s="102"/>
      <c r="K46" s="126"/>
      <c r="L46" s="127"/>
      <c r="M46" s="449">
        <f>IF(I46&gt;0,+M28/I28*I46,0)</f>
        <v>3118.0407911267334</v>
      </c>
      <c r="N46" s="115">
        <f>IF(I46&gt;0,+N28/I28*I46,0)</f>
        <v>0</v>
      </c>
      <c r="O46" s="446">
        <f>+M46-N46</f>
        <v>3118.0407911267334</v>
      </c>
    </row>
    <row r="47" spans="2:18" x14ac:dyDescent="0.2">
      <c r="B47" s="113" t="s">
        <v>30</v>
      </c>
      <c r="C47" s="228"/>
      <c r="D47" s="129"/>
      <c r="E47" s="384"/>
      <c r="F47" s="384"/>
      <c r="G47" s="384"/>
      <c r="H47" s="384"/>
      <c r="I47" s="385"/>
      <c r="J47" s="102"/>
      <c r="K47" s="126"/>
      <c r="L47" s="127"/>
      <c r="M47" s="449"/>
      <c r="N47" s="59"/>
      <c r="O47" s="241"/>
    </row>
    <row r="48" spans="2:18" x14ac:dyDescent="0.2">
      <c r="B48" s="418">
        <f>+B30</f>
        <v>0</v>
      </c>
      <c r="C48" s="228"/>
      <c r="D48" s="130" t="s">
        <v>36</v>
      </c>
      <c r="E48" s="384">
        <f>+'9. Weather Adj LF'!L38</f>
        <v>0</v>
      </c>
      <c r="F48" s="384">
        <f>+'9. Weather Adj LF'!M38</f>
        <v>0</v>
      </c>
      <c r="G48" s="384">
        <f>+'9. Weather Adj LF'!N38</f>
        <v>0</v>
      </c>
      <c r="H48" s="384">
        <f>+'9. Weather Adj LF'!O38</f>
        <v>0</v>
      </c>
      <c r="I48" s="385">
        <f>+'9. Weather Adj LF'!P38</f>
        <v>0</v>
      </c>
      <c r="J48" s="102"/>
      <c r="K48" s="126"/>
      <c r="L48" s="127"/>
      <c r="M48" s="449">
        <f>IF(I48&gt;0,+M30/I30*I48,0)</f>
        <v>0</v>
      </c>
      <c r="N48" s="115">
        <f>IF(I48&gt;0,+N30/I30*I48,0)</f>
        <v>0</v>
      </c>
      <c r="O48" s="446">
        <f>+M48-N48</f>
        <v>0</v>
      </c>
    </row>
    <row r="49" spans="2:15" x14ac:dyDescent="0.2">
      <c r="B49" s="418"/>
      <c r="C49" s="228"/>
      <c r="D49" s="130"/>
      <c r="E49" s="384"/>
      <c r="F49" s="384"/>
      <c r="G49" s="384"/>
      <c r="H49" s="384"/>
      <c r="I49" s="385"/>
      <c r="J49" s="102"/>
      <c r="K49" s="126"/>
      <c r="L49" s="127"/>
      <c r="M49" s="449"/>
      <c r="N49" s="59"/>
      <c r="O49" s="241"/>
    </row>
    <row r="50" spans="2:15" x14ac:dyDescent="0.2">
      <c r="B50" s="418">
        <f>+B32</f>
        <v>0</v>
      </c>
      <c r="C50" s="228"/>
      <c r="D50" s="130" t="s">
        <v>36</v>
      </c>
      <c r="E50" s="384">
        <f>+'9. Weather Adj LF'!L42</f>
        <v>0</v>
      </c>
      <c r="F50" s="384">
        <f>+'9. Weather Adj LF'!M42</f>
        <v>0</v>
      </c>
      <c r="G50" s="384">
        <f>+'9. Weather Adj LF'!N42</f>
        <v>0</v>
      </c>
      <c r="H50" s="384">
        <f>+'9. Weather Adj LF'!O42</f>
        <v>0</v>
      </c>
      <c r="I50" s="385">
        <f>+'9. Weather Adj LF'!P42</f>
        <v>0</v>
      </c>
      <c r="J50" s="102"/>
      <c r="K50" s="126"/>
      <c r="L50" s="127"/>
      <c r="M50" s="449">
        <f>IF(I50&gt;0,+M32/I32*I50,0)</f>
        <v>0</v>
      </c>
      <c r="N50" s="115">
        <f>IF(I50&gt;0,+N32/I32*I50,0)</f>
        <v>0</v>
      </c>
      <c r="O50" s="446">
        <f>+M50-N50</f>
        <v>0</v>
      </c>
    </row>
    <row r="51" spans="2:15" ht="13.5" thickBot="1" x14ac:dyDescent="0.25">
      <c r="B51" s="119" t="s">
        <v>30</v>
      </c>
      <c r="C51" s="232"/>
      <c r="D51" s="208"/>
      <c r="E51" s="290"/>
      <c r="F51" s="290"/>
      <c r="G51" s="290"/>
      <c r="H51" s="290"/>
      <c r="I51" s="430"/>
      <c r="J51" s="102"/>
      <c r="K51" s="126"/>
      <c r="L51" s="127"/>
      <c r="M51" s="450"/>
      <c r="N51" s="91"/>
      <c r="O51" s="194"/>
    </row>
    <row r="52" spans="2:15" ht="13.5" thickBot="1" x14ac:dyDescent="0.25">
      <c r="B52" s="459" t="s">
        <v>16</v>
      </c>
      <c r="C52" s="462"/>
      <c r="D52" s="463" t="s">
        <v>30</v>
      </c>
      <c r="E52" s="460">
        <f>SUM(E38:E51)</f>
        <v>118917</v>
      </c>
      <c r="F52" s="460">
        <f>SUM(F38:F51)</f>
        <v>117290</v>
      </c>
      <c r="G52" s="460">
        <f>SUM(G38:G51)</f>
        <v>117039</v>
      </c>
      <c r="H52" s="460">
        <f>SUM(H38:H51)</f>
        <v>126968.02043662457</v>
      </c>
      <c r="I52" s="461">
        <f>SUM(I38:I51)</f>
        <v>127031.88354730028</v>
      </c>
      <c r="J52" s="102"/>
      <c r="K52" s="126"/>
      <c r="L52" s="127"/>
      <c r="M52" s="465">
        <f>SUM(M38:M51)</f>
        <v>125486.53233868662</v>
      </c>
      <c r="N52" s="463">
        <f>SUM(N38:N51)</f>
        <v>0</v>
      </c>
      <c r="O52" s="466">
        <f>SUM(O38:O51)</f>
        <v>125486.53233868662</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opLeftCell="A4" workbookViewId="0">
      <selection activeCell="N30" sqref="N30"/>
    </sheetView>
  </sheetViews>
  <sheetFormatPr defaultRowHeight="12.75" x14ac:dyDescent="0.2"/>
  <cols>
    <col min="1" max="1" width="13.6640625" customWidth="1"/>
    <col min="2" max="2" width="54.83203125" bestFit="1" customWidth="1"/>
    <col min="4" max="4" width="5.6640625" bestFit="1" customWidth="1"/>
    <col min="5" max="5" width="17.6640625" bestFit="1" customWidth="1"/>
    <col min="6" max="6" width="5.5" customWidth="1"/>
    <col min="7" max="8" width="17.33203125" customWidth="1"/>
    <col min="10" max="10" width="0" hidden="1" customWidth="1"/>
  </cols>
  <sheetData>
    <row r="1" spans="1:2" x14ac:dyDescent="0.2">
      <c r="A1" s="744" t="s">
        <v>264</v>
      </c>
    </row>
    <row r="11" spans="1:2" ht="23.25" x14ac:dyDescent="0.2">
      <c r="B11" s="133" t="s">
        <v>463</v>
      </c>
    </row>
    <row r="12" spans="1:2" ht="15" x14ac:dyDescent="0.2">
      <c r="B12" s="63" t="s">
        <v>62</v>
      </c>
    </row>
    <row r="13" spans="1:2" ht="14.25" x14ac:dyDescent="0.2">
      <c r="B13" s="100"/>
    </row>
    <row r="14" spans="1:2" ht="14.25" x14ac:dyDescent="0.2">
      <c r="B14" s="100"/>
    </row>
    <row r="15" spans="1:2" ht="14.25" x14ac:dyDescent="0.2">
      <c r="B15" s="100"/>
    </row>
    <row r="17" spans="2:8" x14ac:dyDescent="0.2">
      <c r="B17" s="128" t="s">
        <v>462</v>
      </c>
      <c r="C17" s="128"/>
      <c r="D17" s="102"/>
      <c r="E17" s="102"/>
      <c r="F17" s="102"/>
      <c r="G17" s="102"/>
      <c r="H17" s="102"/>
    </row>
    <row r="18" spans="2:8" ht="13.5" thickBot="1" x14ac:dyDescent="0.25">
      <c r="B18" s="102"/>
      <c r="C18" s="102"/>
      <c r="D18" s="102"/>
      <c r="E18" s="102"/>
      <c r="F18" s="102"/>
      <c r="G18" s="102"/>
      <c r="H18" s="102"/>
    </row>
    <row r="19" spans="2:8" ht="27.75" customHeight="1" thickBot="1" x14ac:dyDescent="0.25">
      <c r="B19" s="111" t="s">
        <v>35</v>
      </c>
      <c r="C19" s="227"/>
      <c r="D19" s="112" t="s">
        <v>33</v>
      </c>
      <c r="E19" s="212" t="str">
        <f>'1. LDC Info'!F27</f>
        <v>2017</v>
      </c>
      <c r="F19" s="102"/>
      <c r="G19" s="434" t="s">
        <v>58</v>
      </c>
      <c r="H19" s="435" t="s">
        <v>59</v>
      </c>
    </row>
    <row r="20" spans="2:8" x14ac:dyDescent="0.2">
      <c r="B20" s="422" t="str">
        <f>+'9. Weather Adj LF'!C16</f>
        <v>Residential</v>
      </c>
      <c r="C20" s="423"/>
      <c r="D20" s="424" t="s">
        <v>35</v>
      </c>
      <c r="E20" s="458">
        <f>+'9. Weather Adj LF'!P17</f>
        <v>30363324.309185188</v>
      </c>
      <c r="F20" s="102"/>
      <c r="G20" s="442">
        <f>E20/$E$34</f>
        <v>0.33896902511554422</v>
      </c>
      <c r="H20" s="443">
        <f>G20*$H$34</f>
        <v>533328.44061239541</v>
      </c>
    </row>
    <row r="21" spans="2:8" x14ac:dyDescent="0.2">
      <c r="B21" s="114"/>
      <c r="C21" s="229"/>
      <c r="D21" s="129"/>
      <c r="E21" s="385"/>
      <c r="F21" s="102"/>
      <c r="G21" s="116"/>
      <c r="H21" s="431"/>
    </row>
    <row r="22" spans="2:8" x14ac:dyDescent="0.2">
      <c r="B22" s="419" t="str">
        <f>+'9. Weather Adj LF'!C20</f>
        <v>General Service &lt; 50 kW</v>
      </c>
      <c r="C22" s="229"/>
      <c r="D22" s="129" t="s">
        <v>35</v>
      </c>
      <c r="E22" s="385">
        <f>+'9. Weather Adj LF'!P21</f>
        <v>12331809.38940906</v>
      </c>
      <c r="F22" s="102"/>
      <c r="G22" s="117">
        <f>E22/$E$34</f>
        <v>0.13766942526033565</v>
      </c>
      <c r="H22" s="432">
        <f>G22*$H$34</f>
        <v>216606.87099380794</v>
      </c>
    </row>
    <row r="23" spans="2:8" x14ac:dyDescent="0.2">
      <c r="B23" s="114"/>
      <c r="C23" s="229"/>
      <c r="D23" s="129"/>
      <c r="E23" s="385"/>
      <c r="F23" s="102"/>
      <c r="G23" s="117"/>
      <c r="H23" s="431"/>
    </row>
    <row r="24" spans="2:8" x14ac:dyDescent="0.2">
      <c r="B24" s="419" t="str">
        <f>+'9. Weather Adj LF'!C24</f>
        <v>Unmetered Scattered Load</v>
      </c>
      <c r="C24" s="229"/>
      <c r="D24" s="129" t="s">
        <v>35</v>
      </c>
      <c r="E24" s="385">
        <f>+'9. Weather Adj LF'!P25</f>
        <v>157058.41909223574</v>
      </c>
      <c r="F24" s="102"/>
      <c r="G24" s="117">
        <f>E24/$E$34</f>
        <v>1.7533633229276791E-3</v>
      </c>
      <c r="H24" s="432">
        <f>G24*$H$34</f>
        <v>2758.7137984812434</v>
      </c>
    </row>
    <row r="25" spans="2:8" x14ac:dyDescent="0.2">
      <c r="B25" s="114"/>
      <c r="C25" s="229"/>
      <c r="D25" s="129"/>
      <c r="E25" s="385"/>
      <c r="F25" s="102"/>
      <c r="G25" s="117"/>
      <c r="H25" s="432"/>
    </row>
    <row r="26" spans="2:8" x14ac:dyDescent="0.2">
      <c r="B26" s="419" t="str">
        <f>+'9. Weather Adj LF'!C28</f>
        <v>General Service &gt; 50 kW - 4999 kW</v>
      </c>
      <c r="C26" s="229"/>
      <c r="D26" s="129" t="s">
        <v>35</v>
      </c>
      <c r="E26" s="385">
        <f>+'9. Weather Adj LF'!P29</f>
        <v>45587383.847156197</v>
      </c>
      <c r="F26" s="102"/>
      <c r="G26" s="117">
        <f>E26/$E$34</f>
        <v>0.50892685210901145</v>
      </c>
      <c r="H26" s="432">
        <f>G26*$H$34</f>
        <v>800737.36627868493</v>
      </c>
    </row>
    <row r="27" spans="2:8" x14ac:dyDescent="0.2">
      <c r="B27" s="114"/>
      <c r="C27" s="229"/>
      <c r="D27" s="129"/>
      <c r="E27" s="385"/>
      <c r="F27" s="102"/>
      <c r="G27" s="117"/>
      <c r="H27" s="432"/>
    </row>
    <row r="28" spans="2:8" x14ac:dyDescent="0.2">
      <c r="B28" s="419" t="str">
        <f>+'9. Weather Adj LF'!C32</f>
        <v>Streetlighting</v>
      </c>
      <c r="C28" s="229"/>
      <c r="D28" s="129" t="s">
        <v>35</v>
      </c>
      <c r="E28" s="385">
        <f>+'9. Weather Adj LF'!P33</f>
        <v>1135937.0155402902</v>
      </c>
      <c r="F28" s="102"/>
      <c r="G28" s="117">
        <f>E28/$E$34</f>
        <v>1.2681334192181074E-2</v>
      </c>
      <c r="H28" s="432">
        <f>G28*$H$34</f>
        <v>19952.608316630627</v>
      </c>
    </row>
    <row r="29" spans="2:8" x14ac:dyDescent="0.2">
      <c r="B29" s="114"/>
      <c r="C29" s="229"/>
      <c r="D29" s="129"/>
      <c r="E29" s="385"/>
      <c r="F29" s="102"/>
      <c r="G29" s="117"/>
      <c r="H29" s="431"/>
    </row>
    <row r="30" spans="2:8" x14ac:dyDescent="0.2">
      <c r="B30" s="419">
        <f>'9. Weather Adj LF'!C36</f>
        <v>0</v>
      </c>
      <c r="C30" s="230"/>
      <c r="D30" s="129" t="s">
        <v>35</v>
      </c>
      <c r="E30" s="385">
        <f>+'9. Weather Adj LF'!P37</f>
        <v>0</v>
      </c>
      <c r="F30" s="102"/>
      <c r="G30" s="117">
        <f>E30/$E$35</f>
        <v>0</v>
      </c>
      <c r="H30" s="432">
        <f>G30*$H$34</f>
        <v>0</v>
      </c>
    </row>
    <row r="31" spans="2:8" x14ac:dyDescent="0.2">
      <c r="B31" s="118"/>
      <c r="C31" s="231"/>
      <c r="D31" s="207"/>
      <c r="E31" s="425"/>
      <c r="F31" s="102"/>
      <c r="G31" s="117"/>
      <c r="H31" s="431"/>
    </row>
    <row r="32" spans="2:8" x14ac:dyDescent="0.2">
      <c r="B32" s="420">
        <f>+'9. Weather Adj LF'!C40</f>
        <v>0</v>
      </c>
      <c r="C32" s="231"/>
      <c r="D32" s="129" t="s">
        <v>35</v>
      </c>
      <c r="E32" s="425">
        <f>+'9. Weather Adj LF'!P41</f>
        <v>0</v>
      </c>
      <c r="F32" s="102"/>
      <c r="G32" s="117">
        <f>E32/$E$34</f>
        <v>0</v>
      </c>
      <c r="H32" s="432">
        <f>G32*$H$34</f>
        <v>0</v>
      </c>
    </row>
    <row r="33" spans="2:10" ht="13.5" thickBot="1" x14ac:dyDescent="0.25">
      <c r="B33" s="119"/>
      <c r="C33" s="232"/>
      <c r="D33" s="208"/>
      <c r="E33" s="430"/>
      <c r="F33" s="102"/>
      <c r="G33" s="120"/>
      <c r="H33" s="433"/>
    </row>
    <row r="34" spans="2:10" ht="20.25" thickTop="1" thickBot="1" x14ac:dyDescent="0.25">
      <c r="B34" s="778" t="s">
        <v>16</v>
      </c>
      <c r="C34" s="779"/>
      <c r="D34" s="780"/>
      <c r="E34" s="782">
        <f>SUM(E20:E33)</f>
        <v>89575512.980382964</v>
      </c>
      <c r="F34" s="783"/>
      <c r="G34" s="784">
        <f>E34/$E$34</f>
        <v>1</v>
      </c>
      <c r="H34" s="777">
        <f>'10. CDM Adjustment V2'!I120</f>
        <v>1573384</v>
      </c>
      <c r="J34" s="453" t="e">
        <f>+#REF!-#REF!</f>
        <v>#REF!</v>
      </c>
    </row>
    <row r="35" spans="2:10" x14ac:dyDescent="0.2">
      <c r="B35" s="121"/>
      <c r="C35" s="121"/>
      <c r="D35" s="125"/>
      <c r="E35" s="824">
        <f>E20+E22+E24+E26+E30</f>
        <v>88439575.964842677</v>
      </c>
      <c r="F35" s="124"/>
      <c r="G35" s="124"/>
      <c r="H35" s="124"/>
    </row>
    <row r="36" spans="2:10" x14ac:dyDescent="0.2">
      <c r="B36" s="102"/>
      <c r="C36" s="102"/>
      <c r="D36" s="209"/>
      <c r="E36" s="102"/>
      <c r="F36" s="102"/>
      <c r="G36" s="102"/>
      <c r="H36" s="10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zoomScaleNormal="100" workbookViewId="0">
      <selection activeCell="T40" sqref="T40"/>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28" customFormat="1" x14ac:dyDescent="0.2">
      <c r="A1" s="744" t="s">
        <v>264</v>
      </c>
      <c r="O1" s="206"/>
    </row>
    <row r="2" spans="1:15" s="528" customFormat="1" x14ac:dyDescent="0.2">
      <c r="O2" s="206"/>
    </row>
    <row r="3" spans="1:15" s="528" customFormat="1" x14ac:dyDescent="0.2">
      <c r="O3" s="206"/>
    </row>
    <row r="4" spans="1:15" s="528" customFormat="1" x14ac:dyDescent="0.2">
      <c r="O4" s="206"/>
    </row>
    <row r="5" spans="1:15" s="528" customFormat="1" x14ac:dyDescent="0.2">
      <c r="O5" s="206"/>
    </row>
    <row r="6" spans="1:15" s="528" customFormat="1" x14ac:dyDescent="0.2">
      <c r="O6" s="206"/>
    </row>
    <row r="7" spans="1:15" s="528" customFormat="1" x14ac:dyDescent="0.2">
      <c r="O7" s="206"/>
    </row>
    <row r="8" spans="1:15" s="528" customFormat="1" x14ac:dyDescent="0.2">
      <c r="O8" s="206"/>
    </row>
    <row r="9" spans="1:15" s="528" customFormat="1" x14ac:dyDescent="0.2">
      <c r="O9" s="206"/>
    </row>
    <row r="11" spans="1:15" ht="23.25" x14ac:dyDescent="0.2">
      <c r="B11" s="133" t="s">
        <v>229</v>
      </c>
      <c r="O11" s="311"/>
    </row>
    <row r="12" spans="1:15" ht="13.5" thickBot="1" x14ac:dyDescent="0.25">
      <c r="F12" s="768"/>
      <c r="G12" s="768"/>
      <c r="H12" s="768"/>
      <c r="I12" s="768"/>
      <c r="J12" s="768"/>
      <c r="K12" s="768"/>
      <c r="L12" s="768"/>
      <c r="M12" s="768"/>
      <c r="N12" s="768"/>
      <c r="O12" s="768"/>
    </row>
    <row r="13" spans="1:15" ht="13.5" thickBot="1" x14ac:dyDescent="0.25">
      <c r="B13" s="87"/>
      <c r="C13" s="301" t="s">
        <v>33</v>
      </c>
      <c r="D13" s="196">
        <f>'4. Customer Growth'!B17</f>
        <v>2006</v>
      </c>
      <c r="E13" s="196">
        <f>'4. Customer Growth'!B18</f>
        <v>2007</v>
      </c>
      <c r="F13" s="196">
        <f>'4. Customer Growth'!B19</f>
        <v>2008</v>
      </c>
      <c r="G13" s="196">
        <f>'4. Customer Growth'!B20</f>
        <v>2009</v>
      </c>
      <c r="H13" s="196">
        <f>'4. Customer Growth'!B21</f>
        <v>2010</v>
      </c>
      <c r="I13" s="196">
        <f>'4. Customer Growth'!B22</f>
        <v>2011</v>
      </c>
      <c r="J13" s="196">
        <f>'4. Customer Growth'!B23</f>
        <v>2012</v>
      </c>
      <c r="K13" s="196">
        <f>'4. Customer Growth'!B24</f>
        <v>2013</v>
      </c>
      <c r="L13" s="196">
        <f>'4. Customer Growth'!B25</f>
        <v>2014</v>
      </c>
      <c r="M13" s="196">
        <f>'4. Customer Growth'!B26</f>
        <v>2015</v>
      </c>
      <c r="N13" s="196" t="str">
        <f>'4. Customer Growth'!B30</f>
        <v>2016</v>
      </c>
      <c r="O13" s="195" t="str">
        <f>'4. Customer Growth'!B31</f>
        <v>2017</v>
      </c>
    </row>
    <row r="14" spans="1:15" x14ac:dyDescent="0.2">
      <c r="B14" s="415" t="str">
        <f>+'9. Weather Adj LF'!C16</f>
        <v>Residential</v>
      </c>
      <c r="C14" s="88" t="s">
        <v>126</v>
      </c>
      <c r="D14" s="382">
        <f>+'9. Weather Adj LF'!E16</f>
        <v>3537</v>
      </c>
      <c r="E14" s="382">
        <f>+'9. Weather Adj LF'!F16</f>
        <v>3551</v>
      </c>
      <c r="F14" s="382">
        <f>+'9. Weather Adj LF'!G16</f>
        <v>3581</v>
      </c>
      <c r="G14" s="382">
        <f>+'9. Weather Adj LF'!H16</f>
        <v>3608</v>
      </c>
      <c r="H14" s="382">
        <f>+'9. Weather Adj LF'!I16</f>
        <v>3654</v>
      </c>
      <c r="I14" s="382">
        <f>+'9. Weather Adj LF'!J16</f>
        <v>3687</v>
      </c>
      <c r="J14" s="382">
        <f>+'9. Weather Adj LF'!K16</f>
        <v>3707</v>
      </c>
      <c r="K14" s="382">
        <f>+'9. Weather Adj LF'!L16</f>
        <v>3730</v>
      </c>
      <c r="L14" s="382">
        <f>+'9. Weather Adj LF'!M16</f>
        <v>3760</v>
      </c>
      <c r="M14" s="382">
        <f>+'9. Weather Adj LF'!N16</f>
        <v>3779</v>
      </c>
      <c r="N14" s="382">
        <f>+'9. Weather Adj LF'!O16</f>
        <v>3806.8908831500453</v>
      </c>
      <c r="O14" s="383">
        <f>+'9. Weather Adj LF'!P16</f>
        <v>3834.9876147687037</v>
      </c>
    </row>
    <row r="15" spans="1:15" x14ac:dyDescent="0.2">
      <c r="B15" s="89"/>
      <c r="C15" s="59" t="s">
        <v>35</v>
      </c>
      <c r="D15" s="382">
        <f>+'9. Weather Adj LF'!E17</f>
        <v>30640106</v>
      </c>
      <c r="E15" s="382">
        <f>+'9. Weather Adj LF'!F17</f>
        <v>31007901</v>
      </c>
      <c r="F15" s="382">
        <f>+'9. Weather Adj LF'!G17</f>
        <v>31465398</v>
      </c>
      <c r="G15" s="382">
        <f>+'9. Weather Adj LF'!H17</f>
        <v>30635928</v>
      </c>
      <c r="H15" s="382">
        <f>+'9. Weather Adj LF'!I17</f>
        <v>30305144</v>
      </c>
      <c r="I15" s="382">
        <f>+'9. Weather Adj LF'!J17</f>
        <v>30085520</v>
      </c>
      <c r="J15" s="382">
        <f>+'9. Weather Adj LF'!K17</f>
        <v>29994156</v>
      </c>
      <c r="K15" s="382">
        <f>+'9. Weather Adj LF'!L17</f>
        <v>30486731</v>
      </c>
      <c r="L15" s="382">
        <f>+'9. Weather Adj LF'!M17</f>
        <v>30037011</v>
      </c>
      <c r="M15" s="382">
        <f>+'9. Weather Adj LF'!N17</f>
        <v>29589162</v>
      </c>
      <c r="N15" s="382">
        <f>+'9. Weather Adj LF'!O17</f>
        <v>30348059.666272782</v>
      </c>
      <c r="O15" s="383">
        <f>+'10.1 CDM Allocation'!O20</f>
        <v>29993952.47426898</v>
      </c>
    </row>
    <row r="16" spans="1:15" x14ac:dyDescent="0.2">
      <c r="B16" s="89"/>
      <c r="C16" s="59" t="s">
        <v>36</v>
      </c>
      <c r="D16" s="384">
        <f>+'9. Weather Adj LF'!E18</f>
        <v>0</v>
      </c>
      <c r="E16" s="384">
        <f>+'9. Weather Adj LF'!F18</f>
        <v>0</v>
      </c>
      <c r="F16" s="384">
        <f>+'9. Weather Adj LF'!G18</f>
        <v>0</v>
      </c>
      <c r="G16" s="384">
        <f>+'9. Weather Adj LF'!H18</f>
        <v>0</v>
      </c>
      <c r="H16" s="384">
        <f>+'9. Weather Adj LF'!I18</f>
        <v>0</v>
      </c>
      <c r="I16" s="384">
        <f>+'9. Weather Adj LF'!J18</f>
        <v>0</v>
      </c>
      <c r="J16" s="384">
        <f>+'9. Weather Adj LF'!K18</f>
        <v>0</v>
      </c>
      <c r="K16" s="384">
        <f>+'9. Weather Adj LF'!L18</f>
        <v>0</v>
      </c>
      <c r="L16" s="384">
        <f>+'9. Weather Adj LF'!M18</f>
        <v>0</v>
      </c>
      <c r="M16" s="384">
        <f>+'9. Weather Adj LF'!N18</f>
        <v>0</v>
      </c>
      <c r="N16" s="384">
        <f>+'9. Weather Adj LF'!O18</f>
        <v>0</v>
      </c>
      <c r="O16" s="385">
        <f>+'10.1 CDM Allocation'!O38</f>
        <v>0</v>
      </c>
    </row>
    <row r="17" spans="2:15" x14ac:dyDescent="0.2">
      <c r="B17" s="89"/>
      <c r="C17" s="59"/>
      <c r="D17" s="384"/>
      <c r="E17" s="384"/>
      <c r="F17" s="384"/>
      <c r="G17" s="384"/>
      <c r="H17" s="384"/>
      <c r="I17" s="384"/>
      <c r="J17" s="384"/>
      <c r="K17" s="384"/>
      <c r="L17" s="384"/>
      <c r="M17" s="384"/>
      <c r="N17" s="384"/>
      <c r="O17" s="385"/>
    </row>
    <row r="18" spans="2:15" x14ac:dyDescent="0.2">
      <c r="B18" s="416" t="str">
        <f>+'9. Weather Adj LF'!C20</f>
        <v>General Service &lt; 50 kW</v>
      </c>
      <c r="C18" s="88" t="s">
        <v>126</v>
      </c>
      <c r="D18" s="382">
        <f>+'9. Weather Adj LF'!E20</f>
        <v>512</v>
      </c>
      <c r="E18" s="382">
        <f>+'9. Weather Adj LF'!F20</f>
        <v>497</v>
      </c>
      <c r="F18" s="382">
        <f>+'9. Weather Adj LF'!G20</f>
        <v>494</v>
      </c>
      <c r="G18" s="382">
        <f>+'9. Weather Adj LF'!H20</f>
        <v>483</v>
      </c>
      <c r="H18" s="382">
        <f>+'9. Weather Adj LF'!I20</f>
        <v>442</v>
      </c>
      <c r="I18" s="382">
        <f>+'9. Weather Adj LF'!J20</f>
        <v>437</v>
      </c>
      <c r="J18" s="382">
        <f>+'9. Weather Adj LF'!K20</f>
        <v>435</v>
      </c>
      <c r="K18" s="382">
        <f>+'9. Weather Adj LF'!L20</f>
        <v>428</v>
      </c>
      <c r="L18" s="382">
        <f>+'9. Weather Adj LF'!M20</f>
        <v>428</v>
      </c>
      <c r="M18" s="382">
        <f>+'9. Weather Adj LF'!N20</f>
        <v>430</v>
      </c>
      <c r="N18" s="382">
        <f>+'9. Weather Adj LF'!O20</f>
        <v>421.7412356106833</v>
      </c>
      <c r="O18" s="383">
        <f>+'9. Weather Adj LF'!P20</f>
        <v>413.64109259168811</v>
      </c>
    </row>
    <row r="19" spans="2:15" x14ac:dyDescent="0.2">
      <c r="B19" s="89"/>
      <c r="C19" s="59" t="s">
        <v>35</v>
      </c>
      <c r="D19" s="382">
        <f>+'9. Weather Adj LF'!E21</f>
        <v>13424049</v>
      </c>
      <c r="E19" s="382">
        <f>+'9. Weather Adj LF'!F21</f>
        <v>13776453</v>
      </c>
      <c r="F19" s="382">
        <f>+'9. Weather Adj LF'!G21</f>
        <v>13927235</v>
      </c>
      <c r="G19" s="382">
        <f>+'9. Weather Adj LF'!H21</f>
        <v>12859915</v>
      </c>
      <c r="H19" s="382">
        <f>+'9. Weather Adj LF'!I21</f>
        <v>12427065</v>
      </c>
      <c r="I19" s="382">
        <f>+'9. Weather Adj LF'!J21</f>
        <v>11962164</v>
      </c>
      <c r="J19" s="382">
        <f>+'9. Weather Adj LF'!K21</f>
        <v>11672310</v>
      </c>
      <c r="K19" s="382">
        <f>+'9. Weather Adj LF'!L21</f>
        <v>11531242</v>
      </c>
      <c r="L19" s="382">
        <f>+'9. Weather Adj LF'!M21</f>
        <v>11294125</v>
      </c>
      <c r="M19" s="382">
        <f>+'9. Weather Adj LF'!N21</f>
        <v>10843312</v>
      </c>
      <c r="N19" s="382">
        <f>+'9. Weather Adj LF'!O21</f>
        <v>12325609.78277586</v>
      </c>
      <c r="O19" s="383">
        <f>+'10.1 CDM Allocation'!O22</f>
        <v>12181792.118058274</v>
      </c>
    </row>
    <row r="20" spans="2:15" x14ac:dyDescent="0.2">
      <c r="B20" s="89"/>
      <c r="C20" s="59" t="s">
        <v>36</v>
      </c>
      <c r="D20" s="384">
        <f>+'9. Weather Adj LF'!E22</f>
        <v>0</v>
      </c>
      <c r="E20" s="384">
        <f>+'9. Weather Adj LF'!F22</f>
        <v>0</v>
      </c>
      <c r="F20" s="384">
        <f>+'9. Weather Adj LF'!G22</f>
        <v>0</v>
      </c>
      <c r="G20" s="384">
        <f>+'9. Weather Adj LF'!H22</f>
        <v>0</v>
      </c>
      <c r="H20" s="384">
        <f>+'9. Weather Adj LF'!I22</f>
        <v>0</v>
      </c>
      <c r="I20" s="384">
        <f>+'9. Weather Adj LF'!J22</f>
        <v>0</v>
      </c>
      <c r="J20" s="384">
        <f>+'9. Weather Adj LF'!K22</f>
        <v>0</v>
      </c>
      <c r="K20" s="384">
        <f>+'9. Weather Adj LF'!L22</f>
        <v>0</v>
      </c>
      <c r="L20" s="384">
        <f>+'9. Weather Adj LF'!M22</f>
        <v>0</v>
      </c>
      <c r="M20" s="384">
        <f>+'9. Weather Adj LF'!N22</f>
        <v>0</v>
      </c>
      <c r="N20" s="384">
        <f>+'9. Weather Adj LF'!O22</f>
        <v>0</v>
      </c>
      <c r="O20" s="385">
        <f>+'10.1 CDM Allocation'!O40</f>
        <v>0</v>
      </c>
    </row>
    <row r="21" spans="2:15" x14ac:dyDescent="0.2">
      <c r="B21" s="89"/>
      <c r="C21" s="59"/>
      <c r="D21" s="384"/>
      <c r="E21" s="384"/>
      <c r="F21" s="384"/>
      <c r="G21" s="384"/>
      <c r="H21" s="384"/>
      <c r="I21" s="384"/>
      <c r="J21" s="384"/>
      <c r="K21" s="384"/>
      <c r="L21" s="384"/>
      <c r="M21" s="384"/>
      <c r="N21" s="384"/>
      <c r="O21" s="385"/>
    </row>
    <row r="22" spans="2:15" x14ac:dyDescent="0.2">
      <c r="B22" s="416" t="str">
        <f>+'9. Weather Adj LF'!C24</f>
        <v>Unmetered Scattered Load</v>
      </c>
      <c r="C22" s="88" t="s">
        <v>126</v>
      </c>
      <c r="D22" s="382">
        <f>+'9. Weather Adj LF'!E24</f>
        <v>28</v>
      </c>
      <c r="E22" s="382">
        <f>+'9. Weather Adj LF'!F24</f>
        <v>29</v>
      </c>
      <c r="F22" s="382">
        <f>+'9. Weather Adj LF'!G24</f>
        <v>30</v>
      </c>
      <c r="G22" s="382">
        <f>+'9. Weather Adj LF'!H24</f>
        <v>30</v>
      </c>
      <c r="H22" s="382">
        <f>+'9. Weather Adj LF'!I24</f>
        <v>34</v>
      </c>
      <c r="I22" s="382">
        <f>+'9. Weather Adj LF'!J24</f>
        <v>34</v>
      </c>
      <c r="J22" s="382">
        <f>+'9. Weather Adj LF'!K24</f>
        <v>34</v>
      </c>
      <c r="K22" s="382">
        <f>+'9. Weather Adj LF'!L24</f>
        <v>33</v>
      </c>
      <c r="L22" s="382">
        <f>+'9. Weather Adj LF'!M24</f>
        <v>33</v>
      </c>
      <c r="M22" s="382">
        <f>+'9. Weather Adj LF'!N24</f>
        <v>33</v>
      </c>
      <c r="N22" s="382">
        <f>+'9. Weather Adj LF'!O24</f>
        <v>33.607977220079128</v>
      </c>
      <c r="O22" s="383">
        <f>+'9. Weather Adj LF'!P24</f>
        <v>34.227155540162357</v>
      </c>
    </row>
    <row r="23" spans="2:15" x14ac:dyDescent="0.2">
      <c r="B23" s="89"/>
      <c r="C23" s="59" t="s">
        <v>35</v>
      </c>
      <c r="D23" s="382">
        <f>+'9. Weather Adj LF'!E25</f>
        <v>160045</v>
      </c>
      <c r="E23" s="382">
        <f>+'9. Weather Adj LF'!F25</f>
        <v>142221</v>
      </c>
      <c r="F23" s="382">
        <f>+'9. Weather Adj LF'!G25</f>
        <v>140870</v>
      </c>
      <c r="G23" s="382">
        <f>+'9. Weather Adj LF'!H25</f>
        <v>140485</v>
      </c>
      <c r="H23" s="382">
        <f>+'9. Weather Adj LF'!I25</f>
        <v>150176</v>
      </c>
      <c r="I23" s="382">
        <f>+'9. Weather Adj LF'!J25</f>
        <v>158921</v>
      </c>
      <c r="J23" s="382">
        <f>+'9. Weather Adj LF'!K25</f>
        <v>158811</v>
      </c>
      <c r="K23" s="382">
        <f>+'9. Weather Adj LF'!L25</f>
        <v>155619</v>
      </c>
      <c r="L23" s="382">
        <f>+'9. Weather Adj LF'!M25</f>
        <v>155019</v>
      </c>
      <c r="M23" s="382">
        <f>+'9. Weather Adj LF'!N25</f>
        <v>155364</v>
      </c>
      <c r="N23" s="382">
        <f>+'9. Weather Adj LF'!O25</f>
        <v>156979.46065344894</v>
      </c>
      <c r="O23" s="383">
        <f>+'10.1 CDM Allocation'!O24</f>
        <v>155147.79310614802</v>
      </c>
    </row>
    <row r="24" spans="2:15" x14ac:dyDescent="0.2">
      <c r="B24" s="89"/>
      <c r="C24" s="59" t="s">
        <v>36</v>
      </c>
      <c r="D24" s="384">
        <f>+'9. Weather Adj LF'!E26</f>
        <v>0</v>
      </c>
      <c r="E24" s="384">
        <f>+'9. Weather Adj LF'!F26</f>
        <v>0</v>
      </c>
      <c r="F24" s="384">
        <f>+'9. Weather Adj LF'!G26</f>
        <v>0</v>
      </c>
      <c r="G24" s="384">
        <f>+'9. Weather Adj LF'!H26</f>
        <v>0</v>
      </c>
      <c r="H24" s="384">
        <f>+'9. Weather Adj LF'!I26</f>
        <v>0</v>
      </c>
      <c r="I24" s="384">
        <f>+'9. Weather Adj LF'!J26</f>
        <v>0</v>
      </c>
      <c r="J24" s="384">
        <f>+'9. Weather Adj LF'!K26</f>
        <v>0</v>
      </c>
      <c r="K24" s="384">
        <f>+'9. Weather Adj LF'!L26</f>
        <v>0</v>
      </c>
      <c r="L24" s="384">
        <f>+'9. Weather Adj LF'!M26</f>
        <v>0</v>
      </c>
      <c r="M24" s="384">
        <f>+'9. Weather Adj LF'!N26</f>
        <v>0</v>
      </c>
      <c r="N24" s="384">
        <f>+'9. Weather Adj LF'!O26</f>
        <v>0</v>
      </c>
      <c r="O24" s="385">
        <f>+'10.1 CDM Allocation'!O42</f>
        <v>0</v>
      </c>
    </row>
    <row r="25" spans="2:15" x14ac:dyDescent="0.2">
      <c r="B25" s="89"/>
      <c r="C25" s="59"/>
      <c r="D25" s="384"/>
      <c r="E25" s="384"/>
      <c r="F25" s="384"/>
      <c r="G25" s="384"/>
      <c r="H25" s="384"/>
      <c r="I25" s="384"/>
      <c r="J25" s="384"/>
      <c r="K25" s="384"/>
      <c r="L25" s="384"/>
      <c r="M25" s="384"/>
      <c r="N25" s="384"/>
      <c r="O25" s="385"/>
    </row>
    <row r="26" spans="2:15" x14ac:dyDescent="0.2">
      <c r="B26" s="416" t="str">
        <f>+'9. Weather Adj LF'!C28</f>
        <v>General Service &gt; 50 kW - 4999 kW</v>
      </c>
      <c r="C26" s="88" t="s">
        <v>126</v>
      </c>
      <c r="D26" s="382">
        <f>+'9. Weather Adj LF'!E28</f>
        <v>62</v>
      </c>
      <c r="E26" s="382">
        <f>+'9. Weather Adj LF'!F28</f>
        <v>65</v>
      </c>
      <c r="F26" s="382">
        <f>+'9. Weather Adj LF'!G28</f>
        <v>67</v>
      </c>
      <c r="G26" s="382">
        <f>+'9. Weather Adj LF'!H28</f>
        <v>66</v>
      </c>
      <c r="H26" s="382">
        <f>+'9. Weather Adj LF'!I28</f>
        <v>59</v>
      </c>
      <c r="I26" s="382">
        <f>+'9. Weather Adj LF'!J28</f>
        <v>59</v>
      </c>
      <c r="J26" s="382">
        <f>+'9. Weather Adj LF'!K28</f>
        <v>59</v>
      </c>
      <c r="K26" s="382">
        <f>+'9. Weather Adj LF'!L28</f>
        <v>62</v>
      </c>
      <c r="L26" s="382">
        <f>+'9. Weather Adj LF'!M28</f>
        <v>62</v>
      </c>
      <c r="M26" s="382">
        <f>+'9. Weather Adj LF'!N28</f>
        <v>61</v>
      </c>
      <c r="N26" s="382">
        <f>+'9. Weather Adj LF'!O28</f>
        <v>60.889889302782052</v>
      </c>
      <c r="O26" s="383">
        <f>+'9. Weather Adj LF'!P28</f>
        <v>60.779977365656592</v>
      </c>
    </row>
    <row r="27" spans="2:15" x14ac:dyDescent="0.2">
      <c r="B27" s="89"/>
      <c r="C27" s="59" t="s">
        <v>35</v>
      </c>
      <c r="D27" s="382">
        <f>+'9. Weather Adj LF'!E29</f>
        <v>51984380</v>
      </c>
      <c r="E27" s="382">
        <f>+'9. Weather Adj LF'!F29</f>
        <v>53203197</v>
      </c>
      <c r="F27" s="382">
        <f>+'9. Weather Adj LF'!G29</f>
        <v>55283988</v>
      </c>
      <c r="G27" s="382">
        <f>+'9. Weather Adj LF'!H29</f>
        <v>52230300</v>
      </c>
      <c r="H27" s="382">
        <f>+'9. Weather Adj LF'!I29</f>
        <v>51703213</v>
      </c>
      <c r="I27" s="382">
        <f>+'9. Weather Adj LF'!J29</f>
        <v>46521147</v>
      </c>
      <c r="J27" s="382">
        <f>+'9. Weather Adj LF'!K29</f>
        <v>44095781</v>
      </c>
      <c r="K27" s="382">
        <f>+'9. Weather Adj LF'!L29</f>
        <v>44119354</v>
      </c>
      <c r="L27" s="382">
        <f>+'9. Weather Adj LF'!M29</f>
        <v>43640624</v>
      </c>
      <c r="M27" s="382">
        <f>+'9. Weather Adj LF'!N29</f>
        <v>45095566</v>
      </c>
      <c r="N27" s="382">
        <f>+'9. Weather Adj LF'!O29</f>
        <v>45564465.568226933</v>
      </c>
      <c r="O27" s="383">
        <f>+'10.1 CDM Allocation'!O26</f>
        <v>45032810.327827826</v>
      </c>
    </row>
    <row r="28" spans="2:15" x14ac:dyDescent="0.2">
      <c r="B28" s="89"/>
      <c r="C28" s="59" t="s">
        <v>36</v>
      </c>
      <c r="D28" s="384">
        <f>+'9. Weather Adj LF'!E30</f>
        <v>153660</v>
      </c>
      <c r="E28" s="384">
        <f>+'9. Weather Adj LF'!F30</f>
        <v>146521</v>
      </c>
      <c r="F28" s="384">
        <f>+'9. Weather Adj LF'!G30</f>
        <v>148947</v>
      </c>
      <c r="G28" s="384">
        <f>+'9. Weather Adj LF'!H30</f>
        <v>141729</v>
      </c>
      <c r="H28" s="384">
        <f>+'9. Weather Adj LF'!I30</f>
        <v>141797</v>
      </c>
      <c r="I28" s="384">
        <f>+'9. Weather Adj LF'!J30</f>
        <v>130980</v>
      </c>
      <c r="J28" s="384">
        <f>+'9. Weather Adj LF'!K30</f>
        <v>120379</v>
      </c>
      <c r="K28" s="384">
        <f>+'9. Weather Adj LF'!L30</f>
        <v>115813</v>
      </c>
      <c r="L28" s="384">
        <f>+'9. Weather Adj LF'!M30</f>
        <v>114180</v>
      </c>
      <c r="M28" s="384">
        <f>+'9. Weather Adj LF'!N30</f>
        <v>113922</v>
      </c>
      <c r="N28" s="384">
        <f>+'9. Weather Adj LF'!O30</f>
        <v>123813.1682025896</v>
      </c>
      <c r="O28" s="385">
        <f>+'10.1 CDM Allocation'!O44</f>
        <v>122368.49154755988</v>
      </c>
    </row>
    <row r="29" spans="2:15" x14ac:dyDescent="0.2">
      <c r="B29" s="89"/>
      <c r="C29" s="59"/>
      <c r="D29" s="384"/>
      <c r="E29" s="384"/>
      <c r="F29" s="384"/>
      <c r="G29" s="384"/>
      <c r="H29" s="384"/>
      <c r="I29" s="384"/>
      <c r="J29" s="384"/>
      <c r="K29" s="384"/>
      <c r="L29" s="384"/>
      <c r="M29" s="384"/>
      <c r="N29" s="384"/>
      <c r="O29" s="385"/>
    </row>
    <row r="30" spans="2:15" x14ac:dyDescent="0.2">
      <c r="B30" s="416" t="str">
        <f>+'9. Weather Adj LF'!C32</f>
        <v>Streetlighting</v>
      </c>
      <c r="C30" s="88" t="s">
        <v>126</v>
      </c>
      <c r="D30" s="382">
        <f>+'9. Weather Adj LF'!E32</f>
        <v>1149</v>
      </c>
      <c r="E30" s="382">
        <f>+'9. Weather Adj LF'!F32</f>
        <v>1151</v>
      </c>
      <c r="F30" s="382">
        <f>+'9. Weather Adj LF'!G32</f>
        <v>1158</v>
      </c>
      <c r="G30" s="382">
        <f>+'9. Weather Adj LF'!H32</f>
        <v>1167</v>
      </c>
      <c r="H30" s="382">
        <f>+'9. Weather Adj LF'!I32</f>
        <v>1174</v>
      </c>
      <c r="I30" s="382">
        <f>+'9. Weather Adj LF'!J32</f>
        <v>1176</v>
      </c>
      <c r="J30" s="382">
        <f>+'9. Weather Adj LF'!K32</f>
        <v>1176</v>
      </c>
      <c r="K30" s="382">
        <f>+'9. Weather Adj LF'!L32</f>
        <v>1190</v>
      </c>
      <c r="L30" s="382">
        <f>+'9. Weather Adj LF'!M32</f>
        <v>1190</v>
      </c>
      <c r="M30" s="382">
        <f>+'9. Weather Adj LF'!N32</f>
        <v>1190</v>
      </c>
      <c r="N30" s="382">
        <f>+'9. Weather Adj LF'!O32</f>
        <v>1194.6449258381904</v>
      </c>
      <c r="O30" s="383">
        <f>+'9. Weather Adj LF'!P32</f>
        <v>1199.30798221087</v>
      </c>
    </row>
    <row r="31" spans="2:15" x14ac:dyDescent="0.2">
      <c r="B31" s="89"/>
      <c r="C31" s="59" t="s">
        <v>35</v>
      </c>
      <c r="D31" s="382">
        <f>+'9. Weather Adj LF'!E33</f>
        <v>1095963</v>
      </c>
      <c r="E31" s="382">
        <f>+'9. Weather Adj LF'!F33</f>
        <v>1105833</v>
      </c>
      <c r="F31" s="382">
        <f>+'9. Weather Adj LF'!G33</f>
        <v>1107983</v>
      </c>
      <c r="G31" s="382">
        <f>+'9. Weather Adj LF'!H33</f>
        <v>1114732</v>
      </c>
      <c r="H31" s="382">
        <f>+'9. Weather Adj LF'!I33</f>
        <v>1116726</v>
      </c>
      <c r="I31" s="382">
        <f>+'9. Weather Adj LF'!J33</f>
        <v>1118574</v>
      </c>
      <c r="J31" s="382">
        <f>+'9. Weather Adj LF'!K33</f>
        <v>1121260</v>
      </c>
      <c r="K31" s="382">
        <f>+'9. Weather Adj LF'!L33</f>
        <v>1118710</v>
      </c>
      <c r="L31" s="382">
        <f>+'9. Weather Adj LF'!M33</f>
        <v>1121519</v>
      </c>
      <c r="M31" s="382">
        <f>+'9. Weather Adj LF'!N33</f>
        <v>1123682</v>
      </c>
      <c r="N31" s="382">
        <f>+'9. Weather Adj LF'!O33</f>
        <v>1135365.9425992433</v>
      </c>
      <c r="O31" s="383">
        <f>+'10.1 CDM Allocation'!O28</f>
        <v>1122118.2671217439</v>
      </c>
    </row>
    <row r="32" spans="2:15" x14ac:dyDescent="0.2">
      <c r="B32" s="89"/>
      <c r="C32" s="59" t="s">
        <v>36</v>
      </c>
      <c r="D32" s="384">
        <f>+'9. Weather Adj LF'!E34</f>
        <v>3053</v>
      </c>
      <c r="E32" s="384">
        <f>+'9. Weather Adj LF'!F34</f>
        <v>3095</v>
      </c>
      <c r="F32" s="384">
        <f>+'9. Weather Adj LF'!G34</f>
        <v>3100</v>
      </c>
      <c r="G32" s="384">
        <f>+'9. Weather Adj LF'!H34</f>
        <v>3092</v>
      </c>
      <c r="H32" s="384">
        <f>+'9. Weather Adj LF'!I34</f>
        <v>3098</v>
      </c>
      <c r="I32" s="384">
        <f>+'9. Weather Adj LF'!J34</f>
        <v>3099</v>
      </c>
      <c r="J32" s="384">
        <f>+'9. Weather Adj LF'!K34</f>
        <v>3100</v>
      </c>
      <c r="K32" s="384">
        <f>+'9. Weather Adj LF'!L34</f>
        <v>3104</v>
      </c>
      <c r="L32" s="384">
        <f>+'9. Weather Adj LF'!M34</f>
        <v>3110</v>
      </c>
      <c r="M32" s="384">
        <f>+'9. Weather Adj LF'!N34</f>
        <v>3117</v>
      </c>
      <c r="N32" s="384">
        <f>+'9. Weather Adj LF'!O34</f>
        <v>3154.85223403498</v>
      </c>
      <c r="O32" s="385">
        <f>+'10.1 CDM Allocation'!O46</f>
        <v>3118.0407911267334</v>
      </c>
    </row>
    <row r="33" spans="2:15" x14ac:dyDescent="0.2">
      <c r="B33" s="89"/>
      <c r="C33" s="59"/>
      <c r="D33" s="384"/>
      <c r="E33" s="384"/>
      <c r="F33" s="384"/>
      <c r="G33" s="384"/>
      <c r="H33" s="384"/>
      <c r="I33" s="384"/>
      <c r="J33" s="384"/>
      <c r="K33" s="384"/>
      <c r="L33" s="384"/>
      <c r="M33" s="384"/>
      <c r="N33" s="384"/>
      <c r="O33" s="385"/>
    </row>
    <row r="34" spans="2:15" x14ac:dyDescent="0.2">
      <c r="B34" s="416">
        <f>+'9. Weather Adj LF'!C36</f>
        <v>0</v>
      </c>
      <c r="C34" s="88" t="s">
        <v>126</v>
      </c>
      <c r="D34" s="384">
        <f>+'9. Weather Adj LF'!E36</f>
        <v>0</v>
      </c>
      <c r="E34" s="384">
        <f>+'9. Weather Adj LF'!F36</f>
        <v>0</v>
      </c>
      <c r="F34" s="384">
        <f>+'9. Weather Adj LF'!G36</f>
        <v>0</v>
      </c>
      <c r="G34" s="384">
        <f>+'9. Weather Adj LF'!H36</f>
        <v>0</v>
      </c>
      <c r="H34" s="384">
        <f>+'9. Weather Adj LF'!I36</f>
        <v>0</v>
      </c>
      <c r="I34" s="384">
        <f>+'9. Weather Adj LF'!J36</f>
        <v>0</v>
      </c>
      <c r="J34" s="384">
        <f>+'9. Weather Adj LF'!K36</f>
        <v>0</v>
      </c>
      <c r="K34" s="384">
        <f>+'9. Weather Adj LF'!L36</f>
        <v>0</v>
      </c>
      <c r="L34" s="384">
        <f>+'9. Weather Adj LF'!M36</f>
        <v>0</v>
      </c>
      <c r="M34" s="384">
        <f>+'9. Weather Adj LF'!N36</f>
        <v>0</v>
      </c>
      <c r="N34" s="384">
        <f>+'9. Weather Adj LF'!O36</f>
        <v>0</v>
      </c>
      <c r="O34" s="385">
        <f>+'9. Weather Adj LF'!P36</f>
        <v>0</v>
      </c>
    </row>
    <row r="35" spans="2:15" x14ac:dyDescent="0.2">
      <c r="B35" s="197"/>
      <c r="C35" s="59" t="s">
        <v>35</v>
      </c>
      <c r="D35" s="382">
        <f>+'9. Weather Adj LF'!E37</f>
        <v>0</v>
      </c>
      <c r="E35" s="382">
        <f>+'9. Weather Adj LF'!F37</f>
        <v>0</v>
      </c>
      <c r="F35" s="382">
        <f>+'9. Weather Adj LF'!G37</f>
        <v>0</v>
      </c>
      <c r="G35" s="382">
        <f>+'9. Weather Adj LF'!H37</f>
        <v>0</v>
      </c>
      <c r="H35" s="382">
        <f>+'9. Weather Adj LF'!I37</f>
        <v>0</v>
      </c>
      <c r="I35" s="382">
        <f>+'9. Weather Adj LF'!J37</f>
        <v>0</v>
      </c>
      <c r="J35" s="382">
        <f>+'9. Weather Adj LF'!K37</f>
        <v>0</v>
      </c>
      <c r="K35" s="382">
        <f>+'9. Weather Adj LF'!L37</f>
        <v>0</v>
      </c>
      <c r="L35" s="382">
        <f>+'9. Weather Adj LF'!M37</f>
        <v>0</v>
      </c>
      <c r="M35" s="382">
        <f>+'9. Weather Adj LF'!N37</f>
        <v>0</v>
      </c>
      <c r="N35" s="382">
        <f>+'9. Weather Adj LF'!O37</f>
        <v>0</v>
      </c>
      <c r="O35" s="383">
        <f>+'10.1 CDM Allocation'!O30</f>
        <v>0</v>
      </c>
    </row>
    <row r="36" spans="2:15" x14ac:dyDescent="0.2">
      <c r="B36" s="197"/>
      <c r="C36" s="59" t="s">
        <v>36</v>
      </c>
      <c r="D36" s="386">
        <f>+'9. Weather Adj LF'!E38</f>
        <v>0</v>
      </c>
      <c r="E36" s="386">
        <f>+'9. Weather Adj LF'!F38</f>
        <v>0</v>
      </c>
      <c r="F36" s="386">
        <f>+'9. Weather Adj LF'!G38</f>
        <v>0</v>
      </c>
      <c r="G36" s="386">
        <f>+'9. Weather Adj LF'!H38</f>
        <v>0</v>
      </c>
      <c r="H36" s="386">
        <f>+'9. Weather Adj LF'!I38</f>
        <v>0</v>
      </c>
      <c r="I36" s="386">
        <f>+'9. Weather Adj LF'!J38</f>
        <v>0</v>
      </c>
      <c r="J36" s="386">
        <f>+'9. Weather Adj LF'!K38</f>
        <v>0</v>
      </c>
      <c r="K36" s="386">
        <f>+'9. Weather Adj LF'!L38</f>
        <v>0</v>
      </c>
      <c r="L36" s="386">
        <f>+'9. Weather Adj LF'!M38</f>
        <v>0</v>
      </c>
      <c r="M36" s="386">
        <f>+'9. Weather Adj LF'!N38</f>
        <v>0</v>
      </c>
      <c r="N36" s="386">
        <f>+'9. Weather Adj LF'!O38</f>
        <v>0</v>
      </c>
      <c r="O36" s="483">
        <f>+'10.1 CDM Allocation'!O48</f>
        <v>0</v>
      </c>
    </row>
    <row r="37" spans="2:15" x14ac:dyDescent="0.2">
      <c r="B37" s="197"/>
      <c r="C37" s="59"/>
      <c r="D37" s="387"/>
      <c r="E37" s="387"/>
      <c r="F37" s="387"/>
      <c r="G37" s="387"/>
      <c r="H37" s="387"/>
      <c r="I37" s="387"/>
      <c r="J37" s="387"/>
      <c r="K37" s="387"/>
      <c r="L37" s="387"/>
      <c r="M37" s="387"/>
      <c r="N37" s="387"/>
      <c r="O37" s="425"/>
    </row>
    <row r="38" spans="2:15" x14ac:dyDescent="0.2">
      <c r="B38" s="482"/>
      <c r="C38" s="59" t="s">
        <v>126</v>
      </c>
      <c r="D38" s="387">
        <f>+'9. Weather Adj LF'!E40</f>
        <v>0</v>
      </c>
      <c r="E38" s="387">
        <f>+'9. Weather Adj LF'!F40</f>
        <v>0</v>
      </c>
      <c r="F38" s="387">
        <f>+'9. Weather Adj LF'!G40</f>
        <v>0</v>
      </c>
      <c r="G38" s="387">
        <f>+'9. Weather Adj LF'!H40</f>
        <v>0</v>
      </c>
      <c r="H38" s="387">
        <f>+'9. Weather Adj LF'!I40</f>
        <v>0</v>
      </c>
      <c r="I38" s="387">
        <f>+'9. Weather Adj LF'!J40</f>
        <v>0</v>
      </c>
      <c r="J38" s="387">
        <f>+'9. Weather Adj LF'!K40</f>
        <v>0</v>
      </c>
      <c r="K38" s="387">
        <f>+'9. Weather Adj LF'!L40</f>
        <v>0</v>
      </c>
      <c r="L38" s="387">
        <f>+'9. Weather Adj LF'!M40</f>
        <v>0</v>
      </c>
      <c r="M38" s="387">
        <f>+'9. Weather Adj LF'!N40</f>
        <v>0</v>
      </c>
      <c r="N38" s="387">
        <f>+'9. Weather Adj LF'!O40</f>
        <v>0</v>
      </c>
      <c r="O38" s="425">
        <f>+'9. Weather Adj LF'!P40</f>
        <v>0</v>
      </c>
    </row>
    <row r="39" spans="2:15" x14ac:dyDescent="0.2">
      <c r="B39" s="197"/>
      <c r="C39" s="59" t="s">
        <v>35</v>
      </c>
      <c r="D39" s="387">
        <f>+'9. Weather Adj LF'!E41</f>
        <v>0</v>
      </c>
      <c r="E39" s="387">
        <f>+'9. Weather Adj LF'!F41</f>
        <v>0</v>
      </c>
      <c r="F39" s="387">
        <f>+'9. Weather Adj LF'!G41</f>
        <v>0</v>
      </c>
      <c r="G39" s="387">
        <f>+'9. Weather Adj LF'!H41</f>
        <v>0</v>
      </c>
      <c r="H39" s="387">
        <f>+'9. Weather Adj LF'!I41</f>
        <v>0</v>
      </c>
      <c r="I39" s="387">
        <f>+'9. Weather Adj LF'!J41</f>
        <v>0</v>
      </c>
      <c r="J39" s="387">
        <f>+'9. Weather Adj LF'!K41</f>
        <v>0</v>
      </c>
      <c r="K39" s="387">
        <f>+'9. Weather Adj LF'!L41</f>
        <v>0</v>
      </c>
      <c r="L39" s="387">
        <f>+'9. Weather Adj LF'!M41</f>
        <v>0</v>
      </c>
      <c r="M39" s="387">
        <f>+'9. Weather Adj LF'!N41</f>
        <v>0</v>
      </c>
      <c r="N39" s="387">
        <f>+'9. Weather Adj LF'!O41</f>
        <v>0</v>
      </c>
      <c r="O39" s="425">
        <f>+'10.1 CDM Allocation'!O32</f>
        <v>0</v>
      </c>
    </row>
    <row r="40" spans="2:15" x14ac:dyDescent="0.2">
      <c r="B40" s="197"/>
      <c r="C40" s="59" t="s">
        <v>36</v>
      </c>
      <c r="D40" s="387">
        <f>+'9. Weather Adj LF'!E42</f>
        <v>0</v>
      </c>
      <c r="E40" s="387">
        <f>+'9. Weather Adj LF'!F42</f>
        <v>0</v>
      </c>
      <c r="F40" s="387">
        <f>+'9. Weather Adj LF'!G42</f>
        <v>0</v>
      </c>
      <c r="G40" s="387">
        <f>+'9. Weather Adj LF'!H42</f>
        <v>0</v>
      </c>
      <c r="H40" s="387">
        <f>+'9. Weather Adj LF'!I42</f>
        <v>0</v>
      </c>
      <c r="I40" s="387">
        <f>+'9. Weather Adj LF'!J42</f>
        <v>0</v>
      </c>
      <c r="J40" s="387">
        <f>+'9. Weather Adj LF'!K42</f>
        <v>0</v>
      </c>
      <c r="K40" s="387">
        <f>+'9. Weather Adj LF'!L42</f>
        <v>0</v>
      </c>
      <c r="L40" s="387">
        <f>+'9. Weather Adj LF'!M42</f>
        <v>0</v>
      </c>
      <c r="M40" s="387">
        <f>+'9. Weather Adj LF'!N42</f>
        <v>0</v>
      </c>
      <c r="N40" s="387">
        <f>+'9. Weather Adj LF'!O42</f>
        <v>0</v>
      </c>
      <c r="O40" s="425">
        <f>+'10.1 CDM Allocation'!O50</f>
        <v>0</v>
      </c>
    </row>
    <row r="41" spans="2:15" ht="13.5" thickBot="1" x14ac:dyDescent="0.25">
      <c r="B41" s="90"/>
      <c r="C41" s="91"/>
      <c r="D41" s="290"/>
      <c r="E41" s="290"/>
      <c r="F41" s="290"/>
      <c r="G41" s="290"/>
      <c r="H41" s="290"/>
      <c r="I41" s="290"/>
      <c r="J41" s="290"/>
      <c r="K41" s="290"/>
      <c r="L41" s="290"/>
      <c r="M41" s="290"/>
      <c r="N41" s="481"/>
      <c r="O41" s="430"/>
    </row>
    <row r="42" spans="2:15" hidden="1" x14ac:dyDescent="0.2">
      <c r="B42" s="478">
        <f>'2. Customer Classes'!B21</f>
        <v>0</v>
      </c>
      <c r="C42" s="479"/>
      <c r="D42" s="386"/>
      <c r="E42" s="386"/>
      <c r="F42" s="386"/>
      <c r="G42" s="386"/>
      <c r="H42" s="386"/>
      <c r="I42" s="386"/>
      <c r="J42" s="386"/>
      <c r="K42" s="386"/>
      <c r="L42" s="386"/>
      <c r="M42" s="386"/>
      <c r="N42" s="480"/>
      <c r="O42" s="483"/>
    </row>
    <row r="43" spans="2:15" hidden="1" x14ac:dyDescent="0.2">
      <c r="B43" s="197"/>
      <c r="C43" s="198"/>
      <c r="D43" s="387"/>
      <c r="E43" s="387"/>
      <c r="F43" s="387"/>
      <c r="G43" s="387"/>
      <c r="H43" s="387"/>
      <c r="I43" s="387"/>
      <c r="J43" s="387"/>
      <c r="K43" s="387"/>
      <c r="L43" s="387"/>
      <c r="M43" s="387"/>
      <c r="N43" s="388"/>
      <c r="O43" s="425"/>
    </row>
    <row r="44" spans="2:15" hidden="1" x14ac:dyDescent="0.2">
      <c r="B44" s="197"/>
      <c r="C44" s="198"/>
      <c r="D44" s="387"/>
      <c r="E44" s="387"/>
      <c r="F44" s="387"/>
      <c r="G44" s="387"/>
      <c r="H44" s="387"/>
      <c r="I44" s="387"/>
      <c r="J44" s="387"/>
      <c r="K44" s="387"/>
      <c r="L44" s="387"/>
      <c r="M44" s="387"/>
      <c r="N44" s="388"/>
      <c r="O44" s="425"/>
    </row>
    <row r="45" spans="2:15" hidden="1" x14ac:dyDescent="0.2">
      <c r="B45" s="197"/>
      <c r="C45" s="198"/>
      <c r="D45" s="387"/>
      <c r="E45" s="387"/>
      <c r="F45" s="387"/>
      <c r="G45" s="387"/>
      <c r="H45" s="387"/>
      <c r="I45" s="387"/>
      <c r="J45" s="387"/>
      <c r="K45" s="387"/>
      <c r="L45" s="387"/>
      <c r="M45" s="387"/>
      <c r="N45" s="388"/>
      <c r="O45" s="425"/>
    </row>
    <row r="46" spans="2:15" hidden="1" x14ac:dyDescent="0.2">
      <c r="B46" s="199" t="str">
        <f>'2. Customer Classes'!B22</f>
        <v>other</v>
      </c>
      <c r="C46" s="198"/>
      <c r="D46" s="387"/>
      <c r="E46" s="387"/>
      <c r="F46" s="387"/>
      <c r="G46" s="387"/>
      <c r="H46" s="387"/>
      <c r="I46" s="387"/>
      <c r="J46" s="387"/>
      <c r="K46" s="387"/>
      <c r="L46" s="387"/>
      <c r="M46" s="387"/>
      <c r="N46" s="388"/>
      <c r="O46" s="425"/>
    </row>
    <row r="47" spans="2:15" hidden="1" x14ac:dyDescent="0.2">
      <c r="B47" s="197"/>
      <c r="C47" s="198"/>
      <c r="D47" s="387"/>
      <c r="E47" s="387"/>
      <c r="F47" s="387"/>
      <c r="G47" s="387"/>
      <c r="H47" s="387"/>
      <c r="I47" s="387"/>
      <c r="J47" s="387"/>
      <c r="K47" s="387"/>
      <c r="L47" s="387"/>
      <c r="M47" s="387"/>
      <c r="N47" s="388"/>
      <c r="O47" s="425"/>
    </row>
    <row r="48" spans="2:15" hidden="1" x14ac:dyDescent="0.2">
      <c r="B48" s="197"/>
      <c r="C48" s="198"/>
      <c r="D48" s="387"/>
      <c r="E48" s="387"/>
      <c r="F48" s="387"/>
      <c r="G48" s="387"/>
      <c r="H48" s="387"/>
      <c r="I48" s="387"/>
      <c r="J48" s="387"/>
      <c r="K48" s="387"/>
      <c r="L48" s="387"/>
      <c r="M48" s="387"/>
      <c r="N48" s="388"/>
      <c r="O48" s="425"/>
    </row>
    <row r="49" spans="2:15" hidden="1" x14ac:dyDescent="0.2">
      <c r="B49" s="197"/>
      <c r="C49" s="198"/>
      <c r="D49" s="387"/>
      <c r="E49" s="387"/>
      <c r="F49" s="387"/>
      <c r="G49" s="387"/>
      <c r="H49" s="387"/>
      <c r="I49" s="387"/>
      <c r="J49" s="387"/>
      <c r="K49" s="387"/>
      <c r="L49" s="387"/>
      <c r="M49" s="387"/>
      <c r="N49" s="388"/>
      <c r="O49" s="425"/>
    </row>
    <row r="50" spans="2:15" hidden="1" x14ac:dyDescent="0.2">
      <c r="B50" s="199" t="str">
        <f>'2. Customer Classes'!B23</f>
        <v>other</v>
      </c>
      <c r="C50" s="198"/>
      <c r="D50" s="387"/>
      <c r="E50" s="387"/>
      <c r="F50" s="387"/>
      <c r="G50" s="387"/>
      <c r="H50" s="387"/>
      <c r="I50" s="387"/>
      <c r="J50" s="387"/>
      <c r="K50" s="387"/>
      <c r="L50" s="387"/>
      <c r="M50" s="387"/>
      <c r="N50" s="388"/>
      <c r="O50" s="425"/>
    </row>
    <row r="51" spans="2:15" hidden="1" x14ac:dyDescent="0.2">
      <c r="B51" s="199"/>
      <c r="C51" s="198"/>
      <c r="D51" s="387"/>
      <c r="E51" s="387"/>
      <c r="F51" s="387"/>
      <c r="G51" s="387"/>
      <c r="H51" s="387"/>
      <c r="I51" s="387"/>
      <c r="J51" s="387"/>
      <c r="K51" s="387"/>
      <c r="L51" s="387"/>
      <c r="M51" s="387"/>
      <c r="N51" s="388"/>
      <c r="O51" s="425"/>
    </row>
    <row r="52" spans="2:15" hidden="1" x14ac:dyDescent="0.2">
      <c r="B52" s="199"/>
      <c r="C52" s="198"/>
      <c r="D52" s="387"/>
      <c r="E52" s="387"/>
      <c r="F52" s="387"/>
      <c r="G52" s="387"/>
      <c r="H52" s="387"/>
      <c r="I52" s="387"/>
      <c r="J52" s="387"/>
      <c r="K52" s="387"/>
      <c r="L52" s="387"/>
      <c r="M52" s="387"/>
      <c r="N52" s="388"/>
      <c r="O52" s="425"/>
    </row>
    <row r="53" spans="2:15" hidden="1" x14ac:dyDescent="0.2">
      <c r="B53" s="199"/>
      <c r="C53" s="198"/>
      <c r="D53" s="387"/>
      <c r="E53" s="387"/>
      <c r="F53" s="387"/>
      <c r="G53" s="387"/>
      <c r="H53" s="387"/>
      <c r="I53" s="387"/>
      <c r="J53" s="387"/>
      <c r="K53" s="387"/>
      <c r="L53" s="387"/>
      <c r="M53" s="387"/>
      <c r="N53" s="388"/>
      <c r="O53" s="425"/>
    </row>
    <row r="54" spans="2:15" x14ac:dyDescent="0.2">
      <c r="B54" s="214" t="s">
        <v>16</v>
      </c>
      <c r="C54" s="215" t="s">
        <v>126</v>
      </c>
      <c r="D54" s="389">
        <f>D14+D18+D22+D26+D30+D34+D38+D42+D46+D50</f>
        <v>5288</v>
      </c>
      <c r="E54" s="389">
        <f t="shared" ref="E54:O56" si="0">E14+E18+E22+E26+E30+E34+E38+E42+E46+E50</f>
        <v>5293</v>
      </c>
      <c r="F54" s="389">
        <f t="shared" si="0"/>
        <v>5330</v>
      </c>
      <c r="G54" s="389">
        <f t="shared" si="0"/>
        <v>5354</v>
      </c>
      <c r="H54" s="389">
        <f t="shared" si="0"/>
        <v>5363</v>
      </c>
      <c r="I54" s="389">
        <f t="shared" si="0"/>
        <v>5393</v>
      </c>
      <c r="J54" s="389">
        <f t="shared" si="0"/>
        <v>5411</v>
      </c>
      <c r="K54" s="389">
        <f t="shared" si="0"/>
        <v>5443</v>
      </c>
      <c r="L54" s="389">
        <f t="shared" si="0"/>
        <v>5473</v>
      </c>
      <c r="M54" s="389">
        <f t="shared" si="0"/>
        <v>5493</v>
      </c>
      <c r="N54" s="389">
        <f t="shared" si="0"/>
        <v>5517.77491112178</v>
      </c>
      <c r="O54" s="390">
        <f t="shared" si="0"/>
        <v>5542.9438224770811</v>
      </c>
    </row>
    <row r="55" spans="2:15" x14ac:dyDescent="0.2">
      <c r="B55" s="214"/>
      <c r="C55" s="215" t="s">
        <v>35</v>
      </c>
      <c r="D55" s="389">
        <f>D15+D19+D23+D27+D31+D35+D39+D43+D47+D51</f>
        <v>97304543</v>
      </c>
      <c r="E55" s="389">
        <f t="shared" si="0"/>
        <v>99235605</v>
      </c>
      <c r="F55" s="389">
        <f t="shared" si="0"/>
        <v>101925474</v>
      </c>
      <c r="G55" s="389">
        <f t="shared" si="0"/>
        <v>96981360</v>
      </c>
      <c r="H55" s="389">
        <f t="shared" si="0"/>
        <v>95702324</v>
      </c>
      <c r="I55" s="389">
        <f t="shared" si="0"/>
        <v>89846326</v>
      </c>
      <c r="J55" s="389">
        <f t="shared" si="0"/>
        <v>87042318</v>
      </c>
      <c r="K55" s="389">
        <f t="shared" si="0"/>
        <v>87411656</v>
      </c>
      <c r="L55" s="389">
        <f t="shared" si="0"/>
        <v>86248298</v>
      </c>
      <c r="M55" s="389">
        <f t="shared" si="0"/>
        <v>86807086</v>
      </c>
      <c r="N55" s="389">
        <f t="shared" si="0"/>
        <v>89530480.420528263</v>
      </c>
      <c r="O55" s="390">
        <f t="shared" si="0"/>
        <v>88485820.980382964</v>
      </c>
    </row>
    <row r="56" spans="2:15" ht="13.5" thickBot="1" x14ac:dyDescent="0.25">
      <c r="B56" s="216"/>
      <c r="C56" s="217" t="s">
        <v>36</v>
      </c>
      <c r="D56" s="391">
        <f>D16+D20+D24+D28+D32+D36+D40+D44+D48+D52</f>
        <v>156713</v>
      </c>
      <c r="E56" s="391">
        <f t="shared" si="0"/>
        <v>149616</v>
      </c>
      <c r="F56" s="391">
        <f t="shared" si="0"/>
        <v>152047</v>
      </c>
      <c r="G56" s="391">
        <f t="shared" si="0"/>
        <v>144821</v>
      </c>
      <c r="H56" s="391">
        <f t="shared" si="0"/>
        <v>144895</v>
      </c>
      <c r="I56" s="391">
        <f t="shared" si="0"/>
        <v>134079</v>
      </c>
      <c r="J56" s="391">
        <f t="shared" si="0"/>
        <v>123479</v>
      </c>
      <c r="K56" s="391">
        <f t="shared" si="0"/>
        <v>118917</v>
      </c>
      <c r="L56" s="391">
        <f t="shared" si="0"/>
        <v>117290</v>
      </c>
      <c r="M56" s="391">
        <f t="shared" si="0"/>
        <v>117039</v>
      </c>
      <c r="N56" s="391">
        <f t="shared" si="0"/>
        <v>126968.02043662457</v>
      </c>
      <c r="O56" s="392">
        <f t="shared" si="0"/>
        <v>125486.53233868662</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76"/>
  <sheetViews>
    <sheetView showGridLines="0" topLeftCell="A7" zoomScaleNormal="100" workbookViewId="0">
      <selection activeCell="D14" sqref="D14"/>
    </sheetView>
  </sheetViews>
  <sheetFormatPr defaultColWidth="11.6640625" defaultRowHeight="12.75" x14ac:dyDescent="0.2"/>
  <cols>
    <col min="1" max="1" width="11.6640625" style="528"/>
    <col min="2" max="2" width="37" style="528" customWidth="1"/>
    <col min="3" max="3" width="14.5" style="896" customWidth="1"/>
    <col min="4" max="11" width="12.83203125" style="528" bestFit="1" customWidth="1"/>
    <col min="12" max="12" width="12.83203125" style="206" bestFit="1" customWidth="1"/>
    <col min="13" max="16384" width="11.6640625" style="528"/>
  </cols>
  <sheetData>
    <row r="1" spans="1:12" x14ac:dyDescent="0.2">
      <c r="A1" s="744" t="s">
        <v>264</v>
      </c>
    </row>
    <row r="11" spans="1:12" ht="23.25" x14ac:dyDescent="0.2">
      <c r="B11" s="133" t="s">
        <v>229</v>
      </c>
      <c r="L11" s="311"/>
    </row>
    <row r="12" spans="1:12" ht="13.5" thickBot="1" x14ac:dyDescent="0.25">
      <c r="D12" s="768"/>
      <c r="E12" s="768"/>
      <c r="F12" s="768"/>
      <c r="G12" s="768"/>
      <c r="H12" s="768"/>
      <c r="I12" s="768"/>
      <c r="J12" s="768"/>
      <c r="K12" s="768"/>
      <c r="L12" s="768"/>
    </row>
    <row r="13" spans="1:12" ht="24" x14ac:dyDescent="0.2">
      <c r="B13" s="865"/>
      <c r="C13" s="897" t="s">
        <v>33</v>
      </c>
      <c r="D13" s="884" t="s">
        <v>468</v>
      </c>
      <c r="E13" s="885">
        <f>'4. Customer Growth'!B21</f>
        <v>2010</v>
      </c>
      <c r="F13" s="885">
        <f>'4. Customer Growth'!B22</f>
        <v>2011</v>
      </c>
      <c r="G13" s="885">
        <f>'4. Customer Growth'!B23</f>
        <v>2012</v>
      </c>
      <c r="H13" s="885">
        <f>'4. Customer Growth'!B24</f>
        <v>2013</v>
      </c>
      <c r="I13" s="885">
        <f>'4. Customer Growth'!B25</f>
        <v>2014</v>
      </c>
      <c r="J13" s="885">
        <f>'4. Customer Growth'!B26</f>
        <v>2015</v>
      </c>
      <c r="K13" s="885" t="str">
        <f>'4. Customer Growth'!B30</f>
        <v>2016</v>
      </c>
      <c r="L13" s="886" t="str">
        <f>'4. Customer Growth'!B31</f>
        <v>2017</v>
      </c>
    </row>
    <row r="14" spans="1:12" x14ac:dyDescent="0.2">
      <c r="B14" s="894" t="str">
        <f>+'9. Weather Adj LF'!C16</f>
        <v>Residential</v>
      </c>
      <c r="C14" s="899" t="s">
        <v>470</v>
      </c>
      <c r="D14" s="888">
        <v>14.11</v>
      </c>
      <c r="E14" s="888">
        <v>14.49</v>
      </c>
      <c r="F14" s="888">
        <v>14.11</v>
      </c>
      <c r="G14" s="888">
        <v>13.91</v>
      </c>
      <c r="H14" s="888">
        <v>13.68</v>
      </c>
      <c r="I14" s="888">
        <v>13.83</v>
      </c>
      <c r="J14" s="888">
        <v>13.97</v>
      </c>
      <c r="K14" s="888">
        <v>13.97</v>
      </c>
      <c r="L14" s="889">
        <v>17.91</v>
      </c>
    </row>
    <row r="15" spans="1:12" x14ac:dyDescent="0.2">
      <c r="B15" s="857"/>
      <c r="C15" s="899" t="s">
        <v>471</v>
      </c>
      <c r="D15" s="888">
        <v>1.46E-2</v>
      </c>
      <c r="E15" s="888">
        <v>1.49E-2</v>
      </c>
      <c r="F15" s="888">
        <v>1.46E-2</v>
      </c>
      <c r="G15" s="888">
        <v>1.44E-2</v>
      </c>
      <c r="H15" s="888">
        <v>1.4200000000000001E-2</v>
      </c>
      <c r="I15" s="888">
        <v>1.44E-2</v>
      </c>
      <c r="J15" s="888">
        <v>1.4500000000000001E-2</v>
      </c>
      <c r="K15" s="888">
        <v>1.4500000000000001E-2</v>
      </c>
      <c r="L15" s="889">
        <v>1.4E-2</v>
      </c>
    </row>
    <row r="16" spans="1:12" x14ac:dyDescent="0.2">
      <c r="B16" s="857"/>
      <c r="C16" s="899"/>
      <c r="D16" s="887"/>
      <c r="E16" s="888"/>
      <c r="F16" s="888"/>
      <c r="G16" s="888"/>
      <c r="H16" s="888"/>
      <c r="I16" s="888"/>
      <c r="J16" s="888"/>
      <c r="K16" s="888"/>
      <c r="L16" s="889"/>
    </row>
    <row r="17" spans="2:12" x14ac:dyDescent="0.2">
      <c r="B17" s="895"/>
      <c r="C17" s="899" t="s">
        <v>126</v>
      </c>
      <c r="D17" s="867">
        <v>3635</v>
      </c>
      <c r="E17" s="867">
        <f>+'9. Weather Adj LF'!I16</f>
        <v>3654</v>
      </c>
      <c r="F17" s="867">
        <f>+'9. Weather Adj LF'!J16</f>
        <v>3687</v>
      </c>
      <c r="G17" s="867">
        <f>+'9. Weather Adj LF'!K16</f>
        <v>3707</v>
      </c>
      <c r="H17" s="867">
        <f>+'9. Weather Adj LF'!L16</f>
        <v>3730</v>
      </c>
      <c r="I17" s="867">
        <f>+'9. Weather Adj LF'!M16</f>
        <v>3760</v>
      </c>
      <c r="J17" s="867">
        <f>+'9. Weather Adj LF'!N16</f>
        <v>3779</v>
      </c>
      <c r="K17" s="867">
        <f>+'9. Weather Adj LF'!O16</f>
        <v>3806.8908831500453</v>
      </c>
      <c r="L17" s="868">
        <f>+'9. Weather Adj LF'!P16</f>
        <v>3834.9876147687037</v>
      </c>
    </row>
    <row r="18" spans="2:12" x14ac:dyDescent="0.2">
      <c r="B18" s="864"/>
      <c r="C18" s="899" t="s">
        <v>35</v>
      </c>
      <c r="D18" s="867">
        <v>31881465</v>
      </c>
      <c r="E18" s="867">
        <f>+'9. Weather Adj LF'!I17</f>
        <v>30305144</v>
      </c>
      <c r="F18" s="867">
        <f>+'9. Weather Adj LF'!J17</f>
        <v>30085520</v>
      </c>
      <c r="G18" s="867">
        <f>+'9. Weather Adj LF'!K17</f>
        <v>29994156</v>
      </c>
      <c r="H18" s="867">
        <f>+'9. Weather Adj LF'!L17</f>
        <v>30486731</v>
      </c>
      <c r="I18" s="867">
        <f>+'9. Weather Adj LF'!M17</f>
        <v>30037011</v>
      </c>
      <c r="J18" s="867">
        <f>+'9. Weather Adj LF'!N17</f>
        <v>29589162</v>
      </c>
      <c r="K18" s="867">
        <f>+'9. Weather Adj LF'!O17</f>
        <v>30348059.666272782</v>
      </c>
      <c r="L18" s="868">
        <f>+'10.1 CDM Allocation'!O20</f>
        <v>29993952.47426898</v>
      </c>
    </row>
    <row r="19" spans="2:12" x14ac:dyDescent="0.2">
      <c r="B19" s="864"/>
      <c r="C19" s="900" t="s">
        <v>469</v>
      </c>
      <c r="D19" s="869">
        <v>1108205</v>
      </c>
      <c r="E19" s="869">
        <v>958551.79</v>
      </c>
      <c r="F19" s="869">
        <v>1080866.2</v>
      </c>
      <c r="G19" s="869">
        <v>1066452.1399999999</v>
      </c>
      <c r="H19" s="869">
        <v>1065515.1399999999</v>
      </c>
      <c r="I19" s="869">
        <v>1051561.79</v>
      </c>
      <c r="J19" s="869">
        <v>1055913.55</v>
      </c>
      <c r="K19" s="869">
        <v>1067314.7159264551</v>
      </c>
      <c r="L19" s="870">
        <v>1228548.1018620196</v>
      </c>
    </row>
    <row r="20" spans="2:12" x14ac:dyDescent="0.2">
      <c r="B20" s="864"/>
      <c r="C20" s="900"/>
      <c r="D20" s="869"/>
      <c r="E20" s="871">
        <f>(E19-D19)/D19</f>
        <v>-0.13504108896819628</v>
      </c>
      <c r="F20" s="871">
        <f t="shared" ref="F20:L20" si="0">(F19-E19)/E19</f>
        <v>0.12760334003444918</v>
      </c>
      <c r="G20" s="871">
        <f t="shared" si="0"/>
        <v>-1.3335656161697032E-2</v>
      </c>
      <c r="H20" s="871">
        <f t="shared" si="0"/>
        <v>-8.7861420579080096E-4</v>
      </c>
      <c r="I20" s="871">
        <f t="shared" si="0"/>
        <v>-1.3095402848991767E-2</v>
      </c>
      <c r="J20" s="871">
        <f t="shared" si="0"/>
        <v>4.1383778313207912E-3</v>
      </c>
      <c r="K20" s="871">
        <f t="shared" si="0"/>
        <v>1.0797442580839174E-2</v>
      </c>
      <c r="L20" s="872">
        <f t="shared" si="0"/>
        <v>0.15106452064198331</v>
      </c>
    </row>
    <row r="21" spans="2:12" x14ac:dyDescent="0.2">
      <c r="B21" s="864"/>
      <c r="C21" s="899"/>
      <c r="D21" s="867"/>
      <c r="E21" s="867"/>
      <c r="F21" s="867"/>
      <c r="G21" s="867"/>
      <c r="H21" s="867"/>
      <c r="I21" s="867"/>
      <c r="J21" s="867"/>
      <c r="K21" s="867"/>
      <c r="L21" s="868"/>
    </row>
    <row r="22" spans="2:12" x14ac:dyDescent="0.2">
      <c r="B22" s="894" t="str">
        <f>+'9. Weather Adj LF'!C20</f>
        <v>General Service &lt; 50 kW</v>
      </c>
      <c r="C22" s="899" t="s">
        <v>470</v>
      </c>
      <c r="D22" s="888">
        <v>30.07</v>
      </c>
      <c r="E22" s="888">
        <v>29.96</v>
      </c>
      <c r="F22" s="888">
        <v>30.07</v>
      </c>
      <c r="G22" s="888">
        <v>30.39</v>
      </c>
      <c r="H22" s="888">
        <v>30.6</v>
      </c>
      <c r="I22" s="888">
        <v>30.94</v>
      </c>
      <c r="J22" s="888">
        <v>31.25</v>
      </c>
      <c r="K22" s="888">
        <v>31.25</v>
      </c>
      <c r="L22" s="889">
        <v>31.25</v>
      </c>
    </row>
    <row r="23" spans="2:12" x14ac:dyDescent="0.2">
      <c r="B23" s="864"/>
      <c r="C23" s="899" t="s">
        <v>471</v>
      </c>
      <c r="D23" s="888">
        <v>1.3299999999999999E-2</v>
      </c>
      <c r="E23" s="888">
        <v>1.32E-2</v>
      </c>
      <c r="F23" s="888">
        <v>1.3299999999999999E-2</v>
      </c>
      <c r="G23" s="888">
        <v>1.34E-2</v>
      </c>
      <c r="H23" s="888">
        <v>1.35E-2</v>
      </c>
      <c r="I23" s="888">
        <v>1.3599999999999999E-2</v>
      </c>
      <c r="J23" s="888">
        <v>1.37E-2</v>
      </c>
      <c r="K23" s="888">
        <v>1.37E-2</v>
      </c>
      <c r="L23" s="889">
        <v>1.7999999999999999E-2</v>
      </c>
    </row>
    <row r="24" spans="2:12" x14ac:dyDescent="0.2">
      <c r="B24" s="864"/>
      <c r="C24" s="899"/>
      <c r="D24" s="867"/>
      <c r="E24" s="867"/>
      <c r="F24" s="867"/>
      <c r="G24" s="867"/>
      <c r="H24" s="867"/>
      <c r="I24" s="867"/>
      <c r="J24" s="867"/>
      <c r="K24" s="867"/>
      <c r="L24" s="868"/>
    </row>
    <row r="25" spans="2:12" x14ac:dyDescent="0.2">
      <c r="B25" s="895"/>
      <c r="C25" s="899" t="s">
        <v>126</v>
      </c>
      <c r="D25" s="867">
        <v>447</v>
      </c>
      <c r="E25" s="867">
        <f>+'9. Weather Adj LF'!I20</f>
        <v>442</v>
      </c>
      <c r="F25" s="867">
        <f>+'9. Weather Adj LF'!J20</f>
        <v>437</v>
      </c>
      <c r="G25" s="867">
        <f>+'9. Weather Adj LF'!K20</f>
        <v>435</v>
      </c>
      <c r="H25" s="867">
        <f>+'9. Weather Adj LF'!L20</f>
        <v>428</v>
      </c>
      <c r="I25" s="867">
        <f>+'9. Weather Adj LF'!M20</f>
        <v>428</v>
      </c>
      <c r="J25" s="867">
        <f>+'9. Weather Adj LF'!N20</f>
        <v>430</v>
      </c>
      <c r="K25" s="867">
        <f>+'9. Weather Adj LF'!O20</f>
        <v>421.7412356106833</v>
      </c>
      <c r="L25" s="868">
        <f>+'9. Weather Adj LF'!P20</f>
        <v>413.64109259168811</v>
      </c>
    </row>
    <row r="26" spans="2:12" x14ac:dyDescent="0.2">
      <c r="B26" s="864"/>
      <c r="C26" s="899" t="s">
        <v>35</v>
      </c>
      <c r="D26" s="867">
        <v>12958689</v>
      </c>
      <c r="E26" s="867">
        <f>+'9. Weather Adj LF'!I21</f>
        <v>12427065</v>
      </c>
      <c r="F26" s="867">
        <f>+'9. Weather Adj LF'!J21</f>
        <v>11962164</v>
      </c>
      <c r="G26" s="867">
        <f>+'9. Weather Adj LF'!K21</f>
        <v>11672310</v>
      </c>
      <c r="H26" s="867">
        <f>+'9. Weather Adj LF'!L21</f>
        <v>11531242</v>
      </c>
      <c r="I26" s="867">
        <f>+'9. Weather Adj LF'!M21</f>
        <v>11294125</v>
      </c>
      <c r="J26" s="867">
        <f>+'9. Weather Adj LF'!N21</f>
        <v>10843312</v>
      </c>
      <c r="K26" s="867">
        <f>+'9. Weather Adj LF'!O21</f>
        <v>12325609.78277586</v>
      </c>
      <c r="L26" s="868">
        <f>+'10.1 CDM Allocation'!O22</f>
        <v>12181792.118058274</v>
      </c>
    </row>
    <row r="27" spans="2:12" x14ac:dyDescent="0.2">
      <c r="B27" s="864"/>
      <c r="C27" s="900" t="s">
        <v>469</v>
      </c>
      <c r="D27" s="869">
        <v>341441</v>
      </c>
      <c r="E27" s="869">
        <v>245118.64</v>
      </c>
      <c r="F27" s="869">
        <v>322186.19</v>
      </c>
      <c r="G27" s="869">
        <v>313920.68</v>
      </c>
      <c r="H27" s="869">
        <v>314655.53999999998</v>
      </c>
      <c r="I27" s="869">
        <v>313357.32</v>
      </c>
      <c r="J27" s="869">
        <v>307567.25900000002</v>
      </c>
      <c r="K27" s="869">
        <v>322913.71603769145</v>
      </c>
      <c r="L27" s="870">
        <v>367075.56532578275</v>
      </c>
    </row>
    <row r="28" spans="2:12" x14ac:dyDescent="0.2">
      <c r="B28" s="864"/>
      <c r="C28" s="900"/>
      <c r="D28" s="869"/>
      <c r="E28" s="871">
        <f>(E27-D27)/D27</f>
        <v>-0.28210542963498814</v>
      </c>
      <c r="F28" s="871">
        <f t="shared" ref="F28" si="1">(F27-E27)/E27</f>
        <v>0.3144091775313374</v>
      </c>
      <c r="G28" s="871">
        <f t="shared" ref="G28" si="2">(G27-F27)/F27</f>
        <v>-2.5654451545548893E-2</v>
      </c>
      <c r="H28" s="871">
        <f t="shared" ref="H28" si="3">(H27-G27)/G27</f>
        <v>2.3409098119945015E-3</v>
      </c>
      <c r="I28" s="871">
        <f t="shared" ref="I28" si="4">(I27-H27)/H27</f>
        <v>-4.1258450431223047E-3</v>
      </c>
      <c r="J28" s="871">
        <f t="shared" ref="J28" si="5">(J27-I27)/I27</f>
        <v>-1.8477503573237054E-2</v>
      </c>
      <c r="K28" s="871">
        <f t="shared" ref="K28" si="6">(K27-J27)/J27</f>
        <v>4.9896263625678811E-2</v>
      </c>
      <c r="L28" s="872">
        <f t="shared" ref="L28" si="7">(L27-K27)/K27</f>
        <v>0.13676052485468468</v>
      </c>
    </row>
    <row r="29" spans="2:12" x14ac:dyDescent="0.2">
      <c r="B29" s="864"/>
      <c r="C29" s="899"/>
      <c r="D29" s="867"/>
      <c r="E29" s="867"/>
      <c r="F29" s="867"/>
      <c r="G29" s="867"/>
      <c r="H29" s="867"/>
      <c r="I29" s="867"/>
      <c r="J29" s="867"/>
      <c r="K29" s="867"/>
      <c r="L29" s="868"/>
    </row>
    <row r="30" spans="2:12" x14ac:dyDescent="0.2">
      <c r="B30" s="894" t="str">
        <f>+'9. Weather Adj LF'!C24</f>
        <v>Unmetered Scattered Load</v>
      </c>
      <c r="C30" s="899" t="s">
        <v>470</v>
      </c>
      <c r="D30" s="888">
        <v>35.869999999999997</v>
      </c>
      <c r="E30" s="888">
        <v>32.83</v>
      </c>
      <c r="F30" s="888">
        <v>35.869999999999997</v>
      </c>
      <c r="G30" s="888">
        <v>39.79</v>
      </c>
      <c r="H30" s="888">
        <v>42.73</v>
      </c>
      <c r="I30" s="888">
        <v>43.2</v>
      </c>
      <c r="J30" s="888">
        <v>43.63</v>
      </c>
      <c r="K30" s="888">
        <v>43.63</v>
      </c>
      <c r="L30" s="889">
        <v>39.619999999999997</v>
      </c>
    </row>
    <row r="31" spans="2:12" x14ac:dyDescent="0.2">
      <c r="B31" s="864"/>
      <c r="C31" s="899" t="s">
        <v>471</v>
      </c>
      <c r="D31" s="888">
        <v>8.0999999999999996E-3</v>
      </c>
      <c r="E31" s="888">
        <v>7.4000000000000003E-3</v>
      </c>
      <c r="F31" s="888">
        <v>8.0999999999999996E-3</v>
      </c>
      <c r="G31" s="888">
        <v>8.9999999999999993E-3</v>
      </c>
      <c r="H31" s="888">
        <v>9.7000000000000003E-3</v>
      </c>
      <c r="I31" s="888">
        <v>9.7999999999999997E-3</v>
      </c>
      <c r="J31" s="888">
        <v>9.9000000000000008E-3</v>
      </c>
      <c r="K31" s="888">
        <v>9.9000000000000008E-3</v>
      </c>
      <c r="L31" s="889">
        <v>8.8999999999999999E-3</v>
      </c>
    </row>
    <row r="32" spans="2:12" x14ac:dyDescent="0.2">
      <c r="B32" s="864"/>
      <c r="C32" s="899"/>
      <c r="D32" s="867"/>
      <c r="E32" s="867"/>
      <c r="F32" s="867"/>
      <c r="G32" s="867"/>
      <c r="H32" s="867"/>
      <c r="I32" s="867"/>
      <c r="J32" s="867"/>
      <c r="K32" s="867"/>
      <c r="L32" s="868"/>
    </row>
    <row r="33" spans="2:12" x14ac:dyDescent="0.2">
      <c r="B33" s="895"/>
      <c r="C33" s="899" t="s">
        <v>126</v>
      </c>
      <c r="D33" s="867">
        <v>30</v>
      </c>
      <c r="E33" s="867">
        <f>+'9. Weather Adj LF'!I24</f>
        <v>34</v>
      </c>
      <c r="F33" s="867">
        <f>+'9. Weather Adj LF'!J24</f>
        <v>34</v>
      </c>
      <c r="G33" s="867">
        <f>+'9. Weather Adj LF'!K24</f>
        <v>34</v>
      </c>
      <c r="H33" s="867">
        <f>+'9. Weather Adj LF'!L24</f>
        <v>33</v>
      </c>
      <c r="I33" s="867">
        <f>+'9. Weather Adj LF'!M24</f>
        <v>33</v>
      </c>
      <c r="J33" s="867">
        <f>+'9. Weather Adj LF'!N24</f>
        <v>33</v>
      </c>
      <c r="K33" s="867">
        <f>+'9. Weather Adj LF'!O24</f>
        <v>33.607977220079128</v>
      </c>
      <c r="L33" s="868">
        <f>+'9. Weather Adj LF'!P24</f>
        <v>34.227155540162357</v>
      </c>
    </row>
    <row r="34" spans="2:12" x14ac:dyDescent="0.2">
      <c r="B34" s="864"/>
      <c r="C34" s="899" t="s">
        <v>35</v>
      </c>
      <c r="D34" s="867">
        <v>142827</v>
      </c>
      <c r="E34" s="867">
        <f>+'9. Weather Adj LF'!I25</f>
        <v>150176</v>
      </c>
      <c r="F34" s="867">
        <f>+'9. Weather Adj LF'!J25</f>
        <v>158921</v>
      </c>
      <c r="G34" s="867">
        <f>+'9. Weather Adj LF'!K25</f>
        <v>158811</v>
      </c>
      <c r="H34" s="867">
        <f>+'9. Weather Adj LF'!L25</f>
        <v>155619</v>
      </c>
      <c r="I34" s="867">
        <f>+'9. Weather Adj LF'!M25</f>
        <v>155019</v>
      </c>
      <c r="J34" s="867">
        <f>+'9. Weather Adj LF'!N25</f>
        <v>155364</v>
      </c>
      <c r="K34" s="867">
        <f>+'9. Weather Adj LF'!O25</f>
        <v>156979.46065344894</v>
      </c>
      <c r="L34" s="868">
        <f>+'10.1 CDM Allocation'!O24</f>
        <v>155147.79310614802</v>
      </c>
    </row>
    <row r="35" spans="2:12" x14ac:dyDescent="0.2">
      <c r="B35" s="864"/>
      <c r="C35" s="900" t="s">
        <v>469</v>
      </c>
      <c r="D35" s="869">
        <v>12876</v>
      </c>
      <c r="E35" s="869">
        <v>6841.62</v>
      </c>
      <c r="F35" s="869">
        <v>16026.6</v>
      </c>
      <c r="G35" s="869">
        <v>16871.68</v>
      </c>
      <c r="H35" s="869">
        <v>17998.48</v>
      </c>
      <c r="I35" s="869">
        <v>18574.38</v>
      </c>
      <c r="J35" s="869">
        <v>18729.349999999999</v>
      </c>
      <c r="K35" s="869">
        <v>19435.438208805972</v>
      </c>
      <c r="L35" s="870">
        <v>17600.12252084809</v>
      </c>
    </row>
    <row r="36" spans="2:12" x14ac:dyDescent="0.2">
      <c r="B36" s="864"/>
      <c r="C36" s="900"/>
      <c r="D36" s="869"/>
      <c r="E36" s="871">
        <f>(E35-D35)/D35</f>
        <v>-0.4686533084808947</v>
      </c>
      <c r="F36" s="871">
        <f t="shared" ref="F36" si="8">(F35-E35)/E35</f>
        <v>1.3425153691669516</v>
      </c>
      <c r="G36" s="871">
        <f t="shared" ref="G36" si="9">(G35-F35)/F35</f>
        <v>5.2729836646575066E-2</v>
      </c>
      <c r="H36" s="871">
        <f t="shared" ref="H36" si="10">(H35-G35)/G35</f>
        <v>6.6786472953493617E-2</v>
      </c>
      <c r="I36" s="871">
        <f t="shared" ref="I36" si="11">(I35-H35)/H35</f>
        <v>3.1997146425698252E-2</v>
      </c>
      <c r="J36" s="871">
        <f t="shared" ref="J36" si="12">(J35-I35)/I35</f>
        <v>8.3432125325312353E-3</v>
      </c>
      <c r="K36" s="871">
        <f t="shared" ref="K36" si="13">(K35-J35)/J35</f>
        <v>3.7699557582402669E-2</v>
      </c>
      <c r="L36" s="872">
        <f t="shared" ref="L36" si="14">(L35-K35)/K35</f>
        <v>-9.4431402484474042E-2</v>
      </c>
    </row>
    <row r="37" spans="2:12" x14ac:dyDescent="0.2">
      <c r="B37" s="864"/>
      <c r="C37" s="899"/>
      <c r="D37" s="867"/>
      <c r="E37" s="867"/>
      <c r="F37" s="867"/>
      <c r="G37" s="867"/>
      <c r="H37" s="867"/>
      <c r="I37" s="867"/>
      <c r="J37" s="867"/>
      <c r="K37" s="867"/>
      <c r="L37" s="868"/>
    </row>
    <row r="38" spans="2:12" x14ac:dyDescent="0.2">
      <c r="B38" s="894" t="str">
        <f>+'9. Weather Adj LF'!C28</f>
        <v>General Service &gt; 50 kW - 4999 kW</v>
      </c>
      <c r="C38" s="899" t="s">
        <v>470</v>
      </c>
      <c r="D38" s="888">
        <v>170.7</v>
      </c>
      <c r="E38" s="888">
        <v>162.01</v>
      </c>
      <c r="F38" s="888">
        <v>170.7</v>
      </c>
      <c r="G38" s="888">
        <v>178.61</v>
      </c>
      <c r="H38" s="888">
        <v>185.36</v>
      </c>
      <c r="I38" s="888">
        <v>187.4</v>
      </c>
      <c r="J38" s="888">
        <v>189.27</v>
      </c>
      <c r="K38" s="888">
        <v>189.27</v>
      </c>
      <c r="L38" s="889">
        <v>189.27</v>
      </c>
    </row>
    <row r="39" spans="2:12" x14ac:dyDescent="0.2">
      <c r="B39" s="864"/>
      <c r="C39" s="899" t="s">
        <v>471</v>
      </c>
      <c r="D39" s="888">
        <v>2.2841</v>
      </c>
      <c r="E39" s="888">
        <v>2.1682999999999999</v>
      </c>
      <c r="F39" s="888">
        <v>2.2841</v>
      </c>
      <c r="G39" s="888">
        <v>2.3902999999999999</v>
      </c>
      <c r="H39" s="888">
        <v>2.4807000000000001</v>
      </c>
      <c r="I39" s="888">
        <v>2.508</v>
      </c>
      <c r="J39" s="888">
        <v>2.5331000000000001</v>
      </c>
      <c r="K39" s="888">
        <v>2.5331000000000001</v>
      </c>
      <c r="L39" s="889">
        <v>3.1920999999999999</v>
      </c>
    </row>
    <row r="40" spans="2:12" x14ac:dyDescent="0.2">
      <c r="B40" s="864"/>
      <c r="C40" s="899"/>
      <c r="D40" s="867"/>
      <c r="E40" s="867"/>
      <c r="F40" s="867"/>
      <c r="G40" s="867"/>
      <c r="H40" s="867"/>
      <c r="I40" s="867"/>
      <c r="J40" s="867"/>
      <c r="K40" s="867"/>
      <c r="L40" s="868"/>
    </row>
    <row r="41" spans="2:12" x14ac:dyDescent="0.2">
      <c r="B41" s="895"/>
      <c r="C41" s="899" t="s">
        <v>126</v>
      </c>
      <c r="D41" s="867">
        <v>64</v>
      </c>
      <c r="E41" s="867">
        <f>+'9. Weather Adj LF'!I28</f>
        <v>59</v>
      </c>
      <c r="F41" s="867">
        <f>+'9. Weather Adj LF'!J28</f>
        <v>59</v>
      </c>
      <c r="G41" s="867">
        <f>+'9. Weather Adj LF'!K28</f>
        <v>59</v>
      </c>
      <c r="H41" s="867">
        <f>+'9. Weather Adj LF'!L28</f>
        <v>62</v>
      </c>
      <c r="I41" s="867">
        <f>+'9. Weather Adj LF'!M28</f>
        <v>62</v>
      </c>
      <c r="J41" s="867">
        <f>+'9. Weather Adj LF'!N28</f>
        <v>61</v>
      </c>
      <c r="K41" s="867">
        <f>+'9. Weather Adj LF'!O28</f>
        <v>60.889889302782052</v>
      </c>
      <c r="L41" s="868">
        <f>+'9. Weather Adj LF'!P28</f>
        <v>60.779977365656592</v>
      </c>
    </row>
    <row r="42" spans="2:12" x14ac:dyDescent="0.2">
      <c r="B42" s="864"/>
      <c r="C42" s="899" t="s">
        <v>35</v>
      </c>
      <c r="D42" s="867">
        <v>52616773</v>
      </c>
      <c r="E42" s="867">
        <f>+'9. Weather Adj LF'!I29</f>
        <v>51703213</v>
      </c>
      <c r="F42" s="867">
        <f>+'9. Weather Adj LF'!J29</f>
        <v>46521147</v>
      </c>
      <c r="G42" s="867">
        <f>+'9. Weather Adj LF'!K29</f>
        <v>44095781</v>
      </c>
      <c r="H42" s="867">
        <f>+'9. Weather Adj LF'!L29</f>
        <v>44119354</v>
      </c>
      <c r="I42" s="867">
        <f>+'9. Weather Adj LF'!M29</f>
        <v>43640624</v>
      </c>
      <c r="J42" s="867">
        <f>+'9. Weather Adj LF'!N29</f>
        <v>45095566</v>
      </c>
      <c r="K42" s="867">
        <f>+'9. Weather Adj LF'!O29</f>
        <v>45564465.568226933</v>
      </c>
      <c r="L42" s="868">
        <f>+'10.1 CDM Allocation'!O26</f>
        <v>45032810.327827826</v>
      </c>
    </row>
    <row r="43" spans="2:12" x14ac:dyDescent="0.2">
      <c r="B43" s="864"/>
      <c r="C43" s="901" t="s">
        <v>36</v>
      </c>
      <c r="D43" s="867">
        <v>142778</v>
      </c>
      <c r="E43" s="867">
        <f>+'9. Weather Adj LF'!I30</f>
        <v>141797</v>
      </c>
      <c r="F43" s="867">
        <f>+'9. Weather Adj LF'!J30</f>
        <v>130980</v>
      </c>
      <c r="G43" s="867">
        <f>+'9. Weather Adj LF'!K30</f>
        <v>120379</v>
      </c>
      <c r="H43" s="867">
        <f>+'9. Weather Adj LF'!L30</f>
        <v>115813</v>
      </c>
      <c r="I43" s="867">
        <f>+'9. Weather Adj LF'!M30</f>
        <v>114180</v>
      </c>
      <c r="J43" s="867">
        <f>+'9. Weather Adj LF'!N30</f>
        <v>113922</v>
      </c>
      <c r="K43" s="867">
        <f>+'9. Weather Adj LF'!O30</f>
        <v>123813.1682025896</v>
      </c>
      <c r="L43" s="868">
        <f>+'10.1 CDM Allocation'!O44</f>
        <v>122368.49154755988</v>
      </c>
    </row>
    <row r="44" spans="2:12" x14ac:dyDescent="0.2">
      <c r="B44" s="864"/>
      <c r="C44" s="900" t="s">
        <v>469</v>
      </c>
      <c r="D44" s="869">
        <v>383041</v>
      </c>
      <c r="E44" s="869">
        <v>308982.40000000002</v>
      </c>
      <c r="F44" s="869">
        <v>374129.6</v>
      </c>
      <c r="G44" s="869">
        <v>372764.9</v>
      </c>
      <c r="H44" s="869">
        <v>382837.92</v>
      </c>
      <c r="I44" s="869">
        <v>378401.86</v>
      </c>
      <c r="J44" s="869">
        <v>393621.62</v>
      </c>
      <c r="K44" s="869">
        <v>402974.68603501574</v>
      </c>
      <c r="L44" s="870">
        <v>473884.63483714685</v>
      </c>
    </row>
    <row r="45" spans="2:12" x14ac:dyDescent="0.2">
      <c r="B45" s="864"/>
      <c r="C45" s="900"/>
      <c r="D45" s="869"/>
      <c r="E45" s="871">
        <f>(E44-D44)/D44</f>
        <v>-0.19334379348424835</v>
      </c>
      <c r="F45" s="871">
        <f t="shared" ref="F45" si="15">(F44-E44)/E44</f>
        <v>0.21084437171825951</v>
      </c>
      <c r="G45" s="871">
        <f t="shared" ref="G45" si="16">(G44-F44)/F44</f>
        <v>-3.6476664770709226E-3</v>
      </c>
      <c r="H45" s="871">
        <f t="shared" ref="H45" si="17">(H44-G44)/G44</f>
        <v>2.7022447660710436E-2</v>
      </c>
      <c r="I45" s="871">
        <f t="shared" ref="I45" si="18">(I44-H44)/H44</f>
        <v>-1.1587305667108415E-2</v>
      </c>
      <c r="J45" s="871">
        <f t="shared" ref="J45" si="19">(J44-I44)/I44</f>
        <v>4.0221155361128538E-2</v>
      </c>
      <c r="K45" s="871">
        <f t="shared" ref="K45" si="20">(K44-J44)/J44</f>
        <v>2.3761565828156851E-2</v>
      </c>
      <c r="L45" s="872">
        <f t="shared" ref="L45" si="21">(L44-K44)/K44</f>
        <v>0.17596626105682858</v>
      </c>
    </row>
    <row r="46" spans="2:12" x14ac:dyDescent="0.2">
      <c r="B46" s="864"/>
      <c r="C46" s="899"/>
      <c r="D46" s="867"/>
      <c r="E46" s="867"/>
      <c r="F46" s="867"/>
      <c r="G46" s="867"/>
      <c r="H46" s="867"/>
      <c r="I46" s="867"/>
      <c r="J46" s="867"/>
      <c r="K46" s="867"/>
      <c r="L46" s="868"/>
    </row>
    <row r="47" spans="2:12" x14ac:dyDescent="0.2">
      <c r="B47" s="894" t="str">
        <f>+'9. Weather Adj LF'!C32</f>
        <v>Streetlighting</v>
      </c>
      <c r="C47" s="899" t="s">
        <v>470</v>
      </c>
      <c r="D47" s="890">
        <v>1.99</v>
      </c>
      <c r="E47" s="890">
        <v>1.49</v>
      </c>
      <c r="F47" s="890">
        <v>1.99</v>
      </c>
      <c r="G47" s="890">
        <v>2.46</v>
      </c>
      <c r="H47" s="890">
        <v>2.89</v>
      </c>
      <c r="I47" s="890">
        <v>2.92</v>
      </c>
      <c r="J47" s="890">
        <v>2.95</v>
      </c>
      <c r="K47" s="890">
        <v>2.95</v>
      </c>
      <c r="L47" s="891">
        <v>2.82</v>
      </c>
    </row>
    <row r="48" spans="2:12" x14ac:dyDescent="0.2">
      <c r="B48" s="864"/>
      <c r="C48" s="899" t="s">
        <v>471</v>
      </c>
      <c r="D48" s="892">
        <v>4.8878000000000004</v>
      </c>
      <c r="E48" s="892">
        <v>3.6732</v>
      </c>
      <c r="F48" s="892">
        <v>4.8878000000000004</v>
      </c>
      <c r="G48" s="892">
        <v>6.0431999999999997</v>
      </c>
      <c r="H48" s="892">
        <v>7.0983999999999998</v>
      </c>
      <c r="I48" s="892">
        <v>7.1764999999999999</v>
      </c>
      <c r="J48" s="892">
        <v>7.2483000000000004</v>
      </c>
      <c r="K48" s="892">
        <v>7.2483000000000004</v>
      </c>
      <c r="L48" s="893">
        <v>6.9248000000000003</v>
      </c>
    </row>
    <row r="49" spans="2:12" x14ac:dyDescent="0.2">
      <c r="B49" s="864"/>
      <c r="C49" s="899"/>
      <c r="D49" s="867"/>
      <c r="E49" s="867"/>
      <c r="F49" s="867"/>
      <c r="G49" s="867"/>
      <c r="H49" s="867"/>
      <c r="I49" s="867"/>
      <c r="J49" s="867"/>
      <c r="K49" s="867"/>
      <c r="L49" s="868"/>
    </row>
    <row r="50" spans="2:12" x14ac:dyDescent="0.2">
      <c r="B50" s="866"/>
      <c r="C50" s="899" t="s">
        <v>126</v>
      </c>
      <c r="D50" s="867">
        <v>1173</v>
      </c>
      <c r="E50" s="867">
        <f>+'9. Weather Adj LF'!I32</f>
        <v>1174</v>
      </c>
      <c r="F50" s="867">
        <f>+'9. Weather Adj LF'!J32</f>
        <v>1176</v>
      </c>
      <c r="G50" s="867">
        <f>+'9. Weather Adj LF'!K32</f>
        <v>1176</v>
      </c>
      <c r="H50" s="867">
        <f>+'9. Weather Adj LF'!L32</f>
        <v>1190</v>
      </c>
      <c r="I50" s="867">
        <f>+'9. Weather Adj LF'!M32</f>
        <v>1190</v>
      </c>
      <c r="J50" s="867">
        <f>+'9. Weather Adj LF'!N32</f>
        <v>1190</v>
      </c>
      <c r="K50" s="867">
        <f>+'9. Weather Adj LF'!O32</f>
        <v>1194.6449258381904</v>
      </c>
      <c r="L50" s="868">
        <f>+'9. Weather Adj LF'!P32</f>
        <v>1199.30798221087</v>
      </c>
    </row>
    <row r="51" spans="2:12" x14ac:dyDescent="0.2">
      <c r="B51" s="859"/>
      <c r="C51" s="899" t="s">
        <v>35</v>
      </c>
      <c r="D51" s="867">
        <v>1121141</v>
      </c>
      <c r="E51" s="867">
        <f>+'9. Weather Adj LF'!I33</f>
        <v>1116726</v>
      </c>
      <c r="F51" s="867">
        <f>+'9. Weather Adj LF'!J33</f>
        <v>1118574</v>
      </c>
      <c r="G51" s="867">
        <f>+'9. Weather Adj LF'!K33</f>
        <v>1121260</v>
      </c>
      <c r="H51" s="867">
        <f>+'9. Weather Adj LF'!L33</f>
        <v>1118710</v>
      </c>
      <c r="I51" s="867">
        <f>+'9. Weather Adj LF'!M33</f>
        <v>1121519</v>
      </c>
      <c r="J51" s="867">
        <f>+'9. Weather Adj LF'!N33</f>
        <v>1123682</v>
      </c>
      <c r="K51" s="867">
        <f>+'9. Weather Adj LF'!O33</f>
        <v>1135365.9425992433</v>
      </c>
      <c r="L51" s="868">
        <f>+'10.1 CDM Allocation'!O28</f>
        <v>1122118.2671217439</v>
      </c>
    </row>
    <row r="52" spans="2:12" x14ac:dyDescent="0.2">
      <c r="B52" s="859"/>
      <c r="C52" s="899" t="s">
        <v>36</v>
      </c>
      <c r="D52" s="867">
        <v>3110</v>
      </c>
      <c r="E52" s="867">
        <f>+'9. Weather Adj LF'!I34</f>
        <v>3098</v>
      </c>
      <c r="F52" s="867">
        <f>+'9. Weather Adj LF'!J34</f>
        <v>3099</v>
      </c>
      <c r="G52" s="867">
        <f>+'9. Weather Adj LF'!K34</f>
        <v>3100</v>
      </c>
      <c r="H52" s="867">
        <f>+'9. Weather Adj LF'!L34</f>
        <v>3104</v>
      </c>
      <c r="I52" s="867">
        <f>+'9. Weather Adj LF'!M34</f>
        <v>3110</v>
      </c>
      <c r="J52" s="867">
        <f>+'9. Weather Adj LF'!N34</f>
        <v>3117</v>
      </c>
      <c r="K52" s="867">
        <f>+'9. Weather Adj LF'!O34</f>
        <v>3154.85223403498</v>
      </c>
      <c r="L52" s="868">
        <f>+'10.1 CDM Allocation'!O46</f>
        <v>3118.0407911267334</v>
      </c>
    </row>
    <row r="53" spans="2:12" x14ac:dyDescent="0.2">
      <c r="B53" s="859"/>
      <c r="C53" s="900" t="s">
        <v>469</v>
      </c>
      <c r="D53" s="869">
        <v>32397</v>
      </c>
      <c r="E53" s="869">
        <v>21118.31</v>
      </c>
      <c r="F53" s="869">
        <v>40607.72</v>
      </c>
      <c r="G53" s="869">
        <v>50059.51</v>
      </c>
      <c r="H53" s="869">
        <v>59759.799999999996</v>
      </c>
      <c r="I53" s="869">
        <v>63839.15</v>
      </c>
      <c r="J53" s="869">
        <v>64418</v>
      </c>
      <c r="K53" s="869">
        <v>64601.934582734451</v>
      </c>
      <c r="L53" s="870">
        <v>61409.69374882077</v>
      </c>
    </row>
    <row r="54" spans="2:12" x14ac:dyDescent="0.2">
      <c r="B54" s="859"/>
      <c r="C54" s="900"/>
      <c r="D54" s="869"/>
      <c r="E54" s="871">
        <f>(E53-D53)/D53</f>
        <v>-0.34813995123005215</v>
      </c>
      <c r="F54" s="871">
        <f t="shared" ref="F54" si="22">(F53-E53)/E53</f>
        <v>0.92286788099994732</v>
      </c>
      <c r="G54" s="871">
        <f t="shared" ref="G54" si="23">(G53-F53)/F53</f>
        <v>0.23275845085614263</v>
      </c>
      <c r="H54" s="871">
        <f t="shared" ref="H54" si="24">(H53-G53)/G53</f>
        <v>0.19377516879410112</v>
      </c>
      <c r="I54" s="871">
        <f t="shared" ref="I54" si="25">(I53-H53)/H53</f>
        <v>6.8262443984083043E-2</v>
      </c>
      <c r="J54" s="871">
        <f t="shared" ref="J54" si="26">(J53-I53)/I53</f>
        <v>9.0673199752816028E-3</v>
      </c>
      <c r="K54" s="871">
        <f t="shared" ref="K54" si="27">(K53-J53)/J53</f>
        <v>2.8553289877744016E-3</v>
      </c>
      <c r="L54" s="872">
        <f t="shared" ref="L54" si="28">(L53-K53)/K53</f>
        <v>-4.9414012978596496E-2</v>
      </c>
    </row>
    <row r="55" spans="2:12" ht="13.5" thickBot="1" x14ac:dyDescent="0.25">
      <c r="B55" s="859"/>
      <c r="C55" s="899"/>
      <c r="D55" s="867"/>
      <c r="E55" s="867"/>
      <c r="F55" s="867"/>
      <c r="G55" s="867"/>
      <c r="H55" s="867"/>
      <c r="I55" s="867"/>
      <c r="J55" s="867"/>
      <c r="K55" s="873"/>
      <c r="L55" s="868"/>
    </row>
    <row r="56" spans="2:12" hidden="1" x14ac:dyDescent="0.2">
      <c r="B56" s="861">
        <f>'2. Customer Classes'!B21</f>
        <v>0</v>
      </c>
      <c r="C56" s="898"/>
      <c r="D56" s="874"/>
      <c r="E56" s="874"/>
      <c r="F56" s="874"/>
      <c r="G56" s="874"/>
      <c r="H56" s="874"/>
      <c r="I56" s="874"/>
      <c r="J56" s="874"/>
      <c r="K56" s="875"/>
      <c r="L56" s="876"/>
    </row>
    <row r="57" spans="2:12" hidden="1" x14ac:dyDescent="0.2">
      <c r="B57" s="860"/>
      <c r="C57" s="902"/>
      <c r="D57" s="877"/>
      <c r="E57" s="877"/>
      <c r="F57" s="877"/>
      <c r="G57" s="877"/>
      <c r="H57" s="877"/>
      <c r="I57" s="877"/>
      <c r="J57" s="877"/>
      <c r="K57" s="878"/>
      <c r="L57" s="879"/>
    </row>
    <row r="58" spans="2:12" hidden="1" x14ac:dyDescent="0.2">
      <c r="B58" s="860"/>
      <c r="C58" s="902"/>
      <c r="D58" s="877"/>
      <c r="E58" s="877"/>
      <c r="F58" s="877"/>
      <c r="G58" s="877"/>
      <c r="H58" s="877"/>
      <c r="I58" s="877"/>
      <c r="J58" s="877"/>
      <c r="K58" s="878"/>
      <c r="L58" s="879"/>
    </row>
    <row r="59" spans="2:12" hidden="1" x14ac:dyDescent="0.2">
      <c r="B59" s="860"/>
      <c r="C59" s="902"/>
      <c r="D59" s="877"/>
      <c r="E59" s="877"/>
      <c r="F59" s="877"/>
      <c r="G59" s="877"/>
      <c r="H59" s="877"/>
      <c r="I59" s="877"/>
      <c r="J59" s="877"/>
      <c r="K59" s="878"/>
      <c r="L59" s="879"/>
    </row>
    <row r="60" spans="2:12" hidden="1" x14ac:dyDescent="0.2">
      <c r="B60" s="862" t="str">
        <f>'2. Customer Classes'!B22</f>
        <v>other</v>
      </c>
      <c r="C60" s="902"/>
      <c r="D60" s="877"/>
      <c r="E60" s="877"/>
      <c r="F60" s="877"/>
      <c r="G60" s="877"/>
      <c r="H60" s="877"/>
      <c r="I60" s="877"/>
      <c r="J60" s="877"/>
      <c r="K60" s="878"/>
      <c r="L60" s="879"/>
    </row>
    <row r="61" spans="2:12" hidden="1" x14ac:dyDescent="0.2">
      <c r="B61" s="860"/>
      <c r="C61" s="902"/>
      <c r="D61" s="877"/>
      <c r="E61" s="877"/>
      <c r="F61" s="877"/>
      <c r="G61" s="877"/>
      <c r="H61" s="877"/>
      <c r="I61" s="877"/>
      <c r="J61" s="877"/>
      <c r="K61" s="878"/>
      <c r="L61" s="879"/>
    </row>
    <row r="62" spans="2:12" hidden="1" x14ac:dyDescent="0.2">
      <c r="B62" s="860"/>
      <c r="C62" s="902"/>
      <c r="D62" s="877"/>
      <c r="E62" s="877"/>
      <c r="F62" s="877"/>
      <c r="G62" s="877"/>
      <c r="H62" s="877"/>
      <c r="I62" s="877"/>
      <c r="J62" s="877"/>
      <c r="K62" s="878"/>
      <c r="L62" s="879"/>
    </row>
    <row r="63" spans="2:12" hidden="1" x14ac:dyDescent="0.2">
      <c r="B63" s="860"/>
      <c r="C63" s="902"/>
      <c r="D63" s="877"/>
      <c r="E63" s="877"/>
      <c r="F63" s="877"/>
      <c r="G63" s="877"/>
      <c r="H63" s="877"/>
      <c r="I63" s="877"/>
      <c r="J63" s="877"/>
      <c r="K63" s="878"/>
      <c r="L63" s="879"/>
    </row>
    <row r="64" spans="2:12" hidden="1" x14ac:dyDescent="0.2">
      <c r="B64" s="862" t="str">
        <f>'2. Customer Classes'!B23</f>
        <v>other</v>
      </c>
      <c r="C64" s="902"/>
      <c r="D64" s="877"/>
      <c r="E64" s="877"/>
      <c r="F64" s="877"/>
      <c r="G64" s="877"/>
      <c r="H64" s="877"/>
      <c r="I64" s="877"/>
      <c r="J64" s="877"/>
      <c r="K64" s="878"/>
      <c r="L64" s="879"/>
    </row>
    <row r="65" spans="2:12" hidden="1" x14ac:dyDescent="0.2">
      <c r="B65" s="862"/>
      <c r="C65" s="902"/>
      <c r="D65" s="877"/>
      <c r="E65" s="877"/>
      <c r="F65" s="877"/>
      <c r="G65" s="877"/>
      <c r="H65" s="877"/>
      <c r="I65" s="877"/>
      <c r="J65" s="877"/>
      <c r="K65" s="878"/>
      <c r="L65" s="879"/>
    </row>
    <row r="66" spans="2:12" hidden="1" x14ac:dyDescent="0.2">
      <c r="B66" s="862"/>
      <c r="C66" s="902"/>
      <c r="D66" s="877"/>
      <c r="E66" s="877"/>
      <c r="F66" s="877"/>
      <c r="G66" s="877"/>
      <c r="H66" s="877"/>
      <c r="I66" s="877"/>
      <c r="J66" s="877"/>
      <c r="K66" s="878"/>
      <c r="L66" s="879"/>
    </row>
    <row r="67" spans="2:12" hidden="1" x14ac:dyDescent="0.2">
      <c r="B67" s="862"/>
      <c r="C67" s="902"/>
      <c r="D67" s="877"/>
      <c r="E67" s="877"/>
      <c r="F67" s="877"/>
      <c r="G67" s="877"/>
      <c r="H67" s="877"/>
      <c r="I67" s="877"/>
      <c r="J67" s="877"/>
      <c r="K67" s="878"/>
      <c r="L67" s="879"/>
    </row>
    <row r="68" spans="2:12" x14ac:dyDescent="0.2">
      <c r="B68" s="863" t="s">
        <v>16</v>
      </c>
      <c r="C68" s="903" t="s">
        <v>126</v>
      </c>
      <c r="D68" s="880">
        <f t="shared" ref="D68:L68" si="29">D17+D25+D33+D41+D50</f>
        <v>5349</v>
      </c>
      <c r="E68" s="880">
        <f t="shared" si="29"/>
        <v>5363</v>
      </c>
      <c r="F68" s="880">
        <f t="shared" si="29"/>
        <v>5393</v>
      </c>
      <c r="G68" s="880">
        <f t="shared" si="29"/>
        <v>5411</v>
      </c>
      <c r="H68" s="880">
        <f t="shared" si="29"/>
        <v>5443</v>
      </c>
      <c r="I68" s="880">
        <f t="shared" si="29"/>
        <v>5473</v>
      </c>
      <c r="J68" s="880">
        <f t="shared" si="29"/>
        <v>5493</v>
      </c>
      <c r="K68" s="880">
        <f t="shared" si="29"/>
        <v>5517.77491112178</v>
      </c>
      <c r="L68" s="881">
        <f t="shared" si="29"/>
        <v>5542.9438224770811</v>
      </c>
    </row>
    <row r="69" spans="2:12" x14ac:dyDescent="0.2">
      <c r="B69" s="864"/>
      <c r="C69" s="904" t="s">
        <v>35</v>
      </c>
      <c r="D69" s="882">
        <f t="shared" ref="D69:L69" si="30">D18+D26+D34+D42+D51</f>
        <v>98720895</v>
      </c>
      <c r="E69" s="882">
        <f t="shared" si="30"/>
        <v>95702324</v>
      </c>
      <c r="F69" s="882">
        <f t="shared" si="30"/>
        <v>89846326</v>
      </c>
      <c r="G69" s="882">
        <f t="shared" si="30"/>
        <v>87042318</v>
      </c>
      <c r="H69" s="882">
        <f t="shared" si="30"/>
        <v>87411656</v>
      </c>
      <c r="I69" s="882">
        <f t="shared" si="30"/>
        <v>86248298</v>
      </c>
      <c r="J69" s="882">
        <f t="shared" si="30"/>
        <v>86807086</v>
      </c>
      <c r="K69" s="882">
        <f t="shared" si="30"/>
        <v>89530480.420528263</v>
      </c>
      <c r="L69" s="883">
        <f t="shared" si="30"/>
        <v>88485820.980382964</v>
      </c>
    </row>
    <row r="70" spans="2:12" x14ac:dyDescent="0.2">
      <c r="B70" s="864"/>
      <c r="C70" s="904" t="s">
        <v>36</v>
      </c>
      <c r="D70" s="882">
        <f t="shared" ref="D70:L70" si="31">D19+D27+D35+D43+D52</f>
        <v>1608410</v>
      </c>
      <c r="E70" s="882">
        <f t="shared" si="31"/>
        <v>1355407.0500000003</v>
      </c>
      <c r="F70" s="882">
        <f t="shared" si="31"/>
        <v>1553157.99</v>
      </c>
      <c r="G70" s="882">
        <f t="shared" si="31"/>
        <v>1520723.4999999998</v>
      </c>
      <c r="H70" s="882">
        <f t="shared" si="31"/>
        <v>1517086.16</v>
      </c>
      <c r="I70" s="882">
        <f t="shared" si="31"/>
        <v>1500783.49</v>
      </c>
      <c r="J70" s="882">
        <f t="shared" si="31"/>
        <v>1499249.1590000002</v>
      </c>
      <c r="K70" s="882">
        <f t="shared" si="31"/>
        <v>1536631.8906095768</v>
      </c>
      <c r="L70" s="883">
        <f t="shared" si="31"/>
        <v>1738710.3220473372</v>
      </c>
    </row>
    <row r="71" spans="2:12" ht="13.5" thickBot="1" x14ac:dyDescent="0.25">
      <c r="B71" s="858"/>
      <c r="C71" s="905" t="s">
        <v>469</v>
      </c>
      <c r="D71" s="906">
        <f t="shared" ref="D71:L71" si="32">D19+D27+D35+D44+D53</f>
        <v>1877960</v>
      </c>
      <c r="E71" s="906">
        <f t="shared" si="32"/>
        <v>1540612.7600000002</v>
      </c>
      <c r="F71" s="906">
        <f t="shared" si="32"/>
        <v>1833816.3099999998</v>
      </c>
      <c r="G71" s="906">
        <f t="shared" si="32"/>
        <v>1820068.91</v>
      </c>
      <c r="H71" s="906">
        <f t="shared" si="32"/>
        <v>1840766.88</v>
      </c>
      <c r="I71" s="906">
        <f t="shared" si="32"/>
        <v>1825734.5</v>
      </c>
      <c r="J71" s="906">
        <f t="shared" si="32"/>
        <v>1840249.7790000001</v>
      </c>
      <c r="K71" s="906">
        <f t="shared" si="32"/>
        <v>1877240.4907907024</v>
      </c>
      <c r="L71" s="907">
        <f t="shared" si="32"/>
        <v>2148518.1182946181</v>
      </c>
    </row>
    <row r="72" spans="2:12" x14ac:dyDescent="0.2">
      <c r="L72" s="528"/>
    </row>
    <row r="75" spans="2:12" x14ac:dyDescent="0.2">
      <c r="L75" s="528"/>
    </row>
    <row r="76" spans="2:12" x14ac:dyDescent="0.2">
      <c r="L76" s="528"/>
    </row>
  </sheetData>
  <pageMargins left="0.70866141732283472" right="0.70866141732283472" top="0.74803149606299213" bottom="0.74803149606299213" header="0.31496062992125984" footer="0.31496062992125984"/>
  <pageSetup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I40" sqref="I40"/>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44" t="s">
        <v>264</v>
      </c>
    </row>
    <row r="11" spans="1:16" ht="23.25" x14ac:dyDescent="0.2">
      <c r="B11" s="154" t="s">
        <v>57</v>
      </c>
    </row>
    <row r="12" spans="1:16" ht="13.5" thickBot="1" x14ac:dyDescent="0.25"/>
    <row r="13" spans="1:16" ht="40.5" customHeight="1" x14ac:dyDescent="0.2">
      <c r="B13" s="202"/>
      <c r="C13" s="1184" t="str">
        <f>+'11. Final Load Forecast'!B14</f>
        <v>Residential</v>
      </c>
      <c r="D13" s="1185"/>
      <c r="E13" s="1184" t="str">
        <f>+'11. Final Load Forecast'!B18</f>
        <v>General Service &lt; 50 kW</v>
      </c>
      <c r="F13" s="1185"/>
      <c r="G13" s="1187" t="str">
        <f>+'11. Final Load Forecast'!B22</f>
        <v>Unmetered Scattered Load</v>
      </c>
      <c r="H13" s="1188"/>
      <c r="I13" s="1187" t="str">
        <f>+'11. Final Load Forecast'!B26</f>
        <v>General Service &gt; 50 kW - 4999 kW</v>
      </c>
      <c r="J13" s="1188"/>
      <c r="K13" s="1187" t="str">
        <f>+'11. Final Load Forecast'!B30</f>
        <v>Streetlighting</v>
      </c>
      <c r="L13" s="1188"/>
      <c r="M13" s="1184">
        <f>+'11. Final Load Forecast'!B34</f>
        <v>0</v>
      </c>
      <c r="N13" s="1185"/>
      <c r="O13" s="1184">
        <f>+'11. Final Load Forecast'!B38</f>
        <v>0</v>
      </c>
      <c r="P13" s="1186"/>
    </row>
    <row r="14" spans="1:16" ht="25.5" x14ac:dyDescent="0.2">
      <c r="B14" s="92" t="s">
        <v>33</v>
      </c>
      <c r="C14" s="93" t="s">
        <v>46</v>
      </c>
      <c r="D14" s="93" t="s">
        <v>127</v>
      </c>
      <c r="E14" s="93" t="s">
        <v>46</v>
      </c>
      <c r="F14" s="93" t="s">
        <v>127</v>
      </c>
      <c r="G14" s="93" t="s">
        <v>46</v>
      </c>
      <c r="H14" s="93" t="s">
        <v>127</v>
      </c>
      <c r="I14" s="93" t="s">
        <v>46</v>
      </c>
      <c r="J14" s="93" t="s">
        <v>127</v>
      </c>
      <c r="K14" s="93" t="s">
        <v>46</v>
      </c>
      <c r="L14" s="93" t="s">
        <v>127</v>
      </c>
      <c r="M14" s="93" t="s">
        <v>46</v>
      </c>
      <c r="N14" s="93" t="s">
        <v>127</v>
      </c>
      <c r="O14" s="93" t="s">
        <v>46</v>
      </c>
      <c r="P14" s="94" t="s">
        <v>127</v>
      </c>
    </row>
    <row r="15" spans="1:16" x14ac:dyDescent="0.2">
      <c r="B15" s="203">
        <f>'4. Customer Growth'!B17</f>
        <v>2006</v>
      </c>
      <c r="C15" s="95">
        <f>+'11. Final Load Forecast'!$D$15/'11. Final Load Forecast'!$D$14</f>
        <v>8662.7384789369517</v>
      </c>
      <c r="D15" s="95">
        <f>+'11. Final Load Forecast'!$D$16/'11. Final Load Forecast'!$D$14</f>
        <v>0</v>
      </c>
      <c r="E15" s="95">
        <f>+'11. Final Load Forecast'!$D$19/'11. Final Load Forecast'!$D$18</f>
        <v>26218.845703125</v>
      </c>
      <c r="F15" s="95">
        <f>+'11. Final Load Forecast'!$D$20/'11. Final Load Forecast'!$D$18</f>
        <v>0</v>
      </c>
      <c r="G15" s="95">
        <f>+'11. Final Load Forecast'!$D$23/'11. Final Load Forecast'!$D$22</f>
        <v>5715.8928571428569</v>
      </c>
      <c r="H15" s="95">
        <f>+'11. Final Load Forecast'!$D$24/'11. Final Load Forecast'!$D$22</f>
        <v>0</v>
      </c>
      <c r="I15" s="95">
        <f>+'11. Final Load Forecast'!$D$27/'11. Final Load Forecast'!$D$26</f>
        <v>838457.74193548388</v>
      </c>
      <c r="J15" s="95">
        <f>+'11. Final Load Forecast'!$D$28/'11. Final Load Forecast'!$D$26</f>
        <v>2478.3870967741937</v>
      </c>
      <c r="K15" s="95">
        <f>+'11. Final Load Forecast'!$D$31/'11. Final Load Forecast'!$D$30</f>
        <v>953.84073107049608</v>
      </c>
      <c r="L15" s="95">
        <f>+'11. Final Load Forecast'!$D$32/'11. Final Load Forecast'!$D$30</f>
        <v>2.6570931244560487</v>
      </c>
      <c r="M15" s="95" t="e">
        <f>+'11. Final Load Forecast'!$D$35/'11. Final Load Forecast'!$D$34</f>
        <v>#DIV/0!</v>
      </c>
      <c r="N15" s="95" t="e">
        <f>+'11. Final Load Forecast'!$D$36/'11. Final Load Forecast'!$D$34</f>
        <v>#DIV/0!</v>
      </c>
      <c r="O15" s="95" t="e">
        <f>+'11. Final Load Forecast'!$D$39/'11. Final Load Forecast'!$D$39</f>
        <v>#DIV/0!</v>
      </c>
      <c r="P15" s="96" t="e">
        <f>+'11. Final Load Forecast'!$D$40/'11. Final Load Forecast'!$D$39</f>
        <v>#DIV/0!</v>
      </c>
    </row>
    <row r="16" spans="1:16" x14ac:dyDescent="0.2">
      <c r="B16" s="203">
        <f>'4. Customer Growth'!B18</f>
        <v>2007</v>
      </c>
      <c r="C16" s="95">
        <f>+'11. Final Load Forecast'!$E$15/'11. Final Load Forecast'!$E$14</f>
        <v>8732.1602365530835</v>
      </c>
      <c r="D16" s="95">
        <f>+'11. Final Load Forecast'!$E$16/'11. Final Load Forecast'!$E$14</f>
        <v>0</v>
      </c>
      <c r="E16" s="95">
        <f>+'11. Final Load Forecast'!$E$19/'11. Final Load Forecast'!$E$18</f>
        <v>27719.221327967807</v>
      </c>
      <c r="F16" s="95">
        <f>+'11. Final Load Forecast'!$E$20/'11. Final Load Forecast'!$E$18</f>
        <v>0</v>
      </c>
      <c r="G16" s="95">
        <f>+'11. Final Load Forecast'!$E$23/'11. Final Load Forecast'!$E$22</f>
        <v>4904.1724137931033</v>
      </c>
      <c r="H16" s="95">
        <f>+'11. Final Load Forecast'!$E$24/'11. Final Load Forecast'!$E$22</f>
        <v>0</v>
      </c>
      <c r="I16" s="95">
        <f>+'11. Final Load Forecast'!$E$27/'11. Final Load Forecast'!$E$26</f>
        <v>818510.72307692305</v>
      </c>
      <c r="J16" s="95">
        <f>+'11. Final Load Forecast'!$E$28/'11. Final Load Forecast'!$E$26</f>
        <v>2254.1692307692306</v>
      </c>
      <c r="K16" s="95">
        <f>+'11. Final Load Forecast'!$E$31/'11. Final Load Forecast'!$E$30</f>
        <v>960.75847089487399</v>
      </c>
      <c r="L16" s="95">
        <f>+'11. Final Load Forecast'!$E$32/'11. Final Load Forecast'!$E$30</f>
        <v>2.6889661164205041</v>
      </c>
      <c r="M16" s="95" t="e">
        <f>+'11. Final Load Forecast'!$E$35/'11. Final Load Forecast'!$E$34</f>
        <v>#DIV/0!</v>
      </c>
      <c r="N16" s="95" t="e">
        <f>+'11. Final Load Forecast'!$E$36/'11. Final Load Forecast'!$E$34</f>
        <v>#DIV/0!</v>
      </c>
      <c r="O16" s="95" t="e">
        <f>+'11. Final Load Forecast'!$E$39/'11. Final Load Forecast'!$E$38</f>
        <v>#DIV/0!</v>
      </c>
      <c r="P16" s="96" t="e">
        <f>+'11. Final Load Forecast'!$E$40/'11. Final Load Forecast'!$E$38</f>
        <v>#DIV/0!</v>
      </c>
    </row>
    <row r="17" spans="2:16" x14ac:dyDescent="0.2">
      <c r="B17" s="203">
        <f>'4. Customer Growth'!B19</f>
        <v>2008</v>
      </c>
      <c r="C17" s="95">
        <f>+'11. Final Load Forecast'!$F$15/'11. Final Load Forecast'!$F$14</f>
        <v>8786.7629153867638</v>
      </c>
      <c r="D17" s="95">
        <f>+'11. Final Load Forecast'!$F$16/'11. Final Load Forecast'!$F$14</f>
        <v>0</v>
      </c>
      <c r="E17" s="95">
        <f>+'11. Final Load Forecast'!$F$19/'11. Final Load Forecast'!$F$18</f>
        <v>28192.783400809716</v>
      </c>
      <c r="F17" s="95">
        <f>+'11. Final Load Forecast'!$F$20/'11. Final Load Forecast'!$F$18</f>
        <v>0</v>
      </c>
      <c r="G17" s="95">
        <f>+'11. Final Load Forecast'!$F$23/'11. Final Load Forecast'!$F$22</f>
        <v>4695.666666666667</v>
      </c>
      <c r="H17" s="95">
        <f>+'11. Final Load Forecast'!$F$24/'11. Final Load Forecast'!$F$22</f>
        <v>0</v>
      </c>
      <c r="I17" s="95">
        <f>+'11. Final Load Forecast'!$F$27/'11. Final Load Forecast'!$F$26</f>
        <v>825134.14925373136</v>
      </c>
      <c r="J17" s="95">
        <f>+'11. Final Load Forecast'!$F$28/'11. Final Load Forecast'!$F$26</f>
        <v>2223.0895522388059</v>
      </c>
      <c r="K17" s="95">
        <f>+'11. Final Load Forecast'!$F$31/'11. Final Load Forecast'!$F$30</f>
        <v>956.80742659758209</v>
      </c>
      <c r="L17" s="95">
        <f>+'11. Final Load Forecast'!$F$32/'11. Final Load Forecast'!$F$30</f>
        <v>2.6770293609671847</v>
      </c>
      <c r="M17" s="95" t="e">
        <f>+'11. Final Load Forecast'!$F$35/'11. Final Load Forecast'!$F$34</f>
        <v>#DIV/0!</v>
      </c>
      <c r="N17" s="95" t="e">
        <f>+'11. Final Load Forecast'!$F$36/'11. Final Load Forecast'!$F$34</f>
        <v>#DIV/0!</v>
      </c>
      <c r="O17" s="95" t="e">
        <f>+'11. Final Load Forecast'!$F$39/'11. Final Load Forecast'!$F$38</f>
        <v>#DIV/0!</v>
      </c>
      <c r="P17" s="96" t="e">
        <f>+'11. Final Load Forecast'!$F$40/'11. Final Load Forecast'!$F$38</f>
        <v>#DIV/0!</v>
      </c>
    </row>
    <row r="18" spans="2:16" x14ac:dyDescent="0.2">
      <c r="B18" s="203">
        <f>'4. Customer Growth'!B20</f>
        <v>2009</v>
      </c>
      <c r="C18" s="95">
        <f>+'11. Final Load Forecast'!$G$15/'11. Final Load Forecast'!$G$14</f>
        <v>8491.110864745011</v>
      </c>
      <c r="D18" s="95">
        <f>+'11. Final Load Forecast'!$G$16/'11. Final Load Forecast'!$G$14</f>
        <v>0</v>
      </c>
      <c r="E18" s="95">
        <f>+'11. Final Load Forecast'!$G$19/'11. Final Load Forecast'!$G$18</f>
        <v>26625.08281573499</v>
      </c>
      <c r="F18" s="95">
        <f>+'11. Final Load Forecast'!$G$20/'11. Final Load Forecast'!$G$18</f>
        <v>0</v>
      </c>
      <c r="G18" s="95">
        <f>+'11. Final Load Forecast'!$G$23/'11. Final Load Forecast'!$G$22</f>
        <v>4682.833333333333</v>
      </c>
      <c r="H18" s="95">
        <f>+'11. Final Load Forecast'!$G$24/'11. Final Load Forecast'!$G$22</f>
        <v>0</v>
      </c>
      <c r="I18" s="95">
        <f>+'11. Final Load Forecast'!$G$27/'11. Final Load Forecast'!$G$26</f>
        <v>791368.18181818177</v>
      </c>
      <c r="J18" s="95">
        <f>+'11. Final Load Forecast'!$G$28/'11. Final Load Forecast'!$G$26</f>
        <v>2147.409090909091</v>
      </c>
      <c r="K18" s="95">
        <f>+'11. Final Load Forecast'!$G$31/'11. Final Load Forecast'!$G$30</f>
        <v>955.21165381319622</v>
      </c>
      <c r="L18" s="95">
        <f>+'11. Final Load Forecast'!$G$32/'11. Final Load Forecast'!$G$30</f>
        <v>2.6495287060839758</v>
      </c>
      <c r="M18" s="95" t="e">
        <f>+'11. Final Load Forecast'!$G$35/'11. Final Load Forecast'!$G$34</f>
        <v>#DIV/0!</v>
      </c>
      <c r="N18" s="95" t="e">
        <f>+'11. Final Load Forecast'!$G$36/'11. Final Load Forecast'!$G$34</f>
        <v>#DIV/0!</v>
      </c>
      <c r="O18" s="95" t="e">
        <f>+'11. Final Load Forecast'!$G$39/'11. Final Load Forecast'!$G$38</f>
        <v>#DIV/0!</v>
      </c>
      <c r="P18" s="96" t="e">
        <f>+'11. Final Load Forecast'!$G$40/'11. Final Load Forecast'!$G$38</f>
        <v>#DIV/0!</v>
      </c>
    </row>
    <row r="19" spans="2:16" x14ac:dyDescent="0.2">
      <c r="B19" s="203">
        <f>'4. Customer Growth'!B21</f>
        <v>2010</v>
      </c>
      <c r="C19" s="95">
        <f>+'11. Final Load Forecast'!$H$15/'11. Final Load Forecast'!$H$14</f>
        <v>8293.6902025177878</v>
      </c>
      <c r="D19" s="95">
        <f>+'11. Final Load Forecast'!$H$16/'11. Final Load Forecast'!$H$14</f>
        <v>0</v>
      </c>
      <c r="E19" s="95">
        <f>+'11. Final Load Forecast'!$H$19/'11. Final Load Forecast'!$H$18</f>
        <v>28115.531674208145</v>
      </c>
      <c r="F19" s="95">
        <f>+'11. Final Load Forecast'!$H$20/'11. Final Load Forecast'!$H$18</f>
        <v>0</v>
      </c>
      <c r="G19" s="95">
        <f>+'11. Final Load Forecast'!$H$23/'11. Final Load Forecast'!$H$22</f>
        <v>4416.9411764705883</v>
      </c>
      <c r="H19" s="95">
        <f>+'11. Final Load Forecast'!$H$24/'11. Final Load Forecast'!$H$22</f>
        <v>0</v>
      </c>
      <c r="I19" s="95">
        <f>+'11. Final Load Forecast'!$H$27/'11. Final Load Forecast'!$H$26</f>
        <v>876325.64406779665</v>
      </c>
      <c r="J19" s="95">
        <f>+'11. Final Load Forecast'!$H$28/'11. Final Load Forecast'!$H$26</f>
        <v>2403.3389830508477</v>
      </c>
      <c r="K19" s="95">
        <f>+'11. Final Load Forecast'!$H$31/'11. Final Load Forecast'!$H$30</f>
        <v>951.21465076660991</v>
      </c>
      <c r="L19" s="95">
        <f>+'11. Final Load Forecast'!$H$32/'11. Final Load Forecast'!$H$30</f>
        <v>2.6388415672913119</v>
      </c>
      <c r="M19" s="95" t="e">
        <f>+'11. Final Load Forecast'!$H$35/'11. Final Load Forecast'!$H$34</f>
        <v>#DIV/0!</v>
      </c>
      <c r="N19" s="95" t="e">
        <f>+'11. Final Load Forecast'!$H$36/'11. Final Load Forecast'!$H$34</f>
        <v>#DIV/0!</v>
      </c>
      <c r="O19" s="95" t="e">
        <f>+'11. Final Load Forecast'!$H$39/'11. Final Load Forecast'!$H$38</f>
        <v>#DIV/0!</v>
      </c>
      <c r="P19" s="96" t="e">
        <f>+'11. Final Load Forecast'!$H$40/'11. Final Load Forecast'!$H$38</f>
        <v>#DIV/0!</v>
      </c>
    </row>
    <row r="20" spans="2:16" x14ac:dyDescent="0.2">
      <c r="B20" s="203">
        <f>'4. Customer Growth'!B22</f>
        <v>2011</v>
      </c>
      <c r="C20" s="95">
        <f>+'11. Final Load Forecast'!$I$15/'11. Final Load Forecast'!$I$14</f>
        <v>8159.8915107133171</v>
      </c>
      <c r="D20" s="95">
        <f>+'11. Final Load Forecast'!$I$16/'11. Final Load Forecast'!$I$14</f>
        <v>0</v>
      </c>
      <c r="E20" s="95">
        <f>+'11. Final Load Forecast'!$I$19/'11. Final Load Forecast'!$I$18</f>
        <v>27373.372997711671</v>
      </c>
      <c r="F20" s="95">
        <f>+'11. Final Load Forecast'!$I$20/'11. Final Load Forecast'!$I$18</f>
        <v>0</v>
      </c>
      <c r="G20" s="95">
        <f>+'11. Final Load Forecast'!$I$23/'11. Final Load Forecast'!$I$22</f>
        <v>4674.1470588235297</v>
      </c>
      <c r="H20" s="95">
        <f>+'11. Final Load Forecast'!$I$24/'11. Final Load Forecast'!$I$22</f>
        <v>0</v>
      </c>
      <c r="I20" s="95">
        <f>+'11. Final Load Forecast'!$I$27/'11. Final Load Forecast'!$I$26</f>
        <v>788494.01694915257</v>
      </c>
      <c r="J20" s="95">
        <f>+'11. Final Load Forecast'!$I$28/'11. Final Load Forecast'!$I$26</f>
        <v>2220</v>
      </c>
      <c r="K20" s="95">
        <f>+'11. Final Load Forecast'!$I$31/'11. Final Load Forecast'!$I$30</f>
        <v>951.16836734693879</v>
      </c>
      <c r="L20" s="95">
        <f>+'11. Final Load Forecast'!$I$32/'11. Final Load Forecast'!$I$30</f>
        <v>2.635204081632653</v>
      </c>
      <c r="M20" s="95" t="e">
        <f>+'11. Final Load Forecast'!$I$35/'11. Final Load Forecast'!$I$34</f>
        <v>#DIV/0!</v>
      </c>
      <c r="N20" s="95" t="e">
        <f>+'11. Final Load Forecast'!$I$36/'11. Final Load Forecast'!$I$34</f>
        <v>#DIV/0!</v>
      </c>
      <c r="O20" s="95" t="e">
        <f>+'11. Final Load Forecast'!$I$39/'11. Final Load Forecast'!$I$38</f>
        <v>#DIV/0!</v>
      </c>
      <c r="P20" s="96" t="e">
        <f>+'11. Final Load Forecast'!$I$40/'11. Final Load Forecast'!$I$38</f>
        <v>#DIV/0!</v>
      </c>
    </row>
    <row r="21" spans="2:16" x14ac:dyDescent="0.2">
      <c r="B21" s="203">
        <f>'4. Customer Growth'!B23</f>
        <v>2012</v>
      </c>
      <c r="C21" s="95">
        <f>+'11. Final Load Forecast'!$J$15/'11. Final Load Forecast'!$J$14</f>
        <v>8091.2209333693017</v>
      </c>
      <c r="D21" s="95">
        <f>+'11. Final Load Forecast'!$J$16/'11. Final Load Forecast'!$J$14</f>
        <v>0</v>
      </c>
      <c r="E21" s="95">
        <f>+'11. Final Load Forecast'!$J$19/'11. Final Load Forecast'!$J$18</f>
        <v>26832.896551724138</v>
      </c>
      <c r="F21" s="95">
        <f>+'11. Final Load Forecast'!$J$20/'11. Final Load Forecast'!$J$18</f>
        <v>0</v>
      </c>
      <c r="G21" s="95">
        <f>+'11. Final Load Forecast'!$J$23/'11. Final Load Forecast'!$J$22</f>
        <v>4670.911764705882</v>
      </c>
      <c r="H21" s="95">
        <f>+'11. Final Load Forecast'!$J$24/'11. Final Load Forecast'!$J$22</f>
        <v>0</v>
      </c>
      <c r="I21" s="95">
        <f>+'11. Final Load Forecast'!$J$27/'11. Final Load Forecast'!$J$26</f>
        <v>747386.11864406778</v>
      </c>
      <c r="J21" s="95">
        <f>+'11. Final Load Forecast'!$J$28/'11. Final Load Forecast'!$J$26</f>
        <v>2040.3220338983051</v>
      </c>
      <c r="K21" s="95">
        <f>+'11. Final Load Forecast'!$J$31/'11. Final Load Forecast'!$J$30</f>
        <v>953.45238095238096</v>
      </c>
      <c r="L21" s="95">
        <f>+'11. Final Load Forecast'!$J$32/'11. Final Load Forecast'!$J$30</f>
        <v>2.6360544217687076</v>
      </c>
      <c r="M21" s="95" t="e">
        <f>+'11. Final Load Forecast'!$J$35/'11. Final Load Forecast'!$J$34</f>
        <v>#DIV/0!</v>
      </c>
      <c r="N21" s="95" t="e">
        <f>+'11. Final Load Forecast'!$J$36/'11. Final Load Forecast'!$J$34</f>
        <v>#DIV/0!</v>
      </c>
      <c r="O21" s="95" t="e">
        <f>+'11. Final Load Forecast'!$J$39/'11. Final Load Forecast'!$J$38</f>
        <v>#DIV/0!</v>
      </c>
      <c r="P21" s="96" t="e">
        <f>+'11. Final Load Forecast'!$J$40/'11. Final Load Forecast'!$J$38</f>
        <v>#DIV/0!</v>
      </c>
    </row>
    <row r="22" spans="2:16" x14ac:dyDescent="0.2">
      <c r="B22" s="203">
        <f>'4. Customer Growth'!B24</f>
        <v>2013</v>
      </c>
      <c r="C22" s="95">
        <f>+'11. Final Load Forecast'!$K$15/'11. Final Load Forecast'!$K$14</f>
        <v>8173.3863270777483</v>
      </c>
      <c r="D22" s="95">
        <f>+'11. Final Load Forecast'!$K$16/'11. Final Load Forecast'!$K$14</f>
        <v>0</v>
      </c>
      <c r="E22" s="95">
        <f>+'11. Final Load Forecast'!$K$19/'11. Final Load Forecast'!$K$18</f>
        <v>26942.154205607476</v>
      </c>
      <c r="F22" s="95">
        <f>+'11. Final Load Forecast'!$K$20/'11. Final Load Forecast'!$K$18</f>
        <v>0</v>
      </c>
      <c r="G22" s="95">
        <f>+'11. Final Load Forecast'!$K$23/'11. Final Load Forecast'!$K$22</f>
        <v>4715.727272727273</v>
      </c>
      <c r="H22" s="95">
        <f>+'11. Final Load Forecast'!$K$24/'11. Final Load Forecast'!$K$22</f>
        <v>0</v>
      </c>
      <c r="I22" s="95">
        <f>+'11. Final Load Forecast'!$K$27/'11. Final Load Forecast'!$K$26</f>
        <v>711602.48387096776</v>
      </c>
      <c r="J22" s="95">
        <f>+'11. Final Load Forecast'!$K$28/'11. Final Load Forecast'!$K$26</f>
        <v>1867.9516129032259</v>
      </c>
      <c r="K22" s="95">
        <f>+'11. Final Load Forecast'!$K$31/'11. Final Load Forecast'!$K$30</f>
        <v>940.09243697478996</v>
      </c>
      <c r="L22" s="95">
        <f>+'11. Final Load Forecast'!$K$32/'11. Final Load Forecast'!$K$30</f>
        <v>2.6084033613445379</v>
      </c>
      <c r="M22" s="95" t="e">
        <f>+'11. Final Load Forecast'!$K$35/'11. Final Load Forecast'!$K$34</f>
        <v>#DIV/0!</v>
      </c>
      <c r="N22" s="95" t="e">
        <f>+'11. Final Load Forecast'!$K$36/'11. Final Load Forecast'!$K$34</f>
        <v>#DIV/0!</v>
      </c>
      <c r="O22" s="95" t="e">
        <f>+'11. Final Load Forecast'!$K$39/'11. Final Load Forecast'!$K$38</f>
        <v>#DIV/0!</v>
      </c>
      <c r="P22" s="96" t="e">
        <f>+'11. Final Load Forecast'!$K$40/'11. Final Load Forecast'!$K$38</f>
        <v>#DIV/0!</v>
      </c>
    </row>
    <row r="23" spans="2:16" x14ac:dyDescent="0.2">
      <c r="B23" s="203">
        <f>'4. Customer Growth'!B25</f>
        <v>2014</v>
      </c>
      <c r="C23" s="95">
        <f>+'11. Final Load Forecast'!$L$15/'11. Final Load Forecast'!$L$14</f>
        <v>7988.5667553191488</v>
      </c>
      <c r="D23" s="95">
        <f>+'11. Final Load Forecast'!$L$16/'11. Final Load Forecast'!$L$14</f>
        <v>0</v>
      </c>
      <c r="E23" s="95">
        <f>+'11. Final Load Forecast'!$L$19/'11. Final Load Forecast'!$L$18</f>
        <v>26388.142523364488</v>
      </c>
      <c r="F23" s="95">
        <f>+'11. Final Load Forecast'!$L$20/'11. Final Load Forecast'!$L$18</f>
        <v>0</v>
      </c>
      <c r="G23" s="95">
        <f>+'11. Final Load Forecast'!$L$23/'11. Final Load Forecast'!$L$22</f>
        <v>4697.545454545455</v>
      </c>
      <c r="H23" s="95">
        <f>+'11. Final Load Forecast'!$L$24/'11. Final Load Forecast'!$L$22</f>
        <v>0</v>
      </c>
      <c r="I23" s="95">
        <f>+'11. Final Load Forecast'!$L$27/'11. Final Load Forecast'!$L$26</f>
        <v>703881.03225806449</v>
      </c>
      <c r="J23" s="95">
        <f>+'11. Final Load Forecast'!$L$28/'11. Final Load Forecast'!$L$26</f>
        <v>1841.6129032258063</v>
      </c>
      <c r="K23" s="95">
        <f>+'11. Final Load Forecast'!$L$31/'11. Final Load Forecast'!$L$30</f>
        <v>942.45294117647063</v>
      </c>
      <c r="L23" s="95">
        <f>+'11. Final Load Forecast'!$L$32/'11. Final Load Forecast'!$L$30</f>
        <v>2.6134453781512605</v>
      </c>
      <c r="M23" s="95" t="e">
        <f>+'11. Final Load Forecast'!$L$35/'11. Final Load Forecast'!$L$34</f>
        <v>#DIV/0!</v>
      </c>
      <c r="N23" s="95" t="e">
        <f>+'11. Final Load Forecast'!$L$36/'11. Final Load Forecast'!$L$34</f>
        <v>#DIV/0!</v>
      </c>
      <c r="O23" s="95" t="e">
        <f>+'11. Final Load Forecast'!$L$39/'11. Final Load Forecast'!$L$38</f>
        <v>#DIV/0!</v>
      </c>
      <c r="P23" s="96" t="e">
        <f>+'11. Final Load Forecast'!$L$40/'11. Final Load Forecast'!$L$38</f>
        <v>#DIV/0!</v>
      </c>
    </row>
    <row r="24" spans="2:16" x14ac:dyDescent="0.2">
      <c r="B24" s="203">
        <f>'4. Customer Growth'!B26</f>
        <v>2015</v>
      </c>
      <c r="C24" s="95">
        <f>+'11. Final Load Forecast'!$M$15/'11. Final Load Forecast'!$M$14</f>
        <v>7829.892034929876</v>
      </c>
      <c r="D24" s="95">
        <f>+'11. Final Load Forecast'!$M$16/'11. Final Load Forecast'!$M$14</f>
        <v>0</v>
      </c>
      <c r="E24" s="95">
        <f>+'11. Final Load Forecast'!$M$19/'11. Final Load Forecast'!$M$18</f>
        <v>25217.004651162792</v>
      </c>
      <c r="F24" s="95">
        <f>+'11. Final Load Forecast'!$M$20/'11. Final Load Forecast'!$M$18</f>
        <v>0</v>
      </c>
      <c r="G24" s="95">
        <f>+'11. Final Load Forecast'!$M$23/'11. Final Load Forecast'!$M$22</f>
        <v>4708</v>
      </c>
      <c r="H24" s="95">
        <f>+'11. Final Load Forecast'!$M$24/'11. Final Load Forecast'!$M$22</f>
        <v>0</v>
      </c>
      <c r="I24" s="95">
        <f>+'11. Final Load Forecast'!$M$27/'11. Final Load Forecast'!$M$26</f>
        <v>739271.57377049176</v>
      </c>
      <c r="J24" s="95">
        <f>+'11. Final Load Forecast'!$M$28/'11. Final Load Forecast'!$M$26</f>
        <v>1867.5737704918033</v>
      </c>
      <c r="K24" s="95">
        <f>+'11. Final Load Forecast'!$M$31/'11. Final Load Forecast'!$M$30</f>
        <v>944.2705882352941</v>
      </c>
      <c r="L24" s="95">
        <f>+'11. Final Load Forecast'!$M$32/'11. Final Load Forecast'!$M$30</f>
        <v>2.619327731092437</v>
      </c>
      <c r="M24" s="95" t="e">
        <f>+'11. Final Load Forecast'!$M$35/'11. Final Load Forecast'!$M$34</f>
        <v>#DIV/0!</v>
      </c>
      <c r="N24" s="95" t="e">
        <f>+'11. Final Load Forecast'!$M$36/'11. Final Load Forecast'!$M$34</f>
        <v>#DIV/0!</v>
      </c>
      <c r="O24" s="95" t="e">
        <f>+'11. Final Load Forecast'!$M$39/'11. Final Load Forecast'!$M$38</f>
        <v>#DIV/0!</v>
      </c>
      <c r="P24" s="96" t="e">
        <f>+'11. Final Load Forecast'!$M$40/'11. Final Load Forecast'!$M$38</f>
        <v>#DIV/0!</v>
      </c>
    </row>
    <row r="25" spans="2:16" x14ac:dyDescent="0.2">
      <c r="B25" s="204" t="str">
        <f>'4. Customer Growth'!B30</f>
        <v>2016</v>
      </c>
      <c r="C25" s="95">
        <f>+'11. Final Load Forecast'!$N$15/'11. Final Load Forecast'!$N$14</f>
        <v>7971.8753696352369</v>
      </c>
      <c r="D25" s="95">
        <f>+'11. Final Load Forecast'!$N$16/'11. Final Load Forecast'!$N$14</f>
        <v>0</v>
      </c>
      <c r="E25" s="95">
        <f>+'11. Final Load Forecast'!$N$19/'11. Final Load Forecast'!$N$18</f>
        <v>29225.526797085229</v>
      </c>
      <c r="F25" s="95">
        <f>+'11. Final Load Forecast'!$N$20/'11. Final Load Forecast'!$N$18</f>
        <v>0</v>
      </c>
      <c r="G25" s="95">
        <f>+'11. Final Load Forecast'!$N$23/'11. Final Load Forecast'!$N$22</f>
        <v>4670.8988055270811</v>
      </c>
      <c r="H25" s="95">
        <f>+'11. Final Load Forecast'!$N$24/'11. Final Load Forecast'!$N$22</f>
        <v>0</v>
      </c>
      <c r="I25" s="95">
        <f>+'11. Final Load Forecast'!$N$27/'11. Final Load Forecast'!$N$26</f>
        <v>748309.21997004026</v>
      </c>
      <c r="J25" s="95">
        <f>+'11. Final Load Forecast'!$N$28/'11. Final Load Forecast'!$N$26</f>
        <v>2033.3945359452737</v>
      </c>
      <c r="K25" s="95">
        <f>+'11. Final Load Forecast'!$N$31/'11. Final Load Forecast'!$N$30</f>
        <v>950.37941236191534</v>
      </c>
      <c r="L25" s="95">
        <f>+'11. Final Load Forecast'!$N$32/'11. Final Load Forecast'!$N$30</f>
        <v>2.6408283882522356</v>
      </c>
      <c r="M25" s="95" t="e">
        <f>+'11. Final Load Forecast'!$N$35/'11. Final Load Forecast'!$N$34</f>
        <v>#DIV/0!</v>
      </c>
      <c r="N25" s="95" t="e">
        <f>+'11. Final Load Forecast'!$N$36/'11. Final Load Forecast'!$N$34</f>
        <v>#DIV/0!</v>
      </c>
      <c r="O25" s="95" t="e">
        <f>+'11. Final Load Forecast'!$N$39/'11. Final Load Forecast'!$N$38</f>
        <v>#DIV/0!</v>
      </c>
      <c r="P25" s="96" t="e">
        <f>+'11. Final Load Forecast'!$N$40/'11. Final Load Forecast'!$N$38</f>
        <v>#DIV/0!</v>
      </c>
    </row>
    <row r="26" spans="2:16" ht="13.5" thickBot="1" x14ac:dyDescent="0.25">
      <c r="B26" s="205" t="str">
        <f>'4. Customer Growth'!B31</f>
        <v>2017</v>
      </c>
      <c r="C26" s="97">
        <f>+'11. Final Load Forecast'!$O$15/'11. Final Load Forecast'!$O$14</f>
        <v>7821.134117555157</v>
      </c>
      <c r="D26" s="97">
        <f>+'11. Final Load Forecast'!$O$16/'11. Final Load Forecast'!$O$14</f>
        <v>0</v>
      </c>
      <c r="E26" s="97">
        <f>+'11. Final Load Forecast'!$O$19/'11. Final Load Forecast'!$O$18</f>
        <v>29450.149746323972</v>
      </c>
      <c r="F26" s="97">
        <f>+'11. Final Load Forecast'!$O$20/'11. Final Load Forecast'!$O$18</f>
        <v>0</v>
      </c>
      <c r="G26" s="97">
        <f>+'11. Final Load Forecast'!$O$23/'11. Final Load Forecast'!$O$22</f>
        <v>4532.8859689814608</v>
      </c>
      <c r="H26" s="97">
        <f>+'11. Final Load Forecast'!$O$24/'11. Final Load Forecast'!$O$22</f>
        <v>0</v>
      </c>
      <c r="I26" s="97">
        <f>+'11. Final Load Forecast'!$O$27/'11. Final Load Forecast'!$O$26</f>
        <v>740915.22043365194</v>
      </c>
      <c r="J26" s="97">
        <f>+'11. Final Load Forecast'!$O$28/'11. Final Load Forecast'!$O$26</f>
        <v>2013.3026837338632</v>
      </c>
      <c r="K26" s="97">
        <f>+'11. Final Load Forecast'!$O$31/'11. Final Load Forecast'!$O$30</f>
        <v>935.63812112145672</v>
      </c>
      <c r="L26" s="97">
        <f>+'11. Final Load Forecast'!$O$32/'11. Final Load Forecast'!$O$30</f>
        <v>2.5998666208981334</v>
      </c>
      <c r="M26" s="97" t="e">
        <f>+'11. Final Load Forecast'!$O$35/'11. Final Load Forecast'!$O$34</f>
        <v>#DIV/0!</v>
      </c>
      <c r="N26" s="97" t="e">
        <f>+'11. Final Load Forecast'!$O$36/'11. Final Load Forecast'!$O$34</f>
        <v>#DIV/0!</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28" customFormat="1" x14ac:dyDescent="0.2">
      <c r="A1" s="744" t="s">
        <v>264</v>
      </c>
    </row>
    <row r="2" spans="1:10" s="528" customFormat="1" x14ac:dyDescent="0.2"/>
    <row r="3" spans="1:10" s="528" customFormat="1" x14ac:dyDescent="0.2"/>
    <row r="4" spans="1:10" s="528" customFormat="1" x14ac:dyDescent="0.2"/>
    <row r="5" spans="1:10" s="528" customFormat="1" x14ac:dyDescent="0.2"/>
    <row r="6" spans="1:10" s="528" customFormat="1" x14ac:dyDescent="0.2"/>
    <row r="7" spans="1:10" s="528" customFormat="1" x14ac:dyDescent="0.2"/>
    <row r="8" spans="1:10" s="528" customFormat="1" x14ac:dyDescent="0.2"/>
    <row r="9" spans="1:10" s="528" customFormat="1" x14ac:dyDescent="0.2"/>
    <row r="10" spans="1:10" s="528" customFormat="1" x14ac:dyDescent="0.2"/>
    <row r="11" spans="1:10" s="528" customFormat="1" ht="23.25" x14ac:dyDescent="0.2">
      <c r="B11" s="133" t="s">
        <v>100</v>
      </c>
    </row>
    <row r="12" spans="1:10" s="528" customFormat="1" ht="12.75" customHeight="1" x14ac:dyDescent="0.2">
      <c r="B12" s="133"/>
    </row>
    <row r="13" spans="1:10" s="528" customFormat="1" x14ac:dyDescent="0.2">
      <c r="B13" s="769" t="s">
        <v>272</v>
      </c>
      <c r="C13" s="770" t="s">
        <v>273</v>
      </c>
      <c r="D13" s="769" t="s">
        <v>272</v>
      </c>
      <c r="E13" s="770" t="s">
        <v>273</v>
      </c>
      <c r="F13" s="769" t="s">
        <v>272</v>
      </c>
      <c r="G13" s="770" t="s">
        <v>273</v>
      </c>
      <c r="H13" s="769" t="s">
        <v>272</v>
      </c>
      <c r="I13" s="770" t="s">
        <v>273</v>
      </c>
    </row>
    <row r="14" spans="1:10" s="528" customFormat="1" x14ac:dyDescent="0.2">
      <c r="B14" s="771" t="s">
        <v>274</v>
      </c>
      <c r="C14" s="772">
        <v>13142570.375399999</v>
      </c>
      <c r="D14" s="771" t="s">
        <v>275</v>
      </c>
      <c r="E14" s="772">
        <v>14771571.713964712</v>
      </c>
      <c r="F14" s="771" t="s">
        <v>276</v>
      </c>
      <c r="G14" s="772">
        <v>16076421.379999999</v>
      </c>
      <c r="H14" s="773" t="s">
        <v>277</v>
      </c>
      <c r="I14" s="772">
        <v>18286019</v>
      </c>
    </row>
    <row r="15" spans="1:10" x14ac:dyDescent="0.2">
      <c r="B15" s="771" t="s">
        <v>278</v>
      </c>
      <c r="C15" s="772">
        <v>13197164.210000001</v>
      </c>
      <c r="D15" s="774" t="s">
        <v>279</v>
      </c>
      <c r="E15" s="772">
        <v>14773248.220000001</v>
      </c>
      <c r="F15" s="771" t="s">
        <v>280</v>
      </c>
      <c r="G15" s="772">
        <v>16145185.029999999</v>
      </c>
      <c r="H15" s="775" t="s">
        <v>281</v>
      </c>
      <c r="I15" s="772">
        <v>18353283.109999999</v>
      </c>
      <c r="J15" s="509"/>
    </row>
    <row r="16" spans="1:10" x14ac:dyDescent="0.2">
      <c r="B16" s="775" t="s">
        <v>282</v>
      </c>
      <c r="C16" s="772">
        <v>13231223.890000001</v>
      </c>
      <c r="D16" s="771" t="s">
        <v>283</v>
      </c>
      <c r="E16" s="772">
        <v>14838362.260899998</v>
      </c>
      <c r="F16" s="774" t="s">
        <v>284</v>
      </c>
      <c r="G16" s="772">
        <v>16259992.859999999</v>
      </c>
      <c r="H16" s="773" t="s">
        <v>285</v>
      </c>
      <c r="I16" s="772">
        <v>18549948.033</v>
      </c>
      <c r="J16" s="509"/>
    </row>
    <row r="17" spans="2:10" x14ac:dyDescent="0.2">
      <c r="B17" s="771" t="s">
        <v>286</v>
      </c>
      <c r="C17" s="772">
        <v>13562494.850000001</v>
      </c>
      <c r="D17" s="775" t="s">
        <v>287</v>
      </c>
      <c r="E17" s="772">
        <v>14896602.02</v>
      </c>
      <c r="F17" s="775" t="s">
        <v>288</v>
      </c>
      <c r="G17" s="772">
        <v>16320059.470000001</v>
      </c>
      <c r="H17" s="775" t="s">
        <v>289</v>
      </c>
      <c r="I17" s="772">
        <v>18569676.210000001</v>
      </c>
      <c r="J17" s="509"/>
    </row>
    <row r="18" spans="2:10" x14ac:dyDescent="0.2">
      <c r="B18" s="771" t="s">
        <v>290</v>
      </c>
      <c r="C18" s="772">
        <v>13562663.460000001</v>
      </c>
      <c r="D18" s="774" t="s">
        <v>291</v>
      </c>
      <c r="E18" s="772">
        <v>14962494.51</v>
      </c>
      <c r="F18" s="775" t="s">
        <v>292</v>
      </c>
      <c r="G18" s="772">
        <v>16336448.780000001</v>
      </c>
      <c r="H18" s="775" t="s">
        <v>293</v>
      </c>
      <c r="I18" s="772">
        <v>18576054.222617</v>
      </c>
      <c r="J18" s="509"/>
    </row>
    <row r="19" spans="2:10" x14ac:dyDescent="0.2">
      <c r="B19" s="775" t="s">
        <v>294</v>
      </c>
      <c r="C19" s="772">
        <v>13621301.949999999</v>
      </c>
      <c r="D19" s="771" t="s">
        <v>295</v>
      </c>
      <c r="E19" s="772">
        <v>14969028.680756001</v>
      </c>
      <c r="F19" s="774" t="s">
        <v>296</v>
      </c>
      <c r="G19" s="772">
        <v>16379523.159999998</v>
      </c>
      <c r="H19" s="773" t="s">
        <v>297</v>
      </c>
      <c r="I19" s="772">
        <v>18577263.48</v>
      </c>
      <c r="J19" s="509"/>
    </row>
    <row r="20" spans="2:10" x14ac:dyDescent="0.2">
      <c r="B20" s="775" t="s">
        <v>298</v>
      </c>
      <c r="C20" s="772">
        <v>13925725.6516</v>
      </c>
      <c r="D20" s="771" t="s">
        <v>299</v>
      </c>
      <c r="E20" s="772">
        <v>15016413.851820258</v>
      </c>
      <c r="F20" s="774" t="s">
        <v>300</v>
      </c>
      <c r="G20" s="772">
        <v>16553181.857891716</v>
      </c>
      <c r="H20" s="775" t="s">
        <v>301</v>
      </c>
      <c r="I20" s="772">
        <v>18728375.258694019</v>
      </c>
      <c r="J20" s="509"/>
    </row>
    <row r="21" spans="2:10" x14ac:dyDescent="0.2">
      <c r="B21" s="774" t="s">
        <v>302</v>
      </c>
      <c r="C21" s="772">
        <v>14032949.92</v>
      </c>
      <c r="D21" s="774" t="s">
        <v>303</v>
      </c>
      <c r="E21" s="772">
        <v>15077804.041620001</v>
      </c>
      <c r="F21" s="775" t="s">
        <v>304</v>
      </c>
      <c r="G21" s="772">
        <v>16590760.577996613</v>
      </c>
      <c r="H21" s="773" t="s">
        <v>305</v>
      </c>
      <c r="I21" s="772">
        <v>19353299.849999998</v>
      </c>
      <c r="J21" s="509"/>
    </row>
    <row r="22" spans="2:10" x14ac:dyDescent="0.2">
      <c r="B22" s="774" t="s">
        <v>306</v>
      </c>
      <c r="C22" s="772">
        <v>14189419.83</v>
      </c>
      <c r="D22" s="774" t="s">
        <v>307</v>
      </c>
      <c r="E22" s="772">
        <v>15176419.100000001</v>
      </c>
      <c r="F22" s="771" t="s">
        <v>308</v>
      </c>
      <c r="G22" s="772">
        <v>16686329.729999999</v>
      </c>
      <c r="H22" s="773" t="s">
        <v>309</v>
      </c>
      <c r="I22" s="772">
        <v>19481450.321269371</v>
      </c>
      <c r="J22" s="509"/>
    </row>
    <row r="23" spans="2:10" x14ac:dyDescent="0.2">
      <c r="B23" s="771" t="s">
        <v>310</v>
      </c>
      <c r="C23" s="772">
        <v>14231044.66</v>
      </c>
      <c r="D23" s="771" t="s">
        <v>311</v>
      </c>
      <c r="E23" s="772">
        <v>15187168.289077807</v>
      </c>
      <c r="F23" s="775" t="s">
        <v>312</v>
      </c>
      <c r="G23" s="772">
        <v>16701386.796254</v>
      </c>
      <c r="H23" s="773" t="s">
        <v>313</v>
      </c>
      <c r="I23" s="772">
        <v>19661405.159099996</v>
      </c>
      <c r="J23" s="509"/>
    </row>
    <row r="24" spans="2:10" x14ac:dyDescent="0.2">
      <c r="B24" s="774" t="s">
        <v>314</v>
      </c>
      <c r="C24" s="772">
        <v>14261991.7149</v>
      </c>
      <c r="D24" s="775" t="s">
        <v>315</v>
      </c>
      <c r="E24" s="772">
        <v>15269362.011053002</v>
      </c>
      <c r="F24" s="771" t="s">
        <v>316</v>
      </c>
      <c r="G24" s="772">
        <v>16708052.818849999</v>
      </c>
      <c r="H24" s="773" t="s">
        <v>317</v>
      </c>
      <c r="I24" s="772">
        <v>19664058.609999999</v>
      </c>
      <c r="J24" s="509"/>
    </row>
    <row r="25" spans="2:10" x14ac:dyDescent="0.2">
      <c r="B25" s="771" t="s">
        <v>318</v>
      </c>
      <c r="C25" s="772">
        <v>14275293.41</v>
      </c>
      <c r="D25" s="775" t="s">
        <v>319</v>
      </c>
      <c r="E25" s="772">
        <v>15285765.959005743</v>
      </c>
      <c r="F25" s="771" t="s">
        <v>320</v>
      </c>
      <c r="G25" s="772">
        <v>16708349.158282166</v>
      </c>
      <c r="H25" s="773" t="s">
        <v>321</v>
      </c>
      <c r="I25" s="772">
        <v>19667098.419999998</v>
      </c>
      <c r="J25" s="509"/>
    </row>
    <row r="26" spans="2:10" x14ac:dyDescent="0.2">
      <c r="B26" s="771" t="s">
        <v>322</v>
      </c>
      <c r="C26" s="772">
        <v>14315020.859999999</v>
      </c>
      <c r="D26" s="774" t="s">
        <v>323</v>
      </c>
      <c r="E26" s="772">
        <v>15301048.23</v>
      </c>
      <c r="F26" s="771" t="s">
        <v>324</v>
      </c>
      <c r="G26" s="772">
        <v>16710915.369999999</v>
      </c>
      <c r="H26" s="773" t="s">
        <v>325</v>
      </c>
      <c r="I26" s="772">
        <v>19878921.599999998</v>
      </c>
      <c r="J26" s="509"/>
    </row>
    <row r="27" spans="2:10" x14ac:dyDescent="0.2">
      <c r="B27" s="774" t="s">
        <v>326</v>
      </c>
      <c r="C27" s="772">
        <v>14325029.304391</v>
      </c>
      <c r="D27" s="774" t="s">
        <v>327</v>
      </c>
      <c r="E27" s="772">
        <v>15381044.64521</v>
      </c>
      <c r="F27" s="774" t="s">
        <v>328</v>
      </c>
      <c r="G27" s="772">
        <v>16774606.08</v>
      </c>
      <c r="H27" s="773" t="s">
        <v>329</v>
      </c>
      <c r="I27" s="772">
        <v>20050342.48</v>
      </c>
      <c r="J27" s="509"/>
    </row>
    <row r="28" spans="2:10" x14ac:dyDescent="0.2">
      <c r="B28" s="771" t="s">
        <v>330</v>
      </c>
      <c r="C28" s="772">
        <v>14379977.777999999</v>
      </c>
      <c r="D28" s="774" t="s">
        <v>331</v>
      </c>
      <c r="E28" s="772">
        <v>15401820.369999999</v>
      </c>
      <c r="F28" s="771" t="s">
        <v>332</v>
      </c>
      <c r="G28" s="772">
        <v>16804953.34</v>
      </c>
      <c r="H28" s="773" t="s">
        <v>333</v>
      </c>
      <c r="I28" s="772">
        <v>20077998.356498003</v>
      </c>
      <c r="J28" s="509"/>
    </row>
    <row r="29" spans="2:10" x14ac:dyDescent="0.2">
      <c r="B29" s="774" t="s">
        <v>334</v>
      </c>
      <c r="C29" s="772">
        <v>14397153.609999999</v>
      </c>
      <c r="D29" s="771" t="s">
        <v>335</v>
      </c>
      <c r="E29" s="772">
        <v>15412186.68</v>
      </c>
      <c r="F29" s="774" t="s">
        <v>336</v>
      </c>
      <c r="G29" s="772">
        <v>17264814.59</v>
      </c>
      <c r="H29" s="773" t="s">
        <v>337</v>
      </c>
      <c r="I29" s="772">
        <v>20103852.542633999</v>
      </c>
      <c r="J29" s="509"/>
    </row>
    <row r="30" spans="2:10" x14ac:dyDescent="0.2">
      <c r="B30" s="774" t="s">
        <v>338</v>
      </c>
      <c r="C30" s="772">
        <v>14401253.280000001</v>
      </c>
      <c r="D30" s="771" t="s">
        <v>339</v>
      </c>
      <c r="E30" s="772">
        <v>15495250.050000001</v>
      </c>
      <c r="F30" s="775" t="s">
        <v>340</v>
      </c>
      <c r="G30" s="772">
        <v>17309380.59</v>
      </c>
      <c r="H30" s="773" t="s">
        <v>341</v>
      </c>
      <c r="I30" s="772">
        <v>20156456.619999997</v>
      </c>
      <c r="J30" s="509"/>
    </row>
    <row r="31" spans="2:10" x14ac:dyDescent="0.2">
      <c r="B31" s="774" t="s">
        <v>342</v>
      </c>
      <c r="C31" s="772">
        <v>14452668.02</v>
      </c>
      <c r="D31" s="774" t="s">
        <v>343</v>
      </c>
      <c r="E31" s="772">
        <v>15547543.850000001</v>
      </c>
      <c r="F31" s="774" t="s">
        <v>344</v>
      </c>
      <c r="G31" s="772">
        <v>17326611.672388487</v>
      </c>
      <c r="H31" s="773" t="s">
        <v>345</v>
      </c>
      <c r="I31" s="772">
        <v>20219113.609999999</v>
      </c>
      <c r="J31" s="509"/>
    </row>
    <row r="32" spans="2:10" x14ac:dyDescent="0.2">
      <c r="B32" s="775" t="s">
        <v>346</v>
      </c>
      <c r="C32" s="772">
        <v>14463639.93</v>
      </c>
      <c r="D32" s="771" t="s">
        <v>347</v>
      </c>
      <c r="E32" s="772">
        <v>15622868.66</v>
      </c>
      <c r="F32" s="775" t="s">
        <v>348</v>
      </c>
      <c r="G32" s="772">
        <v>17502908.710000001</v>
      </c>
      <c r="H32" s="773" t="s">
        <v>349</v>
      </c>
      <c r="I32" s="772">
        <v>20238954.513</v>
      </c>
      <c r="J32" s="509"/>
    </row>
    <row r="33" spans="2:10" x14ac:dyDescent="0.2">
      <c r="B33" s="775" t="s">
        <v>350</v>
      </c>
      <c r="C33" s="772">
        <v>14470448.540000001</v>
      </c>
      <c r="D33" s="774" t="s">
        <v>351</v>
      </c>
      <c r="E33" s="772">
        <v>15636274.029739005</v>
      </c>
      <c r="F33" s="771" t="s">
        <v>352</v>
      </c>
      <c r="G33" s="772">
        <v>17567835.690000001</v>
      </c>
      <c r="H33" s="773" t="s">
        <v>353</v>
      </c>
      <c r="I33" s="772">
        <v>20437551.590970002</v>
      </c>
      <c r="J33" s="509"/>
    </row>
    <row r="34" spans="2:10" x14ac:dyDescent="0.2">
      <c r="B34" s="775" t="s">
        <v>354</v>
      </c>
      <c r="C34" s="772">
        <v>14497262.369999999</v>
      </c>
      <c r="D34" s="774" t="s">
        <v>355</v>
      </c>
      <c r="E34" s="772">
        <v>15683038.34</v>
      </c>
      <c r="F34" s="774" t="s">
        <v>356</v>
      </c>
      <c r="G34" s="772">
        <v>17609345.43</v>
      </c>
      <c r="H34" s="773" t="s">
        <v>357</v>
      </c>
      <c r="I34" s="772">
        <v>20524877.23</v>
      </c>
      <c r="J34" s="509"/>
    </row>
    <row r="35" spans="2:10" x14ac:dyDescent="0.2">
      <c r="B35" s="771" t="s">
        <v>358</v>
      </c>
      <c r="C35" s="772">
        <v>14550142.923020002</v>
      </c>
      <c r="D35" s="774" t="s">
        <v>359</v>
      </c>
      <c r="E35" s="772">
        <v>15748089.349450001</v>
      </c>
      <c r="F35" s="775" t="s">
        <v>360</v>
      </c>
      <c r="G35" s="772">
        <v>17633486.812399998</v>
      </c>
      <c r="H35" s="773" t="s">
        <v>361</v>
      </c>
      <c r="I35" s="772">
        <v>20811741.748199999</v>
      </c>
      <c r="J35" s="509"/>
    </row>
    <row r="36" spans="2:10" x14ac:dyDescent="0.2">
      <c r="B36" s="775" t="s">
        <v>362</v>
      </c>
      <c r="C36" s="772">
        <v>14561831.641099997</v>
      </c>
      <c r="D36" s="774" t="s">
        <v>363</v>
      </c>
      <c r="E36" s="772">
        <v>15758011.33</v>
      </c>
      <c r="F36" s="775" t="s">
        <v>364</v>
      </c>
      <c r="G36" s="772">
        <v>17771679.620000001</v>
      </c>
      <c r="H36" s="773" t="s">
        <v>365</v>
      </c>
      <c r="I36" s="772">
        <v>21239545.866999999</v>
      </c>
      <c r="J36" s="509"/>
    </row>
    <row r="37" spans="2:10" x14ac:dyDescent="0.2">
      <c r="B37" s="774" t="s">
        <v>366</v>
      </c>
      <c r="C37" s="772">
        <v>14607590.370000001</v>
      </c>
      <c r="D37" s="775" t="s">
        <v>367</v>
      </c>
      <c r="E37" s="772">
        <v>15774969.868452001</v>
      </c>
      <c r="F37" s="773" t="s">
        <v>368</v>
      </c>
      <c r="G37" s="772">
        <v>17805492.899999999</v>
      </c>
      <c r="H37" s="773" t="s">
        <v>369</v>
      </c>
      <c r="I37" s="772">
        <v>21744464.640000001</v>
      </c>
      <c r="J37" s="509"/>
    </row>
    <row r="38" spans="2:10" x14ac:dyDescent="0.2">
      <c r="B38" s="775" t="s">
        <v>370</v>
      </c>
      <c r="C38" s="772">
        <v>14608518.360000001</v>
      </c>
      <c r="D38" s="774" t="s">
        <v>371</v>
      </c>
      <c r="E38" s="772">
        <v>15810906.49</v>
      </c>
      <c r="F38" s="775" t="s">
        <v>372</v>
      </c>
      <c r="G38" s="772">
        <v>17959423.102491997</v>
      </c>
      <c r="H38" s="773" t="s">
        <v>373</v>
      </c>
      <c r="I38" s="772">
        <v>21764978.050000001</v>
      </c>
      <c r="J38" s="509"/>
    </row>
    <row r="39" spans="2:10" x14ac:dyDescent="0.2">
      <c r="B39" s="775" t="s">
        <v>374</v>
      </c>
      <c r="C39" s="772">
        <v>14621069.789999999</v>
      </c>
      <c r="D39" s="771" t="s">
        <v>375</v>
      </c>
      <c r="E39" s="772">
        <v>15831167.129999999</v>
      </c>
      <c r="F39" s="773" t="s">
        <v>376</v>
      </c>
      <c r="G39" s="772">
        <v>18046844.399999999</v>
      </c>
      <c r="H39" s="773" t="s">
        <v>377</v>
      </c>
      <c r="I39" s="772">
        <v>21851520.649999999</v>
      </c>
      <c r="J39" s="509"/>
    </row>
    <row r="40" spans="2:10" x14ac:dyDescent="0.2">
      <c r="B40" s="771" t="s">
        <v>378</v>
      </c>
      <c r="C40" s="772">
        <v>14622897.859999999</v>
      </c>
      <c r="D40" s="774" t="s">
        <v>379</v>
      </c>
      <c r="E40" s="772">
        <v>15840370.5626</v>
      </c>
      <c r="F40" s="775" t="s">
        <v>380</v>
      </c>
      <c r="G40" s="772">
        <v>18117945.16894</v>
      </c>
      <c r="H40" s="773" t="s">
        <v>381</v>
      </c>
      <c r="I40" s="772">
        <v>21962594.901799999</v>
      </c>
      <c r="J40" s="509"/>
    </row>
    <row r="41" spans="2:10" x14ac:dyDescent="0.2">
      <c r="B41" s="775" t="s">
        <v>382</v>
      </c>
      <c r="C41" s="772">
        <v>14660940.24</v>
      </c>
      <c r="D41" s="775" t="s">
        <v>383</v>
      </c>
      <c r="E41" s="772">
        <v>15890996.970000001</v>
      </c>
      <c r="F41" s="775" t="s">
        <v>384</v>
      </c>
      <c r="G41" s="772">
        <v>18155599.109999999</v>
      </c>
      <c r="H41" s="773" t="s">
        <v>385</v>
      </c>
      <c r="I41" s="772">
        <v>22597983.941599999</v>
      </c>
      <c r="J41" s="509"/>
    </row>
    <row r="42" spans="2:10" x14ac:dyDescent="0.2">
      <c r="B42" s="774" t="s">
        <v>386</v>
      </c>
      <c r="C42" s="772">
        <v>14663820.33</v>
      </c>
      <c r="D42" s="775" t="s">
        <v>387</v>
      </c>
      <c r="E42" s="772">
        <v>15902024.119999999</v>
      </c>
      <c r="F42" s="773" t="s">
        <v>388</v>
      </c>
      <c r="G42" s="772">
        <v>18157595.420000002</v>
      </c>
      <c r="H42" s="773" t="s">
        <v>389</v>
      </c>
      <c r="I42" s="772">
        <v>22616689.791279998</v>
      </c>
      <c r="J42" s="509"/>
    </row>
    <row r="43" spans="2:10" x14ac:dyDescent="0.2">
      <c r="B43" s="775" t="s">
        <v>390</v>
      </c>
      <c r="C43" s="772">
        <v>14737358.42</v>
      </c>
      <c r="D43" s="774" t="s">
        <v>391</v>
      </c>
      <c r="E43" s="772">
        <v>16044093.470000001</v>
      </c>
      <c r="F43" s="773" t="s">
        <v>392</v>
      </c>
      <c r="G43" s="772">
        <v>18188849.137899999</v>
      </c>
      <c r="H43" s="773" t="s">
        <v>393</v>
      </c>
      <c r="I43" s="772">
        <v>23335022.759390123</v>
      </c>
      <c r="J43" s="509"/>
    </row>
    <row r="44" spans="2:10" x14ac:dyDescent="0.2">
      <c r="B44" s="709"/>
      <c r="C44" s="776"/>
      <c r="D44" s="709"/>
      <c r="E44" s="709"/>
      <c r="F44" s="709"/>
      <c r="G44" s="709"/>
      <c r="H44" s="709"/>
      <c r="I44" s="709"/>
      <c r="J44" s="509"/>
    </row>
    <row r="45" spans="2:10" x14ac:dyDescent="0.2">
      <c r="B45" s="773" t="s">
        <v>394</v>
      </c>
      <c r="C45" s="776"/>
      <c r="D45" s="709"/>
      <c r="E45" s="709"/>
      <c r="F45" s="709"/>
      <c r="G45" s="709"/>
      <c r="H45" s="709"/>
      <c r="I45" s="709"/>
      <c r="J45" s="509"/>
    </row>
    <row r="46" spans="2:10" x14ac:dyDescent="0.2">
      <c r="B46" s="774" t="s">
        <v>395</v>
      </c>
      <c r="C46" s="776"/>
      <c r="D46" s="709"/>
      <c r="E46" s="709"/>
      <c r="F46" s="709"/>
      <c r="G46" s="709"/>
      <c r="H46" s="709"/>
      <c r="I46" s="709"/>
      <c r="J46" s="509"/>
    </row>
    <row r="47" spans="2:10" x14ac:dyDescent="0.2">
      <c r="B47" s="775" t="s">
        <v>396</v>
      </c>
      <c r="C47" s="776"/>
      <c r="D47" s="709"/>
      <c r="E47" s="709"/>
      <c r="F47" s="709"/>
      <c r="G47" s="709"/>
      <c r="H47" s="709"/>
      <c r="I47" s="709"/>
      <c r="J47" s="509"/>
    </row>
    <row r="48" spans="2:10" x14ac:dyDescent="0.2">
      <c r="B48" s="771" t="s">
        <v>397</v>
      </c>
      <c r="C48" s="776"/>
      <c r="D48" s="709"/>
      <c r="E48" s="709"/>
      <c r="F48" s="709"/>
      <c r="G48" s="709"/>
      <c r="H48" s="709"/>
      <c r="I48" s="709"/>
      <c r="J48" s="509"/>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workbookViewId="0">
      <selection activeCell="A11" sqref="A11"/>
    </sheetView>
  </sheetViews>
  <sheetFormatPr defaultColWidth="10.5" defaultRowHeight="12.75" x14ac:dyDescent="0.2"/>
  <cols>
    <col min="1" max="1" width="13.6640625" style="1" customWidth="1"/>
    <col min="2" max="2" width="14" style="1" customWidth="1"/>
    <col min="3" max="3" width="13.33203125" style="1" customWidth="1"/>
    <col min="4" max="4" width="13.33203125" style="528" customWidth="1"/>
    <col min="5" max="9" width="13.33203125" style="1" customWidth="1"/>
    <col min="10" max="10" width="11.33203125" style="1" bestFit="1" customWidth="1"/>
    <col min="11" max="11" width="6.6640625" style="1" customWidth="1"/>
    <col min="12" max="12" width="11.33203125" style="1" bestFit="1" customWidth="1"/>
    <col min="13" max="20" width="17.33203125" style="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20" s="528" customFormat="1" x14ac:dyDescent="0.2">
      <c r="A1" s="744" t="s">
        <v>264</v>
      </c>
    </row>
    <row r="2" spans="1:20" s="528" customFormat="1" x14ac:dyDescent="0.2"/>
    <row r="3" spans="1:20" s="528" customFormat="1" x14ac:dyDescent="0.2"/>
    <row r="4" spans="1:20" s="528" customFormat="1" x14ac:dyDescent="0.2"/>
    <row r="5" spans="1:20" s="528" customFormat="1" x14ac:dyDescent="0.2"/>
    <row r="6" spans="1:20" s="528" customFormat="1" x14ac:dyDescent="0.2"/>
    <row r="7" spans="1:20" s="528" customFormat="1" x14ac:dyDescent="0.2"/>
    <row r="8" spans="1:20" s="528" customFormat="1" x14ac:dyDescent="0.2"/>
    <row r="9" spans="1:20" s="528" customFormat="1" x14ac:dyDescent="0.2"/>
    <row r="11" spans="1:20" ht="23.25" x14ac:dyDescent="0.2">
      <c r="B11" s="133" t="s">
        <v>100</v>
      </c>
    </row>
    <row r="12" spans="1:20" x14ac:dyDescent="0.2">
      <c r="B12" s="64"/>
      <c r="C12" s="145" t="s">
        <v>30</v>
      </c>
      <c r="D12" s="145"/>
      <c r="E12" s="145"/>
      <c r="F12" s="145"/>
      <c r="G12" s="145"/>
    </row>
    <row r="13" spans="1:20" x14ac:dyDescent="0.2">
      <c r="B13" s="1189" t="str">
        <f>+'11. Final Load Forecast'!B14</f>
        <v>Residential</v>
      </c>
      <c r="C13" s="1190"/>
      <c r="D13" s="1190"/>
      <c r="E13" s="1190"/>
      <c r="F13" s="1190"/>
      <c r="G13" s="1190"/>
      <c r="H13" s="1190"/>
      <c r="I13" s="1190"/>
      <c r="M13" s="1189" t="str">
        <f>+'11. Final Load Forecast'!B14</f>
        <v>Residential</v>
      </c>
      <c r="N13" s="1190"/>
      <c r="O13" s="1190"/>
      <c r="P13" s="1190"/>
      <c r="Q13" s="1190"/>
      <c r="R13" s="1190"/>
      <c r="S13" s="1190"/>
      <c r="T13" s="1190"/>
    </row>
    <row r="14" spans="1:20" x14ac:dyDescent="0.2">
      <c r="B14" s="789" t="s">
        <v>33</v>
      </c>
      <c r="C14" s="789" t="s">
        <v>47</v>
      </c>
      <c r="D14" s="789" t="s">
        <v>271</v>
      </c>
      <c r="E14" s="789" t="s">
        <v>60</v>
      </c>
      <c r="F14" s="93" t="s">
        <v>35</v>
      </c>
      <c r="G14" s="789" t="s">
        <v>60</v>
      </c>
      <c r="H14" s="93" t="s">
        <v>36</v>
      </c>
      <c r="I14" s="789" t="s">
        <v>60</v>
      </c>
      <c r="M14" s="789" t="s">
        <v>33</v>
      </c>
      <c r="N14" s="789" t="s">
        <v>47</v>
      </c>
      <c r="O14" s="789" t="s">
        <v>271</v>
      </c>
      <c r="P14" s="789" t="s">
        <v>60</v>
      </c>
      <c r="Q14" s="93" t="s">
        <v>35</v>
      </c>
      <c r="R14" s="789" t="s">
        <v>60</v>
      </c>
      <c r="S14" s="93" t="s">
        <v>36</v>
      </c>
      <c r="T14" s="789" t="s">
        <v>60</v>
      </c>
    </row>
    <row r="15" spans="1:20" x14ac:dyDescent="0.2">
      <c r="B15" s="789">
        <v>2006</v>
      </c>
      <c r="C15" s="95">
        <f>'11. Final Load Forecast'!$D$14</f>
        <v>3537</v>
      </c>
      <c r="D15" s="95"/>
      <c r="E15" s="95"/>
      <c r="F15" s="95">
        <f>+'11. Final Load Forecast'!$D$15</f>
        <v>30640106</v>
      </c>
      <c r="G15" s="95"/>
      <c r="H15" s="95">
        <f>+'11. Final Load Forecast'!$D$16</f>
        <v>0</v>
      </c>
      <c r="I15" s="95"/>
      <c r="M15" s="789">
        <v>2006</v>
      </c>
      <c r="N15" s="95">
        <f>'11. Final Load Forecast'!$D$14</f>
        <v>3537</v>
      </c>
      <c r="O15" s="95"/>
      <c r="P15" s="95"/>
      <c r="Q15" s="95">
        <f>+'11. Final Load Forecast'!$D$15</f>
        <v>30640106</v>
      </c>
      <c r="R15" s="95"/>
      <c r="S15" s="95">
        <f>+'11. Final Load Forecast'!$D$16</f>
        <v>0</v>
      </c>
      <c r="T15" s="95"/>
    </row>
    <row r="16" spans="1:20" x14ac:dyDescent="0.2">
      <c r="B16" s="789">
        <v>2007</v>
      </c>
      <c r="C16" s="95">
        <f>'11. Final Load Forecast'!$E$14</f>
        <v>3551</v>
      </c>
      <c r="D16" s="95">
        <f t="shared" ref="D16:D25" si="0">C16-C15</f>
        <v>14</v>
      </c>
      <c r="E16" s="834">
        <f t="shared" ref="E16:E26" si="1">(C16-C15)/C15</f>
        <v>3.9581566299123549E-3</v>
      </c>
      <c r="F16" s="95">
        <f>+'11. Final Load Forecast'!$E$15</f>
        <v>31007901</v>
      </c>
      <c r="G16" s="834">
        <f t="shared" ref="G16:G26" si="2">(F16-F15)/F15</f>
        <v>1.2003711736506394E-2</v>
      </c>
      <c r="H16" s="95">
        <f>+'11. Final Load Forecast'!$E$16</f>
        <v>0</v>
      </c>
      <c r="I16" s="187" t="e">
        <f t="shared" ref="I16:I26" si="3">(H16-H15)/H15</f>
        <v>#DIV/0!</v>
      </c>
      <c r="M16" s="789">
        <v>2007</v>
      </c>
      <c r="N16" s="95">
        <f>'11. Final Load Forecast'!$E$14</f>
        <v>3551</v>
      </c>
      <c r="O16" s="95">
        <f t="shared" ref="O16:O26" si="4">C16-C15</f>
        <v>14</v>
      </c>
      <c r="P16" s="187">
        <f t="shared" ref="P16:P26" si="5">(C16-C15)/C15</f>
        <v>3.9581566299123549E-3</v>
      </c>
      <c r="Q16" s="95">
        <f>+'11. Final Load Forecast'!$E$15</f>
        <v>31007901</v>
      </c>
      <c r="R16" s="187">
        <f t="shared" ref="R16:R26" si="6">(F16-F15)/F15</f>
        <v>1.2003711736506394E-2</v>
      </c>
      <c r="S16" s="95">
        <f>+'11. Final Load Forecast'!$E$16</f>
        <v>0</v>
      </c>
      <c r="T16" s="187" t="e">
        <f t="shared" ref="T16:T26" si="7">(H16-H15)/H15</f>
        <v>#DIV/0!</v>
      </c>
    </row>
    <row r="17" spans="2:31" x14ac:dyDescent="0.2">
      <c r="B17" s="789">
        <v>2008</v>
      </c>
      <c r="C17" s="95">
        <f>'11. Final Load Forecast'!$F$14</f>
        <v>3581</v>
      </c>
      <c r="D17" s="95">
        <f t="shared" si="0"/>
        <v>30</v>
      </c>
      <c r="E17" s="834">
        <f t="shared" si="1"/>
        <v>8.4483244156575606E-3</v>
      </c>
      <c r="F17" s="95">
        <f>+'11. Final Load Forecast'!$F$15</f>
        <v>31465398</v>
      </c>
      <c r="G17" s="834">
        <f t="shared" si="2"/>
        <v>1.4754207322836848E-2</v>
      </c>
      <c r="H17" s="95">
        <f>+'11. Final Load Forecast'!$F$16</f>
        <v>0</v>
      </c>
      <c r="I17" s="187" t="e">
        <f t="shared" si="3"/>
        <v>#DIV/0!</v>
      </c>
      <c r="M17" s="789">
        <v>2008</v>
      </c>
      <c r="N17" s="95">
        <f>'11. Final Load Forecast'!$F$14</f>
        <v>3581</v>
      </c>
      <c r="O17" s="95">
        <f t="shared" si="4"/>
        <v>30</v>
      </c>
      <c r="P17" s="187">
        <f t="shared" si="5"/>
        <v>8.4483244156575606E-3</v>
      </c>
      <c r="Q17" s="95">
        <f>+'11. Final Load Forecast'!$F$15</f>
        <v>31465398</v>
      </c>
      <c r="R17" s="187">
        <f t="shared" si="6"/>
        <v>1.4754207322836848E-2</v>
      </c>
      <c r="S17" s="95">
        <f>+'11. Final Load Forecast'!$F$16</f>
        <v>0</v>
      </c>
      <c r="T17" s="187" t="e">
        <f t="shared" si="7"/>
        <v>#DIV/0!</v>
      </c>
    </row>
    <row r="18" spans="2:31" x14ac:dyDescent="0.2">
      <c r="B18" s="789">
        <v>2009</v>
      </c>
      <c r="C18" s="95">
        <f>'11. Final Load Forecast'!$G$14</f>
        <v>3608</v>
      </c>
      <c r="D18" s="95">
        <f t="shared" si="0"/>
        <v>27</v>
      </c>
      <c r="E18" s="834">
        <f t="shared" si="1"/>
        <v>7.5397933538117841E-3</v>
      </c>
      <c r="F18" s="95">
        <f>+'11. Final Load Forecast'!$G$15</f>
        <v>30635928</v>
      </c>
      <c r="G18" s="834">
        <f t="shared" si="2"/>
        <v>-2.6361338254802944E-2</v>
      </c>
      <c r="H18" s="95">
        <f>+'11. Final Load Forecast'!$G$16</f>
        <v>0</v>
      </c>
      <c r="I18" s="187" t="e">
        <f t="shared" si="3"/>
        <v>#DIV/0!</v>
      </c>
      <c r="M18" s="789">
        <v>2009</v>
      </c>
      <c r="N18" s="95">
        <f>'11. Final Load Forecast'!$G$14</f>
        <v>3608</v>
      </c>
      <c r="O18" s="95">
        <f t="shared" si="4"/>
        <v>27</v>
      </c>
      <c r="P18" s="187">
        <f t="shared" si="5"/>
        <v>7.5397933538117841E-3</v>
      </c>
      <c r="Q18" s="95">
        <f>+'11. Final Load Forecast'!$G$15</f>
        <v>30635928</v>
      </c>
      <c r="R18" s="187">
        <f t="shared" si="6"/>
        <v>-2.6361338254802944E-2</v>
      </c>
      <c r="S18" s="95">
        <f>+'11. Final Load Forecast'!$G$16</f>
        <v>0</v>
      </c>
      <c r="T18" s="187" t="e">
        <f t="shared" si="7"/>
        <v>#DIV/0!</v>
      </c>
    </row>
    <row r="19" spans="2:31" x14ac:dyDescent="0.2">
      <c r="B19" s="789">
        <v>2010</v>
      </c>
      <c r="C19" s="95">
        <f>'11. Final Load Forecast'!$H$14</f>
        <v>3654</v>
      </c>
      <c r="D19" s="95">
        <f t="shared" si="0"/>
        <v>46</v>
      </c>
      <c r="E19" s="834">
        <f t="shared" si="1"/>
        <v>1.2749445676274944E-2</v>
      </c>
      <c r="F19" s="95">
        <f>+'11. Final Load Forecast'!$H$15</f>
        <v>30305144</v>
      </c>
      <c r="G19" s="834">
        <f t="shared" si="2"/>
        <v>-1.0797257390081345E-2</v>
      </c>
      <c r="H19" s="95">
        <f>+'11. Final Load Forecast'!$H$16</f>
        <v>0</v>
      </c>
      <c r="I19" s="187" t="e">
        <f t="shared" si="3"/>
        <v>#DIV/0!</v>
      </c>
      <c r="M19" s="789">
        <v>2010</v>
      </c>
      <c r="N19" s="95">
        <f>'11. Final Load Forecast'!$H$14</f>
        <v>3654</v>
      </c>
      <c r="O19" s="95">
        <f t="shared" si="4"/>
        <v>46</v>
      </c>
      <c r="P19" s="187">
        <f t="shared" si="5"/>
        <v>1.2749445676274944E-2</v>
      </c>
      <c r="Q19" s="95">
        <f>+'11. Final Load Forecast'!$H$15</f>
        <v>30305144</v>
      </c>
      <c r="R19" s="187">
        <f t="shared" si="6"/>
        <v>-1.0797257390081345E-2</v>
      </c>
      <c r="S19" s="95">
        <f>+'11. Final Load Forecast'!$H$16</f>
        <v>0</v>
      </c>
      <c r="T19" s="187" t="e">
        <f t="shared" si="7"/>
        <v>#DIV/0!</v>
      </c>
    </row>
    <row r="20" spans="2:31" x14ac:dyDescent="0.2">
      <c r="B20" s="789">
        <v>2011</v>
      </c>
      <c r="C20" s="95">
        <f>'11. Final Load Forecast'!$I$14</f>
        <v>3687</v>
      </c>
      <c r="D20" s="95">
        <f t="shared" si="0"/>
        <v>33</v>
      </c>
      <c r="E20" s="834">
        <f t="shared" si="1"/>
        <v>9.0311986863710995E-3</v>
      </c>
      <c r="F20" s="95">
        <f>+'11. Final Load Forecast'!$I$15</f>
        <v>30085520</v>
      </c>
      <c r="G20" s="834">
        <f t="shared" si="2"/>
        <v>-7.2470865012223664E-3</v>
      </c>
      <c r="H20" s="95">
        <f>+'11. Final Load Forecast'!$I$16</f>
        <v>0</v>
      </c>
      <c r="I20" s="187" t="e">
        <f t="shared" si="3"/>
        <v>#DIV/0!</v>
      </c>
      <c r="M20" s="789">
        <v>2011</v>
      </c>
      <c r="N20" s="95">
        <f>'11. Final Load Forecast'!$I$14</f>
        <v>3687</v>
      </c>
      <c r="O20" s="95">
        <f t="shared" si="4"/>
        <v>33</v>
      </c>
      <c r="P20" s="187">
        <f t="shared" si="5"/>
        <v>9.0311986863710995E-3</v>
      </c>
      <c r="Q20" s="95">
        <f>+'11. Final Load Forecast'!$I$15</f>
        <v>30085520</v>
      </c>
      <c r="R20" s="187">
        <f t="shared" si="6"/>
        <v>-7.2470865012223664E-3</v>
      </c>
      <c r="S20" s="95">
        <f>+'11. Final Load Forecast'!$I$16</f>
        <v>0</v>
      </c>
      <c r="T20" s="187" t="e">
        <f t="shared" si="7"/>
        <v>#DIV/0!</v>
      </c>
    </row>
    <row r="21" spans="2:31" x14ac:dyDescent="0.2">
      <c r="B21" s="789">
        <v>2012</v>
      </c>
      <c r="C21" s="95">
        <f>'11. Final Load Forecast'!$J$14</f>
        <v>3707</v>
      </c>
      <c r="D21" s="95">
        <f t="shared" si="0"/>
        <v>20</v>
      </c>
      <c r="E21" s="834">
        <f t="shared" si="1"/>
        <v>5.424464334147003E-3</v>
      </c>
      <c r="F21" s="95">
        <f>+'11. Final Load Forecast'!$J$15</f>
        <v>29994156</v>
      </c>
      <c r="G21" s="834">
        <f t="shared" si="2"/>
        <v>-3.0368097343838499E-3</v>
      </c>
      <c r="H21" s="95">
        <f>+'11. Final Load Forecast'!$J$16</f>
        <v>0</v>
      </c>
      <c r="I21" s="187" t="e">
        <f t="shared" si="3"/>
        <v>#DIV/0!</v>
      </c>
      <c r="M21" s="789">
        <v>2012</v>
      </c>
      <c r="N21" s="95">
        <f>'11. Final Load Forecast'!$J$14</f>
        <v>3707</v>
      </c>
      <c r="O21" s="95">
        <f t="shared" si="4"/>
        <v>20</v>
      </c>
      <c r="P21" s="187">
        <f t="shared" si="5"/>
        <v>5.424464334147003E-3</v>
      </c>
      <c r="Q21" s="95">
        <f>+'11. Final Load Forecast'!$J$15</f>
        <v>29994156</v>
      </c>
      <c r="R21" s="187">
        <f t="shared" si="6"/>
        <v>-3.0368097343838499E-3</v>
      </c>
      <c r="S21" s="95">
        <f>+'11. Final Load Forecast'!$J$16</f>
        <v>0</v>
      </c>
      <c r="T21" s="187" t="e">
        <f t="shared" si="7"/>
        <v>#DIV/0!</v>
      </c>
    </row>
    <row r="22" spans="2:31" x14ac:dyDescent="0.2">
      <c r="B22" s="789">
        <v>2013</v>
      </c>
      <c r="C22" s="95">
        <f>'11. Final Load Forecast'!$K$14</f>
        <v>3730</v>
      </c>
      <c r="D22" s="95">
        <f t="shared" si="0"/>
        <v>23</v>
      </c>
      <c r="E22" s="834">
        <f t="shared" si="1"/>
        <v>6.2044780145670353E-3</v>
      </c>
      <c r="F22" s="95">
        <f>+'11. Final Load Forecast'!$K$15</f>
        <v>30486731</v>
      </c>
      <c r="G22" s="834">
        <f t="shared" si="2"/>
        <v>1.6422365743513502E-2</v>
      </c>
      <c r="H22" s="95">
        <f>+'11. Final Load Forecast'!$K$16</f>
        <v>0</v>
      </c>
      <c r="I22" s="187" t="e">
        <f t="shared" si="3"/>
        <v>#DIV/0!</v>
      </c>
      <c r="M22" s="789">
        <v>2013</v>
      </c>
      <c r="N22" s="95">
        <f>'11. Final Load Forecast'!$K$14</f>
        <v>3730</v>
      </c>
      <c r="O22" s="95">
        <f t="shared" si="4"/>
        <v>23</v>
      </c>
      <c r="P22" s="187">
        <f t="shared" si="5"/>
        <v>6.2044780145670353E-3</v>
      </c>
      <c r="Q22" s="95">
        <f>+'11. Final Load Forecast'!$K$15</f>
        <v>30486731</v>
      </c>
      <c r="R22" s="187">
        <f t="shared" si="6"/>
        <v>1.6422365743513502E-2</v>
      </c>
      <c r="S22" s="95">
        <f>+'11. Final Load Forecast'!$K$16</f>
        <v>0</v>
      </c>
      <c r="T22" s="187" t="e">
        <f t="shared" si="7"/>
        <v>#DIV/0!</v>
      </c>
    </row>
    <row r="23" spans="2:31" x14ac:dyDescent="0.2">
      <c r="B23" s="789">
        <v>2014</v>
      </c>
      <c r="C23" s="95">
        <f>'11. Final Load Forecast'!$L$14</f>
        <v>3760</v>
      </c>
      <c r="D23" s="95">
        <f t="shared" si="0"/>
        <v>30</v>
      </c>
      <c r="E23" s="834">
        <f t="shared" si="1"/>
        <v>8.0428954423592495E-3</v>
      </c>
      <c r="F23" s="95">
        <f>+'11. Final Load Forecast'!$L$15</f>
        <v>30037011</v>
      </c>
      <c r="G23" s="834">
        <f t="shared" si="2"/>
        <v>-1.4751335589243728E-2</v>
      </c>
      <c r="H23" s="95">
        <f>+'11. Final Load Forecast'!$L$16</f>
        <v>0</v>
      </c>
      <c r="I23" s="187" t="e">
        <f t="shared" si="3"/>
        <v>#DIV/0!</v>
      </c>
      <c r="M23" s="789">
        <v>2014</v>
      </c>
      <c r="N23" s="95">
        <f>'11. Final Load Forecast'!$L$14</f>
        <v>3760</v>
      </c>
      <c r="O23" s="95">
        <f t="shared" si="4"/>
        <v>30</v>
      </c>
      <c r="P23" s="187">
        <f t="shared" si="5"/>
        <v>8.0428954423592495E-3</v>
      </c>
      <c r="Q23" s="95">
        <f>+'11. Final Load Forecast'!$L$15</f>
        <v>30037011</v>
      </c>
      <c r="R23" s="187">
        <f t="shared" si="6"/>
        <v>-1.4751335589243728E-2</v>
      </c>
      <c r="S23" s="95">
        <f>+'11. Final Load Forecast'!$L$16</f>
        <v>0</v>
      </c>
      <c r="T23" s="187" t="e">
        <f t="shared" si="7"/>
        <v>#DIV/0!</v>
      </c>
    </row>
    <row r="24" spans="2:31" x14ac:dyDescent="0.2">
      <c r="B24" s="789">
        <v>2015</v>
      </c>
      <c r="C24" s="95">
        <f>'11. Final Load Forecast'!$M$14</f>
        <v>3779</v>
      </c>
      <c r="D24" s="95">
        <f t="shared" si="0"/>
        <v>19</v>
      </c>
      <c r="E24" s="834">
        <f t="shared" si="1"/>
        <v>5.0531914893617025E-3</v>
      </c>
      <c r="F24" s="95">
        <f>+'11. Final Load Forecast'!$M$15</f>
        <v>29589162</v>
      </c>
      <c r="G24" s="834">
        <f t="shared" si="2"/>
        <v>-1.4909905649400335E-2</v>
      </c>
      <c r="H24" s="95">
        <f>+'11. Final Load Forecast'!$M$16</f>
        <v>0</v>
      </c>
      <c r="I24" s="187" t="e">
        <f t="shared" si="3"/>
        <v>#DIV/0!</v>
      </c>
      <c r="M24" s="789">
        <v>2015</v>
      </c>
      <c r="N24" s="95">
        <f>'11. Final Load Forecast'!$M$14</f>
        <v>3779</v>
      </c>
      <c r="O24" s="95">
        <f t="shared" si="4"/>
        <v>19</v>
      </c>
      <c r="P24" s="187">
        <f t="shared" si="5"/>
        <v>5.0531914893617025E-3</v>
      </c>
      <c r="Q24" s="95">
        <f>+'11. Final Load Forecast'!$M$15</f>
        <v>29589162</v>
      </c>
      <c r="R24" s="187">
        <f t="shared" si="6"/>
        <v>-1.4909905649400335E-2</v>
      </c>
      <c r="S24" s="95">
        <f>+'11. Final Load Forecast'!$M$16</f>
        <v>0</v>
      </c>
      <c r="T24" s="187" t="e">
        <f t="shared" si="7"/>
        <v>#DIV/0!</v>
      </c>
    </row>
    <row r="25" spans="2:31" x14ac:dyDescent="0.2">
      <c r="B25" s="789">
        <v>2016</v>
      </c>
      <c r="C25" s="95">
        <f>'11. Final Load Forecast'!$N$14</f>
        <v>3806.8908831500453</v>
      </c>
      <c r="D25" s="95">
        <f t="shared" si="0"/>
        <v>27.890883150045283</v>
      </c>
      <c r="E25" s="835">
        <f t="shared" si="1"/>
        <v>7.3804930272678704E-3</v>
      </c>
      <c r="F25" s="95">
        <f>+'11. Final Load Forecast'!$N$15</f>
        <v>30348059.666272782</v>
      </c>
      <c r="G25" s="835">
        <f t="shared" si="2"/>
        <v>2.5647825588057605E-2</v>
      </c>
      <c r="H25" s="95">
        <f>+'11. Final Load Forecast'!$N$16</f>
        <v>0</v>
      </c>
      <c r="I25" s="188" t="e">
        <f t="shared" si="3"/>
        <v>#DIV/0!</v>
      </c>
      <c r="M25" s="789">
        <v>2016</v>
      </c>
      <c r="N25" s="95">
        <f>'11. Final Load Forecast'!$N$14</f>
        <v>3806.8908831500453</v>
      </c>
      <c r="O25" s="95">
        <f t="shared" si="4"/>
        <v>27.890883150045283</v>
      </c>
      <c r="P25" s="188">
        <f t="shared" si="5"/>
        <v>7.3804930272678704E-3</v>
      </c>
      <c r="Q25" s="95">
        <f>+'11. Final Load Forecast'!$N$15</f>
        <v>30348059.666272782</v>
      </c>
      <c r="R25" s="188">
        <f t="shared" si="6"/>
        <v>2.5647825588057605E-2</v>
      </c>
      <c r="S25" s="95">
        <f>+'11. Final Load Forecast'!$N$16</f>
        <v>0</v>
      </c>
      <c r="T25" s="188" t="e">
        <f t="shared" si="7"/>
        <v>#DIV/0!</v>
      </c>
      <c r="AD25" s="1" t="s">
        <v>30</v>
      </c>
      <c r="AE25" s="1" t="s">
        <v>30</v>
      </c>
    </row>
    <row r="26" spans="2:31" x14ac:dyDescent="0.2">
      <c r="B26" s="789">
        <v>2017</v>
      </c>
      <c r="C26" s="95">
        <f>'11. Final Load Forecast'!$O$14</f>
        <v>3834.9876147687037</v>
      </c>
      <c r="D26" s="95">
        <f>C26-C25</f>
        <v>28.096731618658396</v>
      </c>
      <c r="E26" s="835">
        <f t="shared" si="1"/>
        <v>7.3804930272678339E-3</v>
      </c>
      <c r="F26" s="95">
        <f>+'11. Final Load Forecast'!$O$15</f>
        <v>29993952.47426898</v>
      </c>
      <c r="G26" s="835">
        <f t="shared" si="2"/>
        <v>-1.1668198754641878E-2</v>
      </c>
      <c r="H26" s="95">
        <f>+'11. Final Load Forecast'!$O$16</f>
        <v>0</v>
      </c>
      <c r="I26" s="188" t="e">
        <f t="shared" si="3"/>
        <v>#DIV/0!</v>
      </c>
      <c r="M26" s="789">
        <v>2017</v>
      </c>
      <c r="N26" s="95">
        <f>'11. Final Load Forecast'!$O$14</f>
        <v>3834.9876147687037</v>
      </c>
      <c r="O26" s="95">
        <f t="shared" si="4"/>
        <v>28.096731618658396</v>
      </c>
      <c r="P26" s="188">
        <f t="shared" si="5"/>
        <v>7.3804930272678339E-3</v>
      </c>
      <c r="Q26" s="95">
        <f>+'11. Final Load Forecast'!$O$15</f>
        <v>29993952.47426898</v>
      </c>
      <c r="R26" s="188">
        <f t="shared" si="6"/>
        <v>-1.1668198754641878E-2</v>
      </c>
      <c r="S26" s="95">
        <f>+'11. Final Load Forecast'!$O$16</f>
        <v>0</v>
      </c>
      <c r="T26" s="188" t="e">
        <f t="shared" si="7"/>
        <v>#DIV/0!</v>
      </c>
    </row>
    <row r="28" spans="2:31" x14ac:dyDescent="0.2">
      <c r="C28" s="145"/>
      <c r="D28" s="145"/>
      <c r="E28" s="145"/>
      <c r="F28" s="145"/>
      <c r="G28" s="145"/>
    </row>
    <row r="29" spans="2:31" x14ac:dyDescent="0.2">
      <c r="B29" s="1189" t="str">
        <f>+'11. Final Load Forecast'!B18</f>
        <v>General Service &lt; 50 kW</v>
      </c>
      <c r="C29" s="1190"/>
      <c r="D29" s="1190"/>
      <c r="E29" s="1190"/>
      <c r="F29" s="1190"/>
      <c r="G29" s="1190"/>
      <c r="H29" s="1190"/>
      <c r="I29" s="1190"/>
    </row>
    <row r="30" spans="2:31" x14ac:dyDescent="0.2">
      <c r="B30" s="789" t="s">
        <v>33</v>
      </c>
      <c r="C30" s="789" t="s">
        <v>47</v>
      </c>
      <c r="D30" s="789" t="s">
        <v>271</v>
      </c>
      <c r="E30" s="789" t="s">
        <v>60</v>
      </c>
      <c r="F30" s="93" t="s">
        <v>35</v>
      </c>
      <c r="G30" s="789" t="s">
        <v>60</v>
      </c>
      <c r="H30" s="93" t="s">
        <v>36</v>
      </c>
      <c r="I30" s="789" t="s">
        <v>60</v>
      </c>
    </row>
    <row r="31" spans="2:31" x14ac:dyDescent="0.2">
      <c r="B31" s="789">
        <v>2006</v>
      </c>
      <c r="C31" s="95">
        <f>'11. Final Load Forecast'!$D$18</f>
        <v>512</v>
      </c>
      <c r="D31" s="95"/>
      <c r="E31" s="95"/>
      <c r="F31" s="95">
        <f>+'11. Final Load Forecast'!$D$19</f>
        <v>13424049</v>
      </c>
      <c r="G31" s="95"/>
      <c r="H31" s="95">
        <f>+'11. Final Load Forecast'!$D$20</f>
        <v>0</v>
      </c>
      <c r="I31" s="95"/>
    </row>
    <row r="32" spans="2:31" x14ac:dyDescent="0.2">
      <c r="B32" s="789">
        <v>2007</v>
      </c>
      <c r="C32" s="95">
        <f>'11. Final Load Forecast'!$E$18</f>
        <v>497</v>
      </c>
      <c r="D32" s="95">
        <f t="shared" ref="D32:D41" si="8">C32-C31</f>
        <v>-15</v>
      </c>
      <c r="E32" s="834">
        <f t="shared" ref="E32:E42" si="9">(C32-C31)/C31</f>
        <v>-2.9296875E-2</v>
      </c>
      <c r="F32" s="95">
        <f>+'11. Final Load Forecast'!$E$19</f>
        <v>13776453</v>
      </c>
      <c r="G32" s="834">
        <f t="shared" ref="G32:G42" si="10">(F32-F31)/F31</f>
        <v>2.6251692019300586E-2</v>
      </c>
      <c r="H32" s="95">
        <f>+'11. Final Load Forecast'!$E$20</f>
        <v>0</v>
      </c>
      <c r="I32" s="187" t="e">
        <f t="shared" ref="I32:I42" si="11">(H32-H31)/H31</f>
        <v>#DIV/0!</v>
      </c>
    </row>
    <row r="33" spans="2:10" x14ac:dyDescent="0.2">
      <c r="B33" s="789">
        <v>2008</v>
      </c>
      <c r="C33" s="95">
        <f>'11. Final Load Forecast'!$F$18</f>
        <v>494</v>
      </c>
      <c r="D33" s="95">
        <f t="shared" si="8"/>
        <v>-3</v>
      </c>
      <c r="E33" s="834">
        <f t="shared" si="9"/>
        <v>-6.0362173038229373E-3</v>
      </c>
      <c r="F33" s="95">
        <f>+'11. Final Load Forecast'!$F$19</f>
        <v>13927235</v>
      </c>
      <c r="G33" s="834">
        <f t="shared" si="10"/>
        <v>1.0944907226845692E-2</v>
      </c>
      <c r="H33" s="95">
        <f>+'11. Final Load Forecast'!$F$20</f>
        <v>0</v>
      </c>
      <c r="I33" s="187" t="e">
        <f t="shared" si="11"/>
        <v>#DIV/0!</v>
      </c>
    </row>
    <row r="34" spans="2:10" x14ac:dyDescent="0.2">
      <c r="B34" s="789">
        <v>2009</v>
      </c>
      <c r="C34" s="95">
        <f>'11. Final Load Forecast'!$G$18</f>
        <v>483</v>
      </c>
      <c r="D34" s="95">
        <f t="shared" si="8"/>
        <v>-11</v>
      </c>
      <c r="E34" s="834">
        <f t="shared" si="9"/>
        <v>-2.2267206477732792E-2</v>
      </c>
      <c r="F34" s="95">
        <f>+'11. Final Load Forecast'!$G$19</f>
        <v>12859915</v>
      </c>
      <c r="G34" s="834">
        <f t="shared" si="10"/>
        <v>-7.6635455637820427E-2</v>
      </c>
      <c r="H34" s="95">
        <f>+'11. Final Load Forecast'!$G$20</f>
        <v>0</v>
      </c>
      <c r="I34" s="187" t="e">
        <f t="shared" si="11"/>
        <v>#DIV/0!</v>
      </c>
    </row>
    <row r="35" spans="2:10" x14ac:dyDescent="0.2">
      <c r="B35" s="789">
        <v>2010</v>
      </c>
      <c r="C35" s="95">
        <f>'11. Final Load Forecast'!$H$18</f>
        <v>442</v>
      </c>
      <c r="D35" s="95">
        <f t="shared" si="8"/>
        <v>-41</v>
      </c>
      <c r="E35" s="834">
        <f t="shared" si="9"/>
        <v>-8.4886128364389232E-2</v>
      </c>
      <c r="F35" s="95">
        <f>+'11. Final Load Forecast'!$H$19</f>
        <v>12427065</v>
      </c>
      <c r="G35" s="834">
        <f t="shared" si="10"/>
        <v>-3.3658853888225544E-2</v>
      </c>
      <c r="H35" s="95">
        <f>+'11. Final Load Forecast'!$H$20</f>
        <v>0</v>
      </c>
      <c r="I35" s="187" t="e">
        <f t="shared" si="11"/>
        <v>#DIV/0!</v>
      </c>
    </row>
    <row r="36" spans="2:10" x14ac:dyDescent="0.2">
      <c r="B36" s="789">
        <v>2011</v>
      </c>
      <c r="C36" s="95">
        <f>'11. Final Load Forecast'!$I$18</f>
        <v>437</v>
      </c>
      <c r="D36" s="95">
        <f t="shared" si="8"/>
        <v>-5</v>
      </c>
      <c r="E36" s="834">
        <f t="shared" si="9"/>
        <v>-1.1312217194570135E-2</v>
      </c>
      <c r="F36" s="95">
        <f>+'11. Final Load Forecast'!$I$19</f>
        <v>11962164</v>
      </c>
      <c r="G36" s="834">
        <f t="shared" si="10"/>
        <v>-3.741036198008138E-2</v>
      </c>
      <c r="H36" s="95">
        <f>+'11. Final Load Forecast'!$I$20</f>
        <v>0</v>
      </c>
      <c r="I36" s="187" t="e">
        <f t="shared" si="11"/>
        <v>#DIV/0!</v>
      </c>
    </row>
    <row r="37" spans="2:10" x14ac:dyDescent="0.2">
      <c r="B37" s="789">
        <v>2012</v>
      </c>
      <c r="C37" s="95">
        <f>'11. Final Load Forecast'!$J$18</f>
        <v>435</v>
      </c>
      <c r="D37" s="95">
        <f t="shared" si="8"/>
        <v>-2</v>
      </c>
      <c r="E37" s="834">
        <f t="shared" si="9"/>
        <v>-4.5766590389016018E-3</v>
      </c>
      <c r="F37" s="95">
        <f>+'11. Final Load Forecast'!$J$19</f>
        <v>11672310</v>
      </c>
      <c r="G37" s="834">
        <f t="shared" si="10"/>
        <v>-2.4230900027787616E-2</v>
      </c>
      <c r="H37" s="95">
        <f>+'11. Final Load Forecast'!$J$20</f>
        <v>0</v>
      </c>
      <c r="I37" s="187" t="e">
        <f t="shared" si="11"/>
        <v>#DIV/0!</v>
      </c>
    </row>
    <row r="38" spans="2:10" x14ac:dyDescent="0.2">
      <c r="B38" s="789">
        <v>2013</v>
      </c>
      <c r="C38" s="95">
        <f>'11. Final Load Forecast'!$K$18</f>
        <v>428</v>
      </c>
      <c r="D38" s="95">
        <f t="shared" si="8"/>
        <v>-7</v>
      </c>
      <c r="E38" s="834">
        <f t="shared" si="9"/>
        <v>-1.6091954022988506E-2</v>
      </c>
      <c r="F38" s="95">
        <f>+'11. Final Load Forecast'!$K$19</f>
        <v>11531242</v>
      </c>
      <c r="G38" s="834">
        <f t="shared" si="10"/>
        <v>-1.2085696832931956E-2</v>
      </c>
      <c r="H38" s="95">
        <f>+'11. Final Load Forecast'!$K$20</f>
        <v>0</v>
      </c>
      <c r="I38" s="187" t="e">
        <f t="shared" si="11"/>
        <v>#DIV/0!</v>
      </c>
    </row>
    <row r="39" spans="2:10" x14ac:dyDescent="0.2">
      <c r="B39" s="789">
        <v>2014</v>
      </c>
      <c r="C39" s="95">
        <f>+'11. Final Load Forecast'!$L$18</f>
        <v>428</v>
      </c>
      <c r="D39" s="95">
        <f t="shared" si="8"/>
        <v>0</v>
      </c>
      <c r="E39" s="834">
        <f t="shared" si="9"/>
        <v>0</v>
      </c>
      <c r="F39" s="95">
        <f>+'11. Final Load Forecast'!$L$19</f>
        <v>11294125</v>
      </c>
      <c r="G39" s="834">
        <f t="shared" si="10"/>
        <v>-2.0563006135852494E-2</v>
      </c>
      <c r="H39" s="95">
        <f>+'11. Final Load Forecast'!$L$20</f>
        <v>0</v>
      </c>
      <c r="I39" s="187" t="e">
        <f t="shared" si="11"/>
        <v>#DIV/0!</v>
      </c>
    </row>
    <row r="40" spans="2:10" x14ac:dyDescent="0.2">
      <c r="B40" s="789">
        <v>2015</v>
      </c>
      <c r="C40" s="95">
        <f>'11. Final Load Forecast'!$M$18</f>
        <v>430</v>
      </c>
      <c r="D40" s="95">
        <f t="shared" si="8"/>
        <v>2</v>
      </c>
      <c r="E40" s="834">
        <f t="shared" si="9"/>
        <v>4.6728971962616819E-3</v>
      </c>
      <c r="F40" s="95">
        <f>+'11. Final Load Forecast'!$M$19</f>
        <v>10843312</v>
      </c>
      <c r="G40" s="834">
        <f t="shared" si="10"/>
        <v>-3.9915708388210687E-2</v>
      </c>
      <c r="H40" s="95">
        <f>+'11. Final Load Forecast'!$M$20</f>
        <v>0</v>
      </c>
      <c r="I40" s="187" t="e">
        <f t="shared" si="11"/>
        <v>#DIV/0!</v>
      </c>
    </row>
    <row r="41" spans="2:10" x14ac:dyDescent="0.2">
      <c r="B41" s="789">
        <v>2016</v>
      </c>
      <c r="C41" s="95">
        <f>'11. Final Load Forecast'!$N$18</f>
        <v>421.7412356106833</v>
      </c>
      <c r="D41" s="95">
        <f t="shared" si="8"/>
        <v>-8.2587643893166955</v>
      </c>
      <c r="E41" s="835">
        <f t="shared" si="9"/>
        <v>-1.9206428812364409E-2</v>
      </c>
      <c r="F41" s="95">
        <f>+'11. Final Load Forecast'!$N$19</f>
        <v>12325609.78277586</v>
      </c>
      <c r="G41" s="835">
        <f t="shared" si="10"/>
        <v>0.13670157077245959</v>
      </c>
      <c r="H41" s="95">
        <f>+'11. Final Load Forecast'!$N$20</f>
        <v>0</v>
      </c>
      <c r="I41" s="188" t="e">
        <f t="shared" si="11"/>
        <v>#DIV/0!</v>
      </c>
    </row>
    <row r="42" spans="2:10" x14ac:dyDescent="0.2">
      <c r="B42" s="789">
        <v>2017</v>
      </c>
      <c r="C42" s="95">
        <f>'11. Final Load Forecast'!$O$18</f>
        <v>413.64109259168811</v>
      </c>
      <c r="D42" s="95">
        <f>C42-C41</f>
        <v>-8.1001430189951975</v>
      </c>
      <c r="E42" s="835">
        <f t="shared" si="9"/>
        <v>-1.9206428812364416E-2</v>
      </c>
      <c r="F42" s="95">
        <f>+'11. Final Load Forecast'!$O$19</f>
        <v>12181792.118058274</v>
      </c>
      <c r="G42" s="835">
        <f t="shared" si="10"/>
        <v>-1.1668198754641852E-2</v>
      </c>
      <c r="H42" s="95">
        <f>+'11. Final Load Forecast'!$O$20</f>
        <v>0</v>
      </c>
      <c r="I42" s="188" t="e">
        <f t="shared" si="11"/>
        <v>#DIV/0!</v>
      </c>
    </row>
    <row r="44" spans="2:10" x14ac:dyDescent="0.2">
      <c r="C44" s="145"/>
      <c r="D44" s="145"/>
      <c r="E44" s="145"/>
      <c r="F44" s="145"/>
      <c r="G44" s="145"/>
      <c r="H44" s="145"/>
      <c r="I44" s="145"/>
      <c r="J44" s="64"/>
    </row>
    <row r="45" spans="2:10" x14ac:dyDescent="0.2">
      <c r="B45" s="1189" t="str">
        <f>+'11. Final Load Forecast'!B22</f>
        <v>Unmetered Scattered Load</v>
      </c>
      <c r="C45" s="1190"/>
      <c r="D45" s="1190"/>
      <c r="E45" s="1190"/>
      <c r="F45" s="1190"/>
      <c r="G45" s="1190"/>
      <c r="H45" s="1190"/>
      <c r="I45" s="1190"/>
    </row>
    <row r="46" spans="2:10" x14ac:dyDescent="0.2">
      <c r="B46" s="789" t="s">
        <v>33</v>
      </c>
      <c r="C46" s="789" t="s">
        <v>47</v>
      </c>
      <c r="D46" s="789" t="s">
        <v>271</v>
      </c>
      <c r="E46" s="789" t="s">
        <v>60</v>
      </c>
      <c r="F46" s="93" t="s">
        <v>35</v>
      </c>
      <c r="G46" s="789" t="s">
        <v>60</v>
      </c>
      <c r="H46" s="93" t="s">
        <v>36</v>
      </c>
      <c r="I46" s="789" t="s">
        <v>60</v>
      </c>
    </row>
    <row r="47" spans="2:10" x14ac:dyDescent="0.2">
      <c r="B47" s="789">
        <v>2006</v>
      </c>
      <c r="C47" s="95">
        <f>'11. Final Load Forecast'!$D$22</f>
        <v>28</v>
      </c>
      <c r="D47" s="95"/>
      <c r="E47" s="95"/>
      <c r="F47" s="95">
        <f>+'11. Final Load Forecast'!$D$23</f>
        <v>160045</v>
      </c>
      <c r="G47" s="95"/>
      <c r="H47" s="95">
        <f>+'11. Final Load Forecast'!$D$24</f>
        <v>0</v>
      </c>
      <c r="I47" s="95"/>
    </row>
    <row r="48" spans="2:10" x14ac:dyDescent="0.2">
      <c r="B48" s="789">
        <v>2007</v>
      </c>
      <c r="C48" s="95">
        <f>'11. Final Load Forecast'!$E$22</f>
        <v>29</v>
      </c>
      <c r="D48" s="95">
        <f t="shared" ref="D48:D57" si="12">C48-C47</f>
        <v>1</v>
      </c>
      <c r="E48" s="834">
        <f t="shared" ref="E48:E58" si="13">(C48-C47)/C47</f>
        <v>3.5714285714285712E-2</v>
      </c>
      <c r="F48" s="95">
        <f>+'11. Final Load Forecast'!$E$23</f>
        <v>142221</v>
      </c>
      <c r="G48" s="834">
        <f t="shared" ref="G48:G58" si="14">(F48-F47)/F47</f>
        <v>-0.11136867755943641</v>
      </c>
      <c r="H48" s="95">
        <f>+'11. Final Load Forecast'!$E$24</f>
        <v>0</v>
      </c>
      <c r="I48" s="187" t="e">
        <f t="shared" ref="I48:I58" si="15">(H48-H47)/H47</f>
        <v>#DIV/0!</v>
      </c>
    </row>
    <row r="49" spans="2:9" x14ac:dyDescent="0.2">
      <c r="B49" s="789">
        <v>2008</v>
      </c>
      <c r="C49" s="95">
        <f>'11. Final Load Forecast'!$F$22</f>
        <v>30</v>
      </c>
      <c r="D49" s="95">
        <f t="shared" si="12"/>
        <v>1</v>
      </c>
      <c r="E49" s="834">
        <f t="shared" si="13"/>
        <v>3.4482758620689655E-2</v>
      </c>
      <c r="F49" s="95">
        <f>+'11. Final Load Forecast'!$F$23</f>
        <v>140870</v>
      </c>
      <c r="G49" s="834">
        <f t="shared" si="14"/>
        <v>-9.4993003846126807E-3</v>
      </c>
      <c r="H49" s="95">
        <f>+'11. Final Load Forecast'!$F$24</f>
        <v>0</v>
      </c>
      <c r="I49" s="187" t="e">
        <f t="shared" si="15"/>
        <v>#DIV/0!</v>
      </c>
    </row>
    <row r="50" spans="2:9" x14ac:dyDescent="0.2">
      <c r="B50" s="789">
        <v>2009</v>
      </c>
      <c r="C50" s="95">
        <f>'11. Final Load Forecast'!$G$22</f>
        <v>30</v>
      </c>
      <c r="D50" s="95">
        <f t="shared" si="12"/>
        <v>0</v>
      </c>
      <c r="E50" s="834">
        <f t="shared" si="13"/>
        <v>0</v>
      </c>
      <c r="F50" s="95">
        <f>+'11. Final Load Forecast'!$G$23</f>
        <v>140485</v>
      </c>
      <c r="G50" s="834">
        <f t="shared" si="14"/>
        <v>-2.7330162561226665E-3</v>
      </c>
      <c r="H50" s="95">
        <f>+'11. Final Load Forecast'!$G$24</f>
        <v>0</v>
      </c>
      <c r="I50" s="187" t="e">
        <f t="shared" si="15"/>
        <v>#DIV/0!</v>
      </c>
    </row>
    <row r="51" spans="2:9" x14ac:dyDescent="0.2">
      <c r="B51" s="789">
        <v>2010</v>
      </c>
      <c r="C51" s="95">
        <f>'11. Final Load Forecast'!$H$22</f>
        <v>34</v>
      </c>
      <c r="D51" s="95">
        <f t="shared" si="12"/>
        <v>4</v>
      </c>
      <c r="E51" s="834">
        <f t="shared" si="13"/>
        <v>0.13333333333333333</v>
      </c>
      <c r="F51" s="95">
        <f>+'11. Final Load Forecast'!$H$23</f>
        <v>150176</v>
      </c>
      <c r="G51" s="834">
        <f t="shared" si="14"/>
        <v>6.8982453642737654E-2</v>
      </c>
      <c r="H51" s="95">
        <f>+'11. Final Load Forecast'!$H$24</f>
        <v>0</v>
      </c>
      <c r="I51" s="187" t="e">
        <f t="shared" si="15"/>
        <v>#DIV/0!</v>
      </c>
    </row>
    <row r="52" spans="2:9" x14ac:dyDescent="0.2">
      <c r="B52" s="789">
        <v>2011</v>
      </c>
      <c r="C52" s="95">
        <f>+'11. Final Load Forecast'!$I$22</f>
        <v>34</v>
      </c>
      <c r="D52" s="95">
        <f t="shared" si="12"/>
        <v>0</v>
      </c>
      <c r="E52" s="834">
        <f t="shared" si="13"/>
        <v>0</v>
      </c>
      <c r="F52" s="95">
        <f>+'11. Final Load Forecast'!$I$23</f>
        <v>158921</v>
      </c>
      <c r="G52" s="834">
        <f t="shared" si="14"/>
        <v>5.8231674834860428E-2</v>
      </c>
      <c r="H52" s="95">
        <f>+'11. Final Load Forecast'!$I$24</f>
        <v>0</v>
      </c>
      <c r="I52" s="187" t="e">
        <f t="shared" si="15"/>
        <v>#DIV/0!</v>
      </c>
    </row>
    <row r="53" spans="2:9" x14ac:dyDescent="0.2">
      <c r="B53" s="789">
        <v>2012</v>
      </c>
      <c r="C53" s="95">
        <f>'11. Final Load Forecast'!$J$22</f>
        <v>34</v>
      </c>
      <c r="D53" s="95">
        <f t="shared" si="12"/>
        <v>0</v>
      </c>
      <c r="E53" s="834">
        <f t="shared" si="13"/>
        <v>0</v>
      </c>
      <c r="F53" s="95">
        <f>+'11. Final Load Forecast'!$J$23</f>
        <v>158811</v>
      </c>
      <c r="G53" s="834">
        <f t="shared" si="14"/>
        <v>-6.9216780664606943E-4</v>
      </c>
      <c r="H53" s="95">
        <f>+'11. Final Load Forecast'!$J$24</f>
        <v>0</v>
      </c>
      <c r="I53" s="187" t="e">
        <f t="shared" si="15"/>
        <v>#DIV/0!</v>
      </c>
    </row>
    <row r="54" spans="2:9" x14ac:dyDescent="0.2">
      <c r="B54" s="789">
        <v>2013</v>
      </c>
      <c r="C54" s="95">
        <f>'11. Final Load Forecast'!$K$22</f>
        <v>33</v>
      </c>
      <c r="D54" s="95">
        <f t="shared" si="12"/>
        <v>-1</v>
      </c>
      <c r="E54" s="834">
        <f t="shared" si="13"/>
        <v>-2.9411764705882353E-2</v>
      </c>
      <c r="F54" s="95">
        <f>+'11. Final Load Forecast'!$K$23</f>
        <v>155619</v>
      </c>
      <c r="G54" s="834">
        <f t="shared" si="14"/>
        <v>-2.0099363394223323E-2</v>
      </c>
      <c r="H54" s="95">
        <f>+'11. Final Load Forecast'!$K$24</f>
        <v>0</v>
      </c>
      <c r="I54" s="187" t="e">
        <f t="shared" si="15"/>
        <v>#DIV/0!</v>
      </c>
    </row>
    <row r="55" spans="2:9" x14ac:dyDescent="0.2">
      <c r="B55" s="789">
        <v>2014</v>
      </c>
      <c r="C55" s="95">
        <f>'11. Final Load Forecast'!$L$22</f>
        <v>33</v>
      </c>
      <c r="D55" s="95">
        <f t="shared" si="12"/>
        <v>0</v>
      </c>
      <c r="E55" s="834">
        <f t="shared" si="13"/>
        <v>0</v>
      </c>
      <c r="F55" s="95">
        <f>+'11. Final Load Forecast'!$L$23</f>
        <v>155019</v>
      </c>
      <c r="G55" s="834">
        <f t="shared" si="14"/>
        <v>-3.8555703352418408E-3</v>
      </c>
      <c r="H55" s="95">
        <f>+'11. Final Load Forecast'!$L$24</f>
        <v>0</v>
      </c>
      <c r="I55" s="187" t="e">
        <f t="shared" si="15"/>
        <v>#DIV/0!</v>
      </c>
    </row>
    <row r="56" spans="2:9" x14ac:dyDescent="0.2">
      <c r="B56" s="789">
        <v>2015</v>
      </c>
      <c r="C56" s="95">
        <f>'11. Final Load Forecast'!$M$22</f>
        <v>33</v>
      </c>
      <c r="D56" s="95">
        <f t="shared" si="12"/>
        <v>0</v>
      </c>
      <c r="E56" s="834">
        <f t="shared" si="13"/>
        <v>0</v>
      </c>
      <c r="F56" s="95">
        <f>+'11. Final Load Forecast'!$M$23</f>
        <v>155364</v>
      </c>
      <c r="G56" s="834">
        <f t="shared" si="14"/>
        <v>2.2255336442629611E-3</v>
      </c>
      <c r="H56" s="95">
        <f>+'11. Final Load Forecast'!$M$24</f>
        <v>0</v>
      </c>
      <c r="I56" s="187" t="e">
        <f t="shared" si="15"/>
        <v>#DIV/0!</v>
      </c>
    </row>
    <row r="57" spans="2:9" x14ac:dyDescent="0.2">
      <c r="B57" s="789">
        <v>2016</v>
      </c>
      <c r="C57" s="95">
        <f>'11. Final Load Forecast'!$N$22</f>
        <v>33.607977220079128</v>
      </c>
      <c r="D57" s="95">
        <f t="shared" si="12"/>
        <v>0.60797722007912824</v>
      </c>
      <c r="E57" s="835">
        <f t="shared" si="13"/>
        <v>1.8423552123609948E-2</v>
      </c>
      <c r="F57" s="95">
        <f>+'11. Final Load Forecast'!$N$23</f>
        <v>156979.46065344894</v>
      </c>
      <c r="G57" s="835">
        <f t="shared" si="14"/>
        <v>1.0397908482331448E-2</v>
      </c>
      <c r="H57" s="95">
        <f>+'11. Final Load Forecast'!$N$24</f>
        <v>0</v>
      </c>
      <c r="I57" s="188" t="e">
        <f t="shared" si="15"/>
        <v>#DIV/0!</v>
      </c>
    </row>
    <row r="58" spans="2:9" x14ac:dyDescent="0.2">
      <c r="B58" s="789">
        <v>2017</v>
      </c>
      <c r="C58" s="95">
        <f>'11. Final Load Forecast'!$O$22</f>
        <v>34.227155540162357</v>
      </c>
      <c r="D58" s="95">
        <f>C58-C57</f>
        <v>0.61917832008322904</v>
      </c>
      <c r="E58" s="835">
        <f t="shared" si="13"/>
        <v>1.8423552123610111E-2</v>
      </c>
      <c r="F58" s="95">
        <f>+'11. Final Load Forecast'!$O$23</f>
        <v>155147.79310614802</v>
      </c>
      <c r="G58" s="835">
        <f t="shared" si="14"/>
        <v>-1.1668198754641859E-2</v>
      </c>
      <c r="H58" s="95">
        <f>+'11. Final Load Forecast'!$O$24</f>
        <v>0</v>
      </c>
      <c r="I58" s="188" t="e">
        <f t="shared" si="15"/>
        <v>#DIV/0!</v>
      </c>
    </row>
    <row r="60" spans="2:9" x14ac:dyDescent="0.2">
      <c r="B60" s="30"/>
      <c r="C60" s="32" t="s">
        <v>30</v>
      </c>
      <c r="D60" s="529"/>
      <c r="E60" s="32"/>
      <c r="F60" s="32"/>
      <c r="G60" s="32"/>
      <c r="H60" s="32"/>
      <c r="I60" s="32"/>
    </row>
    <row r="61" spans="2:9" x14ac:dyDescent="0.2">
      <c r="B61" s="1189" t="str">
        <f>+'11. Final Load Forecast'!B26</f>
        <v>General Service &gt; 50 kW - 4999 kW</v>
      </c>
      <c r="C61" s="1190"/>
      <c r="D61" s="1190"/>
      <c r="E61" s="1190"/>
      <c r="F61" s="1190"/>
      <c r="G61" s="1190"/>
      <c r="H61" s="1190"/>
      <c r="I61" s="1190"/>
    </row>
    <row r="62" spans="2:9" x14ac:dyDescent="0.2">
      <c r="B62" s="789" t="s">
        <v>33</v>
      </c>
      <c r="C62" s="789" t="s">
        <v>47</v>
      </c>
      <c r="D62" s="789" t="s">
        <v>271</v>
      </c>
      <c r="E62" s="789" t="s">
        <v>60</v>
      </c>
      <c r="F62" s="93" t="s">
        <v>35</v>
      </c>
      <c r="G62" s="789" t="s">
        <v>60</v>
      </c>
      <c r="H62" s="93" t="s">
        <v>36</v>
      </c>
      <c r="I62" s="789" t="s">
        <v>60</v>
      </c>
    </row>
    <row r="63" spans="2:9" x14ac:dyDescent="0.2">
      <c r="B63" s="789">
        <v>2006</v>
      </c>
      <c r="C63" s="95">
        <f>'11. Final Load Forecast'!$D$26</f>
        <v>62</v>
      </c>
      <c r="D63" s="95"/>
      <c r="E63" s="95"/>
      <c r="F63" s="95">
        <f>+'11. Final Load Forecast'!$D$27</f>
        <v>51984380</v>
      </c>
      <c r="G63" s="95"/>
      <c r="H63" s="95">
        <f>+'11. Final Load Forecast'!$D$28</f>
        <v>153660</v>
      </c>
      <c r="I63" s="95"/>
    </row>
    <row r="64" spans="2:9" x14ac:dyDescent="0.2">
      <c r="B64" s="789">
        <v>2007</v>
      </c>
      <c r="C64" s="95">
        <f>'11. Final Load Forecast'!$E$26</f>
        <v>65</v>
      </c>
      <c r="D64" s="95">
        <f t="shared" ref="D64:D73" si="16">C64-C63</f>
        <v>3</v>
      </c>
      <c r="E64" s="834">
        <f t="shared" ref="E64:E74" si="17">(C64-C63)/C63</f>
        <v>4.8387096774193547E-2</v>
      </c>
      <c r="F64" s="95">
        <f>+'11. Final Load Forecast'!$E$27</f>
        <v>53203197</v>
      </c>
      <c r="G64" s="834">
        <f t="shared" ref="G64:G74" si="18">(F64-F63)/F63</f>
        <v>2.3445831228534417E-2</v>
      </c>
      <c r="H64" s="95">
        <f>+'11. Final Load Forecast'!$E$28</f>
        <v>146521</v>
      </c>
      <c r="I64" s="834">
        <f t="shared" ref="I64:I74" si="19">(H64-H63)/H63</f>
        <v>-4.6459716256670572E-2</v>
      </c>
    </row>
    <row r="65" spans="2:9" x14ac:dyDescent="0.2">
      <c r="B65" s="789">
        <v>2008</v>
      </c>
      <c r="C65" s="95">
        <f>'11. Final Load Forecast'!$F$26</f>
        <v>67</v>
      </c>
      <c r="D65" s="95">
        <f t="shared" si="16"/>
        <v>2</v>
      </c>
      <c r="E65" s="834">
        <f t="shared" si="17"/>
        <v>3.0769230769230771E-2</v>
      </c>
      <c r="F65" s="95">
        <f>+'11. Final Load Forecast'!$F$27</f>
        <v>55283988</v>
      </c>
      <c r="G65" s="834">
        <f t="shared" si="18"/>
        <v>3.9110262490428913E-2</v>
      </c>
      <c r="H65" s="95">
        <f>+'11. Final Load Forecast'!$F$28</f>
        <v>148947</v>
      </c>
      <c r="I65" s="834">
        <f t="shared" si="19"/>
        <v>1.655735355341555E-2</v>
      </c>
    </row>
    <row r="66" spans="2:9" x14ac:dyDescent="0.2">
      <c r="B66" s="789">
        <v>2009</v>
      </c>
      <c r="C66" s="95">
        <f>'11. Final Load Forecast'!$G$26</f>
        <v>66</v>
      </c>
      <c r="D66" s="95">
        <f t="shared" si="16"/>
        <v>-1</v>
      </c>
      <c r="E66" s="834">
        <f t="shared" si="17"/>
        <v>-1.4925373134328358E-2</v>
      </c>
      <c r="F66" s="95">
        <f>+'11. Final Load Forecast'!$G$27</f>
        <v>52230300</v>
      </c>
      <c r="G66" s="834">
        <f t="shared" si="18"/>
        <v>-5.5236391412283786E-2</v>
      </c>
      <c r="H66" s="95">
        <f>+'11. Final Load Forecast'!$G$28</f>
        <v>141729</v>
      </c>
      <c r="I66" s="834">
        <f t="shared" si="19"/>
        <v>-4.846019053757377E-2</v>
      </c>
    </row>
    <row r="67" spans="2:9" x14ac:dyDescent="0.2">
      <c r="B67" s="789">
        <v>2010</v>
      </c>
      <c r="C67" s="95">
        <f>+'11. Final Load Forecast'!$H$26</f>
        <v>59</v>
      </c>
      <c r="D67" s="95">
        <f t="shared" si="16"/>
        <v>-7</v>
      </c>
      <c r="E67" s="834">
        <f t="shared" si="17"/>
        <v>-0.10606060606060606</v>
      </c>
      <c r="F67" s="95">
        <f>+'11. Final Load Forecast'!$H$27</f>
        <v>51703213</v>
      </c>
      <c r="G67" s="834">
        <f t="shared" si="18"/>
        <v>-1.0091594342747409E-2</v>
      </c>
      <c r="H67" s="95">
        <f>+'11. Final Load Forecast'!$H$28</f>
        <v>141797</v>
      </c>
      <c r="I67" s="834">
        <f t="shared" si="19"/>
        <v>4.7978889288712967E-4</v>
      </c>
    </row>
    <row r="68" spans="2:9" x14ac:dyDescent="0.2">
      <c r="B68" s="789">
        <v>2011</v>
      </c>
      <c r="C68" s="95">
        <f>+'11. Final Load Forecast'!$I$26</f>
        <v>59</v>
      </c>
      <c r="D68" s="95">
        <f t="shared" si="16"/>
        <v>0</v>
      </c>
      <c r="E68" s="834">
        <f t="shared" si="17"/>
        <v>0</v>
      </c>
      <c r="F68" s="95">
        <f>+'11. Final Load Forecast'!$I$27</f>
        <v>46521147</v>
      </c>
      <c r="G68" s="834">
        <f t="shared" si="18"/>
        <v>-0.10022715609569564</v>
      </c>
      <c r="H68" s="95">
        <f>+'11. Final Load Forecast'!$I$28</f>
        <v>130980</v>
      </c>
      <c r="I68" s="834">
        <f t="shared" si="19"/>
        <v>-7.628511181477747E-2</v>
      </c>
    </row>
    <row r="69" spans="2:9" x14ac:dyDescent="0.2">
      <c r="B69" s="789">
        <v>2012</v>
      </c>
      <c r="C69" s="95">
        <f>'11. Final Load Forecast'!$J$26</f>
        <v>59</v>
      </c>
      <c r="D69" s="95">
        <f t="shared" si="16"/>
        <v>0</v>
      </c>
      <c r="E69" s="834">
        <f t="shared" si="17"/>
        <v>0</v>
      </c>
      <c r="F69" s="95">
        <f>+'11. Final Load Forecast'!$J$27</f>
        <v>44095781</v>
      </c>
      <c r="G69" s="834">
        <f t="shared" si="18"/>
        <v>-5.2134699086417623E-2</v>
      </c>
      <c r="H69" s="95">
        <f>+'11. Final Load Forecast'!$J$28</f>
        <v>120379</v>
      </c>
      <c r="I69" s="834">
        <f t="shared" si="19"/>
        <v>-8.093602076652924E-2</v>
      </c>
    </row>
    <row r="70" spans="2:9" x14ac:dyDescent="0.2">
      <c r="B70" s="789">
        <v>2013</v>
      </c>
      <c r="C70" s="95">
        <f>'11. Final Load Forecast'!$K$26</f>
        <v>62</v>
      </c>
      <c r="D70" s="95">
        <f t="shared" si="16"/>
        <v>3</v>
      </c>
      <c r="E70" s="834">
        <f t="shared" si="17"/>
        <v>5.0847457627118647E-2</v>
      </c>
      <c r="F70" s="95">
        <f>+'11. Final Load Forecast'!$K$27</f>
        <v>44119354</v>
      </c>
      <c r="G70" s="834">
        <f t="shared" si="18"/>
        <v>5.3458629069298041E-4</v>
      </c>
      <c r="H70" s="95">
        <f>+'11. Final Load Forecast'!$K$28</f>
        <v>115813</v>
      </c>
      <c r="I70" s="834">
        <f t="shared" si="19"/>
        <v>-3.7930203773083343E-2</v>
      </c>
    </row>
    <row r="71" spans="2:9" x14ac:dyDescent="0.2">
      <c r="B71" s="789">
        <v>2014</v>
      </c>
      <c r="C71" s="95">
        <f>'11. Final Load Forecast'!$L$26</f>
        <v>62</v>
      </c>
      <c r="D71" s="95">
        <f t="shared" si="16"/>
        <v>0</v>
      </c>
      <c r="E71" s="834">
        <f t="shared" si="17"/>
        <v>0</v>
      </c>
      <c r="F71" s="95">
        <f>+'11. Final Load Forecast'!$L$27</f>
        <v>43640624</v>
      </c>
      <c r="G71" s="834">
        <f t="shared" si="18"/>
        <v>-1.0850793508898612E-2</v>
      </c>
      <c r="H71" s="95">
        <f>+'11. Final Load Forecast'!$L$28</f>
        <v>114180</v>
      </c>
      <c r="I71" s="834">
        <f t="shared" si="19"/>
        <v>-1.4100316890159136E-2</v>
      </c>
    </row>
    <row r="72" spans="2:9" x14ac:dyDescent="0.2">
      <c r="B72" s="789">
        <v>2015</v>
      </c>
      <c r="C72" s="95">
        <f>'11. Final Load Forecast'!$M$26</f>
        <v>61</v>
      </c>
      <c r="D72" s="95">
        <f t="shared" si="16"/>
        <v>-1</v>
      </c>
      <c r="E72" s="834">
        <f t="shared" si="17"/>
        <v>-1.6129032258064516E-2</v>
      </c>
      <c r="F72" s="95">
        <f>+'11. Final Load Forecast'!$M$27</f>
        <v>45095566</v>
      </c>
      <c r="G72" s="834">
        <f t="shared" si="18"/>
        <v>3.3339165819443829E-2</v>
      </c>
      <c r="H72" s="95">
        <f>+'11. Final Load Forecast'!$M$28</f>
        <v>113922</v>
      </c>
      <c r="I72" s="834">
        <f t="shared" si="19"/>
        <v>-2.2595901208617973E-3</v>
      </c>
    </row>
    <row r="73" spans="2:9" x14ac:dyDescent="0.2">
      <c r="B73" s="789">
        <v>2016</v>
      </c>
      <c r="C73" s="95">
        <f>'11. Final Load Forecast'!$N$26</f>
        <v>60.889889302782052</v>
      </c>
      <c r="D73" s="95">
        <f t="shared" si="16"/>
        <v>-0.11011069721794797</v>
      </c>
      <c r="E73" s="835">
        <f t="shared" si="17"/>
        <v>-1.8050933970155405E-3</v>
      </c>
      <c r="F73" s="95">
        <f>+'11. Final Load Forecast'!$N$27</f>
        <v>45564465.568226933</v>
      </c>
      <c r="G73" s="835">
        <f t="shared" si="18"/>
        <v>1.0397908482331356E-2</v>
      </c>
      <c r="H73" s="95">
        <f>+'11. Final Load Forecast'!$N$28</f>
        <v>123813.1682025896</v>
      </c>
      <c r="I73" s="835">
        <f t="shared" si="19"/>
        <v>8.6824039277660164E-2</v>
      </c>
    </row>
    <row r="74" spans="2:9" x14ac:dyDescent="0.2">
      <c r="B74" s="789">
        <v>2017</v>
      </c>
      <c r="C74" s="95">
        <f>'11. Final Load Forecast'!$O$26</f>
        <v>60.779977365656592</v>
      </c>
      <c r="D74" s="95">
        <f>C74-C73</f>
        <v>-0.10991193712546021</v>
      </c>
      <c r="E74" s="835">
        <f t="shared" si="17"/>
        <v>-1.8050933970155591E-3</v>
      </c>
      <c r="F74" s="95">
        <f>+'11. Final Load Forecast'!$O$27</f>
        <v>45032810.327827826</v>
      </c>
      <c r="G74" s="835">
        <f t="shared" si="18"/>
        <v>-1.1668198754641859E-2</v>
      </c>
      <c r="H74" s="95">
        <f>+'11. Final Load Forecast'!$O$28</f>
        <v>122368.49154755988</v>
      </c>
      <c r="I74" s="835">
        <f t="shared" si="19"/>
        <v>-1.166819875464185E-2</v>
      </c>
    </row>
    <row r="76" spans="2:9" x14ac:dyDescent="0.2">
      <c r="B76" s="64"/>
      <c r="C76" s="145"/>
      <c r="D76" s="145"/>
      <c r="E76" s="145"/>
      <c r="F76" s="145"/>
      <c r="G76" s="64"/>
    </row>
    <row r="77" spans="2:9" x14ac:dyDescent="0.2">
      <c r="B77" s="1189" t="str">
        <f>+'11. Final Load Forecast'!B30</f>
        <v>Streetlighting</v>
      </c>
      <c r="C77" s="1190"/>
      <c r="D77" s="1190"/>
      <c r="E77" s="1190"/>
      <c r="F77" s="1190"/>
      <c r="G77" s="1190"/>
      <c r="H77" s="1190"/>
      <c r="I77" s="1190"/>
    </row>
    <row r="78" spans="2:9" x14ac:dyDescent="0.2">
      <c r="B78" s="789" t="s">
        <v>33</v>
      </c>
      <c r="C78" s="789" t="s">
        <v>47</v>
      </c>
      <c r="D78" s="789"/>
      <c r="E78" s="789" t="s">
        <v>60</v>
      </c>
      <c r="F78" s="93" t="s">
        <v>35</v>
      </c>
      <c r="G78" s="789" t="s">
        <v>60</v>
      </c>
      <c r="H78" s="93" t="s">
        <v>36</v>
      </c>
      <c r="I78" s="789" t="s">
        <v>60</v>
      </c>
    </row>
    <row r="79" spans="2:9" x14ac:dyDescent="0.2">
      <c r="B79" s="789">
        <v>2006</v>
      </c>
      <c r="C79" s="95">
        <f>'11. Final Load Forecast'!$D$30</f>
        <v>1149</v>
      </c>
      <c r="D79" s="95"/>
      <c r="E79" s="95"/>
      <c r="F79" s="95">
        <f>+'11. Final Load Forecast'!$D$31</f>
        <v>1095963</v>
      </c>
      <c r="G79" s="95"/>
      <c r="H79" s="95">
        <f>+'11. Final Load Forecast'!$D$32</f>
        <v>3053</v>
      </c>
      <c r="I79" s="95"/>
    </row>
    <row r="80" spans="2:9" x14ac:dyDescent="0.2">
      <c r="B80" s="789">
        <v>2007</v>
      </c>
      <c r="C80" s="95">
        <f>'11. Final Load Forecast'!$E$30</f>
        <v>1151</v>
      </c>
      <c r="D80" s="95">
        <f t="shared" ref="D80:D89" si="20">C80-C79</f>
        <v>2</v>
      </c>
      <c r="E80" s="834">
        <f t="shared" ref="E80:E90" si="21">(C80-C79)/C79</f>
        <v>1.7406440382941688E-3</v>
      </c>
      <c r="F80" s="95">
        <f>+'11. Final Load Forecast'!$E$31</f>
        <v>1105833</v>
      </c>
      <c r="G80" s="834">
        <f t="shared" ref="G80:G90" si="22">(F80-F79)/F79</f>
        <v>9.005778479747947E-3</v>
      </c>
      <c r="H80" s="95">
        <f>+'11. Final Load Forecast'!$E$32</f>
        <v>3095</v>
      </c>
      <c r="I80" s="834">
        <f t="shared" ref="I80:I90" si="23">(H80-H79)/H79</f>
        <v>1.3756960366852276E-2</v>
      </c>
    </row>
    <row r="81" spans="2:9" x14ac:dyDescent="0.2">
      <c r="B81" s="789">
        <v>2008</v>
      </c>
      <c r="C81" s="95">
        <f>'11. Final Load Forecast'!$F$30</f>
        <v>1158</v>
      </c>
      <c r="D81" s="95">
        <f t="shared" si="20"/>
        <v>7</v>
      </c>
      <c r="E81" s="834">
        <f t="shared" si="21"/>
        <v>6.0816681146828849E-3</v>
      </c>
      <c r="F81" s="95">
        <f>+'11. Final Load Forecast'!$F$31</f>
        <v>1107983</v>
      </c>
      <c r="G81" s="834">
        <f t="shared" si="22"/>
        <v>1.9442357028592926E-3</v>
      </c>
      <c r="H81" s="95">
        <f>+'11. Final Load Forecast'!$F$32</f>
        <v>3100</v>
      </c>
      <c r="I81" s="834">
        <f t="shared" si="23"/>
        <v>1.6155088852988692E-3</v>
      </c>
    </row>
    <row r="82" spans="2:9" x14ac:dyDescent="0.2">
      <c r="B82" s="789">
        <v>2009</v>
      </c>
      <c r="C82" s="95">
        <f>'11. Final Load Forecast'!$G$30</f>
        <v>1167</v>
      </c>
      <c r="D82" s="95">
        <f t="shared" si="20"/>
        <v>9</v>
      </c>
      <c r="E82" s="834">
        <f t="shared" si="21"/>
        <v>7.7720207253886009E-3</v>
      </c>
      <c r="F82" s="95">
        <f>+'11. Final Load Forecast'!$G$31</f>
        <v>1114732</v>
      </c>
      <c r="G82" s="834">
        <f t="shared" si="22"/>
        <v>6.0912486924438371E-3</v>
      </c>
      <c r="H82" s="95">
        <f>+'11. Final Load Forecast'!$G$32</f>
        <v>3092</v>
      </c>
      <c r="I82" s="834">
        <f t="shared" si="23"/>
        <v>-2.5806451612903226E-3</v>
      </c>
    </row>
    <row r="83" spans="2:9" x14ac:dyDescent="0.2">
      <c r="B83" s="789">
        <v>2010</v>
      </c>
      <c r="C83" s="95">
        <f>'11. Final Load Forecast'!$H$30</f>
        <v>1174</v>
      </c>
      <c r="D83" s="95">
        <f t="shared" si="20"/>
        <v>7</v>
      </c>
      <c r="E83" s="834">
        <f t="shared" si="21"/>
        <v>5.9982862039417309E-3</v>
      </c>
      <c r="F83" s="95">
        <f>+'11. Final Load Forecast'!$H$31</f>
        <v>1116726</v>
      </c>
      <c r="G83" s="834">
        <f t="shared" si="22"/>
        <v>1.7887707538672972E-3</v>
      </c>
      <c r="H83" s="95">
        <f>+'11. Final Load Forecast'!$H$32</f>
        <v>3098</v>
      </c>
      <c r="I83" s="834">
        <f t="shared" si="23"/>
        <v>1.9404915912031048E-3</v>
      </c>
    </row>
    <row r="84" spans="2:9" x14ac:dyDescent="0.2">
      <c r="B84" s="789">
        <v>2011</v>
      </c>
      <c r="C84" s="95">
        <f>'11. Final Load Forecast'!$I$30</f>
        <v>1176</v>
      </c>
      <c r="D84" s="95">
        <f t="shared" si="20"/>
        <v>2</v>
      </c>
      <c r="E84" s="834">
        <f t="shared" si="21"/>
        <v>1.7035775127768314E-3</v>
      </c>
      <c r="F84" s="95">
        <f>+'11. Final Load Forecast'!$I$31</f>
        <v>1118574</v>
      </c>
      <c r="G84" s="834">
        <f t="shared" si="22"/>
        <v>1.6548374444581751E-3</v>
      </c>
      <c r="H84" s="95">
        <f>+'11. Final Load Forecast'!$I$32</f>
        <v>3099</v>
      </c>
      <c r="I84" s="834">
        <f t="shared" si="23"/>
        <v>3.2278889606197545E-4</v>
      </c>
    </row>
    <row r="85" spans="2:9" x14ac:dyDescent="0.2">
      <c r="B85" s="789">
        <v>2012</v>
      </c>
      <c r="C85" s="95">
        <f>'11. Final Load Forecast'!$J$30</f>
        <v>1176</v>
      </c>
      <c r="D85" s="95">
        <f t="shared" si="20"/>
        <v>0</v>
      </c>
      <c r="E85" s="834">
        <f t="shared" si="21"/>
        <v>0</v>
      </c>
      <c r="F85" s="95">
        <f>+'11. Final Load Forecast'!$J$31</f>
        <v>1121260</v>
      </c>
      <c r="G85" s="834">
        <f t="shared" si="22"/>
        <v>2.4012716190435321E-3</v>
      </c>
      <c r="H85" s="95">
        <f>+'11. Final Load Forecast'!$J$32</f>
        <v>3100</v>
      </c>
      <c r="I85" s="834">
        <f t="shared" si="23"/>
        <v>3.2268473701193933E-4</v>
      </c>
    </row>
    <row r="86" spans="2:9" x14ac:dyDescent="0.2">
      <c r="B86" s="789">
        <v>2013</v>
      </c>
      <c r="C86" s="95">
        <f>'11. Final Load Forecast'!$K$30</f>
        <v>1190</v>
      </c>
      <c r="D86" s="95">
        <f t="shared" si="20"/>
        <v>14</v>
      </c>
      <c r="E86" s="834">
        <f t="shared" si="21"/>
        <v>1.1904761904761904E-2</v>
      </c>
      <c r="F86" s="95">
        <f>+'11. Final Load Forecast'!$K$31</f>
        <v>1118710</v>
      </c>
      <c r="G86" s="834">
        <f t="shared" si="22"/>
        <v>-2.2742272086759539E-3</v>
      </c>
      <c r="H86" s="95">
        <f>+'11. Final Load Forecast'!$K$32</f>
        <v>3104</v>
      </c>
      <c r="I86" s="834">
        <f t="shared" si="23"/>
        <v>1.2903225806451613E-3</v>
      </c>
    </row>
    <row r="87" spans="2:9" x14ac:dyDescent="0.2">
      <c r="B87" s="789">
        <v>2014</v>
      </c>
      <c r="C87" s="95">
        <f>'11. Final Load Forecast'!$L$30</f>
        <v>1190</v>
      </c>
      <c r="D87" s="95">
        <f t="shared" si="20"/>
        <v>0</v>
      </c>
      <c r="E87" s="834">
        <f t="shared" si="21"/>
        <v>0</v>
      </c>
      <c r="F87" s="95">
        <f>+'11. Final Load Forecast'!$L$31</f>
        <v>1121519</v>
      </c>
      <c r="G87" s="834">
        <f t="shared" si="22"/>
        <v>2.5109277650150622E-3</v>
      </c>
      <c r="H87" s="95">
        <f>+'11. Final Load Forecast'!$L$32</f>
        <v>3110</v>
      </c>
      <c r="I87" s="834">
        <f t="shared" si="23"/>
        <v>1.9329896907216496E-3</v>
      </c>
    </row>
    <row r="88" spans="2:9" x14ac:dyDescent="0.2">
      <c r="B88" s="789">
        <v>2015</v>
      </c>
      <c r="C88" s="95">
        <f>'11. Final Load Forecast'!$M$30</f>
        <v>1190</v>
      </c>
      <c r="D88" s="95">
        <f t="shared" si="20"/>
        <v>0</v>
      </c>
      <c r="E88" s="834">
        <f t="shared" si="21"/>
        <v>0</v>
      </c>
      <c r="F88" s="95">
        <f>+'11. Final Load Forecast'!$M$31</f>
        <v>1123682</v>
      </c>
      <c r="G88" s="834">
        <f t="shared" si="22"/>
        <v>1.928634289744534E-3</v>
      </c>
      <c r="H88" s="95">
        <f>+'11. Final Load Forecast'!$M$32</f>
        <v>3117</v>
      </c>
      <c r="I88" s="834">
        <f t="shared" si="23"/>
        <v>2.2508038585209002E-3</v>
      </c>
    </row>
    <row r="89" spans="2:9" x14ac:dyDescent="0.2">
      <c r="B89" s="789">
        <v>2016</v>
      </c>
      <c r="C89" s="95">
        <f>'11. Final Load Forecast'!$N$30</f>
        <v>1194.6449258381904</v>
      </c>
      <c r="D89" s="95">
        <f t="shared" si="20"/>
        <v>4.6449258381903746</v>
      </c>
      <c r="E89" s="835">
        <f t="shared" si="21"/>
        <v>3.9032990236893906E-3</v>
      </c>
      <c r="F89" s="95">
        <f>+'11. Final Load Forecast'!$N$31</f>
        <v>1135365.9425992433</v>
      </c>
      <c r="G89" s="835">
        <f t="shared" si="22"/>
        <v>1.0397908482331525E-2</v>
      </c>
      <c r="H89" s="95">
        <f>+'11. Final Load Forecast'!$N$32</f>
        <v>3154.85223403498</v>
      </c>
      <c r="I89" s="835">
        <f t="shared" si="23"/>
        <v>1.2143803026942582E-2</v>
      </c>
    </row>
    <row r="90" spans="2:9" x14ac:dyDescent="0.2">
      <c r="B90" s="789">
        <v>2017</v>
      </c>
      <c r="C90" s="95">
        <f>'11. Final Load Forecast'!$O$30</f>
        <v>1199.30798221087</v>
      </c>
      <c r="D90" s="95">
        <f>C90-C89</f>
        <v>4.6630563726796481</v>
      </c>
      <c r="E90" s="835">
        <f t="shared" si="21"/>
        <v>3.9032990236893533E-3</v>
      </c>
      <c r="F90" s="95">
        <f>+'11. Final Load Forecast'!$O$31</f>
        <v>1122118.2671217439</v>
      </c>
      <c r="G90" s="835">
        <f t="shared" si="22"/>
        <v>-1.1668198754641951E-2</v>
      </c>
      <c r="H90" s="95">
        <f>+'11. Final Load Forecast'!$O$32</f>
        <v>3118.0407911267334</v>
      </c>
      <c r="I90" s="835">
        <f t="shared" si="23"/>
        <v>-1.1668198754642034E-2</v>
      </c>
    </row>
    <row r="93" spans="2:9" x14ac:dyDescent="0.2">
      <c r="B93" s="1189">
        <f>+'11. Final Load Forecast'!B34</f>
        <v>0</v>
      </c>
      <c r="C93" s="1190"/>
      <c r="D93" s="1190"/>
      <c r="E93" s="1190"/>
      <c r="F93" s="1190"/>
      <c r="G93" s="1190"/>
      <c r="H93" s="1190"/>
      <c r="I93" s="1190"/>
    </row>
    <row r="94" spans="2:9" x14ac:dyDescent="0.2">
      <c r="B94" s="789" t="s">
        <v>33</v>
      </c>
      <c r="C94" s="789" t="s">
        <v>47</v>
      </c>
      <c r="D94" s="789" t="s">
        <v>271</v>
      </c>
      <c r="E94" s="789" t="s">
        <v>60</v>
      </c>
      <c r="F94" s="93" t="s">
        <v>35</v>
      </c>
      <c r="G94" s="789" t="s">
        <v>60</v>
      </c>
      <c r="H94" s="93" t="s">
        <v>36</v>
      </c>
      <c r="I94" s="789" t="s">
        <v>60</v>
      </c>
    </row>
    <row r="95" spans="2:9" x14ac:dyDescent="0.2">
      <c r="B95" s="789">
        <v>2006</v>
      </c>
      <c r="C95" s="95">
        <f>'11. Final Load Forecast'!$D$34</f>
        <v>0</v>
      </c>
      <c r="D95" s="95"/>
      <c r="E95" s="95"/>
      <c r="F95" s="95">
        <f>+'11. Final Load Forecast'!$D$35</f>
        <v>0</v>
      </c>
      <c r="G95" s="95"/>
      <c r="H95" s="95">
        <f>+'11. Final Load Forecast'!$D$36</f>
        <v>0</v>
      </c>
      <c r="I95" s="95"/>
    </row>
    <row r="96" spans="2:9" x14ac:dyDescent="0.2">
      <c r="B96" s="789">
        <v>2007</v>
      </c>
      <c r="C96" s="95">
        <f>'11. Final Load Forecast'!$E$34</f>
        <v>0</v>
      </c>
      <c r="D96" s="95">
        <f t="shared" ref="D96:D105" si="24">C96-C95</f>
        <v>0</v>
      </c>
      <c r="E96" s="187" t="e">
        <f t="shared" ref="E96:E106" si="25">(C96-C95)/C95</f>
        <v>#DIV/0!</v>
      </c>
      <c r="F96" s="95">
        <f>+'11. Final Load Forecast'!$E$35</f>
        <v>0</v>
      </c>
      <c r="G96" s="187" t="e">
        <f t="shared" ref="G96:G106" si="26">(F96-F95)/F95</f>
        <v>#DIV/0!</v>
      </c>
      <c r="H96" s="95">
        <f>+'11. Final Load Forecast'!$E$36</f>
        <v>0</v>
      </c>
      <c r="I96" s="187" t="e">
        <f t="shared" ref="I96:I106" si="27">(H96-H95)/H95</f>
        <v>#DIV/0!</v>
      </c>
    </row>
    <row r="97" spans="2:9" x14ac:dyDescent="0.2">
      <c r="B97" s="789">
        <v>2008</v>
      </c>
      <c r="C97" s="95">
        <f>'11. Final Load Forecast'!$F$34</f>
        <v>0</v>
      </c>
      <c r="D97" s="95">
        <f t="shared" si="24"/>
        <v>0</v>
      </c>
      <c r="E97" s="187" t="e">
        <f t="shared" si="25"/>
        <v>#DIV/0!</v>
      </c>
      <c r="F97" s="95">
        <f>+'11. Final Load Forecast'!$F$35</f>
        <v>0</v>
      </c>
      <c r="G97" s="187" t="e">
        <f t="shared" si="26"/>
        <v>#DIV/0!</v>
      </c>
      <c r="H97" s="95">
        <f>+'11. Final Load Forecast'!$F$36</f>
        <v>0</v>
      </c>
      <c r="I97" s="187" t="e">
        <f t="shared" si="27"/>
        <v>#DIV/0!</v>
      </c>
    </row>
    <row r="98" spans="2:9" x14ac:dyDescent="0.2">
      <c r="B98" s="789">
        <v>2009</v>
      </c>
      <c r="C98" s="95">
        <f>'11. Final Load Forecast'!$G$34</f>
        <v>0</v>
      </c>
      <c r="D98" s="95">
        <f t="shared" si="24"/>
        <v>0</v>
      </c>
      <c r="E98" s="187" t="e">
        <f t="shared" si="25"/>
        <v>#DIV/0!</v>
      </c>
      <c r="F98" s="95">
        <f>+'11. Final Load Forecast'!$G$35</f>
        <v>0</v>
      </c>
      <c r="G98" s="187" t="e">
        <f t="shared" si="26"/>
        <v>#DIV/0!</v>
      </c>
      <c r="H98" s="95">
        <f>+'11. Final Load Forecast'!$G$36</f>
        <v>0</v>
      </c>
      <c r="I98" s="187" t="e">
        <f t="shared" si="27"/>
        <v>#DIV/0!</v>
      </c>
    </row>
    <row r="99" spans="2:9" x14ac:dyDescent="0.2">
      <c r="B99" s="789">
        <v>2010</v>
      </c>
      <c r="C99" s="95">
        <f>'11. Final Load Forecast'!$H$34</f>
        <v>0</v>
      </c>
      <c r="D99" s="95">
        <f t="shared" si="24"/>
        <v>0</v>
      </c>
      <c r="E99" s="187" t="e">
        <f t="shared" si="25"/>
        <v>#DIV/0!</v>
      </c>
      <c r="F99" s="95">
        <f>+'11. Final Load Forecast'!$H$35</f>
        <v>0</v>
      </c>
      <c r="G99" s="187" t="e">
        <f t="shared" si="26"/>
        <v>#DIV/0!</v>
      </c>
      <c r="H99" s="95">
        <f>+'11. Final Load Forecast'!$H$36</f>
        <v>0</v>
      </c>
      <c r="I99" s="187" t="e">
        <f t="shared" si="27"/>
        <v>#DIV/0!</v>
      </c>
    </row>
    <row r="100" spans="2:9" x14ac:dyDescent="0.2">
      <c r="B100" s="789">
        <v>2011</v>
      </c>
      <c r="C100" s="95">
        <f>'11. Final Load Forecast'!$I$34</f>
        <v>0</v>
      </c>
      <c r="D100" s="95">
        <f t="shared" si="24"/>
        <v>0</v>
      </c>
      <c r="E100" s="187" t="e">
        <f t="shared" si="25"/>
        <v>#DIV/0!</v>
      </c>
      <c r="F100" s="95">
        <f>+'11. Final Load Forecast'!$I$35</f>
        <v>0</v>
      </c>
      <c r="G100" s="187" t="e">
        <f t="shared" si="26"/>
        <v>#DIV/0!</v>
      </c>
      <c r="H100" s="95">
        <f>+'11. Final Load Forecast'!$I$36</f>
        <v>0</v>
      </c>
      <c r="I100" s="187" t="e">
        <f t="shared" si="27"/>
        <v>#DIV/0!</v>
      </c>
    </row>
    <row r="101" spans="2:9" x14ac:dyDescent="0.2">
      <c r="B101" s="789">
        <v>2012</v>
      </c>
      <c r="C101" s="95">
        <f>'11. Final Load Forecast'!$J$34</f>
        <v>0</v>
      </c>
      <c r="D101" s="95">
        <f t="shared" si="24"/>
        <v>0</v>
      </c>
      <c r="E101" s="187" t="e">
        <f t="shared" si="25"/>
        <v>#DIV/0!</v>
      </c>
      <c r="F101" s="95">
        <f>+'11. Final Load Forecast'!$J$35</f>
        <v>0</v>
      </c>
      <c r="G101" s="187" t="e">
        <f t="shared" si="26"/>
        <v>#DIV/0!</v>
      </c>
      <c r="H101" s="95">
        <f>+'11. Final Load Forecast'!$J$36</f>
        <v>0</v>
      </c>
      <c r="I101" s="187" t="e">
        <f t="shared" si="27"/>
        <v>#DIV/0!</v>
      </c>
    </row>
    <row r="102" spans="2:9" x14ac:dyDescent="0.2">
      <c r="B102" s="789">
        <v>2013</v>
      </c>
      <c r="C102" s="95">
        <f>'11. Final Load Forecast'!$K$34</f>
        <v>0</v>
      </c>
      <c r="D102" s="95">
        <f t="shared" si="24"/>
        <v>0</v>
      </c>
      <c r="E102" s="187" t="e">
        <f t="shared" si="25"/>
        <v>#DIV/0!</v>
      </c>
      <c r="F102" s="95">
        <f>+'11. Final Load Forecast'!$K$35</f>
        <v>0</v>
      </c>
      <c r="G102" s="187" t="e">
        <f t="shared" si="26"/>
        <v>#DIV/0!</v>
      </c>
      <c r="H102" s="95">
        <f>+'11. Final Load Forecast'!$K$36</f>
        <v>0</v>
      </c>
      <c r="I102" s="187" t="e">
        <f t="shared" si="27"/>
        <v>#DIV/0!</v>
      </c>
    </row>
    <row r="103" spans="2:9" x14ac:dyDescent="0.2">
      <c r="B103" s="789">
        <v>2014</v>
      </c>
      <c r="C103" s="95">
        <f>'11. Final Load Forecast'!$L$34</f>
        <v>0</v>
      </c>
      <c r="D103" s="95">
        <f t="shared" si="24"/>
        <v>0</v>
      </c>
      <c r="E103" s="187" t="e">
        <f t="shared" si="25"/>
        <v>#DIV/0!</v>
      </c>
      <c r="F103" s="95">
        <f>+'11. Final Load Forecast'!$L$35</f>
        <v>0</v>
      </c>
      <c r="G103" s="187" t="e">
        <f t="shared" si="26"/>
        <v>#DIV/0!</v>
      </c>
      <c r="H103" s="95">
        <f>+'11. Final Load Forecast'!$L$36</f>
        <v>0</v>
      </c>
      <c r="I103" s="187" t="e">
        <f t="shared" si="27"/>
        <v>#DIV/0!</v>
      </c>
    </row>
    <row r="104" spans="2:9" x14ac:dyDescent="0.2">
      <c r="B104" s="789">
        <v>2015</v>
      </c>
      <c r="C104" s="95">
        <f>'11. Final Load Forecast'!$M$34</f>
        <v>0</v>
      </c>
      <c r="D104" s="95">
        <f t="shared" si="24"/>
        <v>0</v>
      </c>
      <c r="E104" s="187" t="e">
        <f t="shared" si="25"/>
        <v>#DIV/0!</v>
      </c>
      <c r="F104" s="95">
        <f>+'11. Final Load Forecast'!$M$35</f>
        <v>0</v>
      </c>
      <c r="G104" s="187" t="e">
        <f t="shared" si="26"/>
        <v>#DIV/0!</v>
      </c>
      <c r="H104" s="95">
        <f>+'11. Final Load Forecast'!$M$36</f>
        <v>0</v>
      </c>
      <c r="I104" s="187" t="e">
        <f t="shared" si="27"/>
        <v>#DIV/0!</v>
      </c>
    </row>
    <row r="105" spans="2:9" x14ac:dyDescent="0.2">
      <c r="B105" s="789">
        <v>2016</v>
      </c>
      <c r="C105" s="95">
        <f>'11. Final Load Forecast'!$N$34</f>
        <v>0</v>
      </c>
      <c r="D105" s="95">
        <f t="shared" si="24"/>
        <v>0</v>
      </c>
      <c r="E105" s="188" t="e">
        <f t="shared" si="25"/>
        <v>#DIV/0!</v>
      </c>
      <c r="F105" s="95">
        <f>+'11. Final Load Forecast'!$N$35</f>
        <v>0</v>
      </c>
      <c r="G105" s="188" t="e">
        <f t="shared" si="26"/>
        <v>#DIV/0!</v>
      </c>
      <c r="H105" s="95">
        <f>+'11. Final Load Forecast'!$N$36</f>
        <v>0</v>
      </c>
      <c r="I105" s="188" t="e">
        <f t="shared" si="27"/>
        <v>#DIV/0!</v>
      </c>
    </row>
    <row r="106" spans="2:9" x14ac:dyDescent="0.2">
      <c r="B106" s="789">
        <v>2017</v>
      </c>
      <c r="C106" s="95">
        <f>'11. Final Load Forecast'!$O$34</f>
        <v>0</v>
      </c>
      <c r="D106" s="95">
        <f>C106-C105</f>
        <v>0</v>
      </c>
      <c r="E106" s="188" t="e">
        <f t="shared" si="25"/>
        <v>#DIV/0!</v>
      </c>
      <c r="F106" s="95">
        <f>+'11. Final Load Forecast'!$O$35</f>
        <v>0</v>
      </c>
      <c r="G106" s="188" t="e">
        <f t="shared" si="26"/>
        <v>#DIV/0!</v>
      </c>
      <c r="H106" s="95">
        <f>+'11. Final Load Forecast'!$O$36</f>
        <v>0</v>
      </c>
      <c r="I106" s="188" t="e">
        <f t="shared" si="27"/>
        <v>#DIV/0!</v>
      </c>
    </row>
    <row r="109" spans="2:9" x14ac:dyDescent="0.2">
      <c r="B109" s="1189">
        <f>+'11. Final Load Forecast'!B38</f>
        <v>0</v>
      </c>
      <c r="C109" s="1190"/>
      <c r="D109" s="1190"/>
      <c r="E109" s="1190"/>
      <c r="F109" s="1190"/>
      <c r="G109" s="1190"/>
      <c r="H109" s="1190"/>
      <c r="I109" s="1190"/>
    </row>
    <row r="110" spans="2:9" x14ac:dyDescent="0.2">
      <c r="B110" s="789" t="s">
        <v>33</v>
      </c>
      <c r="C110" s="789" t="s">
        <v>47</v>
      </c>
      <c r="D110" s="789" t="s">
        <v>271</v>
      </c>
      <c r="E110" s="789" t="s">
        <v>60</v>
      </c>
      <c r="F110" s="93" t="s">
        <v>35</v>
      </c>
      <c r="G110" s="789" t="s">
        <v>60</v>
      </c>
      <c r="H110" s="93" t="s">
        <v>36</v>
      </c>
      <c r="I110" s="789" t="s">
        <v>60</v>
      </c>
    </row>
    <row r="111" spans="2:9" x14ac:dyDescent="0.2">
      <c r="B111" s="789">
        <v>2006</v>
      </c>
      <c r="C111" s="95">
        <f>'11. Final Load Forecast'!$D$39</f>
        <v>0</v>
      </c>
      <c r="D111" s="95"/>
      <c r="E111" s="95"/>
      <c r="F111" s="95">
        <f>+'11. Final Load Forecast'!$D$39</f>
        <v>0</v>
      </c>
      <c r="G111" s="95"/>
      <c r="H111" s="95">
        <f>+'11. Final Load Forecast'!$D$40</f>
        <v>0</v>
      </c>
      <c r="I111" s="95"/>
    </row>
    <row r="112" spans="2:9" x14ac:dyDescent="0.2">
      <c r="B112" s="789">
        <v>2007</v>
      </c>
      <c r="C112" s="95">
        <f>'11. Final Load Forecast'!$E$38</f>
        <v>0</v>
      </c>
      <c r="D112" s="95">
        <f t="shared" ref="D112:D121" si="28">C112-C111</f>
        <v>0</v>
      </c>
      <c r="E112" s="187" t="e">
        <f t="shared" ref="E112:E122" si="29">(C112-C111)/C111</f>
        <v>#DIV/0!</v>
      </c>
      <c r="F112" s="95">
        <f>+'11. Final Load Forecast'!$E$39</f>
        <v>0</v>
      </c>
      <c r="G112" s="187" t="e">
        <f t="shared" ref="G112:G122" si="30">(F112-F111)/F111</f>
        <v>#DIV/0!</v>
      </c>
      <c r="H112" s="95">
        <f>+'11. Final Load Forecast'!$E$40</f>
        <v>0</v>
      </c>
      <c r="I112" s="187" t="e">
        <f t="shared" ref="I112:I122" si="31">(H112-H111)/H111</f>
        <v>#DIV/0!</v>
      </c>
    </row>
    <row r="113" spans="2:9" x14ac:dyDescent="0.2">
      <c r="B113" s="789">
        <v>2008</v>
      </c>
      <c r="C113" s="95">
        <f>'11. Final Load Forecast'!$F$38</f>
        <v>0</v>
      </c>
      <c r="D113" s="95">
        <f t="shared" si="28"/>
        <v>0</v>
      </c>
      <c r="E113" s="187" t="e">
        <f t="shared" si="29"/>
        <v>#DIV/0!</v>
      </c>
      <c r="F113" s="95">
        <f>+'11. Final Load Forecast'!$F$39</f>
        <v>0</v>
      </c>
      <c r="G113" s="187" t="e">
        <f t="shared" si="30"/>
        <v>#DIV/0!</v>
      </c>
      <c r="H113" s="95">
        <f>+'11. Final Load Forecast'!$F$40</f>
        <v>0</v>
      </c>
      <c r="I113" s="187" t="e">
        <f t="shared" si="31"/>
        <v>#DIV/0!</v>
      </c>
    </row>
    <row r="114" spans="2:9" x14ac:dyDescent="0.2">
      <c r="B114" s="789">
        <v>2009</v>
      </c>
      <c r="C114" s="95">
        <f>'11. Final Load Forecast'!$G$38</f>
        <v>0</v>
      </c>
      <c r="D114" s="95">
        <f t="shared" si="28"/>
        <v>0</v>
      </c>
      <c r="E114" s="187" t="e">
        <f t="shared" si="29"/>
        <v>#DIV/0!</v>
      </c>
      <c r="F114" s="95">
        <f>+'11. Final Load Forecast'!$G$39</f>
        <v>0</v>
      </c>
      <c r="G114" s="187" t="e">
        <f t="shared" si="30"/>
        <v>#DIV/0!</v>
      </c>
      <c r="H114" s="95">
        <f>+'11. Final Load Forecast'!$G$40</f>
        <v>0</v>
      </c>
      <c r="I114" s="187" t="e">
        <f t="shared" si="31"/>
        <v>#DIV/0!</v>
      </c>
    </row>
    <row r="115" spans="2:9" x14ac:dyDescent="0.2">
      <c r="B115" s="789">
        <v>2010</v>
      </c>
      <c r="C115" s="95">
        <f>'11. Final Load Forecast'!$H$38</f>
        <v>0</v>
      </c>
      <c r="D115" s="95">
        <f t="shared" si="28"/>
        <v>0</v>
      </c>
      <c r="E115" s="187" t="e">
        <f t="shared" si="29"/>
        <v>#DIV/0!</v>
      </c>
      <c r="F115" s="95">
        <f>+'11. Final Load Forecast'!$H$39</f>
        <v>0</v>
      </c>
      <c r="G115" s="187" t="e">
        <f t="shared" si="30"/>
        <v>#DIV/0!</v>
      </c>
      <c r="H115" s="95">
        <f>+'11. Final Load Forecast'!$H$40</f>
        <v>0</v>
      </c>
      <c r="I115" s="187" t="e">
        <f t="shared" si="31"/>
        <v>#DIV/0!</v>
      </c>
    </row>
    <row r="116" spans="2:9" x14ac:dyDescent="0.2">
      <c r="B116" s="789">
        <v>2011</v>
      </c>
      <c r="C116" s="95">
        <f>'11. Final Load Forecast'!$I$38</f>
        <v>0</v>
      </c>
      <c r="D116" s="95">
        <f t="shared" si="28"/>
        <v>0</v>
      </c>
      <c r="E116" s="187" t="e">
        <f t="shared" si="29"/>
        <v>#DIV/0!</v>
      </c>
      <c r="F116" s="95">
        <f>+'11. Final Load Forecast'!$I$39</f>
        <v>0</v>
      </c>
      <c r="G116" s="187" t="e">
        <f t="shared" si="30"/>
        <v>#DIV/0!</v>
      </c>
      <c r="H116" s="95">
        <f>+'11. Final Load Forecast'!$I$40</f>
        <v>0</v>
      </c>
      <c r="I116" s="187" t="e">
        <f t="shared" si="31"/>
        <v>#DIV/0!</v>
      </c>
    </row>
    <row r="117" spans="2:9" x14ac:dyDescent="0.2">
      <c r="B117" s="789">
        <v>2012</v>
      </c>
      <c r="C117" s="95">
        <f>'11. Final Load Forecast'!$J$38</f>
        <v>0</v>
      </c>
      <c r="D117" s="95">
        <f t="shared" si="28"/>
        <v>0</v>
      </c>
      <c r="E117" s="187" t="e">
        <f t="shared" si="29"/>
        <v>#DIV/0!</v>
      </c>
      <c r="F117" s="95">
        <f>+'11. Final Load Forecast'!$J$39</f>
        <v>0</v>
      </c>
      <c r="G117" s="187" t="e">
        <f t="shared" si="30"/>
        <v>#DIV/0!</v>
      </c>
      <c r="H117" s="95">
        <f>+'11. Final Load Forecast'!$J$40</f>
        <v>0</v>
      </c>
      <c r="I117" s="187" t="e">
        <f t="shared" si="31"/>
        <v>#DIV/0!</v>
      </c>
    </row>
    <row r="118" spans="2:9" x14ac:dyDescent="0.2">
      <c r="B118" s="789">
        <v>2013</v>
      </c>
      <c r="C118" s="95">
        <f>'11. Final Load Forecast'!$K$38</f>
        <v>0</v>
      </c>
      <c r="D118" s="95">
        <f t="shared" si="28"/>
        <v>0</v>
      </c>
      <c r="E118" s="187" t="e">
        <f t="shared" si="29"/>
        <v>#DIV/0!</v>
      </c>
      <c r="F118" s="95">
        <f>+'11. Final Load Forecast'!$K$39</f>
        <v>0</v>
      </c>
      <c r="G118" s="187" t="e">
        <f t="shared" si="30"/>
        <v>#DIV/0!</v>
      </c>
      <c r="H118" s="95">
        <f>+'11. Final Load Forecast'!$K$40</f>
        <v>0</v>
      </c>
      <c r="I118" s="187" t="e">
        <f t="shared" si="31"/>
        <v>#DIV/0!</v>
      </c>
    </row>
    <row r="119" spans="2:9" x14ac:dyDescent="0.2">
      <c r="B119" s="789">
        <v>2014</v>
      </c>
      <c r="C119" s="95">
        <f>'11. Final Load Forecast'!$L$38</f>
        <v>0</v>
      </c>
      <c r="D119" s="95">
        <f t="shared" si="28"/>
        <v>0</v>
      </c>
      <c r="E119" s="187" t="e">
        <f t="shared" si="29"/>
        <v>#DIV/0!</v>
      </c>
      <c r="F119" s="95">
        <f>+'11. Final Load Forecast'!$L$39</f>
        <v>0</v>
      </c>
      <c r="G119" s="187" t="e">
        <f t="shared" si="30"/>
        <v>#DIV/0!</v>
      </c>
      <c r="H119" s="95">
        <f>+'11. Final Load Forecast'!$L$40</f>
        <v>0</v>
      </c>
      <c r="I119" s="187" t="e">
        <f t="shared" si="31"/>
        <v>#DIV/0!</v>
      </c>
    </row>
    <row r="120" spans="2:9" x14ac:dyDescent="0.2">
      <c r="B120" s="789">
        <v>2015</v>
      </c>
      <c r="C120" s="95">
        <f>'11. Final Load Forecast'!$M$38</f>
        <v>0</v>
      </c>
      <c r="D120" s="95">
        <f t="shared" si="28"/>
        <v>0</v>
      </c>
      <c r="E120" s="187" t="e">
        <f t="shared" si="29"/>
        <v>#DIV/0!</v>
      </c>
      <c r="F120" s="95">
        <f>+'11. Final Load Forecast'!$M$39</f>
        <v>0</v>
      </c>
      <c r="G120" s="187" t="e">
        <f t="shared" si="30"/>
        <v>#DIV/0!</v>
      </c>
      <c r="H120" s="95">
        <f>+'11. Final Load Forecast'!$M$40</f>
        <v>0</v>
      </c>
      <c r="I120" s="187" t="e">
        <f t="shared" si="31"/>
        <v>#DIV/0!</v>
      </c>
    </row>
    <row r="121" spans="2:9" x14ac:dyDescent="0.2">
      <c r="B121" s="789">
        <v>2016</v>
      </c>
      <c r="C121" s="95">
        <f>'11. Final Load Forecast'!$N$38</f>
        <v>0</v>
      </c>
      <c r="D121" s="95">
        <f t="shared" si="28"/>
        <v>0</v>
      </c>
      <c r="E121" s="188" t="e">
        <f t="shared" si="29"/>
        <v>#DIV/0!</v>
      </c>
      <c r="F121" s="95">
        <f>+'11. Final Load Forecast'!$N$39</f>
        <v>0</v>
      </c>
      <c r="G121" s="188" t="e">
        <f t="shared" si="30"/>
        <v>#DIV/0!</v>
      </c>
      <c r="H121" s="95">
        <f>+'11. Final Load Forecast'!$N$40</f>
        <v>0</v>
      </c>
      <c r="I121" s="188" t="e">
        <f t="shared" si="31"/>
        <v>#DIV/0!</v>
      </c>
    </row>
    <row r="122" spans="2:9" x14ac:dyDescent="0.2">
      <c r="B122" s="789">
        <v>2017</v>
      </c>
      <c r="C122" s="95">
        <f>'11. Final Load Forecast'!$O$38</f>
        <v>0</v>
      </c>
      <c r="D122" s="95">
        <f>C122-C121</f>
        <v>0</v>
      </c>
      <c r="E122" s="188" t="e">
        <f t="shared" si="29"/>
        <v>#DIV/0!</v>
      </c>
      <c r="F122" s="95">
        <f>+'11. Final Load Forecast'!$O$39</f>
        <v>0</v>
      </c>
      <c r="G122" s="188" t="e">
        <f t="shared" si="30"/>
        <v>#DIV/0!</v>
      </c>
      <c r="H122" s="95">
        <f>+'11. Final Load Forecast'!$O$40</f>
        <v>0</v>
      </c>
      <c r="I122" s="188" t="e">
        <f t="shared" si="31"/>
        <v>#DIV/0!</v>
      </c>
    </row>
  </sheetData>
  <mergeCells count="8">
    <mergeCell ref="M13:T13"/>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A11" sqref="A11"/>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28" customFormat="1" x14ac:dyDescent="0.2">
      <c r="A1" s="744" t="s">
        <v>264</v>
      </c>
    </row>
    <row r="2" spans="1:13" s="528" customFormat="1" x14ac:dyDescent="0.2"/>
    <row r="3" spans="1:13" s="528" customFormat="1" x14ac:dyDescent="0.2"/>
    <row r="4" spans="1:13" s="528" customFormat="1" x14ac:dyDescent="0.2"/>
    <row r="5" spans="1:13" s="528" customFormat="1" x14ac:dyDescent="0.2"/>
    <row r="6" spans="1:13" s="528" customFormat="1" x14ac:dyDescent="0.2"/>
    <row r="7" spans="1:13" s="528" customFormat="1" x14ac:dyDescent="0.2"/>
    <row r="8" spans="1:13" s="528" customFormat="1" x14ac:dyDescent="0.2"/>
    <row r="9" spans="1:13" s="528" customFormat="1" x14ac:dyDescent="0.2"/>
    <row r="10" spans="1:13" ht="12.75" customHeight="1" x14ac:dyDescent="0.2">
      <c r="B10" s="1043"/>
      <c r="C10" s="1043"/>
      <c r="D10" s="1043"/>
      <c r="E10" s="1043"/>
      <c r="F10" s="1043"/>
      <c r="G10" s="1043"/>
      <c r="H10" s="1043"/>
      <c r="I10" s="1043"/>
      <c r="J10" s="508"/>
      <c r="K10" s="508"/>
      <c r="L10" s="508"/>
      <c r="M10" s="508"/>
    </row>
    <row r="11" spans="1:13" ht="23.25" x14ac:dyDescent="0.2">
      <c r="B11" s="1044" t="s">
        <v>145</v>
      </c>
      <c r="C11" s="1044"/>
      <c r="D11" s="162"/>
      <c r="E11"/>
      <c r="F11" s="137"/>
      <c r="G11" s="137"/>
      <c r="H11" s="137"/>
    </row>
    <row r="12" spans="1:13" ht="18.75" thickBot="1" x14ac:dyDescent="0.25">
      <c r="C12" s="137"/>
      <c r="D12" s="137"/>
      <c r="E12" s="137"/>
      <c r="F12" s="137"/>
      <c r="G12" s="137"/>
      <c r="H12" s="137"/>
      <c r="I12" s="137"/>
      <c r="J12" s="137"/>
    </row>
    <row r="13" spans="1:13" ht="72" customHeight="1" x14ac:dyDescent="0.2">
      <c r="B13" s="725" t="s">
        <v>94</v>
      </c>
      <c r="C13" s="726" t="s">
        <v>122</v>
      </c>
      <c r="D13" s="727" t="s">
        <v>123</v>
      </c>
      <c r="E13"/>
      <c r="F13"/>
    </row>
    <row r="14" spans="1:13" x14ac:dyDescent="0.2">
      <c r="B14" s="721" t="s">
        <v>6</v>
      </c>
      <c r="C14" s="750" t="s">
        <v>121</v>
      </c>
      <c r="D14" s="751" t="s">
        <v>124</v>
      </c>
      <c r="F14" s="1046" t="s">
        <v>167</v>
      </c>
      <c r="G14" s="1046"/>
      <c r="I14" s="509" t="s">
        <v>35</v>
      </c>
    </row>
    <row r="15" spans="1:13" x14ac:dyDescent="0.2">
      <c r="B15" s="721" t="s">
        <v>95</v>
      </c>
      <c r="C15" s="750" t="s">
        <v>121</v>
      </c>
      <c r="D15" s="751" t="s">
        <v>124</v>
      </c>
      <c r="E15" s="720"/>
      <c r="F15" s="1046"/>
      <c r="G15" s="1046"/>
      <c r="I15" s="509" t="s">
        <v>35</v>
      </c>
    </row>
    <row r="16" spans="1:13" x14ac:dyDescent="0.2">
      <c r="B16" s="721" t="s">
        <v>102</v>
      </c>
      <c r="C16" s="750" t="s">
        <v>41</v>
      </c>
      <c r="D16" s="751" t="s">
        <v>41</v>
      </c>
      <c r="E16" s="720"/>
      <c r="F16" s="1046"/>
      <c r="G16" s="1046"/>
      <c r="I16" s="509" t="s">
        <v>35</v>
      </c>
    </row>
    <row r="17" spans="2:9" ht="13.5" thickBot="1" x14ac:dyDescent="0.25">
      <c r="B17" s="722"/>
      <c r="C17" s="752" t="s">
        <v>124</v>
      </c>
      <c r="D17" s="753" t="s">
        <v>124</v>
      </c>
      <c r="E17" s="720"/>
      <c r="F17" s="1046"/>
      <c r="G17" s="1046"/>
    </row>
    <row r="18" spans="2:9" ht="13.5" customHeight="1" x14ac:dyDescent="0.2">
      <c r="B18" s="723" t="s">
        <v>260</v>
      </c>
      <c r="C18" s="754" t="s">
        <v>121</v>
      </c>
      <c r="D18" s="755" t="s">
        <v>41</v>
      </c>
      <c r="E18"/>
      <c r="F18" s="1047" t="s">
        <v>168</v>
      </c>
      <c r="G18" s="1047"/>
      <c r="I18" s="509" t="s">
        <v>36</v>
      </c>
    </row>
    <row r="19" spans="2:9" x14ac:dyDescent="0.2">
      <c r="B19" s="724" t="s">
        <v>101</v>
      </c>
      <c r="C19" s="750" t="s">
        <v>41</v>
      </c>
      <c r="D19" s="751" t="s">
        <v>41</v>
      </c>
      <c r="E19"/>
      <c r="F19" s="1047"/>
      <c r="G19" s="1047"/>
      <c r="I19" s="509" t="s">
        <v>36</v>
      </c>
    </row>
    <row r="20" spans="2:9" ht="13.5" thickBot="1" x14ac:dyDescent="0.25">
      <c r="B20" s="728"/>
      <c r="C20" s="756" t="s">
        <v>124</v>
      </c>
      <c r="D20" s="757" t="s">
        <v>124</v>
      </c>
      <c r="E20"/>
      <c r="F20" s="1047"/>
      <c r="G20" s="1047"/>
      <c r="I20" s="509" t="s">
        <v>36</v>
      </c>
    </row>
    <row r="21" spans="2:9" ht="13.5" thickBot="1" x14ac:dyDescent="0.25">
      <c r="B21" s="729"/>
      <c r="C21" s="758" t="s">
        <v>124</v>
      </c>
      <c r="D21" s="759" t="s">
        <v>124</v>
      </c>
      <c r="E21"/>
      <c r="F21" s="502"/>
      <c r="G21" s="502"/>
      <c r="I21" s="509" t="s">
        <v>36</v>
      </c>
    </row>
    <row r="22" spans="2:9" hidden="1" x14ac:dyDescent="0.2">
      <c r="B22" s="499" t="s">
        <v>103</v>
      </c>
      <c r="C22" s="500" t="s">
        <v>124</v>
      </c>
      <c r="D22" s="501" t="s">
        <v>124</v>
      </c>
      <c r="E22"/>
      <c r="F22"/>
    </row>
    <row r="23" spans="2:9" ht="13.5" hidden="1" thickBot="1" x14ac:dyDescent="0.25">
      <c r="B23" s="286" t="s">
        <v>103</v>
      </c>
      <c r="C23" s="284" t="s">
        <v>124</v>
      </c>
      <c r="D23" s="285" t="s">
        <v>124</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09"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topLeftCell="A16" workbookViewId="0">
      <selection activeCell="B52" sqref="B52:B54"/>
    </sheetView>
  </sheetViews>
  <sheetFormatPr defaultRowHeight="12.75" x14ac:dyDescent="0.2"/>
  <cols>
    <col min="1" max="1" width="30.1640625" style="257" customWidth="1"/>
    <col min="2" max="10" width="18.6640625" style="257" customWidth="1"/>
    <col min="11" max="16384" width="9.33203125" style="257"/>
  </cols>
  <sheetData>
    <row r="1" spans="1:12" x14ac:dyDescent="0.2">
      <c r="I1" s="836" t="s">
        <v>442</v>
      </c>
      <c r="J1" s="837">
        <v>0</v>
      </c>
      <c r="K1" s="837"/>
    </row>
    <row r="2" spans="1:12" x14ac:dyDescent="0.2">
      <c r="I2" s="836" t="s">
        <v>443</v>
      </c>
      <c r="J2" s="838"/>
    </row>
    <row r="3" spans="1:12" x14ac:dyDescent="0.2">
      <c r="I3" s="836" t="s">
        <v>444</v>
      </c>
      <c r="J3" s="838"/>
    </row>
    <row r="4" spans="1:12" x14ac:dyDescent="0.2">
      <c r="I4" s="836" t="s">
        <v>445</v>
      </c>
      <c r="J4" s="838"/>
    </row>
    <row r="5" spans="1:12" x14ac:dyDescent="0.2">
      <c r="I5" s="836" t="s">
        <v>446</v>
      </c>
      <c r="J5" s="839"/>
    </row>
    <row r="6" spans="1:12" x14ac:dyDescent="0.2">
      <c r="I6" s="836"/>
      <c r="J6" s="840"/>
    </row>
    <row r="7" spans="1:12" x14ac:dyDescent="0.2">
      <c r="I7" s="836" t="s">
        <v>447</v>
      </c>
      <c r="J7" s="839"/>
    </row>
    <row r="9" spans="1:12" ht="18" x14ac:dyDescent="0.25">
      <c r="A9" s="1147" t="s">
        <v>448</v>
      </c>
      <c r="B9" s="1147"/>
      <c r="C9" s="1147"/>
      <c r="D9" s="1147"/>
      <c r="E9" s="1147"/>
      <c r="F9" s="1147"/>
      <c r="G9" s="1147"/>
      <c r="H9" s="1147"/>
      <c r="I9" s="1147"/>
      <c r="J9" s="1147"/>
      <c r="K9" s="841"/>
      <c r="L9" s="841"/>
    </row>
    <row r="10" spans="1:12" ht="18" x14ac:dyDescent="0.25">
      <c r="A10" s="1147" t="s">
        <v>449</v>
      </c>
      <c r="B10" s="1147"/>
      <c r="C10" s="1147"/>
      <c r="D10" s="1147"/>
      <c r="E10" s="1147"/>
      <c r="F10" s="1147"/>
      <c r="G10" s="1147"/>
      <c r="H10" s="1147"/>
      <c r="I10" s="1147"/>
      <c r="J10" s="1147"/>
      <c r="K10" s="841"/>
      <c r="L10" s="841"/>
    </row>
    <row r="11" spans="1:12" x14ac:dyDescent="0.2">
      <c r="A11" s="244"/>
      <c r="B11" s="244"/>
      <c r="C11" s="244"/>
      <c r="D11" s="244"/>
      <c r="E11" s="244"/>
      <c r="F11" s="244"/>
      <c r="G11" s="244"/>
      <c r="H11" s="244"/>
      <c r="I11" s="244"/>
      <c r="J11" s="244"/>
    </row>
    <row r="12" spans="1:12" x14ac:dyDescent="0.2">
      <c r="A12" s="244" t="s">
        <v>450</v>
      </c>
      <c r="B12" s="244"/>
      <c r="C12" s="244"/>
      <c r="D12" s="244"/>
      <c r="E12" s="244"/>
      <c r="F12" s="244"/>
      <c r="G12" s="244"/>
      <c r="H12" s="244"/>
      <c r="I12" s="244"/>
      <c r="J12" s="244"/>
    </row>
    <row r="13" spans="1:12" x14ac:dyDescent="0.2">
      <c r="A13" s="244"/>
      <c r="B13" s="244"/>
      <c r="C13" s="244"/>
      <c r="D13" s="244"/>
      <c r="E13" s="244"/>
      <c r="F13" s="244"/>
      <c r="G13" s="244"/>
      <c r="H13" s="244"/>
      <c r="I13" s="244"/>
      <c r="J13" s="244"/>
    </row>
    <row r="14" spans="1:12" ht="25.5" x14ac:dyDescent="0.2">
      <c r="A14" s="851"/>
      <c r="B14" s="842" t="s">
        <v>465</v>
      </c>
      <c r="C14" s="842">
        <v>2010</v>
      </c>
      <c r="D14" s="842">
        <v>2011</v>
      </c>
      <c r="E14" s="842">
        <v>2012</v>
      </c>
      <c r="F14" s="842">
        <v>2013</v>
      </c>
      <c r="G14" s="842">
        <v>2014</v>
      </c>
      <c r="H14" s="842">
        <v>2015</v>
      </c>
      <c r="I14" s="842">
        <v>2016</v>
      </c>
      <c r="J14" s="842">
        <v>2017</v>
      </c>
      <c r="K14" s="843"/>
      <c r="L14" s="843"/>
    </row>
    <row r="15" spans="1:12" x14ac:dyDescent="0.2">
      <c r="A15" s="850" t="str">
        <f>'11. Final Load Forecast'!B14</f>
        <v>Residential</v>
      </c>
      <c r="B15" s="852"/>
      <c r="C15" s="852"/>
      <c r="D15" s="852"/>
      <c r="E15" s="852"/>
      <c r="F15" s="852"/>
      <c r="G15" s="852"/>
      <c r="H15" s="852"/>
      <c r="I15" s="852"/>
      <c r="J15" s="852"/>
    </row>
    <row r="16" spans="1:12" x14ac:dyDescent="0.2">
      <c r="A16" s="845" t="s">
        <v>451</v>
      </c>
      <c r="B16" s="853">
        <v>3635</v>
      </c>
      <c r="C16" s="853">
        <f>'11. Final Load Forecast'!H14</f>
        <v>3654</v>
      </c>
      <c r="D16" s="853">
        <f>'11. Final Load Forecast'!I14</f>
        <v>3687</v>
      </c>
      <c r="E16" s="853">
        <f>'11. Final Load Forecast'!J14</f>
        <v>3707</v>
      </c>
      <c r="F16" s="853">
        <f>'11. Final Load Forecast'!K14</f>
        <v>3730</v>
      </c>
      <c r="G16" s="853">
        <f>'11. Final Load Forecast'!L14</f>
        <v>3760</v>
      </c>
      <c r="H16" s="853">
        <f>'11. Final Load Forecast'!M14</f>
        <v>3779</v>
      </c>
      <c r="I16" s="853">
        <f>'11. Final Load Forecast'!N14</f>
        <v>3806.8908831500453</v>
      </c>
      <c r="J16" s="853">
        <f>'11. Final Load Forecast'!O14</f>
        <v>3834.9876147687037</v>
      </c>
    </row>
    <row r="17" spans="1:10" x14ac:dyDescent="0.2">
      <c r="A17" s="846" t="s">
        <v>35</v>
      </c>
      <c r="B17" s="853">
        <v>31881465</v>
      </c>
      <c r="C17" s="853">
        <f>'11. Final Load Forecast'!H15</f>
        <v>30305144</v>
      </c>
      <c r="D17" s="853">
        <f>'11. Final Load Forecast'!I15</f>
        <v>30085520</v>
      </c>
      <c r="E17" s="853">
        <f>'11. Final Load Forecast'!J15</f>
        <v>29994156</v>
      </c>
      <c r="F17" s="853">
        <f>'11. Final Load Forecast'!K15</f>
        <v>30486731</v>
      </c>
      <c r="G17" s="853">
        <f>'11. Final Load Forecast'!L15</f>
        <v>30037011</v>
      </c>
      <c r="H17" s="853">
        <f>'11. Final Load Forecast'!M15</f>
        <v>29589162</v>
      </c>
      <c r="I17" s="853">
        <f>'11. Final Load Forecast'!N15</f>
        <v>30348059.666272782</v>
      </c>
      <c r="J17" s="853">
        <f>'11. Final Load Forecast'!O15</f>
        <v>29993952.47426898</v>
      </c>
    </row>
    <row r="18" spans="1:10" x14ac:dyDescent="0.2">
      <c r="A18" s="846" t="s">
        <v>36</v>
      </c>
      <c r="B18" s="853"/>
      <c r="C18" s="853"/>
      <c r="D18" s="853"/>
      <c r="E18" s="853"/>
      <c r="F18" s="853"/>
      <c r="G18" s="853"/>
      <c r="H18" s="853"/>
      <c r="I18" s="853"/>
      <c r="J18" s="853"/>
    </row>
    <row r="19" spans="1:10" x14ac:dyDescent="0.2">
      <c r="A19" s="847" t="s">
        <v>452</v>
      </c>
      <c r="B19" s="854"/>
      <c r="C19" s="854"/>
      <c r="D19" s="854"/>
      <c r="E19" s="854"/>
      <c r="F19" s="854"/>
      <c r="G19" s="854"/>
      <c r="H19" s="854"/>
      <c r="I19" s="854"/>
      <c r="J19" s="854"/>
    </row>
    <row r="20" spans="1:10" x14ac:dyDescent="0.2">
      <c r="A20" s="846" t="str">
        <f>A16</f>
        <v># of Customers</v>
      </c>
      <c r="B20" s="848"/>
      <c r="C20" s="848"/>
      <c r="D20" s="848"/>
      <c r="E20" s="855">
        <f>IF(ISERROR((E16-$B16)/$B16), 0, (E16-$B16)/$B16)</f>
        <v>1.9807427785419534E-2</v>
      </c>
      <c r="F20" s="855">
        <f t="shared" ref="F20:J20" si="0">IF(ISERROR((F16-$B16)/$B16), 0, (F16-$B16)/$B16)</f>
        <v>2.6134800550206328E-2</v>
      </c>
      <c r="G20" s="855">
        <f t="shared" si="0"/>
        <v>3.4387895460797797E-2</v>
      </c>
      <c r="H20" s="855">
        <f t="shared" si="0"/>
        <v>3.9614855570839068E-2</v>
      </c>
      <c r="I20" s="855">
        <f t="shared" ref="I20" si="1">IF(ISERROR((I16-$B16)/$B16), 0, (I16-$B16)/$B16)</f>
        <v>4.7287725763423737E-2</v>
      </c>
      <c r="J20" s="855">
        <f t="shared" si="0"/>
        <v>5.5017225520963872E-2</v>
      </c>
    </row>
    <row r="21" spans="1:10" x14ac:dyDescent="0.2">
      <c r="A21" s="846" t="s">
        <v>35</v>
      </c>
      <c r="B21" s="848"/>
      <c r="C21" s="848"/>
      <c r="D21" s="848"/>
      <c r="E21" s="855">
        <f t="shared" ref="E21:J22" si="2">IF(ISERROR((E17-$B17)/$B17), 0, (E17-$B17)/$B17)</f>
        <v>-5.919768743374873E-2</v>
      </c>
      <c r="F21" s="855">
        <f t="shared" si="2"/>
        <v>-4.3747487764442441E-2</v>
      </c>
      <c r="G21" s="855">
        <f t="shared" si="2"/>
        <v>-5.7853489480486547E-2</v>
      </c>
      <c r="H21" s="855">
        <f t="shared" si="2"/>
        <v>-7.1900805060244252E-2</v>
      </c>
      <c r="I21" s="855">
        <f t="shared" ref="I21" si="3">IF(ISERROR((I17-$B17)/$B17), 0, (I17-$B17)/$B17)</f>
        <v>-4.8097078780012723E-2</v>
      </c>
      <c r="J21" s="855">
        <f t="shared" si="2"/>
        <v>-5.920407125993174E-2</v>
      </c>
    </row>
    <row r="22" spans="1:10" x14ac:dyDescent="0.2">
      <c r="A22" s="846" t="s">
        <v>36</v>
      </c>
      <c r="B22" s="848"/>
      <c r="C22" s="848"/>
      <c r="D22" s="848"/>
      <c r="E22" s="855">
        <f t="shared" si="2"/>
        <v>0</v>
      </c>
      <c r="F22" s="855">
        <f t="shared" si="2"/>
        <v>0</v>
      </c>
      <c r="G22" s="855">
        <f t="shared" si="2"/>
        <v>0</v>
      </c>
      <c r="H22" s="855">
        <f t="shared" si="2"/>
        <v>0</v>
      </c>
      <c r="I22" s="855">
        <f t="shared" ref="I22" si="4">IF(ISERROR((I18-$B18)/$B18), 0, (I18-$B18)/$B18)</f>
        <v>0</v>
      </c>
      <c r="J22" s="855">
        <f t="shared" si="2"/>
        <v>0</v>
      </c>
    </row>
    <row r="23" spans="1:10" x14ac:dyDescent="0.2">
      <c r="A23" s="268"/>
      <c r="B23" s="244"/>
      <c r="C23" s="244"/>
      <c r="D23" s="244"/>
      <c r="E23" s="244"/>
      <c r="F23" s="244"/>
      <c r="G23" s="244"/>
      <c r="H23" s="244"/>
      <c r="I23" s="244"/>
      <c r="J23" s="244"/>
    </row>
    <row r="24" spans="1:10" x14ac:dyDescent="0.2">
      <c r="A24" s="850" t="str">
        <f>'11. Final Load Forecast'!B18</f>
        <v>General Service &lt; 50 kW</v>
      </c>
      <c r="B24" s="852"/>
      <c r="C24" s="852"/>
      <c r="D24" s="852"/>
      <c r="E24" s="852"/>
      <c r="F24" s="852"/>
      <c r="G24" s="852"/>
      <c r="H24" s="852"/>
      <c r="I24" s="852"/>
      <c r="J24" s="852"/>
    </row>
    <row r="25" spans="1:10" x14ac:dyDescent="0.2">
      <c r="A25" s="845" t="s">
        <v>451</v>
      </c>
      <c r="B25" s="853">
        <v>447</v>
      </c>
      <c r="C25" s="853">
        <f>'11. Final Load Forecast'!H18</f>
        <v>442</v>
      </c>
      <c r="D25" s="853">
        <f>'11. Final Load Forecast'!I18</f>
        <v>437</v>
      </c>
      <c r="E25" s="853">
        <f>'11. Final Load Forecast'!J18</f>
        <v>435</v>
      </c>
      <c r="F25" s="853">
        <f>'11. Final Load Forecast'!K18</f>
        <v>428</v>
      </c>
      <c r="G25" s="853">
        <f>'11. Final Load Forecast'!L18</f>
        <v>428</v>
      </c>
      <c r="H25" s="853">
        <f>'11. Final Load Forecast'!M18</f>
        <v>430</v>
      </c>
      <c r="I25" s="853">
        <f>'11. Final Load Forecast'!N18</f>
        <v>421.7412356106833</v>
      </c>
      <c r="J25" s="853">
        <f>'11. Final Load Forecast'!O18</f>
        <v>413.64109259168811</v>
      </c>
    </row>
    <row r="26" spans="1:10" x14ac:dyDescent="0.2">
      <c r="A26" s="846" t="s">
        <v>35</v>
      </c>
      <c r="B26" s="853">
        <v>12958689</v>
      </c>
      <c r="C26" s="853">
        <f>'11. Final Load Forecast'!H19</f>
        <v>12427065</v>
      </c>
      <c r="D26" s="853">
        <f>'11. Final Load Forecast'!I19</f>
        <v>11962164</v>
      </c>
      <c r="E26" s="853">
        <f>'11. Final Load Forecast'!J19</f>
        <v>11672310</v>
      </c>
      <c r="F26" s="853">
        <f>'11. Final Load Forecast'!K19</f>
        <v>11531242</v>
      </c>
      <c r="G26" s="853">
        <f>'11. Final Load Forecast'!L19</f>
        <v>11294125</v>
      </c>
      <c r="H26" s="853">
        <f>'11. Final Load Forecast'!M19</f>
        <v>10843312</v>
      </c>
      <c r="I26" s="853">
        <f>'11. Final Load Forecast'!N19</f>
        <v>12325609.78277586</v>
      </c>
      <c r="J26" s="853">
        <f>'11. Final Load Forecast'!O19</f>
        <v>12181792.118058274</v>
      </c>
    </row>
    <row r="27" spans="1:10" x14ac:dyDescent="0.2">
      <c r="A27" s="846" t="s">
        <v>36</v>
      </c>
      <c r="B27" s="853"/>
      <c r="C27" s="853"/>
      <c r="D27" s="853"/>
      <c r="E27" s="853"/>
      <c r="F27" s="853"/>
      <c r="G27" s="853"/>
      <c r="H27" s="853"/>
      <c r="I27" s="853"/>
      <c r="J27" s="853"/>
    </row>
    <row r="28" spans="1:10" x14ac:dyDescent="0.2">
      <c r="A28" s="847" t="s">
        <v>452</v>
      </c>
      <c r="B28" s="854"/>
      <c r="C28" s="854"/>
      <c r="D28" s="854"/>
      <c r="E28" s="854"/>
      <c r="F28" s="854"/>
      <c r="G28" s="854"/>
      <c r="H28" s="854"/>
      <c r="I28" s="854"/>
      <c r="J28" s="854"/>
    </row>
    <row r="29" spans="1:10" x14ac:dyDescent="0.2">
      <c r="A29" s="846" t="str">
        <f>A25</f>
        <v># of Customers</v>
      </c>
      <c r="B29" s="848"/>
      <c r="C29" s="848"/>
      <c r="D29" s="848"/>
      <c r="E29" s="855">
        <f>IF(ISERROR((E25-$B25)/$B25), 0, (E25-$B25)/$B25)</f>
        <v>-2.6845637583892617E-2</v>
      </c>
      <c r="F29" s="855">
        <f t="shared" ref="F29:J29" si="5">IF(ISERROR((F25-$B25)/$B25), 0, (F25-$B25)/$B25)</f>
        <v>-4.2505592841163314E-2</v>
      </c>
      <c r="G29" s="855">
        <f t="shared" si="5"/>
        <v>-4.2505592841163314E-2</v>
      </c>
      <c r="H29" s="855">
        <f t="shared" si="5"/>
        <v>-3.803131991051454E-2</v>
      </c>
      <c r="I29" s="855">
        <f t="shared" ref="I29" si="6">IF(ISERROR((I25-$B25)/$B25), 0, (I25-$B25)/$B25)</f>
        <v>-5.6507302884377393E-2</v>
      </c>
      <c r="J29" s="855">
        <f t="shared" si="5"/>
        <v>-7.4628428206514302E-2</v>
      </c>
    </row>
    <row r="30" spans="1:10" x14ac:dyDescent="0.2">
      <c r="A30" s="846" t="s">
        <v>35</v>
      </c>
      <c r="B30" s="848"/>
      <c r="C30" s="848"/>
      <c r="D30" s="848"/>
      <c r="E30" s="855">
        <f t="shared" ref="E30:J31" si="7">IF(ISERROR((E26-$B26)/$B26), 0, (E26-$B26)/$B26)</f>
        <v>-9.9267680550092677E-2</v>
      </c>
      <c r="F30" s="855">
        <f t="shared" si="7"/>
        <v>-0.11015365829058789</v>
      </c>
      <c r="G30" s="855">
        <f t="shared" si="7"/>
        <v>-0.12845157407512442</v>
      </c>
      <c r="H30" s="855">
        <f t="shared" si="7"/>
        <v>-0.1632400468905458</v>
      </c>
      <c r="I30" s="855">
        <f t="shared" ref="I30" si="8">IF(ISERROR((I26-$B26)/$B26), 0, (I26-$B26)/$B26)</f>
        <v>-4.8853646940993777E-2</v>
      </c>
      <c r="J30" s="855">
        <f t="shared" si="7"/>
        <v>-5.9951811633239011E-2</v>
      </c>
    </row>
    <row r="31" spans="1:10" x14ac:dyDescent="0.2">
      <c r="A31" s="846" t="s">
        <v>36</v>
      </c>
      <c r="B31" s="848"/>
      <c r="C31" s="848"/>
      <c r="D31" s="848"/>
      <c r="E31" s="855">
        <f t="shared" si="7"/>
        <v>0</v>
      </c>
      <c r="F31" s="855">
        <f t="shared" si="7"/>
        <v>0</v>
      </c>
      <c r="G31" s="855">
        <f t="shared" si="7"/>
        <v>0</v>
      </c>
      <c r="H31" s="855">
        <f t="shared" si="7"/>
        <v>0</v>
      </c>
      <c r="I31" s="855">
        <f t="shared" ref="I31" si="9">IF(ISERROR((I27-$B27)/$B27), 0, (I27-$B27)/$B27)</f>
        <v>0</v>
      </c>
      <c r="J31" s="855">
        <f t="shared" si="7"/>
        <v>0</v>
      </c>
    </row>
    <row r="32" spans="1:10" x14ac:dyDescent="0.2">
      <c r="A32" s="268"/>
      <c r="B32" s="244"/>
      <c r="C32" s="244"/>
      <c r="D32" s="244"/>
      <c r="E32" s="244"/>
      <c r="F32" s="244"/>
      <c r="G32" s="244"/>
      <c r="H32" s="244"/>
      <c r="I32" s="244"/>
      <c r="J32" s="244"/>
    </row>
    <row r="33" spans="1:10" x14ac:dyDescent="0.2">
      <c r="A33" s="850" t="str">
        <f>'11. Final Load Forecast'!B22</f>
        <v>Unmetered Scattered Load</v>
      </c>
      <c r="B33" s="852"/>
      <c r="C33" s="852"/>
      <c r="D33" s="852"/>
      <c r="E33" s="852"/>
      <c r="F33" s="852"/>
      <c r="G33" s="852"/>
      <c r="H33" s="852"/>
      <c r="I33" s="852"/>
      <c r="J33" s="852"/>
    </row>
    <row r="34" spans="1:10" x14ac:dyDescent="0.2">
      <c r="A34" s="845" t="s">
        <v>451</v>
      </c>
      <c r="B34" s="853">
        <v>30</v>
      </c>
      <c r="C34" s="853">
        <f>'11. Final Load Forecast'!H22</f>
        <v>34</v>
      </c>
      <c r="D34" s="853">
        <f>'11. Final Load Forecast'!I22</f>
        <v>34</v>
      </c>
      <c r="E34" s="853">
        <f>'11. Final Load Forecast'!J22</f>
        <v>34</v>
      </c>
      <c r="F34" s="853">
        <f>'11. Final Load Forecast'!K22</f>
        <v>33</v>
      </c>
      <c r="G34" s="853">
        <f>'11. Final Load Forecast'!L22</f>
        <v>33</v>
      </c>
      <c r="H34" s="853">
        <f>'11. Final Load Forecast'!M22</f>
        <v>33</v>
      </c>
      <c r="I34" s="853">
        <f>'11. Final Load Forecast'!N22</f>
        <v>33.607977220079128</v>
      </c>
      <c r="J34" s="853">
        <f>'11. Final Load Forecast'!O22</f>
        <v>34.227155540162357</v>
      </c>
    </row>
    <row r="35" spans="1:10" x14ac:dyDescent="0.2">
      <c r="A35" s="846" t="s">
        <v>35</v>
      </c>
      <c r="B35" s="853">
        <v>142827</v>
      </c>
      <c r="C35" s="853">
        <f>'11. Final Load Forecast'!H23</f>
        <v>150176</v>
      </c>
      <c r="D35" s="853">
        <f>'11. Final Load Forecast'!I23</f>
        <v>158921</v>
      </c>
      <c r="E35" s="853">
        <f>'11. Final Load Forecast'!J23</f>
        <v>158811</v>
      </c>
      <c r="F35" s="853">
        <f>'11. Final Load Forecast'!K23</f>
        <v>155619</v>
      </c>
      <c r="G35" s="853">
        <f>'11. Final Load Forecast'!L23</f>
        <v>155019</v>
      </c>
      <c r="H35" s="853">
        <f>'11. Final Load Forecast'!M23</f>
        <v>155364</v>
      </c>
      <c r="I35" s="853">
        <f>'11. Final Load Forecast'!N23</f>
        <v>156979.46065344894</v>
      </c>
      <c r="J35" s="853">
        <f>'11. Final Load Forecast'!O23</f>
        <v>155147.79310614802</v>
      </c>
    </row>
    <row r="36" spans="1:10" x14ac:dyDescent="0.2">
      <c r="A36" s="846" t="s">
        <v>36</v>
      </c>
      <c r="B36" s="853"/>
      <c r="C36" s="853"/>
      <c r="D36" s="853"/>
      <c r="E36" s="853"/>
      <c r="F36" s="853"/>
      <c r="G36" s="853"/>
      <c r="H36" s="853"/>
      <c r="I36" s="853"/>
      <c r="J36" s="853"/>
    </row>
    <row r="37" spans="1:10" x14ac:dyDescent="0.2">
      <c r="A37" s="847" t="s">
        <v>452</v>
      </c>
      <c r="B37" s="854"/>
      <c r="C37" s="854"/>
      <c r="D37" s="854"/>
      <c r="E37" s="854"/>
      <c r="F37" s="854"/>
      <c r="G37" s="854"/>
      <c r="H37" s="854"/>
      <c r="I37" s="854"/>
      <c r="J37" s="854"/>
    </row>
    <row r="38" spans="1:10" x14ac:dyDescent="0.2">
      <c r="A38" s="846" t="str">
        <f>A34</f>
        <v># of Customers</v>
      </c>
      <c r="B38" s="848"/>
      <c r="C38" s="848"/>
      <c r="D38" s="848"/>
      <c r="E38" s="855">
        <f>IF(ISERROR((E34-$B34)/$B34), 0, (E34-$B34)/$B34)</f>
        <v>0.13333333333333333</v>
      </c>
      <c r="F38" s="855">
        <f t="shared" ref="F38:J38" si="10">IF(ISERROR((F34-$B34)/$B34), 0, (F34-$B34)/$B34)</f>
        <v>0.1</v>
      </c>
      <c r="G38" s="855">
        <f t="shared" si="10"/>
        <v>0.1</v>
      </c>
      <c r="H38" s="855">
        <f t="shared" si="10"/>
        <v>0.1</v>
      </c>
      <c r="I38" s="855">
        <f t="shared" ref="I38" si="11">IF(ISERROR((I34-$B34)/$B34), 0, (I34-$B34)/$B34)</f>
        <v>0.12026590733597094</v>
      </c>
      <c r="J38" s="855">
        <f t="shared" si="10"/>
        <v>0.14090518467207858</v>
      </c>
    </row>
    <row r="39" spans="1:10" x14ac:dyDescent="0.2">
      <c r="A39" s="846" t="s">
        <v>35</v>
      </c>
      <c r="B39" s="848"/>
      <c r="C39" s="848"/>
      <c r="D39" s="848"/>
      <c r="E39" s="855">
        <f t="shared" ref="E39:J40" si="12">IF(ISERROR((E35-$B35)/$B35), 0, (E35-$B35)/$B35)</f>
        <v>0.11191161335041694</v>
      </c>
      <c r="F39" s="855">
        <f t="shared" si="12"/>
        <v>8.956289777142977E-2</v>
      </c>
      <c r="G39" s="855">
        <f t="shared" si="12"/>
        <v>8.5362011384402109E-2</v>
      </c>
      <c r="H39" s="855">
        <f t="shared" si="12"/>
        <v>8.7777521056943017E-2</v>
      </c>
      <c r="I39" s="855">
        <f t="shared" ref="I39" si="13">IF(ISERROR((I35-$B35)/$B35), 0, (I35-$B35)/$B35)</f>
        <v>9.9088132170030471E-2</v>
      </c>
      <c r="J39" s="855">
        <f t="shared" si="12"/>
        <v>8.6263753395002488E-2</v>
      </c>
    </row>
    <row r="40" spans="1:10" x14ac:dyDescent="0.2">
      <c r="A40" s="846" t="s">
        <v>36</v>
      </c>
      <c r="B40" s="848"/>
      <c r="C40" s="848"/>
      <c r="D40" s="848"/>
      <c r="E40" s="855">
        <f t="shared" si="12"/>
        <v>0</v>
      </c>
      <c r="F40" s="855">
        <f t="shared" si="12"/>
        <v>0</v>
      </c>
      <c r="G40" s="855">
        <f t="shared" si="12"/>
        <v>0</v>
      </c>
      <c r="H40" s="855">
        <f t="shared" si="12"/>
        <v>0</v>
      </c>
      <c r="I40" s="855">
        <f t="shared" ref="I40" si="14">IF(ISERROR((I36-$B36)/$B36), 0, (I36-$B36)/$B36)</f>
        <v>0</v>
      </c>
      <c r="J40" s="855">
        <f t="shared" si="12"/>
        <v>0</v>
      </c>
    </row>
    <row r="41" spans="1:10" x14ac:dyDescent="0.2">
      <c r="A41" s="268"/>
      <c r="B41" s="244"/>
      <c r="C41" s="244"/>
      <c r="D41" s="244"/>
      <c r="E41" s="244"/>
      <c r="F41" s="244"/>
      <c r="G41" s="244"/>
      <c r="H41" s="244"/>
      <c r="I41" s="244"/>
      <c r="J41" s="244"/>
    </row>
    <row r="42" spans="1:10" x14ac:dyDescent="0.2">
      <c r="A42" s="850" t="str">
        <f>'11. Final Load Forecast'!B26</f>
        <v>General Service &gt; 50 kW - 4999 kW</v>
      </c>
      <c r="B42" s="852"/>
      <c r="C42" s="852"/>
      <c r="D42" s="852"/>
      <c r="E42" s="852"/>
      <c r="F42" s="852"/>
      <c r="G42" s="852"/>
      <c r="H42" s="852"/>
      <c r="I42" s="852"/>
      <c r="J42" s="852"/>
    </row>
    <row r="43" spans="1:10" x14ac:dyDescent="0.2">
      <c r="A43" s="845" t="s">
        <v>451</v>
      </c>
      <c r="B43" s="853">
        <v>64</v>
      </c>
      <c r="C43" s="853">
        <f>'11. Final Load Forecast'!H26</f>
        <v>59</v>
      </c>
      <c r="D43" s="853">
        <f>'11. Final Load Forecast'!I26</f>
        <v>59</v>
      </c>
      <c r="E43" s="853">
        <f>'11. Final Load Forecast'!J26</f>
        <v>59</v>
      </c>
      <c r="F43" s="853">
        <f>'11. Final Load Forecast'!K26</f>
        <v>62</v>
      </c>
      <c r="G43" s="853">
        <f>'11. Final Load Forecast'!L26</f>
        <v>62</v>
      </c>
      <c r="H43" s="853">
        <f>'11. Final Load Forecast'!M26</f>
        <v>61</v>
      </c>
      <c r="I43" s="853">
        <f>'11. Final Load Forecast'!N26</f>
        <v>60.889889302782052</v>
      </c>
      <c r="J43" s="853">
        <f>'11. Final Load Forecast'!O26</f>
        <v>60.779977365656592</v>
      </c>
    </row>
    <row r="44" spans="1:10" x14ac:dyDescent="0.2">
      <c r="A44" s="846" t="s">
        <v>35</v>
      </c>
      <c r="B44" s="853">
        <v>52616773</v>
      </c>
      <c r="C44" s="853">
        <f>'11. Final Load Forecast'!H27</f>
        <v>51703213</v>
      </c>
      <c r="D44" s="853">
        <f>'11. Final Load Forecast'!I27</f>
        <v>46521147</v>
      </c>
      <c r="E44" s="853">
        <f>'11. Final Load Forecast'!J27</f>
        <v>44095781</v>
      </c>
      <c r="F44" s="853">
        <f>'11. Final Load Forecast'!K27</f>
        <v>44119354</v>
      </c>
      <c r="G44" s="853">
        <f>'11. Final Load Forecast'!L27</f>
        <v>43640624</v>
      </c>
      <c r="H44" s="853">
        <f>'11. Final Load Forecast'!M27</f>
        <v>45095566</v>
      </c>
      <c r="I44" s="853">
        <f>'11. Final Load Forecast'!N27</f>
        <v>45564465.568226933</v>
      </c>
      <c r="J44" s="853">
        <f>'11. Final Load Forecast'!O27</f>
        <v>45032810.327827826</v>
      </c>
    </row>
    <row r="45" spans="1:10" x14ac:dyDescent="0.2">
      <c r="A45" s="846" t="s">
        <v>36</v>
      </c>
      <c r="B45" s="853">
        <v>142778</v>
      </c>
      <c r="C45" s="853">
        <f>'11. Final Load Forecast'!H28</f>
        <v>141797</v>
      </c>
      <c r="D45" s="853">
        <f>'11. Final Load Forecast'!I28</f>
        <v>130980</v>
      </c>
      <c r="E45" s="853">
        <f>'11. Final Load Forecast'!J28</f>
        <v>120379</v>
      </c>
      <c r="F45" s="853">
        <f>'11. Final Load Forecast'!K28</f>
        <v>115813</v>
      </c>
      <c r="G45" s="853">
        <f>'11. Final Load Forecast'!L28</f>
        <v>114180</v>
      </c>
      <c r="H45" s="853">
        <f>'11. Final Load Forecast'!M28</f>
        <v>113922</v>
      </c>
      <c r="I45" s="853">
        <f>'11. Final Load Forecast'!N28</f>
        <v>123813.1682025896</v>
      </c>
      <c r="J45" s="853">
        <f>'11. Final Load Forecast'!O28</f>
        <v>122368.49154755988</v>
      </c>
    </row>
    <row r="46" spans="1:10" x14ac:dyDescent="0.2">
      <c r="A46" s="847" t="s">
        <v>452</v>
      </c>
      <c r="B46" s="854"/>
      <c r="C46" s="854"/>
      <c r="D46" s="854"/>
      <c r="E46" s="854"/>
      <c r="F46" s="854"/>
      <c r="G46" s="854"/>
      <c r="H46" s="854"/>
      <c r="I46" s="854"/>
      <c r="J46" s="854"/>
    </row>
    <row r="47" spans="1:10" x14ac:dyDescent="0.2">
      <c r="A47" s="846" t="str">
        <f>A43</f>
        <v># of Customers</v>
      </c>
      <c r="B47" s="848"/>
      <c r="C47" s="848"/>
      <c r="D47" s="848"/>
      <c r="E47" s="855">
        <f>IF(ISERROR((E43-$B43)/$B43), 0, (E43-$B43)/$B43)</f>
        <v>-7.8125E-2</v>
      </c>
      <c r="F47" s="855">
        <f t="shared" ref="F47:J47" si="15">IF(ISERROR((F43-$B43)/$B43), 0, (F43-$B43)/$B43)</f>
        <v>-3.125E-2</v>
      </c>
      <c r="G47" s="855">
        <f t="shared" si="15"/>
        <v>-3.125E-2</v>
      </c>
      <c r="H47" s="855">
        <f t="shared" si="15"/>
        <v>-4.6875E-2</v>
      </c>
      <c r="I47" s="855">
        <f t="shared" ref="I47" si="16">IF(ISERROR((I43-$B43)/$B43), 0, (I43-$B43)/$B43)</f>
        <v>-4.8595479644030437E-2</v>
      </c>
      <c r="J47" s="855">
        <f t="shared" si="15"/>
        <v>-5.0312853661615753E-2</v>
      </c>
    </row>
    <row r="48" spans="1:10" x14ac:dyDescent="0.2">
      <c r="A48" s="846" t="s">
        <v>35</v>
      </c>
      <c r="B48" s="848"/>
      <c r="C48" s="848"/>
      <c r="D48" s="848"/>
      <c r="E48" s="855">
        <f t="shared" ref="E48:J49" si="17">IF(ISERROR((E44-$B44)/$B44), 0, (E44-$B44)/$B44)</f>
        <v>-0.16194440506642246</v>
      </c>
      <c r="F48" s="855">
        <f t="shared" si="17"/>
        <v>-0.16149639203453242</v>
      </c>
      <c r="G48" s="855">
        <f t="shared" si="17"/>
        <v>-0.17059482154103217</v>
      </c>
      <c r="H48" s="855">
        <f t="shared" si="17"/>
        <v>-0.14294314476488323</v>
      </c>
      <c r="I48" s="855">
        <f t="shared" ref="I48" si="18">IF(ISERROR((I44-$B44)/$B44), 0, (I44-$B44)/$B44)</f>
        <v>-0.13403154601999379</v>
      </c>
      <c r="J48" s="855">
        <f t="shared" si="17"/>
        <v>-0.14413583805628244</v>
      </c>
    </row>
    <row r="49" spans="1:10" x14ac:dyDescent="0.2">
      <c r="A49" s="846" t="s">
        <v>36</v>
      </c>
      <c r="B49" s="848"/>
      <c r="C49" s="848"/>
      <c r="D49" s="848"/>
      <c r="E49" s="855">
        <f t="shared" si="17"/>
        <v>-0.1568799114709549</v>
      </c>
      <c r="F49" s="855">
        <f t="shared" si="17"/>
        <v>-0.18885962823404165</v>
      </c>
      <c r="G49" s="855">
        <f t="shared" si="17"/>
        <v>-0.20029696451834317</v>
      </c>
      <c r="H49" s="855">
        <f t="shared" si="17"/>
        <v>-0.20210396559694072</v>
      </c>
      <c r="I49" s="855">
        <f t="shared" ref="I49" si="19">IF(ISERROR((I45-$B45)/$B45), 0, (I45-$B45)/$B45)</f>
        <v>-0.13282740896644021</v>
      </c>
      <c r="J49" s="855">
        <f t="shared" si="17"/>
        <v>-0.14294575111319754</v>
      </c>
    </row>
    <row r="50" spans="1:10" x14ac:dyDescent="0.2">
      <c r="A50" s="268"/>
      <c r="B50" s="244"/>
      <c r="C50" s="244"/>
      <c r="D50" s="244"/>
      <c r="E50" s="244"/>
      <c r="F50" s="244"/>
      <c r="G50" s="244"/>
      <c r="H50" s="244"/>
      <c r="I50" s="244"/>
      <c r="J50" s="244"/>
    </row>
    <row r="51" spans="1:10" x14ac:dyDescent="0.2">
      <c r="A51" s="850" t="str">
        <f>'11. Final Load Forecast'!B30</f>
        <v>Streetlighting</v>
      </c>
      <c r="B51" s="852"/>
      <c r="C51" s="852"/>
      <c r="D51" s="852"/>
      <c r="E51" s="852"/>
      <c r="F51" s="852"/>
      <c r="G51" s="852"/>
      <c r="H51" s="852"/>
      <c r="I51" s="852"/>
      <c r="J51" s="852"/>
    </row>
    <row r="52" spans="1:10" x14ac:dyDescent="0.2">
      <c r="A52" s="845" t="s">
        <v>451</v>
      </c>
      <c r="B52" s="853">
        <v>1173</v>
      </c>
      <c r="C52" s="853">
        <f>'11. Final Load Forecast'!H30</f>
        <v>1174</v>
      </c>
      <c r="D52" s="853">
        <f>'11. Final Load Forecast'!I30</f>
        <v>1176</v>
      </c>
      <c r="E52" s="853">
        <f>'11. Final Load Forecast'!J30</f>
        <v>1176</v>
      </c>
      <c r="F52" s="853">
        <f>'11. Final Load Forecast'!K30</f>
        <v>1190</v>
      </c>
      <c r="G52" s="853">
        <f>'11. Final Load Forecast'!L30</f>
        <v>1190</v>
      </c>
      <c r="H52" s="853">
        <f>'11. Final Load Forecast'!M30</f>
        <v>1190</v>
      </c>
      <c r="I52" s="853">
        <f>'11. Final Load Forecast'!N30</f>
        <v>1194.6449258381904</v>
      </c>
      <c r="J52" s="853">
        <f>'11. Final Load Forecast'!O30</f>
        <v>1199.30798221087</v>
      </c>
    </row>
    <row r="53" spans="1:10" x14ac:dyDescent="0.2">
      <c r="A53" s="846" t="s">
        <v>35</v>
      </c>
      <c r="B53" s="853">
        <v>1121141</v>
      </c>
      <c r="C53" s="853">
        <f>'11. Final Load Forecast'!H31</f>
        <v>1116726</v>
      </c>
      <c r="D53" s="853">
        <f>'11. Final Load Forecast'!I31</f>
        <v>1118574</v>
      </c>
      <c r="E53" s="853">
        <f>'11. Final Load Forecast'!J31</f>
        <v>1121260</v>
      </c>
      <c r="F53" s="853">
        <f>'11. Final Load Forecast'!K31</f>
        <v>1118710</v>
      </c>
      <c r="G53" s="853">
        <f>'11. Final Load Forecast'!L31</f>
        <v>1121519</v>
      </c>
      <c r="H53" s="853">
        <f>'11. Final Load Forecast'!M31</f>
        <v>1123682</v>
      </c>
      <c r="I53" s="853">
        <f>'11. Final Load Forecast'!N31</f>
        <v>1135365.9425992433</v>
      </c>
      <c r="J53" s="853">
        <f>'11. Final Load Forecast'!O31</f>
        <v>1122118.2671217439</v>
      </c>
    </row>
    <row r="54" spans="1:10" x14ac:dyDescent="0.2">
      <c r="A54" s="846" t="s">
        <v>36</v>
      </c>
      <c r="B54" s="853">
        <v>3110</v>
      </c>
      <c r="C54" s="853">
        <f>'11. Final Load Forecast'!H32</f>
        <v>3098</v>
      </c>
      <c r="D54" s="853">
        <f>'11. Final Load Forecast'!I32</f>
        <v>3099</v>
      </c>
      <c r="E54" s="853">
        <f>'11. Final Load Forecast'!J32</f>
        <v>3100</v>
      </c>
      <c r="F54" s="853">
        <f>'11. Final Load Forecast'!K32</f>
        <v>3104</v>
      </c>
      <c r="G54" s="853">
        <f>'11. Final Load Forecast'!L32</f>
        <v>3110</v>
      </c>
      <c r="H54" s="853">
        <f>'11. Final Load Forecast'!M32</f>
        <v>3117</v>
      </c>
      <c r="I54" s="853">
        <f>'11. Final Load Forecast'!N32</f>
        <v>3154.85223403498</v>
      </c>
      <c r="J54" s="853">
        <f>'11. Final Load Forecast'!O32</f>
        <v>3118.0407911267334</v>
      </c>
    </row>
    <row r="55" spans="1:10" x14ac:dyDescent="0.2">
      <c r="A55" s="847" t="s">
        <v>452</v>
      </c>
      <c r="B55" s="854"/>
      <c r="C55" s="854"/>
      <c r="D55" s="854"/>
      <c r="E55" s="854"/>
      <c r="F55" s="854"/>
      <c r="G55" s="854"/>
      <c r="H55" s="854"/>
      <c r="I55" s="854"/>
      <c r="J55" s="854"/>
    </row>
    <row r="56" spans="1:10" x14ac:dyDescent="0.2">
      <c r="A56" s="846" t="str">
        <f>A52</f>
        <v># of Customers</v>
      </c>
      <c r="B56" s="848"/>
      <c r="C56" s="848"/>
      <c r="D56" s="848"/>
      <c r="E56" s="855">
        <f>IF(ISERROR((E52-$B52)/$B52), 0, (E52-$B52)/$B52)</f>
        <v>2.5575447570332483E-3</v>
      </c>
      <c r="F56" s="855">
        <f t="shared" ref="F56:J56" si="20">IF(ISERROR((F52-$B52)/$B52), 0, (F52-$B52)/$B52)</f>
        <v>1.4492753623188406E-2</v>
      </c>
      <c r="G56" s="855">
        <f t="shared" si="20"/>
        <v>1.4492753623188406E-2</v>
      </c>
      <c r="H56" s="855">
        <f t="shared" si="20"/>
        <v>1.4492753623188406E-2</v>
      </c>
      <c r="I56" s="855">
        <f t="shared" ref="I56" si="21">IF(ISERROR((I52-$B52)/$B52), 0, (I52-$B52)/$B52)</f>
        <v>1.8452622197945759E-2</v>
      </c>
      <c r="J56" s="855">
        <f t="shared" si="20"/>
        <v>2.2427947323844861E-2</v>
      </c>
    </row>
    <row r="57" spans="1:10" x14ac:dyDescent="0.2">
      <c r="A57" s="846" t="s">
        <v>35</v>
      </c>
      <c r="B57" s="848"/>
      <c r="C57" s="848"/>
      <c r="D57" s="848"/>
      <c r="E57" s="855">
        <f t="shared" ref="E57:J58" si="22">IF(ISERROR((E53-$B53)/$B53), 0, (E53-$B53)/$B53)</f>
        <v>1.0614186797200351E-4</v>
      </c>
      <c r="F57" s="855">
        <f t="shared" si="22"/>
        <v>-2.1683267314280721E-3</v>
      </c>
      <c r="G57" s="855">
        <f t="shared" si="22"/>
        <v>3.3715652179342295E-4</v>
      </c>
      <c r="H57" s="855">
        <f t="shared" si="22"/>
        <v>2.2664410631668989E-3</v>
      </c>
      <c r="I57" s="855">
        <f t="shared" ref="I57" si="23">IF(ISERROR((I53-$B53)/$B53), 0, (I53-$B53)/$B53)</f>
        <v>1.268791579225383E-2</v>
      </c>
      <c r="J57" s="855">
        <f t="shared" si="22"/>
        <v>8.7167191436570107E-4</v>
      </c>
    </row>
    <row r="58" spans="1:10" x14ac:dyDescent="0.2">
      <c r="A58" s="846" t="s">
        <v>36</v>
      </c>
      <c r="B58" s="848"/>
      <c r="C58" s="848"/>
      <c r="D58" s="848"/>
      <c r="E58" s="855">
        <f t="shared" si="22"/>
        <v>-3.2154340836012861E-3</v>
      </c>
      <c r="F58" s="855">
        <f t="shared" si="22"/>
        <v>-1.9292604501607716E-3</v>
      </c>
      <c r="G58" s="855">
        <f t="shared" si="22"/>
        <v>0</v>
      </c>
      <c r="H58" s="855">
        <f t="shared" si="22"/>
        <v>2.2508038585209002E-3</v>
      </c>
      <c r="I58" s="855">
        <f t="shared" ref="I58" si="24">IF(ISERROR((I54-$B54)/$B54), 0, (I54-$B54)/$B54)</f>
        <v>1.4421940204173643E-2</v>
      </c>
      <c r="J58" s="855">
        <f t="shared" si="22"/>
        <v>2.5854633848017487E-3</v>
      </c>
    </row>
    <row r="59" spans="1:10" x14ac:dyDescent="0.2">
      <c r="A59" s="268"/>
      <c r="B59" s="244"/>
      <c r="C59" s="244"/>
      <c r="D59" s="244"/>
      <c r="E59" s="244"/>
      <c r="F59" s="244"/>
      <c r="G59" s="244"/>
      <c r="H59" s="244"/>
      <c r="I59" s="244"/>
      <c r="J59" s="244"/>
    </row>
    <row r="60" spans="1:10" x14ac:dyDescent="0.2">
      <c r="A60" s="844" t="s">
        <v>453</v>
      </c>
      <c r="B60" s="852"/>
      <c r="C60" s="852"/>
      <c r="D60" s="852"/>
      <c r="E60" s="852"/>
      <c r="F60" s="852"/>
      <c r="G60" s="852"/>
      <c r="H60" s="852"/>
      <c r="I60" s="852"/>
      <c r="J60" s="852"/>
    </row>
    <row r="61" spans="1:10" x14ac:dyDescent="0.2">
      <c r="A61" s="845" t="s">
        <v>451</v>
      </c>
      <c r="B61" s="853"/>
      <c r="C61" s="853"/>
      <c r="D61" s="853"/>
      <c r="E61" s="853"/>
      <c r="F61" s="853"/>
      <c r="G61" s="853"/>
      <c r="H61" s="853"/>
      <c r="I61" s="853"/>
      <c r="J61" s="853"/>
    </row>
    <row r="62" spans="1:10" x14ac:dyDescent="0.2">
      <c r="A62" s="846" t="s">
        <v>35</v>
      </c>
      <c r="B62" s="853"/>
      <c r="C62" s="853"/>
      <c r="D62" s="853"/>
      <c r="E62" s="853"/>
      <c r="F62" s="853"/>
      <c r="G62" s="853"/>
      <c r="H62" s="853"/>
      <c r="I62" s="853"/>
      <c r="J62" s="853"/>
    </row>
    <row r="63" spans="1:10" x14ac:dyDescent="0.2">
      <c r="A63" s="846" t="s">
        <v>36</v>
      </c>
      <c r="B63" s="853"/>
      <c r="C63" s="853"/>
      <c r="D63" s="853"/>
      <c r="E63" s="853"/>
      <c r="F63" s="853"/>
      <c r="G63" s="853"/>
      <c r="H63" s="853"/>
      <c r="I63" s="853"/>
      <c r="J63" s="853"/>
    </row>
    <row r="64" spans="1:10" x14ac:dyDescent="0.2">
      <c r="A64" s="847" t="s">
        <v>452</v>
      </c>
      <c r="B64" s="854"/>
      <c r="C64" s="854"/>
      <c r="D64" s="854"/>
      <c r="E64" s="854"/>
      <c r="F64" s="854"/>
      <c r="G64" s="854"/>
      <c r="H64" s="854"/>
      <c r="I64" s="854"/>
      <c r="J64" s="854"/>
    </row>
    <row r="65" spans="1:10" x14ac:dyDescent="0.2">
      <c r="A65" s="846" t="str">
        <f>A61</f>
        <v># of Customers</v>
      </c>
      <c r="B65" s="848"/>
      <c r="C65" s="848"/>
      <c r="D65" s="848"/>
      <c r="E65" s="855">
        <f>IF(ISERROR((E61-$B61)/$B61), 0, (E61-$B61)/$B61)</f>
        <v>0</v>
      </c>
      <c r="F65" s="855">
        <f t="shared" ref="F65:J65" si="25">IF(ISERROR((F61-$B61)/$B61), 0, (F61-$B61)/$B61)</f>
        <v>0</v>
      </c>
      <c r="G65" s="855">
        <f t="shared" si="25"/>
        <v>0</v>
      </c>
      <c r="H65" s="855">
        <f t="shared" si="25"/>
        <v>0</v>
      </c>
      <c r="I65" s="855">
        <f t="shared" ref="I65" si="26">IF(ISERROR((I61-$B61)/$B61), 0, (I61-$B61)/$B61)</f>
        <v>0</v>
      </c>
      <c r="J65" s="855">
        <f t="shared" si="25"/>
        <v>0</v>
      </c>
    </row>
    <row r="66" spans="1:10" x14ac:dyDescent="0.2">
      <c r="A66" s="846" t="s">
        <v>35</v>
      </c>
      <c r="B66" s="848"/>
      <c r="C66" s="848"/>
      <c r="D66" s="848"/>
      <c r="E66" s="855">
        <f t="shared" ref="E66:J67" si="27">IF(ISERROR((E62-$B62)/$B62), 0, (E62-$B62)/$B62)</f>
        <v>0</v>
      </c>
      <c r="F66" s="855">
        <f t="shared" si="27"/>
        <v>0</v>
      </c>
      <c r="G66" s="855">
        <f t="shared" si="27"/>
        <v>0</v>
      </c>
      <c r="H66" s="855">
        <f t="shared" si="27"/>
        <v>0</v>
      </c>
      <c r="I66" s="855">
        <f t="shared" ref="I66" si="28">IF(ISERROR((I62-$B62)/$B62), 0, (I62-$B62)/$B62)</f>
        <v>0</v>
      </c>
      <c r="J66" s="855">
        <f t="shared" si="27"/>
        <v>0</v>
      </c>
    </row>
    <row r="67" spans="1:10" x14ac:dyDescent="0.2">
      <c r="A67" s="846" t="s">
        <v>36</v>
      </c>
      <c r="B67" s="848"/>
      <c r="C67" s="848"/>
      <c r="D67" s="848"/>
      <c r="E67" s="855">
        <f t="shared" si="27"/>
        <v>0</v>
      </c>
      <c r="F67" s="855">
        <f t="shared" si="27"/>
        <v>0</v>
      </c>
      <c r="G67" s="855">
        <f t="shared" si="27"/>
        <v>0</v>
      </c>
      <c r="H67" s="855">
        <f t="shared" si="27"/>
        <v>0</v>
      </c>
      <c r="I67" s="855">
        <f t="shared" ref="I67" si="29">IF(ISERROR((I63-$B63)/$B63), 0, (I63-$B63)/$B63)</f>
        <v>0</v>
      </c>
      <c r="J67" s="855">
        <f t="shared" si="27"/>
        <v>0</v>
      </c>
    </row>
    <row r="68" spans="1:10" x14ac:dyDescent="0.2">
      <c r="A68" s="268"/>
      <c r="B68" s="244"/>
      <c r="C68" s="244"/>
      <c r="D68" s="244"/>
      <c r="E68" s="244"/>
      <c r="F68" s="244"/>
      <c r="G68" s="244"/>
      <c r="H68" s="244"/>
      <c r="I68" s="244"/>
      <c r="J68" s="244"/>
    </row>
    <row r="69" spans="1:10" x14ac:dyDescent="0.2">
      <c r="A69" s="844" t="s">
        <v>454</v>
      </c>
      <c r="B69" s="852"/>
      <c r="C69" s="852"/>
      <c r="D69" s="852"/>
      <c r="E69" s="852"/>
      <c r="F69" s="852"/>
      <c r="G69" s="852"/>
      <c r="H69" s="852"/>
      <c r="I69" s="852"/>
      <c r="J69" s="852"/>
    </row>
    <row r="70" spans="1:10" x14ac:dyDescent="0.2">
      <c r="A70" s="845" t="s">
        <v>451</v>
      </c>
      <c r="B70" s="853"/>
      <c r="C70" s="853"/>
      <c r="D70" s="853"/>
      <c r="E70" s="853"/>
      <c r="F70" s="853"/>
      <c r="G70" s="853"/>
      <c r="H70" s="853"/>
      <c r="I70" s="853"/>
      <c r="J70" s="853"/>
    </row>
    <row r="71" spans="1:10" x14ac:dyDescent="0.2">
      <c r="A71" s="846" t="s">
        <v>35</v>
      </c>
      <c r="B71" s="853"/>
      <c r="C71" s="853"/>
      <c r="D71" s="853"/>
      <c r="E71" s="853"/>
      <c r="F71" s="853"/>
      <c r="G71" s="853"/>
      <c r="H71" s="853"/>
      <c r="I71" s="853"/>
      <c r="J71" s="853"/>
    </row>
    <row r="72" spans="1:10" x14ac:dyDescent="0.2">
      <c r="A72" s="846" t="s">
        <v>36</v>
      </c>
      <c r="B72" s="853"/>
      <c r="C72" s="853"/>
      <c r="D72" s="853"/>
      <c r="E72" s="853"/>
      <c r="F72" s="853"/>
      <c r="G72" s="853"/>
      <c r="H72" s="853"/>
      <c r="I72" s="853"/>
      <c r="J72" s="853"/>
    </row>
    <row r="73" spans="1:10" x14ac:dyDescent="0.2">
      <c r="A73" s="847" t="s">
        <v>452</v>
      </c>
      <c r="B73" s="854"/>
      <c r="C73" s="854"/>
      <c r="D73" s="854"/>
      <c r="E73" s="854"/>
      <c r="F73" s="854"/>
      <c r="G73" s="854"/>
      <c r="H73" s="854"/>
      <c r="I73" s="854"/>
      <c r="J73" s="854"/>
    </row>
    <row r="74" spans="1:10" x14ac:dyDescent="0.2">
      <c r="A74" s="846" t="str">
        <f>A70</f>
        <v># of Customers</v>
      </c>
      <c r="B74" s="848"/>
      <c r="C74" s="848"/>
      <c r="D74" s="848"/>
      <c r="E74" s="855">
        <f>IF(ISERROR((E70-$B70)/$B70), 0, (E70-$B70)/$B70)</f>
        <v>0</v>
      </c>
      <c r="F74" s="855">
        <f t="shared" ref="F74:J74" si="30">IF(ISERROR((F70-$B70)/$B70), 0, (F70-$B70)/$B70)</f>
        <v>0</v>
      </c>
      <c r="G74" s="855">
        <f t="shared" si="30"/>
        <v>0</v>
      </c>
      <c r="H74" s="855">
        <f t="shared" si="30"/>
        <v>0</v>
      </c>
      <c r="I74" s="855">
        <f t="shared" ref="I74" si="31">IF(ISERROR((I70-$B70)/$B70), 0, (I70-$B70)/$B70)</f>
        <v>0</v>
      </c>
      <c r="J74" s="855">
        <f t="shared" si="30"/>
        <v>0</v>
      </c>
    </row>
    <row r="75" spans="1:10" x14ac:dyDescent="0.2">
      <c r="A75" s="846" t="s">
        <v>35</v>
      </c>
      <c r="B75" s="848"/>
      <c r="C75" s="848"/>
      <c r="D75" s="848"/>
      <c r="E75" s="855">
        <f t="shared" ref="E75:J76" si="32">IF(ISERROR((E71-$B71)/$B71), 0, (E71-$B71)/$B71)</f>
        <v>0</v>
      </c>
      <c r="F75" s="855">
        <f t="shared" si="32"/>
        <v>0</v>
      </c>
      <c r="G75" s="855">
        <f t="shared" si="32"/>
        <v>0</v>
      </c>
      <c r="H75" s="855">
        <f t="shared" si="32"/>
        <v>0</v>
      </c>
      <c r="I75" s="855">
        <f t="shared" ref="I75" si="33">IF(ISERROR((I71-$B71)/$B71), 0, (I71-$B71)/$B71)</f>
        <v>0</v>
      </c>
      <c r="J75" s="855">
        <f t="shared" si="32"/>
        <v>0</v>
      </c>
    </row>
    <row r="76" spans="1:10" x14ac:dyDescent="0.2">
      <c r="A76" s="846" t="s">
        <v>36</v>
      </c>
      <c r="B76" s="848"/>
      <c r="C76" s="848"/>
      <c r="D76" s="848"/>
      <c r="E76" s="855">
        <f t="shared" si="32"/>
        <v>0</v>
      </c>
      <c r="F76" s="855">
        <f t="shared" si="32"/>
        <v>0</v>
      </c>
      <c r="G76" s="855">
        <f t="shared" si="32"/>
        <v>0</v>
      </c>
      <c r="H76" s="855">
        <f t="shared" si="32"/>
        <v>0</v>
      </c>
      <c r="I76" s="855">
        <f t="shared" ref="I76" si="34">IF(ISERROR((I72-$B72)/$B72), 0, (I72-$B72)/$B72)</f>
        <v>0</v>
      </c>
      <c r="J76" s="855">
        <f t="shared" si="32"/>
        <v>0</v>
      </c>
    </row>
    <row r="77" spans="1:10" x14ac:dyDescent="0.2">
      <c r="A77" s="268"/>
      <c r="B77" s="244"/>
      <c r="C77" s="244"/>
      <c r="D77" s="244"/>
      <c r="E77" s="244"/>
      <c r="F77" s="244"/>
      <c r="G77" s="244"/>
      <c r="H77" s="244"/>
      <c r="I77" s="244"/>
      <c r="J77" s="244"/>
    </row>
    <row r="78" spans="1:10" x14ac:dyDescent="0.2">
      <c r="A78" s="844" t="s">
        <v>455</v>
      </c>
      <c r="B78" s="852"/>
      <c r="C78" s="852"/>
      <c r="D78" s="852"/>
      <c r="E78" s="852"/>
      <c r="F78" s="852"/>
      <c r="G78" s="852"/>
      <c r="H78" s="852"/>
      <c r="I78" s="852"/>
      <c r="J78" s="852"/>
    </row>
    <row r="79" spans="1:10" x14ac:dyDescent="0.2">
      <c r="A79" s="845" t="s">
        <v>451</v>
      </c>
      <c r="B79" s="853"/>
      <c r="C79" s="853"/>
      <c r="D79" s="853"/>
      <c r="E79" s="853"/>
      <c r="F79" s="853"/>
      <c r="G79" s="853"/>
      <c r="H79" s="853"/>
      <c r="I79" s="853"/>
      <c r="J79" s="853"/>
    </row>
    <row r="80" spans="1:10" x14ac:dyDescent="0.2">
      <c r="A80" s="846" t="s">
        <v>35</v>
      </c>
      <c r="B80" s="853"/>
      <c r="C80" s="853"/>
      <c r="D80" s="853"/>
      <c r="E80" s="853"/>
      <c r="F80" s="853"/>
      <c r="G80" s="853"/>
      <c r="H80" s="853"/>
      <c r="I80" s="853"/>
      <c r="J80" s="853"/>
    </row>
    <row r="81" spans="1:10" x14ac:dyDescent="0.2">
      <c r="A81" s="846" t="s">
        <v>36</v>
      </c>
      <c r="B81" s="853"/>
      <c r="C81" s="853"/>
      <c r="D81" s="853"/>
      <c r="E81" s="853"/>
      <c r="F81" s="853"/>
      <c r="G81" s="853"/>
      <c r="H81" s="853"/>
      <c r="I81" s="853"/>
      <c r="J81" s="853"/>
    </row>
    <row r="82" spans="1:10" x14ac:dyDescent="0.2">
      <c r="A82" s="847" t="s">
        <v>452</v>
      </c>
      <c r="B82" s="854"/>
      <c r="C82" s="854"/>
      <c r="D82" s="854"/>
      <c r="E82" s="854"/>
      <c r="F82" s="854"/>
      <c r="G82" s="854"/>
      <c r="H82" s="854"/>
      <c r="I82" s="854"/>
      <c r="J82" s="854"/>
    </row>
    <row r="83" spans="1:10" x14ac:dyDescent="0.2">
      <c r="A83" s="846" t="str">
        <f>A79</f>
        <v># of Customers</v>
      </c>
      <c r="B83" s="848"/>
      <c r="C83" s="848"/>
      <c r="D83" s="848"/>
      <c r="E83" s="855">
        <f>IF(ISERROR((E79-$B79)/$B79), 0, (E79-$B79)/$B79)</f>
        <v>0</v>
      </c>
      <c r="F83" s="855">
        <f t="shared" ref="F83:J83" si="35">IF(ISERROR((F79-$B79)/$B79), 0, (F79-$B79)/$B79)</f>
        <v>0</v>
      </c>
      <c r="G83" s="855">
        <f t="shared" si="35"/>
        <v>0</v>
      </c>
      <c r="H83" s="855">
        <f t="shared" si="35"/>
        <v>0</v>
      </c>
      <c r="I83" s="855">
        <f t="shared" ref="I83" si="36">IF(ISERROR((I79-$B79)/$B79), 0, (I79-$B79)/$B79)</f>
        <v>0</v>
      </c>
      <c r="J83" s="855">
        <f t="shared" si="35"/>
        <v>0</v>
      </c>
    </row>
    <row r="84" spans="1:10" x14ac:dyDescent="0.2">
      <c r="A84" s="846" t="s">
        <v>35</v>
      </c>
      <c r="B84" s="848"/>
      <c r="C84" s="848"/>
      <c r="D84" s="848"/>
      <c r="E84" s="855">
        <f t="shared" ref="E84:J85" si="37">IF(ISERROR((E80-$B80)/$B80), 0, (E80-$B80)/$B80)</f>
        <v>0</v>
      </c>
      <c r="F84" s="855">
        <f t="shared" si="37"/>
        <v>0</v>
      </c>
      <c r="G84" s="855">
        <f t="shared" si="37"/>
        <v>0</v>
      </c>
      <c r="H84" s="855">
        <f t="shared" si="37"/>
        <v>0</v>
      </c>
      <c r="I84" s="855">
        <f t="shared" ref="I84" si="38">IF(ISERROR((I80-$B80)/$B80), 0, (I80-$B80)/$B80)</f>
        <v>0</v>
      </c>
      <c r="J84" s="855">
        <f t="shared" si="37"/>
        <v>0</v>
      </c>
    </row>
    <row r="85" spans="1:10" x14ac:dyDescent="0.2">
      <c r="A85" s="846" t="s">
        <v>36</v>
      </c>
      <c r="B85" s="848"/>
      <c r="C85" s="848"/>
      <c r="D85" s="848"/>
      <c r="E85" s="855">
        <f t="shared" si="37"/>
        <v>0</v>
      </c>
      <c r="F85" s="855">
        <f t="shared" si="37"/>
        <v>0</v>
      </c>
      <c r="G85" s="855">
        <f t="shared" si="37"/>
        <v>0</v>
      </c>
      <c r="H85" s="855">
        <f t="shared" si="37"/>
        <v>0</v>
      </c>
      <c r="I85" s="855">
        <f t="shared" ref="I85" si="39">IF(ISERROR((I81-$B81)/$B81), 0, (I81-$B81)/$B81)</f>
        <v>0</v>
      </c>
      <c r="J85" s="855">
        <f t="shared" si="37"/>
        <v>0</v>
      </c>
    </row>
    <row r="86" spans="1:10" x14ac:dyDescent="0.2">
      <c r="A86" s="268"/>
      <c r="B86" s="244"/>
      <c r="C86" s="244"/>
      <c r="D86" s="244"/>
      <c r="E86" s="244"/>
      <c r="F86" s="244"/>
      <c r="G86" s="244"/>
      <c r="H86" s="244"/>
      <c r="I86" s="244"/>
      <c r="J86" s="244"/>
    </row>
    <row r="87" spans="1:10" x14ac:dyDescent="0.2">
      <c r="A87" s="844" t="s">
        <v>456</v>
      </c>
      <c r="B87" s="852"/>
      <c r="C87" s="852"/>
      <c r="D87" s="852"/>
      <c r="E87" s="852"/>
      <c r="F87" s="852"/>
      <c r="G87" s="852"/>
      <c r="H87" s="852"/>
      <c r="I87" s="852"/>
      <c r="J87" s="852"/>
    </row>
    <row r="88" spans="1:10" x14ac:dyDescent="0.2">
      <c r="A88" s="845" t="s">
        <v>451</v>
      </c>
      <c r="B88" s="853"/>
      <c r="C88" s="853"/>
      <c r="D88" s="853"/>
      <c r="E88" s="853"/>
      <c r="F88" s="853"/>
      <c r="G88" s="853"/>
      <c r="H88" s="853"/>
      <c r="I88" s="853"/>
      <c r="J88" s="853"/>
    </row>
    <row r="89" spans="1:10" x14ac:dyDescent="0.2">
      <c r="A89" s="846" t="s">
        <v>35</v>
      </c>
      <c r="B89" s="853"/>
      <c r="C89" s="853"/>
      <c r="D89" s="853"/>
      <c r="E89" s="853"/>
      <c r="F89" s="853"/>
      <c r="G89" s="853"/>
      <c r="H89" s="853"/>
      <c r="I89" s="853"/>
      <c r="J89" s="853"/>
    </row>
    <row r="90" spans="1:10" x14ac:dyDescent="0.2">
      <c r="A90" s="846" t="s">
        <v>36</v>
      </c>
      <c r="B90" s="853"/>
      <c r="C90" s="853"/>
      <c r="D90" s="853"/>
      <c r="E90" s="853"/>
      <c r="F90" s="853"/>
      <c r="G90" s="853"/>
      <c r="H90" s="853"/>
      <c r="I90" s="853"/>
      <c r="J90" s="853"/>
    </row>
    <row r="91" spans="1:10" x14ac:dyDescent="0.2">
      <c r="A91" s="847" t="s">
        <v>452</v>
      </c>
      <c r="B91" s="854"/>
      <c r="C91" s="854"/>
      <c r="D91" s="854"/>
      <c r="E91" s="854"/>
      <c r="F91" s="854"/>
      <c r="G91" s="854"/>
      <c r="H91" s="854"/>
      <c r="I91" s="854"/>
      <c r="J91" s="854"/>
    </row>
    <row r="92" spans="1:10" x14ac:dyDescent="0.2">
      <c r="A92" s="846" t="str">
        <f>A88</f>
        <v># of Customers</v>
      </c>
      <c r="B92" s="848"/>
      <c r="C92" s="848"/>
      <c r="D92" s="848"/>
      <c r="E92" s="855">
        <f>IF(ISERROR((E88-$B88)/$B88), 0, (E88-$B88)/$B88)</f>
        <v>0</v>
      </c>
      <c r="F92" s="855">
        <f t="shared" ref="F92:J92" si="40">IF(ISERROR((F88-$B88)/$B88), 0, (F88-$B88)/$B88)</f>
        <v>0</v>
      </c>
      <c r="G92" s="855">
        <f t="shared" si="40"/>
        <v>0</v>
      </c>
      <c r="H92" s="855">
        <f t="shared" si="40"/>
        <v>0</v>
      </c>
      <c r="I92" s="855">
        <f t="shared" ref="I92" si="41">IF(ISERROR((I88-$B88)/$B88), 0, (I88-$B88)/$B88)</f>
        <v>0</v>
      </c>
      <c r="J92" s="855">
        <f t="shared" si="40"/>
        <v>0</v>
      </c>
    </row>
    <row r="93" spans="1:10" x14ac:dyDescent="0.2">
      <c r="A93" s="846" t="s">
        <v>35</v>
      </c>
      <c r="B93" s="848"/>
      <c r="C93" s="848"/>
      <c r="D93" s="848"/>
      <c r="E93" s="855">
        <f t="shared" ref="E93:J94" si="42">IF(ISERROR((E89-$B89)/$B89), 0, (E89-$B89)/$B89)</f>
        <v>0</v>
      </c>
      <c r="F93" s="855">
        <f t="shared" si="42"/>
        <v>0</v>
      </c>
      <c r="G93" s="855">
        <f t="shared" si="42"/>
        <v>0</v>
      </c>
      <c r="H93" s="855">
        <f t="shared" si="42"/>
        <v>0</v>
      </c>
      <c r="I93" s="855">
        <f t="shared" ref="I93" si="43">IF(ISERROR((I89-$B89)/$B89), 0, (I89-$B89)/$B89)</f>
        <v>0</v>
      </c>
      <c r="J93" s="855">
        <f t="shared" si="42"/>
        <v>0</v>
      </c>
    </row>
    <row r="94" spans="1:10" x14ac:dyDescent="0.2">
      <c r="A94" s="846" t="s">
        <v>36</v>
      </c>
      <c r="B94" s="848"/>
      <c r="C94" s="848"/>
      <c r="D94" s="848"/>
      <c r="E94" s="855">
        <f t="shared" si="42"/>
        <v>0</v>
      </c>
      <c r="F94" s="855">
        <f t="shared" si="42"/>
        <v>0</v>
      </c>
      <c r="G94" s="855">
        <f t="shared" si="42"/>
        <v>0</v>
      </c>
      <c r="H94" s="855">
        <f t="shared" si="42"/>
        <v>0</v>
      </c>
      <c r="I94" s="855">
        <f t="shared" ref="I94" si="44">IF(ISERROR((I90-$B90)/$B90), 0, (I90-$B90)/$B90)</f>
        <v>0</v>
      </c>
      <c r="J94" s="855">
        <f t="shared" si="42"/>
        <v>0</v>
      </c>
    </row>
    <row r="95" spans="1:10" x14ac:dyDescent="0.2">
      <c r="A95" s="268"/>
      <c r="B95" s="244"/>
      <c r="C95" s="244"/>
      <c r="D95" s="244"/>
      <c r="E95" s="244"/>
      <c r="F95" s="244"/>
      <c r="G95" s="244"/>
      <c r="H95" s="244"/>
      <c r="I95" s="244"/>
      <c r="J95" s="244"/>
    </row>
    <row r="96" spans="1:10" x14ac:dyDescent="0.2">
      <c r="A96" s="844" t="s">
        <v>457</v>
      </c>
      <c r="B96" s="852"/>
      <c r="C96" s="852"/>
      <c r="D96" s="852"/>
      <c r="E96" s="852"/>
      <c r="F96" s="852"/>
      <c r="G96" s="852"/>
      <c r="H96" s="852"/>
      <c r="I96" s="852"/>
      <c r="J96" s="852"/>
    </row>
    <row r="97" spans="1:10" x14ac:dyDescent="0.2">
      <c r="A97" s="845" t="s">
        <v>451</v>
      </c>
      <c r="B97" s="853"/>
      <c r="C97" s="853"/>
      <c r="D97" s="853"/>
      <c r="E97" s="853"/>
      <c r="F97" s="853"/>
      <c r="G97" s="853"/>
      <c r="H97" s="853"/>
      <c r="I97" s="853"/>
      <c r="J97" s="853"/>
    </row>
    <row r="98" spans="1:10" x14ac:dyDescent="0.2">
      <c r="A98" s="846" t="s">
        <v>35</v>
      </c>
      <c r="B98" s="853"/>
      <c r="C98" s="853"/>
      <c r="D98" s="853"/>
      <c r="E98" s="853"/>
      <c r="F98" s="853"/>
      <c r="G98" s="853"/>
      <c r="H98" s="853"/>
      <c r="I98" s="853"/>
      <c r="J98" s="853"/>
    </row>
    <row r="99" spans="1:10" x14ac:dyDescent="0.2">
      <c r="A99" s="846" t="s">
        <v>36</v>
      </c>
      <c r="B99" s="853"/>
      <c r="C99" s="853"/>
      <c r="D99" s="853"/>
      <c r="E99" s="853"/>
      <c r="F99" s="853"/>
      <c r="G99" s="853"/>
      <c r="H99" s="853"/>
      <c r="I99" s="853"/>
      <c r="J99" s="853"/>
    </row>
    <row r="100" spans="1:10" x14ac:dyDescent="0.2">
      <c r="A100" s="847" t="s">
        <v>452</v>
      </c>
      <c r="B100" s="854"/>
      <c r="C100" s="854"/>
      <c r="D100" s="854"/>
      <c r="E100" s="854"/>
      <c r="F100" s="854"/>
      <c r="G100" s="854"/>
      <c r="H100" s="854"/>
      <c r="I100" s="854"/>
      <c r="J100" s="854"/>
    </row>
    <row r="101" spans="1:10" x14ac:dyDescent="0.2">
      <c r="A101" s="846" t="str">
        <f>A97</f>
        <v># of Customers</v>
      </c>
      <c r="B101" s="848"/>
      <c r="C101" s="848"/>
      <c r="D101" s="848"/>
      <c r="E101" s="855">
        <f>IF(ISERROR((E97-$B97)/$B97), 0, (E97-$B97)/$B97)</f>
        <v>0</v>
      </c>
      <c r="F101" s="855">
        <f t="shared" ref="F101:J101" si="45">IF(ISERROR((F97-$B97)/$B97), 0, (F97-$B97)/$B97)</f>
        <v>0</v>
      </c>
      <c r="G101" s="855">
        <f t="shared" si="45"/>
        <v>0</v>
      </c>
      <c r="H101" s="855">
        <f t="shared" si="45"/>
        <v>0</v>
      </c>
      <c r="I101" s="855">
        <f t="shared" ref="I101" si="46">IF(ISERROR((I97-$B97)/$B97), 0, (I97-$B97)/$B97)</f>
        <v>0</v>
      </c>
      <c r="J101" s="855">
        <f t="shared" si="45"/>
        <v>0</v>
      </c>
    </row>
    <row r="102" spans="1:10" x14ac:dyDescent="0.2">
      <c r="A102" s="846" t="s">
        <v>35</v>
      </c>
      <c r="B102" s="848"/>
      <c r="C102" s="848"/>
      <c r="D102" s="848"/>
      <c r="E102" s="855">
        <f t="shared" ref="E102:J103" si="47">IF(ISERROR((E98-$B98)/$B98), 0, (E98-$B98)/$B98)</f>
        <v>0</v>
      </c>
      <c r="F102" s="855">
        <f t="shared" si="47"/>
        <v>0</v>
      </c>
      <c r="G102" s="855">
        <f t="shared" si="47"/>
        <v>0</v>
      </c>
      <c r="H102" s="855">
        <f t="shared" si="47"/>
        <v>0</v>
      </c>
      <c r="I102" s="855">
        <f t="shared" ref="I102" si="48">IF(ISERROR((I98-$B98)/$B98), 0, (I98-$B98)/$B98)</f>
        <v>0</v>
      </c>
      <c r="J102" s="855">
        <f t="shared" si="47"/>
        <v>0</v>
      </c>
    </row>
    <row r="103" spans="1:10" x14ac:dyDescent="0.2">
      <c r="A103" s="846" t="s">
        <v>36</v>
      </c>
      <c r="B103" s="848"/>
      <c r="C103" s="848"/>
      <c r="D103" s="848"/>
      <c r="E103" s="855">
        <f t="shared" si="47"/>
        <v>0</v>
      </c>
      <c r="F103" s="855">
        <f t="shared" si="47"/>
        <v>0</v>
      </c>
      <c r="G103" s="855">
        <f t="shared" si="47"/>
        <v>0</v>
      </c>
      <c r="H103" s="855">
        <f t="shared" si="47"/>
        <v>0</v>
      </c>
      <c r="I103" s="855">
        <f t="shared" ref="I103" si="49">IF(ISERROR((I99-$B99)/$B99), 0, (I99-$B99)/$B99)</f>
        <v>0</v>
      </c>
      <c r="J103" s="855">
        <f t="shared" si="47"/>
        <v>0</v>
      </c>
    </row>
    <row r="104" spans="1:10" x14ac:dyDescent="0.2">
      <c r="A104" s="268"/>
      <c r="B104" s="244"/>
      <c r="C104" s="244"/>
      <c r="D104" s="244"/>
      <c r="E104" s="244"/>
      <c r="F104" s="244"/>
      <c r="G104" s="244"/>
      <c r="H104" s="244"/>
      <c r="I104" s="244"/>
      <c r="J104" s="244"/>
    </row>
    <row r="105" spans="1:10" x14ac:dyDescent="0.2">
      <c r="A105" s="244"/>
      <c r="B105" s="244"/>
      <c r="C105" s="244"/>
      <c r="D105" s="244"/>
      <c r="E105" s="244"/>
      <c r="F105" s="244"/>
      <c r="G105" s="244"/>
      <c r="H105" s="244"/>
      <c r="I105" s="244"/>
      <c r="J105" s="244"/>
    </row>
    <row r="106" spans="1:10" ht="18" x14ac:dyDescent="0.25">
      <c r="A106" s="849" t="s">
        <v>458</v>
      </c>
      <c r="B106" s="244"/>
      <c r="C106" s="244"/>
      <c r="D106" s="244"/>
      <c r="E106" s="244"/>
      <c r="F106" s="244"/>
      <c r="G106" s="244"/>
      <c r="H106" s="244"/>
      <c r="I106" s="244"/>
      <c r="J106" s="244"/>
    </row>
    <row r="107" spans="1:10" x14ac:dyDescent="0.2">
      <c r="A107" s="846" t="s">
        <v>459</v>
      </c>
      <c r="B107" s="856">
        <f>SUM(B16,B25,B34,B43,B52,B61,B70,B79,B88,B97)</f>
        <v>5349</v>
      </c>
      <c r="C107" s="856">
        <f>SUM(C16,C25,C34,C43,C52,C61,C70,C79,C88,C97)</f>
        <v>5363</v>
      </c>
      <c r="D107" s="856">
        <f>SUM(D16,D25,D34,D43,D52,D61,D70,D79,D88,D97)</f>
        <v>5393</v>
      </c>
      <c r="E107" s="856">
        <f t="shared" ref="E107:J107" si="50">SUM(E16,E25,E34,E43,E52,E61,E70,E79,E88,E97)</f>
        <v>5411</v>
      </c>
      <c r="F107" s="856">
        <f t="shared" si="50"/>
        <v>5443</v>
      </c>
      <c r="G107" s="856">
        <f t="shared" si="50"/>
        <v>5473</v>
      </c>
      <c r="H107" s="856">
        <f t="shared" si="50"/>
        <v>5493</v>
      </c>
      <c r="I107" s="856">
        <f t="shared" ref="I107" si="51">SUM(I16,I25,I34,I43,I52,I61,I70,I79,I88,I97)</f>
        <v>5517.77491112178</v>
      </c>
      <c r="J107" s="856">
        <f t="shared" si="50"/>
        <v>5542.9438224770811</v>
      </c>
    </row>
    <row r="108" spans="1:10" x14ac:dyDescent="0.2">
      <c r="A108" s="846" t="s">
        <v>35</v>
      </c>
      <c r="B108" s="856">
        <f t="shared" ref="B108:J109" si="52">SUM(B17,B26,B35,B44,B53,B62,B71,B80,B89,B98)</f>
        <v>98720895</v>
      </c>
      <c r="C108" s="856">
        <f t="shared" ref="C108:D108" si="53">SUM(C17,C26,C35,C44,C53,C62,C71,C80,C89,C98)</f>
        <v>95702324</v>
      </c>
      <c r="D108" s="856">
        <f t="shared" si="53"/>
        <v>89846326</v>
      </c>
      <c r="E108" s="856">
        <f t="shared" si="52"/>
        <v>87042318</v>
      </c>
      <c r="F108" s="856">
        <f t="shared" si="52"/>
        <v>87411656</v>
      </c>
      <c r="G108" s="856">
        <f t="shared" si="52"/>
        <v>86248298</v>
      </c>
      <c r="H108" s="856">
        <f t="shared" si="52"/>
        <v>86807086</v>
      </c>
      <c r="I108" s="856">
        <f t="shared" ref="I108" si="54">SUM(I17,I26,I35,I44,I53,I62,I71,I80,I89,I98)</f>
        <v>89530480.420528263</v>
      </c>
      <c r="J108" s="856">
        <f t="shared" si="52"/>
        <v>88485820.980382964</v>
      </c>
    </row>
    <row r="109" spans="1:10" x14ac:dyDescent="0.2">
      <c r="A109" s="846" t="s">
        <v>460</v>
      </c>
      <c r="B109" s="856">
        <f t="shared" si="52"/>
        <v>145888</v>
      </c>
      <c r="C109" s="856">
        <f t="shared" ref="C109:D109" si="55">SUM(C18,C27,C36,C45,C54,C63,C72,C81,C90,C99)</f>
        <v>144895</v>
      </c>
      <c r="D109" s="856">
        <f t="shared" si="55"/>
        <v>134079</v>
      </c>
      <c r="E109" s="856">
        <f t="shared" si="52"/>
        <v>123479</v>
      </c>
      <c r="F109" s="856">
        <f t="shared" si="52"/>
        <v>118917</v>
      </c>
      <c r="G109" s="856">
        <f t="shared" si="52"/>
        <v>117290</v>
      </c>
      <c r="H109" s="856">
        <f t="shared" si="52"/>
        <v>117039</v>
      </c>
      <c r="I109" s="856">
        <f t="shared" ref="I109" si="56">SUM(I18,I27,I36,I45,I54,I63,I72,I81,I90,I99)</f>
        <v>126968.02043662457</v>
      </c>
      <c r="J109" s="856">
        <f t="shared" si="52"/>
        <v>125486.53233868662</v>
      </c>
    </row>
    <row r="110" spans="1:10" x14ac:dyDescent="0.2">
      <c r="A110" s="244"/>
      <c r="B110" s="244"/>
      <c r="C110" s="244"/>
      <c r="D110" s="244"/>
      <c r="E110" s="244"/>
      <c r="F110" s="244"/>
      <c r="G110" s="244"/>
      <c r="H110" s="244"/>
      <c r="I110" s="244"/>
      <c r="J110" s="244"/>
    </row>
    <row r="111" spans="1:10" ht="18" x14ac:dyDescent="0.25">
      <c r="A111" s="849" t="s">
        <v>461</v>
      </c>
      <c r="B111" s="244"/>
      <c r="C111" s="244"/>
      <c r="D111" s="244"/>
      <c r="E111" s="244"/>
      <c r="F111" s="244"/>
      <c r="G111" s="244"/>
      <c r="H111" s="244"/>
      <c r="I111" s="244"/>
      <c r="J111" s="244"/>
    </row>
    <row r="112" spans="1:10" x14ac:dyDescent="0.2">
      <c r="A112" s="846" t="s">
        <v>459</v>
      </c>
      <c r="B112" s="848"/>
      <c r="C112" s="848"/>
      <c r="D112" s="848"/>
      <c r="E112" s="855">
        <f t="shared" ref="E112:J114" si="57">IF(ISERROR((E107-$B107)/$B107), 0, (E107-$B107)/$B107)</f>
        <v>1.159095157973453E-2</v>
      </c>
      <c r="F112" s="855">
        <f t="shared" si="57"/>
        <v>1.7573378201532996E-2</v>
      </c>
      <c r="G112" s="855">
        <f t="shared" si="57"/>
        <v>2.318190315946906E-2</v>
      </c>
      <c r="H112" s="855">
        <f t="shared" si="57"/>
        <v>2.69209197980931E-2</v>
      </c>
      <c r="I112" s="855">
        <f t="shared" ref="I112" si="58">IF(ISERROR((I107-$B107)/$B107), 0, (I107-$B107)/$B107)</f>
        <v>3.1552610043331451E-2</v>
      </c>
      <c r="J112" s="855">
        <f t="shared" si="57"/>
        <v>3.6257958960007677E-2</v>
      </c>
    </row>
    <row r="113" spans="1:10" x14ac:dyDescent="0.2">
      <c r="A113" s="846" t="s">
        <v>35</v>
      </c>
      <c r="B113" s="848"/>
      <c r="C113" s="848"/>
      <c r="D113" s="848"/>
      <c r="E113" s="855">
        <f t="shared" si="57"/>
        <v>-0.11829893762612262</v>
      </c>
      <c r="F113" s="855">
        <f t="shared" si="57"/>
        <v>-0.11455770331093534</v>
      </c>
      <c r="G113" s="855">
        <f t="shared" si="57"/>
        <v>-0.12634201705728051</v>
      </c>
      <c r="H113" s="855">
        <f t="shared" si="57"/>
        <v>-0.12068173612080806</v>
      </c>
      <c r="I113" s="855">
        <f t="shared" ref="I113" si="59">IF(ISERROR((I108-$B108)/$B108), 0, (I108-$B108)/$B108)</f>
        <v>-9.3094927669281541E-2</v>
      </c>
      <c r="J113" s="855">
        <f t="shared" si="57"/>
        <v>-0.10367687630482925</v>
      </c>
    </row>
    <row r="114" spans="1:10" x14ac:dyDescent="0.2">
      <c r="A114" s="846" t="s">
        <v>460</v>
      </c>
      <c r="B114" s="848"/>
      <c r="C114" s="848"/>
      <c r="D114" s="848"/>
      <c r="E114" s="855">
        <f t="shared" si="57"/>
        <v>-0.15360413467865761</v>
      </c>
      <c r="F114" s="855">
        <f t="shared" si="57"/>
        <v>-0.18487469839877166</v>
      </c>
      <c r="G114" s="855">
        <f t="shared" si="57"/>
        <v>-0.19602708927396359</v>
      </c>
      <c r="H114" s="855">
        <f t="shared" si="57"/>
        <v>-0.1977475871901733</v>
      </c>
      <c r="I114" s="855">
        <f t="shared" ref="I114" si="60">IF(ISERROR((I109-$B109)/$B109), 0, (I109-$B109)/$B109)</f>
        <v>-0.12968838810166308</v>
      </c>
      <c r="J114" s="855">
        <f t="shared" si="57"/>
        <v>-0.13984335696776554</v>
      </c>
    </row>
  </sheetData>
  <mergeCells count="2">
    <mergeCell ref="A9:J9"/>
    <mergeCell ref="A10:J10"/>
  </mergeCells>
  <dataValidations count="1">
    <dataValidation type="list" allowBlank="1" showInputMessage="1" showErrorMessage="1" promptTitle="Customers/connections" prompt="Select &quot;# of Customers&quot; or &quot;# of Connections&quot; from drop-down list." sqref="A61 A70 A16 A43 A88 A25 A34 A52 A79 A97">
      <formula1>"# of Customers, # of Connections"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topLeftCell="A7" zoomScaleNormal="100" workbookViewId="0">
      <selection activeCell="O144" sqref="O144"/>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29" customWidth="1"/>
    <col min="23" max="23" width="13.5" style="31" customWidth="1"/>
    <col min="24" max="27" width="13.5" style="30" customWidth="1"/>
    <col min="28" max="16384" width="9.33203125" style="30"/>
  </cols>
  <sheetData>
    <row r="1" spans="1:23" s="528" customFormat="1" x14ac:dyDescent="0.2">
      <c r="A1" s="744" t="s">
        <v>264</v>
      </c>
    </row>
    <row r="2" spans="1:23" s="528" customFormat="1" x14ac:dyDescent="0.2"/>
    <row r="3" spans="1:23" s="528" customFormat="1" x14ac:dyDescent="0.2"/>
    <row r="4" spans="1:23" s="528" customFormat="1" x14ac:dyDescent="0.2"/>
    <row r="5" spans="1:23" s="528" customFormat="1" x14ac:dyDescent="0.2"/>
    <row r="6" spans="1:23" s="528" customFormat="1" x14ac:dyDescent="0.2"/>
    <row r="7" spans="1:23" s="528" customFormat="1" x14ac:dyDescent="0.2"/>
    <row r="8" spans="1:23" s="528" customFormat="1" x14ac:dyDescent="0.2"/>
    <row r="9" spans="1:23" s="528" customFormat="1" x14ac:dyDescent="0.2"/>
    <row r="10" spans="1:23" customFormat="1" ht="12.75" customHeight="1" x14ac:dyDescent="0.2">
      <c r="B10" s="1043"/>
      <c r="C10" s="1043"/>
      <c r="D10" s="1043"/>
      <c r="E10" s="1043"/>
      <c r="F10" s="1043"/>
      <c r="G10" s="1043"/>
      <c r="H10" s="1043"/>
      <c r="I10" s="1043"/>
      <c r="J10" s="508"/>
      <c r="K10" s="508"/>
      <c r="L10" s="508"/>
      <c r="M10" s="508"/>
    </row>
    <row r="11" spans="1:23" s="1" customFormat="1" ht="23.25" x14ac:dyDescent="0.2">
      <c r="A11"/>
      <c r="B11" s="133" t="s">
        <v>98</v>
      </c>
      <c r="D11" s="58"/>
      <c r="E11" s="58"/>
      <c r="F11" s="58"/>
      <c r="G11" s="58"/>
      <c r="L11" s="58"/>
      <c r="N11" s="58"/>
      <c r="O11" s="58"/>
      <c r="Q11" s="58"/>
      <c r="V11" s="528"/>
    </row>
    <row r="12" spans="1:23" ht="15" x14ac:dyDescent="0.2">
      <c r="B12" s="63" t="s">
        <v>62</v>
      </c>
      <c r="C12" s="30"/>
      <c r="D12" s="99"/>
      <c r="E12" s="99"/>
      <c r="F12" s="99"/>
      <c r="G12" s="99"/>
      <c r="H12"/>
      <c r="L12" s="99"/>
      <c r="M12" s="99"/>
      <c r="N12" s="99"/>
      <c r="O12" s="99"/>
      <c r="P12" s="99"/>
      <c r="Q12" s="99"/>
      <c r="R12" s="99"/>
      <c r="T12" s="529"/>
      <c r="U12" s="31"/>
      <c r="V12" s="30"/>
      <c r="W12" s="30"/>
    </row>
    <row r="13" spans="1:23" ht="14.25" x14ac:dyDescent="0.2">
      <c r="B13" s="100" t="s">
        <v>66</v>
      </c>
      <c r="C13" s="30"/>
      <c r="D13" s="100"/>
      <c r="E13" s="100"/>
      <c r="F13" s="100"/>
      <c r="G13" s="99"/>
      <c r="L13" s="99"/>
      <c r="M13" s="99"/>
      <c r="N13" s="99"/>
      <c r="O13" s="99"/>
      <c r="P13" s="99"/>
      <c r="Q13" s="99"/>
      <c r="R13" s="99"/>
      <c r="T13" s="529"/>
      <c r="U13" s="31"/>
      <c r="V13" s="30"/>
      <c r="W13" s="30"/>
    </row>
    <row r="14" spans="1:23" ht="14.25" x14ac:dyDescent="0.2">
      <c r="B14" s="100" t="s">
        <v>65</v>
      </c>
      <c r="C14" s="30"/>
      <c r="D14" s="100"/>
      <c r="E14" s="100"/>
      <c r="F14" s="100"/>
      <c r="G14" s="99"/>
      <c r="L14" s="99"/>
      <c r="M14" s="99"/>
      <c r="N14" s="99"/>
      <c r="O14" s="99"/>
      <c r="P14" s="99"/>
      <c r="Q14" s="99"/>
      <c r="R14" s="99"/>
      <c r="S14" s="99"/>
      <c r="T14" s="99"/>
    </row>
    <row r="15" spans="1:23" ht="14.25" x14ac:dyDescent="0.2">
      <c r="B15" s="100" t="s">
        <v>67</v>
      </c>
      <c r="C15" s="30"/>
      <c r="D15" s="100"/>
      <c r="E15" s="100"/>
      <c r="F15" s="100"/>
      <c r="G15" s="99"/>
      <c r="L15" s="99"/>
      <c r="M15" s="99"/>
      <c r="N15" s="99"/>
      <c r="O15" s="99"/>
      <c r="P15" s="99"/>
      <c r="Q15" s="99"/>
      <c r="R15" s="99"/>
      <c r="S15" s="99"/>
      <c r="T15" s="99"/>
    </row>
    <row r="16" spans="1:23" ht="14.25" x14ac:dyDescent="0.2">
      <c r="B16" s="100" t="s">
        <v>64</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63</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58" t="str">
        <f>'2. Customer Classes'!B14</f>
        <v>Residential</v>
      </c>
      <c r="E20" s="1059"/>
      <c r="F20" s="1058" t="str">
        <f>'2. Customer Classes'!B15</f>
        <v>General Service &lt; 50 kW</v>
      </c>
      <c r="G20" s="1059"/>
      <c r="H20" s="1061" t="str">
        <f>+'2. Customer Classes'!B16</f>
        <v>Unmetered Scattered Load</v>
      </c>
      <c r="I20" s="1062"/>
      <c r="J20" s="1050">
        <f>+'2. Customer Classes'!B17</f>
        <v>0</v>
      </c>
      <c r="K20" s="1051"/>
      <c r="L20" s="1058" t="str">
        <f>'2. Customer Classes'!B18</f>
        <v>General Service &gt; 50 kW - 4999 kW</v>
      </c>
      <c r="M20" s="1060"/>
      <c r="N20" s="1059"/>
      <c r="O20" s="1052" t="str">
        <f>'2. Customer Classes'!B19</f>
        <v>Streetlighting</v>
      </c>
      <c r="P20" s="1053"/>
      <c r="Q20" s="1054"/>
      <c r="R20" s="1052">
        <f>'2. Customer Classes'!B20</f>
        <v>0</v>
      </c>
      <c r="S20" s="1053"/>
      <c r="T20" s="1054"/>
      <c r="U20" s="1055">
        <f>'2. Customer Classes'!B21</f>
        <v>0</v>
      </c>
      <c r="V20" s="1056"/>
      <c r="W20" s="1051"/>
      <c r="X20" s="1055" t="str">
        <f>'2. Customer Classes'!B22</f>
        <v>other</v>
      </c>
      <c r="Y20" s="1051"/>
      <c r="Z20" s="1055" t="str">
        <f>'2. Customer Classes'!B23</f>
        <v>other</v>
      </c>
      <c r="AA20" s="1051"/>
    </row>
    <row r="21" spans="2:27" ht="12.75" customHeight="1" x14ac:dyDescent="0.2">
      <c r="B21" s="165"/>
      <c r="C21" s="165"/>
      <c r="D21" s="1048" t="s">
        <v>118</v>
      </c>
      <c r="E21" s="1049"/>
      <c r="F21" s="1048" t="s">
        <v>118</v>
      </c>
      <c r="G21" s="1049"/>
      <c r="H21" s="1048" t="s">
        <v>118</v>
      </c>
      <c r="I21" s="1049"/>
      <c r="J21" s="1048" t="s">
        <v>118</v>
      </c>
      <c r="K21" s="1049"/>
      <c r="L21" s="1048" t="s">
        <v>118</v>
      </c>
      <c r="M21" s="1057"/>
      <c r="N21" s="1049"/>
      <c r="O21" s="1048" t="s">
        <v>118</v>
      </c>
      <c r="P21" s="1057"/>
      <c r="Q21" s="1049"/>
      <c r="R21" s="1048" t="s">
        <v>118</v>
      </c>
      <c r="S21" s="1057"/>
      <c r="T21" s="1049"/>
      <c r="U21" s="1048" t="s">
        <v>118</v>
      </c>
      <c r="V21" s="1057"/>
      <c r="W21" s="1049"/>
      <c r="X21" s="1048" t="s">
        <v>118</v>
      </c>
      <c r="Y21" s="1049"/>
      <c r="Z21" s="1048" t="s">
        <v>118</v>
      </c>
      <c r="AA21" s="1049"/>
    </row>
    <row r="22" spans="2:27" x14ac:dyDescent="0.2">
      <c r="B22" s="34"/>
      <c r="C22" s="34"/>
      <c r="D22" s="35"/>
      <c r="E22" s="36" t="s">
        <v>34</v>
      </c>
      <c r="F22" s="35"/>
      <c r="G22" s="36" t="s">
        <v>34</v>
      </c>
      <c r="H22" s="35"/>
      <c r="I22" s="36" t="s">
        <v>34</v>
      </c>
      <c r="J22" s="35"/>
      <c r="K22" s="36" t="s">
        <v>34</v>
      </c>
      <c r="L22" s="35"/>
      <c r="M22" s="19"/>
      <c r="N22" s="36" t="s">
        <v>34</v>
      </c>
      <c r="O22" s="35"/>
      <c r="P22" s="19"/>
      <c r="Q22" s="36" t="s">
        <v>34</v>
      </c>
      <c r="R22" s="35"/>
      <c r="S22" s="19"/>
      <c r="T22" s="36" t="s">
        <v>34</v>
      </c>
      <c r="U22" s="35"/>
      <c r="V22" s="512"/>
      <c r="W22" s="36" t="s">
        <v>34</v>
      </c>
      <c r="X22" s="35"/>
      <c r="Y22" s="36" t="s">
        <v>34</v>
      </c>
      <c r="Z22" s="35"/>
      <c r="AA22" s="36" t="s">
        <v>34</v>
      </c>
    </row>
    <row r="23" spans="2:27" ht="13.5" thickBot="1" x14ac:dyDescent="0.25">
      <c r="B23" s="37"/>
      <c r="C23" s="37"/>
      <c r="D23" s="38" t="s">
        <v>35</v>
      </c>
      <c r="E23" s="39" t="s">
        <v>0</v>
      </c>
      <c r="F23" s="38" t="s">
        <v>35</v>
      </c>
      <c r="G23" s="39" t="s">
        <v>0</v>
      </c>
      <c r="H23" s="40" t="s">
        <v>35</v>
      </c>
      <c r="I23" s="41" t="s">
        <v>0</v>
      </c>
      <c r="J23" s="40" t="s">
        <v>35</v>
      </c>
      <c r="K23" s="41" t="s">
        <v>0</v>
      </c>
      <c r="L23" s="38" t="s">
        <v>35</v>
      </c>
      <c r="M23" s="23" t="s">
        <v>36</v>
      </c>
      <c r="N23" s="39" t="s">
        <v>0</v>
      </c>
      <c r="O23" s="38" t="s">
        <v>35</v>
      </c>
      <c r="P23" s="23" t="s">
        <v>36</v>
      </c>
      <c r="Q23" s="39" t="s">
        <v>0</v>
      </c>
      <c r="R23" s="38" t="s">
        <v>35</v>
      </c>
      <c r="S23" s="23" t="s">
        <v>36</v>
      </c>
      <c r="T23" s="39" t="s">
        <v>0</v>
      </c>
      <c r="U23" s="40" t="s">
        <v>35</v>
      </c>
      <c r="V23" s="530" t="s">
        <v>36</v>
      </c>
      <c r="W23" s="41" t="s">
        <v>0</v>
      </c>
      <c r="X23" s="40" t="s">
        <v>35</v>
      </c>
      <c r="Y23" s="41" t="s">
        <v>0</v>
      </c>
      <c r="Z23" s="40" t="s">
        <v>35</v>
      </c>
      <c r="AA23" s="41" t="s">
        <v>0</v>
      </c>
    </row>
    <row r="24" spans="2:27" ht="15.75" customHeight="1" thickBot="1" x14ac:dyDescent="0.25">
      <c r="B24" s="33" t="s">
        <v>33</v>
      </c>
      <c r="C24" s="33" t="s">
        <v>104</v>
      </c>
      <c r="D24" s="280"/>
      <c r="E24" s="281"/>
      <c r="F24" s="280"/>
      <c r="G24" s="281"/>
      <c r="H24" s="282"/>
      <c r="I24" s="281"/>
      <c r="J24" s="282"/>
      <c r="K24" s="281"/>
      <c r="L24" s="280"/>
      <c r="M24" s="283"/>
      <c r="N24" s="281"/>
      <c r="O24" s="280"/>
      <c r="P24" s="283"/>
      <c r="Q24" s="281"/>
      <c r="R24" s="280"/>
      <c r="S24" s="283"/>
      <c r="T24" s="281"/>
      <c r="U24" s="43"/>
      <c r="V24" s="531"/>
      <c r="W24" s="42"/>
      <c r="X24" s="43"/>
      <c r="Y24" s="42"/>
      <c r="Z24" s="43"/>
      <c r="AA24" s="42"/>
    </row>
    <row r="25" spans="2:27" x14ac:dyDescent="0.2">
      <c r="B25" s="166">
        <f>'1. LDC Info'!$F$27-11</f>
        <v>2006</v>
      </c>
      <c r="C25" s="44" t="s">
        <v>109</v>
      </c>
      <c r="D25" s="517"/>
      <c r="E25" s="533"/>
      <c r="F25" s="517"/>
      <c r="G25" s="533"/>
      <c r="H25" s="535"/>
      <c r="I25" s="533"/>
      <c r="J25" s="535"/>
      <c r="K25" s="533"/>
      <c r="L25" s="517"/>
      <c r="M25" s="534"/>
      <c r="N25" s="533"/>
      <c r="O25" s="517"/>
      <c r="P25" s="534"/>
      <c r="Q25" s="533"/>
      <c r="R25" s="535"/>
      <c r="S25" s="534"/>
      <c r="T25" s="533"/>
      <c r="U25" s="535"/>
      <c r="V25" s="534"/>
      <c r="W25" s="533"/>
      <c r="X25" s="223"/>
      <c r="Y25" s="221"/>
      <c r="Z25" s="223"/>
      <c r="AA25" s="46"/>
    </row>
    <row r="26" spans="2:27" x14ac:dyDescent="0.2">
      <c r="B26" s="166">
        <f>'1. LDC Info'!$F$27-11</f>
        <v>2006</v>
      </c>
      <c r="C26" s="44" t="s">
        <v>110</v>
      </c>
      <c r="D26" s="517"/>
      <c r="E26" s="533"/>
      <c r="F26" s="517"/>
      <c r="G26" s="533"/>
      <c r="H26" s="535"/>
      <c r="I26" s="533"/>
      <c r="J26" s="535"/>
      <c r="K26" s="533"/>
      <c r="L26" s="517"/>
      <c r="M26" s="534"/>
      <c r="N26" s="533"/>
      <c r="O26" s="517"/>
      <c r="P26" s="534"/>
      <c r="Q26" s="533"/>
      <c r="R26" s="535"/>
      <c r="S26" s="534"/>
      <c r="T26" s="533"/>
      <c r="U26" s="535"/>
      <c r="V26" s="534"/>
      <c r="W26" s="533"/>
      <c r="X26" s="223"/>
      <c r="Y26" s="221"/>
      <c r="Z26" s="223"/>
      <c r="AA26" s="46"/>
    </row>
    <row r="27" spans="2:27" x14ac:dyDescent="0.2">
      <c r="B27" s="166">
        <f>'1. LDC Info'!$F$27-11</f>
        <v>2006</v>
      </c>
      <c r="C27" s="44" t="s">
        <v>111</v>
      </c>
      <c r="D27" s="517"/>
      <c r="E27" s="533"/>
      <c r="F27" s="517"/>
      <c r="G27" s="533"/>
      <c r="H27" s="535"/>
      <c r="I27" s="533"/>
      <c r="J27" s="535"/>
      <c r="K27" s="533"/>
      <c r="L27" s="517"/>
      <c r="M27" s="534"/>
      <c r="N27" s="533"/>
      <c r="O27" s="517"/>
      <c r="P27" s="534"/>
      <c r="Q27" s="533"/>
      <c r="R27" s="535"/>
      <c r="S27" s="534"/>
      <c r="T27" s="533"/>
      <c r="U27" s="535"/>
      <c r="V27" s="534"/>
      <c r="W27" s="533"/>
      <c r="X27" s="223"/>
      <c r="Y27" s="221"/>
      <c r="Z27" s="223"/>
      <c r="AA27" s="46"/>
    </row>
    <row r="28" spans="2:27" x14ac:dyDescent="0.2">
      <c r="B28" s="166">
        <f>'1. LDC Info'!$F$27-11</f>
        <v>2006</v>
      </c>
      <c r="C28" s="44" t="s">
        <v>112</v>
      </c>
      <c r="D28" s="517"/>
      <c r="E28" s="533"/>
      <c r="F28" s="517"/>
      <c r="G28" s="533"/>
      <c r="H28" s="535"/>
      <c r="I28" s="533"/>
      <c r="J28" s="535"/>
      <c r="K28" s="533"/>
      <c r="L28" s="517"/>
      <c r="M28" s="534"/>
      <c r="N28" s="533"/>
      <c r="O28" s="517"/>
      <c r="P28" s="534"/>
      <c r="Q28" s="533"/>
      <c r="R28" s="535"/>
      <c r="S28" s="534"/>
      <c r="T28" s="533"/>
      <c r="U28" s="535"/>
      <c r="V28" s="534"/>
      <c r="W28" s="533"/>
      <c r="X28" s="223"/>
      <c r="Y28" s="221"/>
      <c r="Z28" s="223"/>
      <c r="AA28" s="46"/>
    </row>
    <row r="29" spans="2:27" x14ac:dyDescent="0.2">
      <c r="B29" s="166">
        <f>'1. LDC Info'!$F$27-11</f>
        <v>2006</v>
      </c>
      <c r="C29" s="44" t="s">
        <v>113</v>
      </c>
      <c r="D29" s="517"/>
      <c r="E29" s="533"/>
      <c r="F29" s="517"/>
      <c r="G29" s="533"/>
      <c r="H29" s="535"/>
      <c r="I29" s="533"/>
      <c r="J29" s="535"/>
      <c r="K29" s="533"/>
      <c r="L29" s="517"/>
      <c r="M29" s="534"/>
      <c r="N29" s="533"/>
      <c r="O29" s="517"/>
      <c r="P29" s="534"/>
      <c r="Q29" s="533"/>
      <c r="R29" s="535"/>
      <c r="S29" s="534"/>
      <c r="T29" s="533"/>
      <c r="U29" s="535"/>
      <c r="V29" s="534"/>
      <c r="W29" s="533"/>
      <c r="X29" s="223"/>
      <c r="Y29" s="221"/>
      <c r="Z29" s="223"/>
      <c r="AA29" s="46"/>
    </row>
    <row r="30" spans="2:27" x14ac:dyDescent="0.2">
      <c r="B30" s="166">
        <f>'1. LDC Info'!$F$27-11</f>
        <v>2006</v>
      </c>
      <c r="C30" s="44" t="s">
        <v>114</v>
      </c>
      <c r="D30" s="517"/>
      <c r="E30" s="533"/>
      <c r="F30" s="517"/>
      <c r="G30" s="533"/>
      <c r="H30" s="535"/>
      <c r="I30" s="533"/>
      <c r="J30" s="535"/>
      <c r="K30" s="533"/>
      <c r="L30" s="517"/>
      <c r="M30" s="534"/>
      <c r="N30" s="533"/>
      <c r="O30" s="517"/>
      <c r="P30" s="534"/>
      <c r="Q30" s="533"/>
      <c r="R30" s="535"/>
      <c r="S30" s="534"/>
      <c r="T30" s="533"/>
      <c r="U30" s="535"/>
      <c r="V30" s="534"/>
      <c r="W30" s="533"/>
      <c r="X30" s="223"/>
      <c r="Y30" s="221"/>
      <c r="Z30" s="223"/>
      <c r="AA30" s="46"/>
    </row>
    <row r="31" spans="2:27" x14ac:dyDescent="0.2">
      <c r="B31" s="166">
        <f>'1. LDC Info'!$F$27-11</f>
        <v>2006</v>
      </c>
      <c r="C31" s="44" t="s">
        <v>115</v>
      </c>
      <c r="D31" s="517"/>
      <c r="E31" s="533"/>
      <c r="F31" s="517"/>
      <c r="G31" s="533"/>
      <c r="H31" s="535"/>
      <c r="I31" s="533"/>
      <c r="J31" s="535"/>
      <c r="K31" s="533"/>
      <c r="L31" s="517"/>
      <c r="M31" s="534"/>
      <c r="N31" s="533"/>
      <c r="O31" s="517"/>
      <c r="P31" s="534"/>
      <c r="Q31" s="533"/>
      <c r="R31" s="535"/>
      <c r="S31" s="534"/>
      <c r="T31" s="533"/>
      <c r="U31" s="535"/>
      <c r="V31" s="534"/>
      <c r="W31" s="533"/>
      <c r="X31" s="223"/>
      <c r="Y31" s="221"/>
      <c r="Z31" s="223"/>
      <c r="AA31" s="46"/>
    </row>
    <row r="32" spans="2:27" x14ac:dyDescent="0.2">
      <c r="B32" s="166">
        <f>'1. LDC Info'!$F$27-11</f>
        <v>2006</v>
      </c>
      <c r="C32" s="44" t="s">
        <v>116</v>
      </c>
      <c r="D32" s="517"/>
      <c r="E32" s="533"/>
      <c r="F32" s="517"/>
      <c r="G32" s="533"/>
      <c r="H32" s="535"/>
      <c r="I32" s="533"/>
      <c r="J32" s="535"/>
      <c r="K32" s="533"/>
      <c r="L32" s="517"/>
      <c r="M32" s="534"/>
      <c r="N32" s="533"/>
      <c r="O32" s="517"/>
      <c r="P32" s="534"/>
      <c r="Q32" s="533"/>
      <c r="R32" s="535"/>
      <c r="S32" s="534"/>
      <c r="T32" s="533"/>
      <c r="U32" s="535"/>
      <c r="V32" s="534"/>
      <c r="W32" s="533"/>
      <c r="X32" s="223"/>
      <c r="Y32" s="221"/>
      <c r="Z32" s="223"/>
      <c r="AA32" s="46"/>
    </row>
    <row r="33" spans="2:27" x14ac:dyDescent="0.2">
      <c r="B33" s="166">
        <f>'1. LDC Info'!$F$27-11</f>
        <v>2006</v>
      </c>
      <c r="C33" s="44" t="s">
        <v>106</v>
      </c>
      <c r="D33" s="517"/>
      <c r="E33" s="533"/>
      <c r="F33" s="517"/>
      <c r="G33" s="533"/>
      <c r="H33" s="535"/>
      <c r="I33" s="533"/>
      <c r="J33" s="535"/>
      <c r="K33" s="533"/>
      <c r="L33" s="517"/>
      <c r="M33" s="534"/>
      <c r="N33" s="533"/>
      <c r="O33" s="517"/>
      <c r="P33" s="534"/>
      <c r="Q33" s="533"/>
      <c r="R33" s="535"/>
      <c r="S33" s="534"/>
      <c r="T33" s="533"/>
      <c r="U33" s="535"/>
      <c r="V33" s="534"/>
      <c r="W33" s="533"/>
      <c r="X33" s="223"/>
      <c r="Y33" s="221"/>
      <c r="Z33" s="223"/>
      <c r="AA33" s="46"/>
    </row>
    <row r="34" spans="2:27" x14ac:dyDescent="0.2">
      <c r="B34" s="166">
        <f>'1. LDC Info'!$F$27-11</f>
        <v>2006</v>
      </c>
      <c r="C34" s="44" t="s">
        <v>107</v>
      </c>
      <c r="D34" s="517"/>
      <c r="E34" s="533"/>
      <c r="F34" s="517"/>
      <c r="G34" s="533"/>
      <c r="H34" s="535"/>
      <c r="I34" s="533"/>
      <c r="J34" s="535"/>
      <c r="K34" s="533"/>
      <c r="L34" s="517"/>
      <c r="M34" s="534"/>
      <c r="N34" s="533"/>
      <c r="O34" s="517"/>
      <c r="P34" s="534"/>
      <c r="Q34" s="533"/>
      <c r="R34" s="535"/>
      <c r="S34" s="534"/>
      <c r="T34" s="533"/>
      <c r="U34" s="535"/>
      <c r="V34" s="534"/>
      <c r="W34" s="533"/>
      <c r="X34" s="223"/>
      <c r="Y34" s="221"/>
      <c r="Z34" s="223"/>
      <c r="AA34" s="46"/>
    </row>
    <row r="35" spans="2:27" x14ac:dyDescent="0.2">
      <c r="B35" s="166">
        <f>'1. LDC Info'!$F$27-11</f>
        <v>2006</v>
      </c>
      <c r="C35" s="44" t="s">
        <v>108</v>
      </c>
      <c r="D35" s="517"/>
      <c r="E35" s="533"/>
      <c r="F35" s="517"/>
      <c r="G35" s="533"/>
      <c r="H35" s="535"/>
      <c r="I35" s="533"/>
      <c r="J35" s="535"/>
      <c r="K35" s="533"/>
      <c r="L35" s="517"/>
      <c r="M35" s="534"/>
      <c r="N35" s="533"/>
      <c r="O35" s="517"/>
      <c r="P35" s="534"/>
      <c r="Q35" s="533"/>
      <c r="R35" s="535"/>
      <c r="S35" s="534"/>
      <c r="T35" s="533"/>
      <c r="U35" s="535"/>
      <c r="V35" s="534"/>
      <c r="W35" s="533"/>
      <c r="X35" s="223"/>
      <c r="Y35" s="221"/>
      <c r="Z35" s="223"/>
      <c r="AA35" s="46"/>
    </row>
    <row r="36" spans="2:27" x14ac:dyDescent="0.2">
      <c r="B36" s="166">
        <f>'1. LDC Info'!$F$27-11</f>
        <v>2006</v>
      </c>
      <c r="C36" s="44" t="s">
        <v>105</v>
      </c>
      <c r="D36" s="517">
        <v>30640106</v>
      </c>
      <c r="E36" s="533">
        <v>3537</v>
      </c>
      <c r="F36" s="517">
        <v>13424049</v>
      </c>
      <c r="G36" s="533">
        <v>512</v>
      </c>
      <c r="H36" s="535">
        <v>160045</v>
      </c>
      <c r="I36" s="533">
        <v>28</v>
      </c>
      <c r="J36" s="535"/>
      <c r="K36" s="533"/>
      <c r="L36" s="517">
        <v>51984380</v>
      </c>
      <c r="M36" s="534">
        <v>153660</v>
      </c>
      <c r="N36" s="533">
        <v>62</v>
      </c>
      <c r="O36" s="517">
        <v>1095963</v>
      </c>
      <c r="P36" s="534">
        <v>3053</v>
      </c>
      <c r="Q36" s="533">
        <v>1149</v>
      </c>
      <c r="R36" s="535"/>
      <c r="S36" s="534"/>
      <c r="T36" s="533"/>
      <c r="U36" s="535"/>
      <c r="V36" s="534"/>
      <c r="W36" s="533"/>
      <c r="X36" s="223"/>
      <c r="Y36" s="221"/>
      <c r="Z36" s="223"/>
      <c r="AA36" s="46"/>
    </row>
    <row r="37" spans="2:27" x14ac:dyDescent="0.2">
      <c r="B37" s="166">
        <f>'1. LDC Info'!$F$27-10</f>
        <v>2007</v>
      </c>
      <c r="C37" s="44" t="s">
        <v>109</v>
      </c>
      <c r="D37" s="517"/>
      <c r="E37" s="533"/>
      <c r="F37" s="517"/>
      <c r="G37" s="533"/>
      <c r="H37" s="536"/>
      <c r="I37" s="533"/>
      <c r="J37" s="536"/>
      <c r="K37" s="533"/>
      <c r="L37" s="517"/>
      <c r="M37" s="534"/>
      <c r="N37" s="533"/>
      <c r="O37" s="517"/>
      <c r="P37" s="534"/>
      <c r="Q37" s="533"/>
      <c r="R37" s="535"/>
      <c r="S37" s="534"/>
      <c r="T37" s="533"/>
      <c r="U37" s="536"/>
      <c r="V37" s="534"/>
      <c r="W37" s="533"/>
      <c r="X37" s="223"/>
      <c r="Y37" s="221"/>
      <c r="Z37" s="223"/>
      <c r="AA37" s="46"/>
    </row>
    <row r="38" spans="2:27" x14ac:dyDescent="0.2">
      <c r="B38" s="166">
        <f>'1. LDC Info'!$F$27-10</f>
        <v>2007</v>
      </c>
      <c r="C38" s="44" t="s">
        <v>110</v>
      </c>
      <c r="D38" s="517"/>
      <c r="E38" s="533"/>
      <c r="F38" s="517"/>
      <c r="G38" s="533"/>
      <c r="H38" s="536"/>
      <c r="I38" s="533"/>
      <c r="J38" s="536"/>
      <c r="K38" s="533"/>
      <c r="L38" s="517"/>
      <c r="M38" s="534"/>
      <c r="N38" s="533"/>
      <c r="O38" s="517"/>
      <c r="P38" s="534"/>
      <c r="Q38" s="533"/>
      <c r="R38" s="535"/>
      <c r="S38" s="534"/>
      <c r="T38" s="533"/>
      <c r="U38" s="536"/>
      <c r="V38" s="534"/>
      <c r="W38" s="533"/>
      <c r="X38" s="223"/>
      <c r="Y38" s="221"/>
      <c r="Z38" s="223"/>
      <c r="AA38" s="46"/>
    </row>
    <row r="39" spans="2:27" x14ac:dyDescent="0.2">
      <c r="B39" s="166">
        <f>'1. LDC Info'!$F$27-10</f>
        <v>2007</v>
      </c>
      <c r="C39" s="44" t="s">
        <v>111</v>
      </c>
      <c r="D39" s="517"/>
      <c r="E39" s="533"/>
      <c r="F39" s="517"/>
      <c r="G39" s="533"/>
      <c r="H39" s="536"/>
      <c r="I39" s="533"/>
      <c r="J39" s="536"/>
      <c r="K39" s="533"/>
      <c r="L39" s="517"/>
      <c r="M39" s="534"/>
      <c r="N39" s="533"/>
      <c r="O39" s="517"/>
      <c r="P39" s="534"/>
      <c r="Q39" s="533"/>
      <c r="R39" s="535"/>
      <c r="S39" s="534"/>
      <c r="T39" s="533"/>
      <c r="U39" s="536"/>
      <c r="V39" s="534"/>
      <c r="W39" s="533"/>
      <c r="X39" s="223"/>
      <c r="Y39" s="221"/>
      <c r="Z39" s="223"/>
      <c r="AA39" s="46"/>
    </row>
    <row r="40" spans="2:27" x14ac:dyDescent="0.2">
      <c r="B40" s="166">
        <f>'1. LDC Info'!$F$27-10</f>
        <v>2007</v>
      </c>
      <c r="C40" s="44" t="s">
        <v>112</v>
      </c>
      <c r="D40" s="517"/>
      <c r="E40" s="533"/>
      <c r="F40" s="517"/>
      <c r="G40" s="533"/>
      <c r="H40" s="536"/>
      <c r="I40" s="533"/>
      <c r="J40" s="536"/>
      <c r="K40" s="533"/>
      <c r="L40" s="517"/>
      <c r="M40" s="534"/>
      <c r="N40" s="533"/>
      <c r="O40" s="517"/>
      <c r="P40" s="534"/>
      <c r="Q40" s="533"/>
      <c r="R40" s="535"/>
      <c r="S40" s="534"/>
      <c r="T40" s="533"/>
      <c r="U40" s="536"/>
      <c r="V40" s="534"/>
      <c r="W40" s="533"/>
      <c r="X40" s="223"/>
      <c r="Y40" s="221"/>
      <c r="Z40" s="223"/>
      <c r="AA40" s="46"/>
    </row>
    <row r="41" spans="2:27" x14ac:dyDescent="0.2">
      <c r="B41" s="166">
        <f>'1. LDC Info'!$F$27-10</f>
        <v>2007</v>
      </c>
      <c r="C41" s="44" t="s">
        <v>113</v>
      </c>
      <c r="D41" s="517"/>
      <c r="E41" s="533"/>
      <c r="F41" s="517"/>
      <c r="G41" s="533"/>
      <c r="H41" s="536"/>
      <c r="I41" s="533"/>
      <c r="J41" s="536"/>
      <c r="K41" s="533"/>
      <c r="L41" s="517"/>
      <c r="M41" s="534"/>
      <c r="N41" s="533"/>
      <c r="O41" s="517"/>
      <c r="P41" s="534"/>
      <c r="Q41" s="533"/>
      <c r="R41" s="535"/>
      <c r="S41" s="534"/>
      <c r="T41" s="533"/>
      <c r="U41" s="536"/>
      <c r="V41" s="534"/>
      <c r="W41" s="533"/>
      <c r="X41" s="223"/>
      <c r="Y41" s="221"/>
      <c r="Z41" s="223"/>
      <c r="AA41" s="46"/>
    </row>
    <row r="42" spans="2:27" x14ac:dyDescent="0.2">
      <c r="B42" s="166">
        <f>'1. LDC Info'!$F$27-10</f>
        <v>2007</v>
      </c>
      <c r="C42" s="44" t="s">
        <v>114</v>
      </c>
      <c r="D42" s="517"/>
      <c r="E42" s="533"/>
      <c r="F42" s="517"/>
      <c r="G42" s="533"/>
      <c r="H42" s="536"/>
      <c r="I42" s="533"/>
      <c r="J42" s="536"/>
      <c r="K42" s="533"/>
      <c r="L42" s="517"/>
      <c r="M42" s="534"/>
      <c r="N42" s="533"/>
      <c r="O42" s="517"/>
      <c r="P42" s="534"/>
      <c r="Q42" s="533"/>
      <c r="R42" s="535"/>
      <c r="S42" s="534"/>
      <c r="T42" s="533"/>
      <c r="U42" s="536"/>
      <c r="V42" s="534"/>
      <c r="W42" s="533"/>
      <c r="X42" s="223"/>
      <c r="Y42" s="221"/>
      <c r="Z42" s="223"/>
      <c r="AA42" s="46"/>
    </row>
    <row r="43" spans="2:27" x14ac:dyDescent="0.2">
      <c r="B43" s="166">
        <f>'1. LDC Info'!$F$27-10</f>
        <v>2007</v>
      </c>
      <c r="C43" s="44" t="s">
        <v>115</v>
      </c>
      <c r="D43" s="517"/>
      <c r="E43" s="533"/>
      <c r="F43" s="517"/>
      <c r="G43" s="533"/>
      <c r="H43" s="536"/>
      <c r="I43" s="533"/>
      <c r="J43" s="536"/>
      <c r="K43" s="533"/>
      <c r="L43" s="517"/>
      <c r="M43" s="534"/>
      <c r="N43" s="533"/>
      <c r="O43" s="517"/>
      <c r="P43" s="534"/>
      <c r="Q43" s="533"/>
      <c r="R43" s="535"/>
      <c r="S43" s="534"/>
      <c r="T43" s="533"/>
      <c r="U43" s="536"/>
      <c r="V43" s="534"/>
      <c r="W43" s="533"/>
      <c r="X43" s="223"/>
      <c r="Y43" s="221"/>
      <c r="Z43" s="223"/>
      <c r="AA43" s="46"/>
    </row>
    <row r="44" spans="2:27" x14ac:dyDescent="0.2">
      <c r="B44" s="166">
        <f>'1. LDC Info'!$F$27-10</f>
        <v>2007</v>
      </c>
      <c r="C44" s="44" t="s">
        <v>116</v>
      </c>
      <c r="D44" s="517"/>
      <c r="E44" s="533"/>
      <c r="F44" s="517"/>
      <c r="G44" s="533"/>
      <c r="H44" s="536"/>
      <c r="I44" s="533"/>
      <c r="J44" s="536"/>
      <c r="K44" s="533"/>
      <c r="L44" s="517"/>
      <c r="M44" s="534"/>
      <c r="N44" s="533"/>
      <c r="O44" s="517"/>
      <c r="P44" s="534"/>
      <c r="Q44" s="533"/>
      <c r="R44" s="535"/>
      <c r="S44" s="534"/>
      <c r="T44" s="533"/>
      <c r="U44" s="536"/>
      <c r="V44" s="534"/>
      <c r="W44" s="533"/>
      <c r="X44" s="223"/>
      <c r="Y44" s="221"/>
      <c r="Z44" s="223"/>
      <c r="AA44" s="46"/>
    </row>
    <row r="45" spans="2:27" x14ac:dyDescent="0.2">
      <c r="B45" s="166">
        <f>'1. LDC Info'!$F$27-10</f>
        <v>2007</v>
      </c>
      <c r="C45" s="44" t="s">
        <v>106</v>
      </c>
      <c r="D45" s="517"/>
      <c r="E45" s="533"/>
      <c r="F45" s="517"/>
      <c r="G45" s="533"/>
      <c r="H45" s="536"/>
      <c r="I45" s="533"/>
      <c r="J45" s="536"/>
      <c r="K45" s="533"/>
      <c r="L45" s="517"/>
      <c r="M45" s="534"/>
      <c r="N45" s="533"/>
      <c r="O45" s="517"/>
      <c r="P45" s="534"/>
      <c r="Q45" s="533"/>
      <c r="R45" s="535"/>
      <c r="S45" s="534"/>
      <c r="T45" s="533"/>
      <c r="U45" s="536"/>
      <c r="V45" s="534"/>
      <c r="W45" s="533"/>
      <c r="X45" s="223"/>
      <c r="Y45" s="221"/>
      <c r="Z45" s="223"/>
      <c r="AA45" s="46"/>
    </row>
    <row r="46" spans="2:27" x14ac:dyDescent="0.2">
      <c r="B46" s="166">
        <f>'1. LDC Info'!$F$27-10</f>
        <v>2007</v>
      </c>
      <c r="C46" s="44" t="s">
        <v>107</v>
      </c>
      <c r="D46" s="517"/>
      <c r="E46" s="533"/>
      <c r="F46" s="517"/>
      <c r="G46" s="533"/>
      <c r="H46" s="536"/>
      <c r="I46" s="533"/>
      <c r="J46" s="536"/>
      <c r="K46" s="533"/>
      <c r="L46" s="517"/>
      <c r="M46" s="534"/>
      <c r="N46" s="533"/>
      <c r="O46" s="517"/>
      <c r="P46" s="534"/>
      <c r="Q46" s="533"/>
      <c r="R46" s="535"/>
      <c r="S46" s="534"/>
      <c r="T46" s="533"/>
      <c r="U46" s="536"/>
      <c r="V46" s="534"/>
      <c r="W46" s="533"/>
      <c r="X46" s="223"/>
      <c r="Y46" s="221"/>
      <c r="Z46" s="223"/>
      <c r="AA46" s="46"/>
    </row>
    <row r="47" spans="2:27" x14ac:dyDescent="0.2">
      <c r="B47" s="166">
        <f>'1. LDC Info'!$F$27-10</f>
        <v>2007</v>
      </c>
      <c r="C47" s="44" t="s">
        <v>108</v>
      </c>
      <c r="D47" s="517"/>
      <c r="E47" s="533"/>
      <c r="F47" s="517"/>
      <c r="G47" s="533"/>
      <c r="H47" s="536"/>
      <c r="I47" s="533"/>
      <c r="J47" s="536"/>
      <c r="K47" s="533"/>
      <c r="L47" s="517"/>
      <c r="M47" s="534"/>
      <c r="N47" s="533"/>
      <c r="O47" s="517"/>
      <c r="P47" s="534"/>
      <c r="Q47" s="533"/>
      <c r="R47" s="535"/>
      <c r="S47" s="534"/>
      <c r="T47" s="533"/>
      <c r="U47" s="536"/>
      <c r="V47" s="534"/>
      <c r="W47" s="533"/>
      <c r="X47" s="223"/>
      <c r="Y47" s="221"/>
      <c r="Z47" s="223"/>
      <c r="AA47" s="46"/>
    </row>
    <row r="48" spans="2:27" x14ac:dyDescent="0.2">
      <c r="B48" s="166">
        <f>'1. LDC Info'!$F$27-10</f>
        <v>2007</v>
      </c>
      <c r="C48" s="44" t="s">
        <v>105</v>
      </c>
      <c r="D48" s="517">
        <v>31007901</v>
      </c>
      <c r="E48" s="533">
        <v>3551</v>
      </c>
      <c r="F48" s="517">
        <v>13776453</v>
      </c>
      <c r="G48" s="533">
        <v>497</v>
      </c>
      <c r="H48" s="535">
        <v>142221</v>
      </c>
      <c r="I48" s="533">
        <v>29</v>
      </c>
      <c r="J48" s="535"/>
      <c r="K48" s="533"/>
      <c r="L48" s="517">
        <v>53203197</v>
      </c>
      <c r="M48" s="534">
        <v>146521</v>
      </c>
      <c r="N48" s="533">
        <v>65</v>
      </c>
      <c r="O48" s="517">
        <v>1105833</v>
      </c>
      <c r="P48" s="534">
        <v>3095</v>
      </c>
      <c r="Q48" s="533">
        <v>1151</v>
      </c>
      <c r="R48" s="535"/>
      <c r="S48" s="534"/>
      <c r="T48" s="533"/>
      <c r="U48" s="535"/>
      <c r="V48" s="534"/>
      <c r="W48" s="533"/>
      <c r="X48" s="223"/>
      <c r="Y48" s="221"/>
      <c r="Z48" s="223"/>
      <c r="AA48" s="46"/>
    </row>
    <row r="49" spans="2:27" x14ac:dyDescent="0.2">
      <c r="B49" s="166">
        <f>'1. LDC Info'!$F$27-9</f>
        <v>2008</v>
      </c>
      <c r="C49" s="44" t="s">
        <v>109</v>
      </c>
      <c r="D49" s="517"/>
      <c r="E49" s="533"/>
      <c r="F49" s="517"/>
      <c r="G49" s="533"/>
      <c r="H49" s="536"/>
      <c r="I49" s="533"/>
      <c r="J49" s="536"/>
      <c r="K49" s="533"/>
      <c r="L49" s="517"/>
      <c r="M49" s="534"/>
      <c r="N49" s="533"/>
      <c r="O49" s="517"/>
      <c r="P49" s="534"/>
      <c r="Q49" s="533"/>
      <c r="R49" s="535"/>
      <c r="S49" s="534"/>
      <c r="T49" s="533"/>
      <c r="U49" s="536"/>
      <c r="V49" s="534"/>
      <c r="W49" s="533"/>
      <c r="X49" s="223"/>
      <c r="Y49" s="221"/>
      <c r="Z49" s="223"/>
      <c r="AA49" s="46"/>
    </row>
    <row r="50" spans="2:27" x14ac:dyDescent="0.2">
      <c r="B50" s="166">
        <f>'1. LDC Info'!$F$27-9</f>
        <v>2008</v>
      </c>
      <c r="C50" s="44" t="s">
        <v>110</v>
      </c>
      <c r="D50" s="517"/>
      <c r="E50" s="533"/>
      <c r="F50" s="517"/>
      <c r="G50" s="533"/>
      <c r="H50" s="536"/>
      <c r="I50" s="533"/>
      <c r="J50" s="536"/>
      <c r="K50" s="533"/>
      <c r="L50" s="517"/>
      <c r="M50" s="534"/>
      <c r="N50" s="533"/>
      <c r="O50" s="517"/>
      <c r="P50" s="534"/>
      <c r="Q50" s="533"/>
      <c r="R50" s="535"/>
      <c r="S50" s="534"/>
      <c r="T50" s="533"/>
      <c r="U50" s="536"/>
      <c r="V50" s="534"/>
      <c r="W50" s="533"/>
      <c r="X50" s="223"/>
      <c r="Y50" s="221"/>
      <c r="Z50" s="223"/>
      <c r="AA50" s="46"/>
    </row>
    <row r="51" spans="2:27" x14ac:dyDescent="0.2">
      <c r="B51" s="166">
        <f>'1. LDC Info'!$F$27-9</f>
        <v>2008</v>
      </c>
      <c r="C51" s="44" t="s">
        <v>111</v>
      </c>
      <c r="D51" s="517"/>
      <c r="E51" s="533"/>
      <c r="F51" s="517"/>
      <c r="G51" s="533"/>
      <c r="H51" s="536"/>
      <c r="I51" s="533"/>
      <c r="J51" s="536"/>
      <c r="K51" s="533"/>
      <c r="L51" s="517"/>
      <c r="M51" s="534"/>
      <c r="N51" s="533"/>
      <c r="O51" s="517"/>
      <c r="P51" s="534"/>
      <c r="Q51" s="533"/>
      <c r="R51" s="535"/>
      <c r="S51" s="534"/>
      <c r="T51" s="533"/>
      <c r="U51" s="536"/>
      <c r="V51" s="534"/>
      <c r="W51" s="533"/>
      <c r="X51" s="223"/>
      <c r="Y51" s="221"/>
      <c r="Z51" s="223"/>
      <c r="AA51" s="46"/>
    </row>
    <row r="52" spans="2:27" x14ac:dyDescent="0.2">
      <c r="B52" s="166">
        <f>'1. LDC Info'!$F$27-9</f>
        <v>2008</v>
      </c>
      <c r="C52" s="44" t="s">
        <v>112</v>
      </c>
      <c r="D52" s="517"/>
      <c r="E52" s="533"/>
      <c r="F52" s="517"/>
      <c r="G52" s="533"/>
      <c r="H52" s="536"/>
      <c r="I52" s="533"/>
      <c r="J52" s="536"/>
      <c r="K52" s="533"/>
      <c r="L52" s="517"/>
      <c r="M52" s="534"/>
      <c r="N52" s="533"/>
      <c r="O52" s="517"/>
      <c r="P52" s="534"/>
      <c r="Q52" s="533"/>
      <c r="R52" s="535"/>
      <c r="S52" s="534"/>
      <c r="T52" s="533"/>
      <c r="U52" s="536"/>
      <c r="V52" s="534"/>
      <c r="W52" s="533"/>
      <c r="X52" s="223"/>
      <c r="Y52" s="221"/>
      <c r="Z52" s="223"/>
      <c r="AA52" s="46"/>
    </row>
    <row r="53" spans="2:27" x14ac:dyDescent="0.2">
      <c r="B53" s="166">
        <f>'1. LDC Info'!$F$27-9</f>
        <v>2008</v>
      </c>
      <c r="C53" s="44" t="s">
        <v>113</v>
      </c>
      <c r="D53" s="517"/>
      <c r="E53" s="533"/>
      <c r="F53" s="517"/>
      <c r="G53" s="533"/>
      <c r="H53" s="536"/>
      <c r="I53" s="533"/>
      <c r="J53" s="536"/>
      <c r="K53" s="533"/>
      <c r="L53" s="517"/>
      <c r="M53" s="534"/>
      <c r="N53" s="533"/>
      <c r="O53" s="517"/>
      <c r="P53" s="534"/>
      <c r="Q53" s="533"/>
      <c r="R53" s="535"/>
      <c r="S53" s="534"/>
      <c r="T53" s="533"/>
      <c r="U53" s="536"/>
      <c r="V53" s="534"/>
      <c r="W53" s="533"/>
      <c r="X53" s="223"/>
      <c r="Y53" s="221"/>
      <c r="Z53" s="223"/>
      <c r="AA53" s="46"/>
    </row>
    <row r="54" spans="2:27" x14ac:dyDescent="0.2">
      <c r="B54" s="166">
        <f>'1. LDC Info'!$F$27-9</f>
        <v>2008</v>
      </c>
      <c r="C54" s="44" t="s">
        <v>114</v>
      </c>
      <c r="D54" s="517"/>
      <c r="E54" s="533"/>
      <c r="F54" s="517"/>
      <c r="G54" s="533"/>
      <c r="H54" s="536"/>
      <c r="I54" s="533"/>
      <c r="J54" s="536"/>
      <c r="K54" s="533"/>
      <c r="L54" s="517"/>
      <c r="M54" s="534"/>
      <c r="N54" s="533"/>
      <c r="O54" s="517"/>
      <c r="P54" s="534"/>
      <c r="Q54" s="533"/>
      <c r="R54" s="535"/>
      <c r="S54" s="534"/>
      <c r="T54" s="533"/>
      <c r="U54" s="536"/>
      <c r="V54" s="534"/>
      <c r="W54" s="533"/>
      <c r="X54" s="223"/>
      <c r="Y54" s="221"/>
      <c r="Z54" s="223"/>
      <c r="AA54" s="46"/>
    </row>
    <row r="55" spans="2:27" x14ac:dyDescent="0.2">
      <c r="B55" s="166">
        <f>'1. LDC Info'!$F$27-9</f>
        <v>2008</v>
      </c>
      <c r="C55" s="44" t="s">
        <v>115</v>
      </c>
      <c r="D55" s="517"/>
      <c r="E55" s="533"/>
      <c r="F55" s="517"/>
      <c r="G55" s="533"/>
      <c r="H55" s="536"/>
      <c r="I55" s="533"/>
      <c r="J55" s="536"/>
      <c r="K55" s="533"/>
      <c r="L55" s="517"/>
      <c r="M55" s="534"/>
      <c r="N55" s="533"/>
      <c r="O55" s="517"/>
      <c r="P55" s="534"/>
      <c r="Q55" s="533"/>
      <c r="R55" s="535"/>
      <c r="S55" s="534"/>
      <c r="T55" s="533"/>
      <c r="U55" s="536"/>
      <c r="V55" s="534"/>
      <c r="W55" s="533"/>
      <c r="X55" s="223"/>
      <c r="Y55" s="221"/>
      <c r="Z55" s="223"/>
      <c r="AA55" s="46"/>
    </row>
    <row r="56" spans="2:27" x14ac:dyDescent="0.2">
      <c r="B56" s="166">
        <f>'1. LDC Info'!$F$27-9</f>
        <v>2008</v>
      </c>
      <c r="C56" s="44" t="s">
        <v>116</v>
      </c>
      <c r="D56" s="517"/>
      <c r="E56" s="533"/>
      <c r="F56" s="517"/>
      <c r="G56" s="533"/>
      <c r="H56" s="536"/>
      <c r="I56" s="533"/>
      <c r="J56" s="536"/>
      <c r="K56" s="533"/>
      <c r="L56" s="517"/>
      <c r="M56" s="534"/>
      <c r="N56" s="533"/>
      <c r="O56" s="517"/>
      <c r="P56" s="534"/>
      <c r="Q56" s="533"/>
      <c r="R56" s="535"/>
      <c r="S56" s="534"/>
      <c r="T56" s="533"/>
      <c r="U56" s="536"/>
      <c r="V56" s="534"/>
      <c r="W56" s="533"/>
      <c r="X56" s="223"/>
      <c r="Y56" s="221"/>
      <c r="Z56" s="223"/>
      <c r="AA56" s="46"/>
    </row>
    <row r="57" spans="2:27" x14ac:dyDescent="0.2">
      <c r="B57" s="166">
        <f>'1. LDC Info'!$F$27-9</f>
        <v>2008</v>
      </c>
      <c r="C57" s="44" t="s">
        <v>106</v>
      </c>
      <c r="D57" s="517"/>
      <c r="E57" s="533"/>
      <c r="F57" s="517"/>
      <c r="G57" s="533"/>
      <c r="H57" s="536"/>
      <c r="I57" s="533"/>
      <c r="J57" s="536"/>
      <c r="K57" s="533"/>
      <c r="L57" s="517"/>
      <c r="M57" s="534"/>
      <c r="N57" s="533"/>
      <c r="O57" s="517"/>
      <c r="P57" s="534"/>
      <c r="Q57" s="533"/>
      <c r="R57" s="535"/>
      <c r="S57" s="534"/>
      <c r="T57" s="533"/>
      <c r="U57" s="536"/>
      <c r="V57" s="534"/>
      <c r="W57" s="533"/>
      <c r="X57" s="223"/>
      <c r="Y57" s="221"/>
      <c r="Z57" s="223"/>
      <c r="AA57" s="46"/>
    </row>
    <row r="58" spans="2:27" x14ac:dyDescent="0.2">
      <c r="B58" s="166">
        <f>'1. LDC Info'!$F$27-9</f>
        <v>2008</v>
      </c>
      <c r="C58" s="44" t="s">
        <v>107</v>
      </c>
      <c r="D58" s="517"/>
      <c r="E58" s="533"/>
      <c r="F58" s="517"/>
      <c r="G58" s="533"/>
      <c r="H58" s="536"/>
      <c r="I58" s="533"/>
      <c r="J58" s="536"/>
      <c r="K58" s="533"/>
      <c r="L58" s="517"/>
      <c r="M58" s="534"/>
      <c r="N58" s="533"/>
      <c r="O58" s="517"/>
      <c r="P58" s="534"/>
      <c r="Q58" s="533"/>
      <c r="R58" s="535"/>
      <c r="S58" s="534"/>
      <c r="T58" s="533"/>
      <c r="U58" s="536"/>
      <c r="V58" s="534"/>
      <c r="W58" s="533"/>
      <c r="X58" s="223"/>
      <c r="Y58" s="221"/>
      <c r="Z58" s="223"/>
      <c r="AA58" s="46"/>
    </row>
    <row r="59" spans="2:27" x14ac:dyDescent="0.2">
      <c r="B59" s="166">
        <f>'1. LDC Info'!$F$27-9</f>
        <v>2008</v>
      </c>
      <c r="C59" s="44" t="s">
        <v>108</v>
      </c>
      <c r="D59" s="517"/>
      <c r="E59" s="533"/>
      <c r="F59" s="517"/>
      <c r="G59" s="533"/>
      <c r="H59" s="536"/>
      <c r="I59" s="533"/>
      <c r="J59" s="536"/>
      <c r="K59" s="533"/>
      <c r="L59" s="517"/>
      <c r="M59" s="534"/>
      <c r="N59" s="533"/>
      <c r="O59" s="517"/>
      <c r="P59" s="534"/>
      <c r="Q59" s="533"/>
      <c r="R59" s="535"/>
      <c r="S59" s="534"/>
      <c r="T59" s="533"/>
      <c r="U59" s="536"/>
      <c r="V59" s="534"/>
      <c r="W59" s="533"/>
      <c r="X59" s="223"/>
      <c r="Y59" s="221"/>
      <c r="Z59" s="223"/>
      <c r="AA59" s="46"/>
    </row>
    <row r="60" spans="2:27" x14ac:dyDescent="0.2">
      <c r="B60" s="166">
        <f>'1. LDC Info'!$F$27-9</f>
        <v>2008</v>
      </c>
      <c r="C60" s="44" t="s">
        <v>105</v>
      </c>
      <c r="D60" s="517">
        <v>31465398</v>
      </c>
      <c r="E60" s="533">
        <v>3581</v>
      </c>
      <c r="F60" s="517">
        <v>13927235</v>
      </c>
      <c r="G60" s="533">
        <v>494</v>
      </c>
      <c r="H60" s="535">
        <v>140870</v>
      </c>
      <c r="I60" s="533">
        <v>30</v>
      </c>
      <c r="J60" s="535"/>
      <c r="K60" s="533"/>
      <c r="L60" s="517">
        <v>55283988</v>
      </c>
      <c r="M60" s="534">
        <v>148947</v>
      </c>
      <c r="N60" s="533">
        <v>67</v>
      </c>
      <c r="O60" s="517">
        <v>1107983</v>
      </c>
      <c r="P60" s="534">
        <v>3100</v>
      </c>
      <c r="Q60" s="533">
        <v>1158</v>
      </c>
      <c r="R60" s="535"/>
      <c r="S60" s="534"/>
      <c r="T60" s="533"/>
      <c r="U60" s="535"/>
      <c r="V60" s="534"/>
      <c r="W60" s="533"/>
      <c r="X60" s="223"/>
      <c r="Y60" s="221"/>
      <c r="Z60" s="223"/>
      <c r="AA60" s="46"/>
    </row>
    <row r="61" spans="2:27" x14ac:dyDescent="0.2">
      <c r="B61" s="166">
        <f>'1. LDC Info'!$F$27-8</f>
        <v>2009</v>
      </c>
      <c r="C61" s="44" t="s">
        <v>109</v>
      </c>
      <c r="D61" s="517"/>
      <c r="E61" s="533"/>
      <c r="F61" s="535"/>
      <c r="G61" s="533"/>
      <c r="H61" s="536"/>
      <c r="I61" s="533"/>
      <c r="J61" s="536"/>
      <c r="K61" s="533"/>
      <c r="L61" s="517"/>
      <c r="M61" s="534"/>
      <c r="N61" s="533"/>
      <c r="O61" s="517"/>
      <c r="P61" s="534"/>
      <c r="Q61" s="533"/>
      <c r="R61" s="535"/>
      <c r="S61" s="534"/>
      <c r="T61" s="533"/>
      <c r="U61" s="536"/>
      <c r="V61" s="534"/>
      <c r="W61" s="533"/>
      <c r="X61" s="223"/>
      <c r="Y61" s="221"/>
      <c r="Z61" s="223"/>
      <c r="AA61" s="46"/>
    </row>
    <row r="62" spans="2:27" x14ac:dyDescent="0.2">
      <c r="B62" s="166">
        <f>'1. LDC Info'!$F$27-8</f>
        <v>2009</v>
      </c>
      <c r="C62" s="44" t="s">
        <v>110</v>
      </c>
      <c r="D62" s="517"/>
      <c r="E62" s="533"/>
      <c r="F62" s="535"/>
      <c r="G62" s="533"/>
      <c r="H62" s="536"/>
      <c r="I62" s="533"/>
      <c r="J62" s="536"/>
      <c r="K62" s="533"/>
      <c r="L62" s="517"/>
      <c r="M62" s="534"/>
      <c r="N62" s="533"/>
      <c r="O62" s="517"/>
      <c r="P62" s="534"/>
      <c r="Q62" s="533"/>
      <c r="R62" s="535"/>
      <c r="S62" s="534"/>
      <c r="T62" s="533"/>
      <c r="U62" s="536"/>
      <c r="V62" s="534"/>
      <c r="W62" s="533"/>
      <c r="X62" s="223"/>
      <c r="Y62" s="221"/>
      <c r="Z62" s="223"/>
      <c r="AA62" s="46"/>
    </row>
    <row r="63" spans="2:27" x14ac:dyDescent="0.2">
      <c r="B63" s="166">
        <f>'1. LDC Info'!$F$27-8</f>
        <v>2009</v>
      </c>
      <c r="C63" s="44" t="s">
        <v>111</v>
      </c>
      <c r="D63" s="517"/>
      <c r="E63" s="533"/>
      <c r="F63" s="535"/>
      <c r="G63" s="533"/>
      <c r="H63" s="536"/>
      <c r="I63" s="533"/>
      <c r="J63" s="536"/>
      <c r="K63" s="533"/>
      <c r="L63" s="517"/>
      <c r="M63" s="534"/>
      <c r="N63" s="533"/>
      <c r="O63" s="517"/>
      <c r="P63" s="534"/>
      <c r="Q63" s="533"/>
      <c r="R63" s="535"/>
      <c r="S63" s="534"/>
      <c r="T63" s="533"/>
      <c r="U63" s="536"/>
      <c r="V63" s="534"/>
      <c r="W63" s="533"/>
      <c r="X63" s="223"/>
      <c r="Y63" s="221"/>
      <c r="Z63" s="223"/>
      <c r="AA63" s="46"/>
    </row>
    <row r="64" spans="2:27" x14ac:dyDescent="0.2">
      <c r="B64" s="166">
        <f>'1. LDC Info'!$F$27-8</f>
        <v>2009</v>
      </c>
      <c r="C64" s="44" t="s">
        <v>112</v>
      </c>
      <c r="D64" s="517"/>
      <c r="E64" s="533"/>
      <c r="F64" s="535"/>
      <c r="G64" s="533"/>
      <c r="H64" s="536"/>
      <c r="I64" s="533"/>
      <c r="J64" s="536"/>
      <c r="K64" s="533"/>
      <c r="L64" s="517"/>
      <c r="M64" s="534"/>
      <c r="N64" s="533"/>
      <c r="O64" s="517"/>
      <c r="P64" s="534"/>
      <c r="Q64" s="533"/>
      <c r="R64" s="535"/>
      <c r="S64" s="534"/>
      <c r="T64" s="533"/>
      <c r="U64" s="536"/>
      <c r="V64" s="534"/>
      <c r="W64" s="533"/>
      <c r="X64" s="223"/>
      <c r="Y64" s="221"/>
      <c r="Z64" s="223"/>
      <c r="AA64" s="46"/>
    </row>
    <row r="65" spans="2:27" x14ac:dyDescent="0.2">
      <c r="B65" s="166">
        <f>'1. LDC Info'!$F$27-8</f>
        <v>2009</v>
      </c>
      <c r="C65" s="44" t="s">
        <v>113</v>
      </c>
      <c r="D65" s="517"/>
      <c r="E65" s="533"/>
      <c r="F65" s="535"/>
      <c r="G65" s="533"/>
      <c r="H65" s="536"/>
      <c r="I65" s="533"/>
      <c r="J65" s="536"/>
      <c r="K65" s="533"/>
      <c r="L65" s="517"/>
      <c r="M65" s="534"/>
      <c r="N65" s="533"/>
      <c r="O65" s="517"/>
      <c r="P65" s="534"/>
      <c r="Q65" s="533"/>
      <c r="R65" s="535"/>
      <c r="S65" s="534"/>
      <c r="T65" s="533"/>
      <c r="U65" s="536"/>
      <c r="V65" s="534"/>
      <c r="W65" s="533"/>
      <c r="X65" s="223"/>
      <c r="Y65" s="221"/>
      <c r="Z65" s="223"/>
      <c r="AA65" s="46"/>
    </row>
    <row r="66" spans="2:27" x14ac:dyDescent="0.2">
      <c r="B66" s="166">
        <f>'1. LDC Info'!$F$27-8</f>
        <v>2009</v>
      </c>
      <c r="C66" s="44" t="s">
        <v>114</v>
      </c>
      <c r="D66" s="517"/>
      <c r="E66" s="533"/>
      <c r="F66" s="535"/>
      <c r="G66" s="533"/>
      <c r="H66" s="536"/>
      <c r="I66" s="533"/>
      <c r="J66" s="536"/>
      <c r="K66" s="533"/>
      <c r="L66" s="517"/>
      <c r="M66" s="534"/>
      <c r="N66" s="533"/>
      <c r="O66" s="517"/>
      <c r="P66" s="534"/>
      <c r="Q66" s="533"/>
      <c r="R66" s="535"/>
      <c r="S66" s="534"/>
      <c r="T66" s="533"/>
      <c r="U66" s="536"/>
      <c r="V66" s="534"/>
      <c r="W66" s="533"/>
      <c r="X66" s="223"/>
      <c r="Y66" s="221"/>
      <c r="Z66" s="223"/>
      <c r="AA66" s="46"/>
    </row>
    <row r="67" spans="2:27" x14ac:dyDescent="0.2">
      <c r="B67" s="166">
        <f>'1. LDC Info'!$F$27-8</f>
        <v>2009</v>
      </c>
      <c r="C67" s="44" t="s">
        <v>115</v>
      </c>
      <c r="D67" s="517"/>
      <c r="E67" s="533"/>
      <c r="F67" s="535"/>
      <c r="G67" s="533"/>
      <c r="H67" s="536"/>
      <c r="I67" s="533"/>
      <c r="J67" s="536"/>
      <c r="K67" s="533"/>
      <c r="L67" s="517"/>
      <c r="M67" s="534"/>
      <c r="N67" s="533"/>
      <c r="O67" s="517"/>
      <c r="P67" s="534"/>
      <c r="Q67" s="533"/>
      <c r="R67" s="535"/>
      <c r="S67" s="534"/>
      <c r="T67" s="533"/>
      <c r="U67" s="536"/>
      <c r="V67" s="534"/>
      <c r="W67" s="533"/>
      <c r="X67" s="223"/>
      <c r="Y67" s="221"/>
      <c r="Z67" s="223"/>
      <c r="AA67" s="46"/>
    </row>
    <row r="68" spans="2:27" x14ac:dyDescent="0.2">
      <c r="B68" s="166">
        <f>'1. LDC Info'!$F$27-8</f>
        <v>2009</v>
      </c>
      <c r="C68" s="44" t="s">
        <v>116</v>
      </c>
      <c r="D68" s="517"/>
      <c r="E68" s="533"/>
      <c r="F68" s="535"/>
      <c r="G68" s="533"/>
      <c r="H68" s="536"/>
      <c r="I68" s="533"/>
      <c r="J68" s="536"/>
      <c r="K68" s="533"/>
      <c r="L68" s="517"/>
      <c r="M68" s="534"/>
      <c r="N68" s="533"/>
      <c r="O68" s="517"/>
      <c r="P68" s="534"/>
      <c r="Q68" s="533"/>
      <c r="R68" s="535"/>
      <c r="S68" s="534"/>
      <c r="T68" s="533"/>
      <c r="U68" s="536"/>
      <c r="V68" s="534"/>
      <c r="W68" s="533"/>
      <c r="X68" s="223"/>
      <c r="Y68" s="221"/>
      <c r="Z68" s="223"/>
      <c r="AA68" s="46"/>
    </row>
    <row r="69" spans="2:27" x14ac:dyDescent="0.2">
      <c r="B69" s="166">
        <f>'1. LDC Info'!$F$27-8</f>
        <v>2009</v>
      </c>
      <c r="C69" s="44" t="s">
        <v>106</v>
      </c>
      <c r="D69" s="517"/>
      <c r="E69" s="533"/>
      <c r="F69" s="535"/>
      <c r="G69" s="533"/>
      <c r="H69" s="536"/>
      <c r="I69" s="533"/>
      <c r="J69" s="536"/>
      <c r="K69" s="533"/>
      <c r="L69" s="517"/>
      <c r="M69" s="534"/>
      <c r="N69" s="533"/>
      <c r="O69" s="517"/>
      <c r="P69" s="534"/>
      <c r="Q69" s="533"/>
      <c r="R69" s="535"/>
      <c r="S69" s="534"/>
      <c r="T69" s="533"/>
      <c r="U69" s="536"/>
      <c r="V69" s="534"/>
      <c r="W69" s="533"/>
      <c r="X69" s="223"/>
      <c r="Y69" s="221"/>
      <c r="Z69" s="223"/>
      <c r="AA69" s="46"/>
    </row>
    <row r="70" spans="2:27" x14ac:dyDescent="0.2">
      <c r="B70" s="166">
        <f>'1. LDC Info'!$F$27-8</f>
        <v>2009</v>
      </c>
      <c r="C70" s="44" t="s">
        <v>107</v>
      </c>
      <c r="D70" s="517"/>
      <c r="E70" s="533"/>
      <c r="F70" s="535"/>
      <c r="G70" s="533"/>
      <c r="H70" s="536"/>
      <c r="I70" s="533"/>
      <c r="J70" s="536"/>
      <c r="K70" s="533"/>
      <c r="L70" s="517"/>
      <c r="M70" s="534"/>
      <c r="N70" s="533"/>
      <c r="O70" s="517"/>
      <c r="P70" s="534"/>
      <c r="Q70" s="533"/>
      <c r="R70" s="535"/>
      <c r="S70" s="534"/>
      <c r="T70" s="533"/>
      <c r="U70" s="536"/>
      <c r="V70" s="534"/>
      <c r="W70" s="533"/>
      <c r="X70" s="223"/>
      <c r="Y70" s="221"/>
      <c r="Z70" s="223"/>
      <c r="AA70" s="46"/>
    </row>
    <row r="71" spans="2:27" x14ac:dyDescent="0.2">
      <c r="B71" s="166">
        <f>'1. LDC Info'!$F$27-8</f>
        <v>2009</v>
      </c>
      <c r="C71" s="44" t="s">
        <v>108</v>
      </c>
      <c r="D71" s="517"/>
      <c r="E71" s="533"/>
      <c r="F71" s="535"/>
      <c r="G71" s="533"/>
      <c r="H71" s="536"/>
      <c r="I71" s="533"/>
      <c r="J71" s="536"/>
      <c r="K71" s="533"/>
      <c r="L71" s="517"/>
      <c r="M71" s="534"/>
      <c r="N71" s="533"/>
      <c r="O71" s="517"/>
      <c r="P71" s="534"/>
      <c r="Q71" s="533"/>
      <c r="R71" s="535"/>
      <c r="S71" s="534"/>
      <c r="T71" s="533"/>
      <c r="U71" s="536"/>
      <c r="V71" s="534"/>
      <c r="W71" s="533"/>
      <c r="X71" s="223"/>
      <c r="Y71" s="221"/>
      <c r="Z71" s="223"/>
      <c r="AA71" s="46"/>
    </row>
    <row r="72" spans="2:27" x14ac:dyDescent="0.2">
      <c r="B72" s="166">
        <f>'1. LDC Info'!$F$27-8</f>
        <v>2009</v>
      </c>
      <c r="C72" s="44" t="s">
        <v>105</v>
      </c>
      <c r="D72" s="517">
        <v>30635928</v>
      </c>
      <c r="E72" s="533">
        <v>3608</v>
      </c>
      <c r="F72" s="517">
        <v>12859915</v>
      </c>
      <c r="G72" s="533">
        <v>483</v>
      </c>
      <c r="H72" s="535">
        <v>140485</v>
      </c>
      <c r="I72" s="533">
        <v>30</v>
      </c>
      <c r="J72" s="535"/>
      <c r="K72" s="533"/>
      <c r="L72" s="517">
        <v>52230300</v>
      </c>
      <c r="M72" s="534">
        <v>141729</v>
      </c>
      <c r="N72" s="533">
        <v>66</v>
      </c>
      <c r="O72" s="517">
        <v>1114732</v>
      </c>
      <c r="P72" s="534">
        <v>3092</v>
      </c>
      <c r="Q72" s="533">
        <v>1167</v>
      </c>
      <c r="R72" s="535"/>
      <c r="S72" s="534"/>
      <c r="T72" s="533"/>
      <c r="U72" s="535"/>
      <c r="V72" s="534"/>
      <c r="W72" s="533"/>
      <c r="X72" s="223"/>
      <c r="Y72" s="221"/>
      <c r="Z72" s="223"/>
      <c r="AA72" s="46"/>
    </row>
    <row r="73" spans="2:27" x14ac:dyDescent="0.2">
      <c r="B73" s="166">
        <f>'1. LDC Info'!$F$27-7</f>
        <v>2010</v>
      </c>
      <c r="C73" s="44" t="s">
        <v>109</v>
      </c>
      <c r="D73" s="517"/>
      <c r="E73" s="533"/>
      <c r="F73" s="535"/>
      <c r="G73" s="533"/>
      <c r="H73" s="536"/>
      <c r="I73" s="533"/>
      <c r="J73" s="536"/>
      <c r="K73" s="533"/>
      <c r="L73" s="517"/>
      <c r="M73" s="534"/>
      <c r="N73" s="533"/>
      <c r="O73" s="517"/>
      <c r="P73" s="534"/>
      <c r="Q73" s="533"/>
      <c r="R73" s="535"/>
      <c r="S73" s="534"/>
      <c r="T73" s="533"/>
      <c r="U73" s="536"/>
      <c r="V73" s="534"/>
      <c r="W73" s="533"/>
      <c r="X73" s="223"/>
      <c r="Y73" s="221"/>
      <c r="Z73" s="223"/>
      <c r="AA73" s="46"/>
    </row>
    <row r="74" spans="2:27" x14ac:dyDescent="0.2">
      <c r="B74" s="166">
        <f>'1. LDC Info'!$F$27-7</f>
        <v>2010</v>
      </c>
      <c r="C74" s="44" t="s">
        <v>110</v>
      </c>
      <c r="D74" s="517"/>
      <c r="E74" s="533"/>
      <c r="F74" s="535"/>
      <c r="G74" s="533"/>
      <c r="H74" s="536"/>
      <c r="I74" s="533"/>
      <c r="J74" s="536"/>
      <c r="K74" s="533"/>
      <c r="L74" s="517"/>
      <c r="M74" s="534"/>
      <c r="N74" s="533"/>
      <c r="O74" s="517"/>
      <c r="P74" s="534"/>
      <c r="Q74" s="533"/>
      <c r="R74" s="535"/>
      <c r="S74" s="534"/>
      <c r="T74" s="533"/>
      <c r="U74" s="536"/>
      <c r="V74" s="534"/>
      <c r="W74" s="533"/>
      <c r="X74" s="223"/>
      <c r="Y74" s="221"/>
      <c r="Z74" s="223"/>
      <c r="AA74" s="46"/>
    </row>
    <row r="75" spans="2:27" x14ac:dyDescent="0.2">
      <c r="B75" s="166">
        <f>'1. LDC Info'!$F$27-7</f>
        <v>2010</v>
      </c>
      <c r="C75" s="44" t="s">
        <v>111</v>
      </c>
      <c r="D75" s="517"/>
      <c r="E75" s="533"/>
      <c r="F75" s="535"/>
      <c r="G75" s="533"/>
      <c r="H75" s="536"/>
      <c r="I75" s="533"/>
      <c r="J75" s="536"/>
      <c r="K75" s="533"/>
      <c r="L75" s="517"/>
      <c r="M75" s="534"/>
      <c r="N75" s="533"/>
      <c r="O75" s="517"/>
      <c r="P75" s="534"/>
      <c r="Q75" s="533"/>
      <c r="R75" s="535"/>
      <c r="S75" s="534"/>
      <c r="T75" s="533"/>
      <c r="U75" s="536"/>
      <c r="V75" s="534"/>
      <c r="W75" s="533"/>
      <c r="X75" s="223"/>
      <c r="Y75" s="221"/>
      <c r="Z75" s="223"/>
      <c r="AA75" s="46"/>
    </row>
    <row r="76" spans="2:27" x14ac:dyDescent="0.2">
      <c r="B76" s="166">
        <f>'1. LDC Info'!$F$27-7</f>
        <v>2010</v>
      </c>
      <c r="C76" s="44" t="s">
        <v>112</v>
      </c>
      <c r="D76" s="517"/>
      <c r="E76" s="533"/>
      <c r="F76" s="535"/>
      <c r="G76" s="533"/>
      <c r="H76" s="536"/>
      <c r="I76" s="533"/>
      <c r="J76" s="536"/>
      <c r="K76" s="533"/>
      <c r="L76" s="517"/>
      <c r="M76" s="534"/>
      <c r="N76" s="533"/>
      <c r="O76" s="517"/>
      <c r="P76" s="534"/>
      <c r="Q76" s="533"/>
      <c r="R76" s="535"/>
      <c r="S76" s="534"/>
      <c r="T76" s="533"/>
      <c r="U76" s="536"/>
      <c r="V76" s="534"/>
      <c r="W76" s="533"/>
      <c r="X76" s="223"/>
      <c r="Y76" s="221"/>
      <c r="Z76" s="223"/>
      <c r="AA76" s="46"/>
    </row>
    <row r="77" spans="2:27" x14ac:dyDescent="0.2">
      <c r="B77" s="166">
        <f>'1. LDC Info'!$F$27-7</f>
        <v>2010</v>
      </c>
      <c r="C77" s="44" t="s">
        <v>113</v>
      </c>
      <c r="D77" s="517"/>
      <c r="E77" s="533"/>
      <c r="F77" s="535"/>
      <c r="G77" s="533"/>
      <c r="H77" s="536"/>
      <c r="I77" s="533"/>
      <c r="J77" s="536"/>
      <c r="K77" s="533"/>
      <c r="L77" s="517"/>
      <c r="M77" s="534"/>
      <c r="N77" s="533"/>
      <c r="O77" s="517"/>
      <c r="P77" s="534"/>
      <c r="Q77" s="533"/>
      <c r="R77" s="535"/>
      <c r="S77" s="534"/>
      <c r="T77" s="533"/>
      <c r="U77" s="536"/>
      <c r="V77" s="534"/>
      <c r="W77" s="533"/>
      <c r="X77" s="223"/>
      <c r="Y77" s="221"/>
      <c r="Z77" s="223"/>
      <c r="AA77" s="46"/>
    </row>
    <row r="78" spans="2:27" x14ac:dyDescent="0.2">
      <c r="B78" s="166">
        <f>'1. LDC Info'!$F$27-7</f>
        <v>2010</v>
      </c>
      <c r="C78" s="44" t="s">
        <v>114</v>
      </c>
      <c r="D78" s="517"/>
      <c r="E78" s="533"/>
      <c r="F78" s="535"/>
      <c r="G78" s="533"/>
      <c r="H78" s="536"/>
      <c r="I78" s="533"/>
      <c r="J78" s="536"/>
      <c r="K78" s="533"/>
      <c r="L78" s="517"/>
      <c r="M78" s="534"/>
      <c r="N78" s="533"/>
      <c r="O78" s="517"/>
      <c r="P78" s="534"/>
      <c r="Q78" s="533"/>
      <c r="R78" s="535"/>
      <c r="S78" s="534"/>
      <c r="T78" s="533"/>
      <c r="U78" s="536"/>
      <c r="V78" s="534"/>
      <c r="W78" s="533"/>
      <c r="X78" s="223"/>
      <c r="Y78" s="221"/>
      <c r="Z78" s="223"/>
      <c r="AA78" s="46"/>
    </row>
    <row r="79" spans="2:27" x14ac:dyDescent="0.2">
      <c r="B79" s="166">
        <f>'1. LDC Info'!$F$27-7</f>
        <v>2010</v>
      </c>
      <c r="C79" s="44" t="s">
        <v>115</v>
      </c>
      <c r="D79" s="517"/>
      <c r="E79" s="533"/>
      <c r="F79" s="535"/>
      <c r="G79" s="533"/>
      <c r="H79" s="536"/>
      <c r="I79" s="533"/>
      <c r="J79" s="536"/>
      <c r="K79" s="533"/>
      <c r="L79" s="517"/>
      <c r="M79" s="534"/>
      <c r="N79" s="533"/>
      <c r="O79" s="517"/>
      <c r="P79" s="534"/>
      <c r="Q79" s="533"/>
      <c r="R79" s="535"/>
      <c r="S79" s="534"/>
      <c r="T79" s="533"/>
      <c r="U79" s="536"/>
      <c r="V79" s="534"/>
      <c r="W79" s="533"/>
      <c r="X79" s="223"/>
      <c r="Y79" s="221"/>
      <c r="Z79" s="223"/>
      <c r="AA79" s="46"/>
    </row>
    <row r="80" spans="2:27" x14ac:dyDescent="0.2">
      <c r="B80" s="166">
        <f>'1. LDC Info'!$F$27-7</f>
        <v>2010</v>
      </c>
      <c r="C80" s="44" t="s">
        <v>116</v>
      </c>
      <c r="D80" s="517"/>
      <c r="E80" s="533"/>
      <c r="F80" s="535"/>
      <c r="G80" s="533"/>
      <c r="H80" s="536"/>
      <c r="I80" s="533"/>
      <c r="J80" s="536"/>
      <c r="K80" s="533"/>
      <c r="L80" s="517"/>
      <c r="M80" s="534"/>
      <c r="N80" s="533"/>
      <c r="O80" s="517"/>
      <c r="P80" s="534"/>
      <c r="Q80" s="533"/>
      <c r="R80" s="535"/>
      <c r="S80" s="534"/>
      <c r="T80" s="533"/>
      <c r="U80" s="536"/>
      <c r="V80" s="534"/>
      <c r="W80" s="533"/>
      <c r="X80" s="223"/>
      <c r="Y80" s="221"/>
      <c r="Z80" s="223"/>
      <c r="AA80" s="46"/>
    </row>
    <row r="81" spans="2:27" x14ac:dyDescent="0.2">
      <c r="B81" s="166">
        <f>'1. LDC Info'!$F$27-7</f>
        <v>2010</v>
      </c>
      <c r="C81" s="44" t="s">
        <v>106</v>
      </c>
      <c r="D81" s="517"/>
      <c r="E81" s="533"/>
      <c r="F81" s="535"/>
      <c r="G81" s="533"/>
      <c r="H81" s="536"/>
      <c r="I81" s="533"/>
      <c r="J81" s="536"/>
      <c r="K81" s="533"/>
      <c r="L81" s="517"/>
      <c r="M81" s="534"/>
      <c r="N81" s="533"/>
      <c r="O81" s="517"/>
      <c r="P81" s="534"/>
      <c r="Q81" s="533"/>
      <c r="R81" s="535"/>
      <c r="S81" s="534"/>
      <c r="T81" s="533"/>
      <c r="U81" s="536"/>
      <c r="V81" s="534"/>
      <c r="W81" s="533"/>
      <c r="X81" s="223"/>
      <c r="Y81" s="221"/>
      <c r="Z81" s="223"/>
      <c r="AA81" s="46"/>
    </row>
    <row r="82" spans="2:27" x14ac:dyDescent="0.2">
      <c r="B82" s="166">
        <f>'1. LDC Info'!$F$27-7</f>
        <v>2010</v>
      </c>
      <c r="C82" s="44" t="s">
        <v>107</v>
      </c>
      <c r="D82" s="517"/>
      <c r="E82" s="533"/>
      <c r="F82" s="535"/>
      <c r="G82" s="533"/>
      <c r="H82" s="536"/>
      <c r="I82" s="533"/>
      <c r="J82" s="536"/>
      <c r="K82" s="533"/>
      <c r="L82" s="517"/>
      <c r="M82" s="534"/>
      <c r="N82" s="533"/>
      <c r="O82" s="517"/>
      <c r="P82" s="534"/>
      <c r="Q82" s="533"/>
      <c r="R82" s="535"/>
      <c r="S82" s="534"/>
      <c r="T82" s="533"/>
      <c r="U82" s="536"/>
      <c r="V82" s="534"/>
      <c r="W82" s="533"/>
      <c r="X82" s="223"/>
      <c r="Y82" s="221"/>
      <c r="Z82" s="223"/>
      <c r="AA82" s="46"/>
    </row>
    <row r="83" spans="2:27" x14ac:dyDescent="0.2">
      <c r="B83" s="166">
        <f>'1. LDC Info'!$F$27-7</f>
        <v>2010</v>
      </c>
      <c r="C83" s="44" t="s">
        <v>108</v>
      </c>
      <c r="D83" s="517"/>
      <c r="E83" s="533"/>
      <c r="F83" s="535"/>
      <c r="G83" s="533"/>
      <c r="H83" s="536"/>
      <c r="I83" s="533"/>
      <c r="J83" s="536"/>
      <c r="K83" s="533"/>
      <c r="L83" s="517"/>
      <c r="M83" s="534"/>
      <c r="N83" s="533"/>
      <c r="O83" s="517"/>
      <c r="P83" s="534"/>
      <c r="Q83" s="533"/>
      <c r="R83" s="535"/>
      <c r="S83" s="534"/>
      <c r="T83" s="533"/>
      <c r="U83" s="536"/>
      <c r="V83" s="534"/>
      <c r="W83" s="533"/>
      <c r="X83" s="223"/>
      <c r="Y83" s="221"/>
      <c r="Z83" s="223"/>
      <c r="AA83" s="46"/>
    </row>
    <row r="84" spans="2:27" x14ac:dyDescent="0.2">
      <c r="B84" s="166">
        <f>'1. LDC Info'!$F$27-7</f>
        <v>2010</v>
      </c>
      <c r="C84" s="44" t="s">
        <v>105</v>
      </c>
      <c r="D84" s="517">
        <v>30305144</v>
      </c>
      <c r="E84" s="533">
        <v>3654</v>
      </c>
      <c r="F84" s="517">
        <v>12427065</v>
      </c>
      <c r="G84" s="533">
        <v>442</v>
      </c>
      <c r="H84" s="535">
        <v>150176</v>
      </c>
      <c r="I84" s="533">
        <v>34</v>
      </c>
      <c r="J84" s="535"/>
      <c r="K84" s="533"/>
      <c r="L84" s="517">
        <v>51703213</v>
      </c>
      <c r="M84" s="534">
        <v>141797</v>
      </c>
      <c r="N84" s="533">
        <v>59</v>
      </c>
      <c r="O84" s="517">
        <v>1116726</v>
      </c>
      <c r="P84" s="534">
        <v>3098</v>
      </c>
      <c r="Q84" s="533">
        <v>1174</v>
      </c>
      <c r="R84" s="535"/>
      <c r="S84" s="534"/>
      <c r="T84" s="533"/>
      <c r="U84" s="535"/>
      <c r="V84" s="534"/>
      <c r="W84" s="533"/>
      <c r="X84" s="223"/>
      <c r="Y84" s="221"/>
      <c r="Z84" s="223"/>
      <c r="AA84" s="46"/>
    </row>
    <row r="85" spans="2:27" x14ac:dyDescent="0.2">
      <c r="B85" s="166">
        <f>'1. LDC Info'!$F$27-6</f>
        <v>2011</v>
      </c>
      <c r="C85" s="44" t="s">
        <v>109</v>
      </c>
      <c r="D85" s="517"/>
      <c r="E85" s="533"/>
      <c r="F85" s="517"/>
      <c r="G85" s="533"/>
      <c r="H85" s="536"/>
      <c r="I85" s="533"/>
      <c r="J85" s="536"/>
      <c r="K85" s="533"/>
      <c r="L85" s="517"/>
      <c r="M85" s="518"/>
      <c r="N85" s="533"/>
      <c r="O85" s="517"/>
      <c r="P85" s="518"/>
      <c r="Q85" s="533"/>
      <c r="R85" s="535"/>
      <c r="S85" s="534"/>
      <c r="T85" s="533"/>
      <c r="U85" s="536"/>
      <c r="V85" s="534"/>
      <c r="W85" s="533"/>
      <c r="X85" s="223"/>
      <c r="Y85" s="221"/>
      <c r="Z85" s="223"/>
      <c r="AA85" s="46"/>
    </row>
    <row r="86" spans="2:27" x14ac:dyDescent="0.2">
      <c r="B86" s="166">
        <f>'1. LDC Info'!$F$27-6</f>
        <v>2011</v>
      </c>
      <c r="C86" s="44" t="s">
        <v>110</v>
      </c>
      <c r="D86" s="517"/>
      <c r="E86" s="533"/>
      <c r="F86" s="517"/>
      <c r="G86" s="533"/>
      <c r="H86" s="536"/>
      <c r="I86" s="533"/>
      <c r="J86" s="536"/>
      <c r="K86" s="533"/>
      <c r="L86" s="517"/>
      <c r="M86" s="518"/>
      <c r="N86" s="533"/>
      <c r="O86" s="517"/>
      <c r="P86" s="518"/>
      <c r="Q86" s="533"/>
      <c r="R86" s="535"/>
      <c r="S86" s="534"/>
      <c r="T86" s="533"/>
      <c r="U86" s="536"/>
      <c r="V86" s="534"/>
      <c r="W86" s="533"/>
      <c r="X86" s="223"/>
      <c r="Y86" s="221"/>
      <c r="Z86" s="223"/>
      <c r="AA86" s="46"/>
    </row>
    <row r="87" spans="2:27" x14ac:dyDescent="0.2">
      <c r="B87" s="166">
        <f>'1. LDC Info'!$F$27-6</f>
        <v>2011</v>
      </c>
      <c r="C87" s="44" t="s">
        <v>111</v>
      </c>
      <c r="D87" s="517"/>
      <c r="E87" s="533"/>
      <c r="F87" s="517"/>
      <c r="G87" s="533"/>
      <c r="H87" s="536"/>
      <c r="I87" s="533"/>
      <c r="J87" s="536"/>
      <c r="K87" s="533"/>
      <c r="L87" s="517"/>
      <c r="M87" s="518"/>
      <c r="N87" s="533"/>
      <c r="O87" s="517"/>
      <c r="P87" s="518"/>
      <c r="Q87" s="533"/>
      <c r="R87" s="535"/>
      <c r="S87" s="534"/>
      <c r="T87" s="533"/>
      <c r="U87" s="536"/>
      <c r="V87" s="534"/>
      <c r="W87" s="533"/>
      <c r="X87" s="223"/>
      <c r="Y87" s="221"/>
      <c r="Z87" s="223"/>
      <c r="AA87" s="46"/>
    </row>
    <row r="88" spans="2:27" x14ac:dyDescent="0.2">
      <c r="B88" s="166">
        <f>'1. LDC Info'!$F$27-6</f>
        <v>2011</v>
      </c>
      <c r="C88" s="44" t="s">
        <v>112</v>
      </c>
      <c r="D88" s="517"/>
      <c r="E88" s="533"/>
      <c r="F88" s="517"/>
      <c r="G88" s="533"/>
      <c r="H88" s="536"/>
      <c r="I88" s="533"/>
      <c r="J88" s="536"/>
      <c r="K88" s="533"/>
      <c r="L88" s="517"/>
      <c r="M88" s="518"/>
      <c r="N88" s="533"/>
      <c r="O88" s="517"/>
      <c r="P88" s="518"/>
      <c r="Q88" s="533"/>
      <c r="R88" s="535"/>
      <c r="S88" s="534"/>
      <c r="T88" s="533"/>
      <c r="U88" s="536"/>
      <c r="V88" s="534"/>
      <c r="W88" s="533"/>
      <c r="X88" s="223"/>
      <c r="Y88" s="221"/>
      <c r="Z88" s="223"/>
      <c r="AA88" s="46"/>
    </row>
    <row r="89" spans="2:27" x14ac:dyDescent="0.2">
      <c r="B89" s="166">
        <f>'1. LDC Info'!$F$27-6</f>
        <v>2011</v>
      </c>
      <c r="C89" s="44" t="s">
        <v>113</v>
      </c>
      <c r="D89" s="517"/>
      <c r="E89" s="533"/>
      <c r="F89" s="517"/>
      <c r="G89" s="533"/>
      <c r="H89" s="536"/>
      <c r="I89" s="533"/>
      <c r="J89" s="536"/>
      <c r="K89" s="533"/>
      <c r="L89" s="517"/>
      <c r="M89" s="518"/>
      <c r="N89" s="533"/>
      <c r="O89" s="517"/>
      <c r="P89" s="518"/>
      <c r="Q89" s="533"/>
      <c r="R89" s="535"/>
      <c r="S89" s="534"/>
      <c r="T89" s="533"/>
      <c r="U89" s="536"/>
      <c r="V89" s="534"/>
      <c r="W89" s="533"/>
      <c r="X89" s="223"/>
      <c r="Y89" s="221"/>
      <c r="Z89" s="223"/>
      <c r="AA89" s="46"/>
    </row>
    <row r="90" spans="2:27" x14ac:dyDescent="0.2">
      <c r="B90" s="166">
        <f>'1. LDC Info'!$F$27-6</f>
        <v>2011</v>
      </c>
      <c r="C90" s="44" t="s">
        <v>114</v>
      </c>
      <c r="D90" s="517"/>
      <c r="E90" s="533"/>
      <c r="F90" s="517"/>
      <c r="G90" s="533"/>
      <c r="H90" s="536"/>
      <c r="I90" s="533"/>
      <c r="J90" s="536"/>
      <c r="K90" s="533"/>
      <c r="L90" s="517"/>
      <c r="M90" s="518"/>
      <c r="N90" s="533"/>
      <c r="O90" s="517"/>
      <c r="P90" s="518"/>
      <c r="Q90" s="533"/>
      <c r="R90" s="535"/>
      <c r="S90" s="534"/>
      <c r="T90" s="533"/>
      <c r="U90" s="536"/>
      <c r="V90" s="534"/>
      <c r="W90" s="533"/>
      <c r="X90" s="223"/>
      <c r="Y90" s="221"/>
      <c r="Z90" s="223"/>
      <c r="AA90" s="46"/>
    </row>
    <row r="91" spans="2:27" x14ac:dyDescent="0.2">
      <c r="B91" s="166">
        <f>'1. LDC Info'!$F$27-6</f>
        <v>2011</v>
      </c>
      <c r="C91" s="44" t="s">
        <v>115</v>
      </c>
      <c r="D91" s="517"/>
      <c r="E91" s="533"/>
      <c r="F91" s="517"/>
      <c r="G91" s="533"/>
      <c r="H91" s="536"/>
      <c r="I91" s="533"/>
      <c r="J91" s="536"/>
      <c r="K91" s="533"/>
      <c r="L91" s="517"/>
      <c r="M91" s="518"/>
      <c r="N91" s="533"/>
      <c r="O91" s="517"/>
      <c r="P91" s="518"/>
      <c r="Q91" s="533"/>
      <c r="R91" s="535"/>
      <c r="S91" s="534"/>
      <c r="T91" s="533"/>
      <c r="U91" s="536"/>
      <c r="V91" s="534"/>
      <c r="W91" s="533"/>
      <c r="X91" s="223"/>
      <c r="Y91" s="221"/>
      <c r="Z91" s="223"/>
      <c r="AA91" s="46"/>
    </row>
    <row r="92" spans="2:27" x14ac:dyDescent="0.2">
      <c r="B92" s="166">
        <f>'1. LDC Info'!$F$27-6</f>
        <v>2011</v>
      </c>
      <c r="C92" s="44" t="s">
        <v>116</v>
      </c>
      <c r="D92" s="517"/>
      <c r="E92" s="533"/>
      <c r="F92" s="517"/>
      <c r="G92" s="533"/>
      <c r="H92" s="536"/>
      <c r="I92" s="533"/>
      <c r="J92" s="536"/>
      <c r="K92" s="533"/>
      <c r="L92" s="517"/>
      <c r="M92" s="518"/>
      <c r="N92" s="533"/>
      <c r="O92" s="517"/>
      <c r="P92" s="518"/>
      <c r="Q92" s="533"/>
      <c r="R92" s="535"/>
      <c r="S92" s="534"/>
      <c r="T92" s="533"/>
      <c r="U92" s="536"/>
      <c r="V92" s="534"/>
      <c r="W92" s="533"/>
      <c r="X92" s="223"/>
      <c r="Y92" s="221"/>
      <c r="Z92" s="223"/>
      <c r="AA92" s="46"/>
    </row>
    <row r="93" spans="2:27" x14ac:dyDescent="0.2">
      <c r="B93" s="166">
        <f>'1. LDC Info'!$F$27-6</f>
        <v>2011</v>
      </c>
      <c r="C93" s="44" t="s">
        <v>106</v>
      </c>
      <c r="D93" s="517"/>
      <c r="E93" s="533"/>
      <c r="F93" s="517"/>
      <c r="G93" s="533"/>
      <c r="H93" s="536"/>
      <c r="I93" s="533"/>
      <c r="J93" s="536"/>
      <c r="K93" s="533"/>
      <c r="L93" s="517"/>
      <c r="M93" s="518"/>
      <c r="N93" s="533"/>
      <c r="O93" s="517"/>
      <c r="P93" s="518"/>
      <c r="Q93" s="533"/>
      <c r="R93" s="535"/>
      <c r="S93" s="534"/>
      <c r="T93" s="533"/>
      <c r="U93" s="536"/>
      <c r="V93" s="534"/>
      <c r="W93" s="533"/>
      <c r="X93" s="223"/>
      <c r="Y93" s="221"/>
      <c r="Z93" s="223"/>
      <c r="AA93" s="46"/>
    </row>
    <row r="94" spans="2:27" x14ac:dyDescent="0.2">
      <c r="B94" s="166">
        <f>'1. LDC Info'!$F$27-6</f>
        <v>2011</v>
      </c>
      <c r="C94" s="44" t="s">
        <v>107</v>
      </c>
      <c r="D94" s="517"/>
      <c r="E94" s="533"/>
      <c r="F94" s="517"/>
      <c r="G94" s="533"/>
      <c r="H94" s="536"/>
      <c r="I94" s="533"/>
      <c r="J94" s="536"/>
      <c r="K94" s="533"/>
      <c r="L94" s="517"/>
      <c r="M94" s="518"/>
      <c r="N94" s="533"/>
      <c r="O94" s="517"/>
      <c r="P94" s="518"/>
      <c r="Q94" s="533"/>
      <c r="R94" s="535"/>
      <c r="S94" s="534"/>
      <c r="T94" s="533"/>
      <c r="U94" s="536"/>
      <c r="V94" s="534"/>
      <c r="W94" s="533"/>
      <c r="X94" s="223"/>
      <c r="Y94" s="221"/>
      <c r="Z94" s="223"/>
      <c r="AA94" s="46"/>
    </row>
    <row r="95" spans="2:27" x14ac:dyDescent="0.2">
      <c r="B95" s="166">
        <f>'1. LDC Info'!$F$27-6</f>
        <v>2011</v>
      </c>
      <c r="C95" s="44" t="s">
        <v>108</v>
      </c>
      <c r="D95" s="517"/>
      <c r="E95" s="533"/>
      <c r="F95" s="517"/>
      <c r="G95" s="533"/>
      <c r="H95" s="536"/>
      <c r="I95" s="533"/>
      <c r="J95" s="536"/>
      <c r="K95" s="533"/>
      <c r="L95" s="517"/>
      <c r="M95" s="518"/>
      <c r="N95" s="533"/>
      <c r="O95" s="517"/>
      <c r="P95" s="518"/>
      <c r="Q95" s="533"/>
      <c r="R95" s="535"/>
      <c r="S95" s="534"/>
      <c r="T95" s="533"/>
      <c r="U95" s="536"/>
      <c r="V95" s="534"/>
      <c r="W95" s="533"/>
      <c r="X95" s="223"/>
      <c r="Y95" s="221"/>
      <c r="Z95" s="223"/>
      <c r="AA95" s="46"/>
    </row>
    <row r="96" spans="2:27" x14ac:dyDescent="0.2">
      <c r="B96" s="166">
        <f>'1. LDC Info'!$F$27-6</f>
        <v>2011</v>
      </c>
      <c r="C96" s="44" t="s">
        <v>105</v>
      </c>
      <c r="D96" s="517">
        <v>30085520</v>
      </c>
      <c r="E96" s="533">
        <v>3687</v>
      </c>
      <c r="F96" s="517">
        <v>11962164</v>
      </c>
      <c r="G96" s="533">
        <v>437</v>
      </c>
      <c r="H96" s="535">
        <v>158921</v>
      </c>
      <c r="I96" s="533">
        <v>34</v>
      </c>
      <c r="J96" s="535"/>
      <c r="K96" s="533"/>
      <c r="L96" s="517">
        <v>46521147</v>
      </c>
      <c r="M96" s="534">
        <v>130980</v>
      </c>
      <c r="N96" s="533">
        <v>59</v>
      </c>
      <c r="O96" s="517">
        <v>1118574</v>
      </c>
      <c r="P96" s="534">
        <v>3099</v>
      </c>
      <c r="Q96" s="533">
        <v>1176</v>
      </c>
      <c r="R96" s="535"/>
      <c r="S96" s="534"/>
      <c r="T96" s="533"/>
      <c r="U96" s="535"/>
      <c r="V96" s="534"/>
      <c r="W96" s="533"/>
      <c r="X96" s="223"/>
      <c r="Y96" s="221"/>
      <c r="Z96" s="223"/>
      <c r="AA96" s="46"/>
    </row>
    <row r="97" spans="2:27" x14ac:dyDescent="0.2">
      <c r="B97" s="166">
        <f>'1. LDC Info'!$F$27-5</f>
        <v>2012</v>
      </c>
      <c r="C97" s="44" t="s">
        <v>109</v>
      </c>
      <c r="D97" s="517"/>
      <c r="E97" s="533"/>
      <c r="F97" s="517"/>
      <c r="G97" s="533"/>
      <c r="H97" s="537"/>
      <c r="I97" s="533"/>
      <c r="J97" s="537"/>
      <c r="K97" s="533"/>
      <c r="L97" s="517"/>
      <c r="M97" s="534"/>
      <c r="N97" s="533"/>
      <c r="O97" s="517"/>
      <c r="P97" s="534"/>
      <c r="Q97" s="533"/>
      <c r="R97" s="535"/>
      <c r="S97" s="534"/>
      <c r="T97" s="533"/>
      <c r="U97" s="537"/>
      <c r="V97" s="534"/>
      <c r="W97" s="533"/>
      <c r="X97" s="49"/>
      <c r="Y97" s="221"/>
      <c r="Z97" s="49"/>
      <c r="AA97" s="46"/>
    </row>
    <row r="98" spans="2:27" x14ac:dyDescent="0.2">
      <c r="B98" s="166">
        <f>'1. LDC Info'!$F$27-5</f>
        <v>2012</v>
      </c>
      <c r="C98" s="44" t="s">
        <v>110</v>
      </c>
      <c r="D98" s="517"/>
      <c r="E98" s="533"/>
      <c r="F98" s="517"/>
      <c r="G98" s="533"/>
      <c r="H98" s="537"/>
      <c r="I98" s="533"/>
      <c r="J98" s="537"/>
      <c r="K98" s="533"/>
      <c r="L98" s="517"/>
      <c r="M98" s="534"/>
      <c r="N98" s="533"/>
      <c r="O98" s="517"/>
      <c r="P98" s="534"/>
      <c r="Q98" s="533"/>
      <c r="R98" s="535"/>
      <c r="S98" s="534"/>
      <c r="T98" s="533"/>
      <c r="U98" s="537"/>
      <c r="V98" s="534"/>
      <c r="W98" s="533"/>
      <c r="X98" s="49"/>
      <c r="Y98" s="221"/>
      <c r="Z98" s="49"/>
      <c r="AA98" s="46"/>
    </row>
    <row r="99" spans="2:27" x14ac:dyDescent="0.2">
      <c r="B99" s="166">
        <f>'1. LDC Info'!$F$27-5</f>
        <v>2012</v>
      </c>
      <c r="C99" s="44" t="s">
        <v>111</v>
      </c>
      <c r="D99" s="517"/>
      <c r="E99" s="533"/>
      <c r="F99" s="517"/>
      <c r="G99" s="533"/>
      <c r="H99" s="537"/>
      <c r="I99" s="533"/>
      <c r="J99" s="537"/>
      <c r="K99" s="533"/>
      <c r="L99" s="517"/>
      <c r="M99" s="534"/>
      <c r="N99" s="533"/>
      <c r="O99" s="517"/>
      <c r="P99" s="534"/>
      <c r="Q99" s="533"/>
      <c r="R99" s="535"/>
      <c r="S99" s="534"/>
      <c r="T99" s="533"/>
      <c r="U99" s="537"/>
      <c r="V99" s="534"/>
      <c r="W99" s="533"/>
      <c r="X99" s="49"/>
      <c r="Y99" s="221"/>
      <c r="Z99" s="49"/>
      <c r="AA99" s="46"/>
    </row>
    <row r="100" spans="2:27" x14ac:dyDescent="0.2">
      <c r="B100" s="166">
        <f>'1. LDC Info'!$F$27-5</f>
        <v>2012</v>
      </c>
      <c r="C100" s="44" t="s">
        <v>112</v>
      </c>
      <c r="D100" s="517"/>
      <c r="E100" s="533"/>
      <c r="F100" s="517"/>
      <c r="G100" s="533"/>
      <c r="H100" s="537"/>
      <c r="I100" s="533"/>
      <c r="J100" s="537"/>
      <c r="K100" s="533"/>
      <c r="L100" s="517"/>
      <c r="M100" s="534"/>
      <c r="N100" s="533"/>
      <c r="O100" s="517"/>
      <c r="P100" s="534"/>
      <c r="Q100" s="533"/>
      <c r="R100" s="535"/>
      <c r="S100" s="534"/>
      <c r="T100" s="533"/>
      <c r="U100" s="537"/>
      <c r="V100" s="534"/>
      <c r="W100" s="533"/>
      <c r="X100" s="49"/>
      <c r="Y100" s="221"/>
      <c r="Z100" s="49"/>
      <c r="AA100" s="46"/>
    </row>
    <row r="101" spans="2:27" x14ac:dyDescent="0.2">
      <c r="B101" s="166">
        <f>'1. LDC Info'!$F$27-5</f>
        <v>2012</v>
      </c>
      <c r="C101" s="44" t="s">
        <v>113</v>
      </c>
      <c r="D101" s="517"/>
      <c r="E101" s="533"/>
      <c r="F101" s="517"/>
      <c r="G101" s="533"/>
      <c r="H101" s="537"/>
      <c r="I101" s="533"/>
      <c r="J101" s="537"/>
      <c r="K101" s="533"/>
      <c r="L101" s="517"/>
      <c r="M101" s="534"/>
      <c r="N101" s="533"/>
      <c r="O101" s="517"/>
      <c r="P101" s="534"/>
      <c r="Q101" s="533"/>
      <c r="R101" s="535"/>
      <c r="S101" s="534"/>
      <c r="T101" s="533"/>
      <c r="U101" s="537"/>
      <c r="V101" s="534"/>
      <c r="W101" s="533"/>
      <c r="X101" s="49"/>
      <c r="Y101" s="221"/>
      <c r="Z101" s="49"/>
      <c r="AA101" s="46"/>
    </row>
    <row r="102" spans="2:27" x14ac:dyDescent="0.2">
      <c r="B102" s="166">
        <f>'1. LDC Info'!$F$27-5</f>
        <v>2012</v>
      </c>
      <c r="C102" s="44" t="s">
        <v>114</v>
      </c>
      <c r="D102" s="517"/>
      <c r="E102" s="533"/>
      <c r="F102" s="517"/>
      <c r="G102" s="533"/>
      <c r="H102" s="537"/>
      <c r="I102" s="533"/>
      <c r="J102" s="537"/>
      <c r="K102" s="533"/>
      <c r="L102" s="517"/>
      <c r="M102" s="534"/>
      <c r="N102" s="533"/>
      <c r="O102" s="517"/>
      <c r="P102" s="534"/>
      <c r="Q102" s="533"/>
      <c r="R102" s="535"/>
      <c r="S102" s="534"/>
      <c r="T102" s="533"/>
      <c r="U102" s="537"/>
      <c r="V102" s="534"/>
      <c r="W102" s="533"/>
      <c r="X102" s="49"/>
      <c r="Y102" s="221"/>
      <c r="Z102" s="49"/>
      <c r="AA102" s="46"/>
    </row>
    <row r="103" spans="2:27" x14ac:dyDescent="0.2">
      <c r="B103" s="166">
        <f>'1. LDC Info'!$F$27-5</f>
        <v>2012</v>
      </c>
      <c r="C103" s="44" t="s">
        <v>115</v>
      </c>
      <c r="D103" s="517"/>
      <c r="E103" s="533"/>
      <c r="F103" s="517"/>
      <c r="G103" s="533"/>
      <c r="H103" s="537"/>
      <c r="I103" s="533"/>
      <c r="J103" s="537"/>
      <c r="K103" s="533"/>
      <c r="L103" s="517"/>
      <c r="M103" s="534"/>
      <c r="N103" s="533"/>
      <c r="O103" s="517"/>
      <c r="P103" s="534"/>
      <c r="Q103" s="533"/>
      <c r="R103" s="535"/>
      <c r="S103" s="534"/>
      <c r="T103" s="533"/>
      <c r="U103" s="537"/>
      <c r="V103" s="534"/>
      <c r="W103" s="533"/>
      <c r="X103" s="49"/>
      <c r="Y103" s="221"/>
      <c r="Z103" s="49"/>
      <c r="AA103" s="46"/>
    </row>
    <row r="104" spans="2:27" x14ac:dyDescent="0.2">
      <c r="B104" s="166">
        <f>'1. LDC Info'!$F$27-5</f>
        <v>2012</v>
      </c>
      <c r="C104" s="44" t="s">
        <v>116</v>
      </c>
      <c r="D104" s="517"/>
      <c r="E104" s="533"/>
      <c r="F104" s="517"/>
      <c r="G104" s="533"/>
      <c r="H104" s="537"/>
      <c r="I104" s="533"/>
      <c r="J104" s="537"/>
      <c r="K104" s="533"/>
      <c r="L104" s="517"/>
      <c r="M104" s="534"/>
      <c r="N104" s="533"/>
      <c r="O104" s="517"/>
      <c r="P104" s="534"/>
      <c r="Q104" s="533"/>
      <c r="R104" s="535"/>
      <c r="S104" s="534"/>
      <c r="T104" s="533"/>
      <c r="U104" s="537"/>
      <c r="V104" s="534"/>
      <c r="W104" s="533"/>
      <c r="X104" s="49"/>
      <c r="Y104" s="221"/>
      <c r="Z104" s="49"/>
      <c r="AA104" s="46"/>
    </row>
    <row r="105" spans="2:27" x14ac:dyDescent="0.2">
      <c r="B105" s="166">
        <f>'1. LDC Info'!$F$27-5</f>
        <v>2012</v>
      </c>
      <c r="C105" s="44" t="s">
        <v>106</v>
      </c>
      <c r="D105" s="517"/>
      <c r="E105" s="533"/>
      <c r="F105" s="517"/>
      <c r="G105" s="533"/>
      <c r="H105" s="537"/>
      <c r="I105" s="533"/>
      <c r="J105" s="537"/>
      <c r="K105" s="533"/>
      <c r="L105" s="517"/>
      <c r="M105" s="534"/>
      <c r="N105" s="533"/>
      <c r="O105" s="517"/>
      <c r="P105" s="534"/>
      <c r="Q105" s="533"/>
      <c r="R105" s="535"/>
      <c r="S105" s="534"/>
      <c r="T105" s="533"/>
      <c r="U105" s="537"/>
      <c r="V105" s="534"/>
      <c r="W105" s="533"/>
      <c r="X105" s="49"/>
      <c r="Y105" s="221"/>
      <c r="Z105" s="49"/>
      <c r="AA105" s="46"/>
    </row>
    <row r="106" spans="2:27" x14ac:dyDescent="0.2">
      <c r="B106" s="166">
        <f>'1. LDC Info'!$F$27-5</f>
        <v>2012</v>
      </c>
      <c r="C106" s="44" t="s">
        <v>107</v>
      </c>
      <c r="D106" s="517"/>
      <c r="E106" s="533"/>
      <c r="F106" s="517"/>
      <c r="G106" s="533"/>
      <c r="H106" s="537"/>
      <c r="I106" s="533"/>
      <c r="J106" s="537"/>
      <c r="K106" s="533"/>
      <c r="L106" s="517"/>
      <c r="M106" s="534"/>
      <c r="N106" s="533"/>
      <c r="O106" s="517"/>
      <c r="P106" s="534"/>
      <c r="Q106" s="533"/>
      <c r="R106" s="535"/>
      <c r="S106" s="534"/>
      <c r="T106" s="533"/>
      <c r="U106" s="537"/>
      <c r="V106" s="534"/>
      <c r="W106" s="533"/>
      <c r="X106" s="49"/>
      <c r="Y106" s="221"/>
      <c r="Z106" s="49"/>
      <c r="AA106" s="46"/>
    </row>
    <row r="107" spans="2:27" x14ac:dyDescent="0.2">
      <c r="B107" s="166">
        <f>'1. LDC Info'!$F$27-5</f>
        <v>2012</v>
      </c>
      <c r="C107" s="44" t="s">
        <v>108</v>
      </c>
      <c r="D107" s="517"/>
      <c r="E107" s="533"/>
      <c r="F107" s="517"/>
      <c r="G107" s="533"/>
      <c r="H107" s="537"/>
      <c r="I107" s="533"/>
      <c r="J107" s="537"/>
      <c r="K107" s="533"/>
      <c r="L107" s="517"/>
      <c r="M107" s="534"/>
      <c r="N107" s="533"/>
      <c r="O107" s="517"/>
      <c r="P107" s="534"/>
      <c r="Q107" s="533"/>
      <c r="R107" s="535"/>
      <c r="S107" s="534"/>
      <c r="T107" s="533"/>
      <c r="U107" s="537"/>
      <c r="V107" s="534"/>
      <c r="W107" s="533"/>
      <c r="X107" s="49"/>
      <c r="Y107" s="221"/>
      <c r="Z107" s="49"/>
      <c r="AA107" s="46"/>
    </row>
    <row r="108" spans="2:27" x14ac:dyDescent="0.2">
      <c r="B108" s="166">
        <f>'1. LDC Info'!$F$27-5</f>
        <v>2012</v>
      </c>
      <c r="C108" s="44" t="s">
        <v>105</v>
      </c>
      <c r="D108" s="517">
        <v>29994156</v>
      </c>
      <c r="E108" s="533">
        <v>3707</v>
      </c>
      <c r="F108" s="517">
        <v>11672310</v>
      </c>
      <c r="G108" s="533">
        <v>435</v>
      </c>
      <c r="H108" s="535">
        <v>158811</v>
      </c>
      <c r="I108" s="533">
        <v>34</v>
      </c>
      <c r="J108" s="535"/>
      <c r="K108" s="533"/>
      <c r="L108" s="517">
        <v>44095781</v>
      </c>
      <c r="M108" s="534">
        <v>120379</v>
      </c>
      <c r="N108" s="533">
        <v>59</v>
      </c>
      <c r="O108" s="517">
        <v>1121260</v>
      </c>
      <c r="P108" s="534">
        <v>3100</v>
      </c>
      <c r="Q108" s="533">
        <v>1176</v>
      </c>
      <c r="R108" s="535"/>
      <c r="S108" s="534"/>
      <c r="T108" s="533"/>
      <c r="U108" s="535"/>
      <c r="V108" s="534"/>
      <c r="W108" s="533"/>
      <c r="X108" s="49"/>
      <c r="Y108" s="221"/>
      <c r="Z108" s="49"/>
      <c r="AA108" s="46"/>
    </row>
    <row r="109" spans="2:27" x14ac:dyDescent="0.2">
      <c r="B109" s="166">
        <f>'1. LDC Info'!$F$27-4</f>
        <v>2013</v>
      </c>
      <c r="C109" s="44" t="s">
        <v>109</v>
      </c>
      <c r="D109" s="535"/>
      <c r="E109" s="533"/>
      <c r="F109" s="535"/>
      <c r="G109" s="533"/>
      <c r="H109" s="537"/>
      <c r="I109" s="533"/>
      <c r="J109" s="537"/>
      <c r="K109" s="533"/>
      <c r="L109" s="517"/>
      <c r="M109" s="534"/>
      <c r="N109" s="533"/>
      <c r="O109" s="517"/>
      <c r="P109" s="534"/>
      <c r="Q109" s="533"/>
      <c r="R109" s="535"/>
      <c r="S109" s="534"/>
      <c r="T109" s="533"/>
      <c r="U109" s="537"/>
      <c r="V109" s="534"/>
      <c r="W109" s="533"/>
      <c r="X109" s="49"/>
      <c r="Y109" s="221"/>
      <c r="Z109" s="49"/>
      <c r="AA109" s="46"/>
    </row>
    <row r="110" spans="2:27" x14ac:dyDescent="0.2">
      <c r="B110" s="166">
        <f>'1. LDC Info'!$F$27-4</f>
        <v>2013</v>
      </c>
      <c r="C110" s="44" t="s">
        <v>110</v>
      </c>
      <c r="D110" s="535"/>
      <c r="E110" s="533"/>
      <c r="F110" s="535"/>
      <c r="G110" s="533"/>
      <c r="H110" s="537"/>
      <c r="I110" s="533"/>
      <c r="J110" s="537"/>
      <c r="K110" s="533"/>
      <c r="L110" s="517"/>
      <c r="M110" s="534"/>
      <c r="N110" s="533"/>
      <c r="O110" s="517"/>
      <c r="P110" s="534"/>
      <c r="Q110" s="533"/>
      <c r="R110" s="535"/>
      <c r="S110" s="534"/>
      <c r="T110" s="533"/>
      <c r="U110" s="537"/>
      <c r="V110" s="534"/>
      <c r="W110" s="533"/>
      <c r="X110" s="49"/>
      <c r="Y110" s="221"/>
      <c r="Z110" s="49"/>
      <c r="AA110" s="46"/>
    </row>
    <row r="111" spans="2:27" x14ac:dyDescent="0.2">
      <c r="B111" s="166">
        <f>'1. LDC Info'!$F$27-4</f>
        <v>2013</v>
      </c>
      <c r="C111" s="44" t="s">
        <v>111</v>
      </c>
      <c r="D111" s="535"/>
      <c r="E111" s="533"/>
      <c r="F111" s="535"/>
      <c r="G111" s="533"/>
      <c r="H111" s="537"/>
      <c r="I111" s="533"/>
      <c r="J111" s="537"/>
      <c r="K111" s="533"/>
      <c r="L111" s="517"/>
      <c r="M111" s="534"/>
      <c r="N111" s="533"/>
      <c r="O111" s="517"/>
      <c r="P111" s="534"/>
      <c r="Q111" s="533"/>
      <c r="R111" s="535"/>
      <c r="S111" s="534"/>
      <c r="T111" s="533"/>
      <c r="U111" s="537"/>
      <c r="V111" s="534"/>
      <c r="W111" s="533"/>
      <c r="X111" s="49"/>
      <c r="Y111" s="221"/>
      <c r="Z111" s="49"/>
      <c r="AA111" s="46"/>
    </row>
    <row r="112" spans="2:27" x14ac:dyDescent="0.2">
      <c r="B112" s="166">
        <f>'1. LDC Info'!$F$27-4</f>
        <v>2013</v>
      </c>
      <c r="C112" s="44" t="s">
        <v>112</v>
      </c>
      <c r="D112" s="535"/>
      <c r="E112" s="533"/>
      <c r="F112" s="535"/>
      <c r="G112" s="533"/>
      <c r="H112" s="537"/>
      <c r="I112" s="533"/>
      <c r="J112" s="537"/>
      <c r="K112" s="533"/>
      <c r="L112" s="517"/>
      <c r="M112" s="534"/>
      <c r="N112" s="533"/>
      <c r="O112" s="517"/>
      <c r="P112" s="534"/>
      <c r="Q112" s="533"/>
      <c r="R112" s="535"/>
      <c r="S112" s="534"/>
      <c r="T112" s="533"/>
      <c r="U112" s="537"/>
      <c r="V112" s="534"/>
      <c r="W112" s="533"/>
      <c r="X112" s="49"/>
      <c r="Y112" s="221"/>
      <c r="Z112" s="49"/>
      <c r="AA112" s="46"/>
    </row>
    <row r="113" spans="2:27" x14ac:dyDescent="0.2">
      <c r="B113" s="166">
        <f>'1. LDC Info'!$F$27-4</f>
        <v>2013</v>
      </c>
      <c r="C113" s="44" t="s">
        <v>113</v>
      </c>
      <c r="D113" s="535"/>
      <c r="E113" s="533"/>
      <c r="F113" s="535"/>
      <c r="G113" s="533"/>
      <c r="H113" s="537"/>
      <c r="I113" s="533"/>
      <c r="J113" s="537"/>
      <c r="K113" s="533"/>
      <c r="L113" s="517"/>
      <c r="M113" s="534"/>
      <c r="N113" s="533"/>
      <c r="O113" s="517"/>
      <c r="P113" s="534"/>
      <c r="Q113" s="533"/>
      <c r="R113" s="535"/>
      <c r="S113" s="534"/>
      <c r="T113" s="533"/>
      <c r="U113" s="537"/>
      <c r="V113" s="534"/>
      <c r="W113" s="533"/>
      <c r="X113" s="49"/>
      <c r="Y113" s="221"/>
      <c r="Z113" s="49"/>
      <c r="AA113" s="46"/>
    </row>
    <row r="114" spans="2:27" x14ac:dyDescent="0.2">
      <c r="B114" s="166">
        <f>'1. LDC Info'!$F$27-4</f>
        <v>2013</v>
      </c>
      <c r="C114" s="44" t="s">
        <v>114</v>
      </c>
      <c r="D114" s="535"/>
      <c r="E114" s="533"/>
      <c r="F114" s="535"/>
      <c r="G114" s="533"/>
      <c r="H114" s="537"/>
      <c r="I114" s="533"/>
      <c r="J114" s="537"/>
      <c r="K114" s="533"/>
      <c r="L114" s="517"/>
      <c r="M114" s="534"/>
      <c r="N114" s="533"/>
      <c r="O114" s="517"/>
      <c r="P114" s="534"/>
      <c r="Q114" s="533"/>
      <c r="R114" s="535"/>
      <c r="S114" s="534"/>
      <c r="T114" s="533"/>
      <c r="U114" s="537"/>
      <c r="V114" s="534"/>
      <c r="W114" s="533"/>
      <c r="X114" s="49"/>
      <c r="Y114" s="221"/>
      <c r="Z114" s="49"/>
      <c r="AA114" s="46"/>
    </row>
    <row r="115" spans="2:27" x14ac:dyDescent="0.2">
      <c r="B115" s="166">
        <f>'1. LDC Info'!$F$27-4</f>
        <v>2013</v>
      </c>
      <c r="C115" s="44" t="s">
        <v>115</v>
      </c>
      <c r="D115" s="535"/>
      <c r="E115" s="533"/>
      <c r="F115" s="535"/>
      <c r="G115" s="533"/>
      <c r="H115" s="537"/>
      <c r="I115" s="533"/>
      <c r="J115" s="537"/>
      <c r="K115" s="533"/>
      <c r="L115" s="517"/>
      <c r="M115" s="534"/>
      <c r="N115" s="533"/>
      <c r="O115" s="517"/>
      <c r="P115" s="534"/>
      <c r="Q115" s="533"/>
      <c r="R115" s="535"/>
      <c r="S115" s="534"/>
      <c r="T115" s="533"/>
      <c r="U115" s="537"/>
      <c r="V115" s="534"/>
      <c r="W115" s="533"/>
      <c r="X115" s="49"/>
      <c r="Y115" s="221"/>
      <c r="Z115" s="49"/>
      <c r="AA115" s="46"/>
    </row>
    <row r="116" spans="2:27" x14ac:dyDescent="0.2">
      <c r="B116" s="166">
        <f>'1. LDC Info'!$F$27-4</f>
        <v>2013</v>
      </c>
      <c r="C116" s="44" t="s">
        <v>116</v>
      </c>
      <c r="D116" s="535"/>
      <c r="E116" s="533"/>
      <c r="F116" s="535"/>
      <c r="G116" s="533"/>
      <c r="H116" s="537"/>
      <c r="I116" s="533"/>
      <c r="J116" s="537"/>
      <c r="K116" s="533"/>
      <c r="L116" s="517"/>
      <c r="M116" s="534"/>
      <c r="N116" s="533"/>
      <c r="O116" s="517"/>
      <c r="P116" s="534"/>
      <c r="Q116" s="533"/>
      <c r="R116" s="535"/>
      <c r="S116" s="534"/>
      <c r="T116" s="533"/>
      <c r="U116" s="537"/>
      <c r="V116" s="534"/>
      <c r="W116" s="533"/>
      <c r="X116" s="49"/>
      <c r="Y116" s="221"/>
      <c r="Z116" s="49"/>
      <c r="AA116" s="46"/>
    </row>
    <row r="117" spans="2:27" x14ac:dyDescent="0.2">
      <c r="B117" s="166">
        <f>'1. LDC Info'!$F$27-4</f>
        <v>2013</v>
      </c>
      <c r="C117" s="44" t="s">
        <v>106</v>
      </c>
      <c r="D117" s="535"/>
      <c r="E117" s="533"/>
      <c r="F117" s="535"/>
      <c r="G117" s="533"/>
      <c r="H117" s="537"/>
      <c r="I117" s="533"/>
      <c r="J117" s="537"/>
      <c r="K117" s="533"/>
      <c r="L117" s="517"/>
      <c r="M117" s="534"/>
      <c r="N117" s="533"/>
      <c r="O117" s="517"/>
      <c r="P117" s="534"/>
      <c r="Q117" s="533"/>
      <c r="R117" s="535"/>
      <c r="S117" s="534"/>
      <c r="T117" s="533"/>
      <c r="U117" s="537"/>
      <c r="V117" s="534"/>
      <c r="W117" s="533"/>
      <c r="X117" s="49"/>
      <c r="Y117" s="221"/>
      <c r="Z117" s="49"/>
      <c r="AA117" s="46"/>
    </row>
    <row r="118" spans="2:27" x14ac:dyDescent="0.2">
      <c r="B118" s="166">
        <f>'1. LDC Info'!$F$27-4</f>
        <v>2013</v>
      </c>
      <c r="C118" s="44" t="s">
        <v>107</v>
      </c>
      <c r="D118" s="535"/>
      <c r="E118" s="533"/>
      <c r="F118" s="535"/>
      <c r="G118" s="533"/>
      <c r="H118" s="537"/>
      <c r="I118" s="533"/>
      <c r="J118" s="537"/>
      <c r="K118" s="533"/>
      <c r="L118" s="517"/>
      <c r="M118" s="534"/>
      <c r="N118" s="533"/>
      <c r="O118" s="517"/>
      <c r="P118" s="534"/>
      <c r="Q118" s="533"/>
      <c r="R118" s="535"/>
      <c r="S118" s="534"/>
      <c r="T118" s="533"/>
      <c r="U118" s="537"/>
      <c r="V118" s="534"/>
      <c r="W118" s="533"/>
      <c r="X118" s="49"/>
      <c r="Y118" s="221"/>
      <c r="Z118" s="49"/>
      <c r="AA118" s="46"/>
    </row>
    <row r="119" spans="2:27" x14ac:dyDescent="0.2">
      <c r="B119" s="166">
        <f>'1. LDC Info'!$F$27-4</f>
        <v>2013</v>
      </c>
      <c r="C119" s="44" t="s">
        <v>108</v>
      </c>
      <c r="D119" s="535"/>
      <c r="E119" s="533"/>
      <c r="F119" s="535"/>
      <c r="G119" s="533"/>
      <c r="H119" s="537"/>
      <c r="I119" s="533"/>
      <c r="J119" s="537"/>
      <c r="K119" s="533"/>
      <c r="L119" s="517"/>
      <c r="M119" s="534"/>
      <c r="N119" s="533"/>
      <c r="O119" s="517"/>
      <c r="P119" s="534"/>
      <c r="Q119" s="533"/>
      <c r="R119" s="535"/>
      <c r="S119" s="534"/>
      <c r="T119" s="533"/>
      <c r="U119" s="537"/>
      <c r="V119" s="534"/>
      <c r="W119" s="533"/>
      <c r="X119" s="49"/>
      <c r="Y119" s="221"/>
      <c r="Z119" s="49"/>
      <c r="AA119" s="46"/>
    </row>
    <row r="120" spans="2:27" x14ac:dyDescent="0.2">
      <c r="B120" s="166">
        <f>'1. LDC Info'!$F$27-4</f>
        <v>2013</v>
      </c>
      <c r="C120" s="44" t="s">
        <v>105</v>
      </c>
      <c r="D120" s="517">
        <v>30486731</v>
      </c>
      <c r="E120" s="533">
        <v>3730</v>
      </c>
      <c r="F120" s="517">
        <v>11531242</v>
      </c>
      <c r="G120" s="533">
        <v>428</v>
      </c>
      <c r="H120" s="535">
        <v>155619</v>
      </c>
      <c r="I120" s="533">
        <v>33</v>
      </c>
      <c r="J120" s="535"/>
      <c r="K120" s="533"/>
      <c r="L120" s="517">
        <v>44119354</v>
      </c>
      <c r="M120" s="534">
        <v>115813</v>
      </c>
      <c r="N120" s="533">
        <v>62</v>
      </c>
      <c r="O120" s="517">
        <v>1118710</v>
      </c>
      <c r="P120" s="534">
        <v>3104</v>
      </c>
      <c r="Q120" s="533">
        <v>1190</v>
      </c>
      <c r="R120" s="535"/>
      <c r="S120" s="534"/>
      <c r="T120" s="533"/>
      <c r="U120" s="535"/>
      <c r="V120" s="534"/>
      <c r="W120" s="533"/>
      <c r="X120" s="49"/>
      <c r="Y120" s="221"/>
      <c r="Z120" s="49"/>
      <c r="AA120" s="46"/>
    </row>
    <row r="121" spans="2:27" x14ac:dyDescent="0.2">
      <c r="B121" s="166">
        <f>'1. LDC Info'!$F$27-3</f>
        <v>2014</v>
      </c>
      <c r="C121" s="44" t="s">
        <v>109</v>
      </c>
      <c r="D121" s="535"/>
      <c r="E121" s="533"/>
      <c r="F121" s="535"/>
      <c r="G121" s="533"/>
      <c r="H121" s="536"/>
      <c r="I121" s="533"/>
      <c r="J121" s="536"/>
      <c r="K121" s="533"/>
      <c r="L121" s="517"/>
      <c r="M121" s="534"/>
      <c r="N121" s="533"/>
      <c r="O121" s="517"/>
      <c r="P121" s="534"/>
      <c r="Q121" s="533"/>
      <c r="R121" s="535"/>
      <c r="S121" s="534"/>
      <c r="T121" s="533"/>
      <c r="U121" s="536"/>
      <c r="V121" s="534"/>
      <c r="W121" s="533"/>
      <c r="X121" s="223"/>
      <c r="Y121" s="221"/>
      <c r="Z121" s="223"/>
      <c r="AA121" s="46"/>
    </row>
    <row r="122" spans="2:27" x14ac:dyDescent="0.2">
      <c r="B122" s="166">
        <f>'1. LDC Info'!$F$27-3</f>
        <v>2014</v>
      </c>
      <c r="C122" s="44" t="s">
        <v>110</v>
      </c>
      <c r="D122" s="535"/>
      <c r="E122" s="533"/>
      <c r="F122" s="535"/>
      <c r="G122" s="533"/>
      <c r="H122" s="536"/>
      <c r="I122" s="533"/>
      <c r="J122" s="536"/>
      <c r="K122" s="533"/>
      <c r="L122" s="517"/>
      <c r="M122" s="534"/>
      <c r="N122" s="533"/>
      <c r="O122" s="517"/>
      <c r="P122" s="534"/>
      <c r="Q122" s="533"/>
      <c r="R122" s="535"/>
      <c r="S122" s="534"/>
      <c r="T122" s="533"/>
      <c r="U122" s="536"/>
      <c r="V122" s="534"/>
      <c r="W122" s="533"/>
      <c r="X122" s="223"/>
      <c r="Y122" s="221"/>
      <c r="Z122" s="223"/>
      <c r="AA122" s="46"/>
    </row>
    <row r="123" spans="2:27" x14ac:dyDescent="0.2">
      <c r="B123" s="166">
        <f>'1. LDC Info'!$F$27-3</f>
        <v>2014</v>
      </c>
      <c r="C123" s="44" t="s">
        <v>111</v>
      </c>
      <c r="D123" s="535"/>
      <c r="E123" s="533"/>
      <c r="F123" s="535"/>
      <c r="G123" s="533"/>
      <c r="H123" s="536"/>
      <c r="I123" s="533"/>
      <c r="J123" s="536"/>
      <c r="K123" s="533"/>
      <c r="L123" s="517"/>
      <c r="M123" s="534"/>
      <c r="N123" s="533"/>
      <c r="O123" s="517"/>
      <c r="P123" s="534"/>
      <c r="Q123" s="533"/>
      <c r="R123" s="535"/>
      <c r="S123" s="534"/>
      <c r="T123" s="533"/>
      <c r="U123" s="536"/>
      <c r="V123" s="534"/>
      <c r="W123" s="533"/>
      <c r="X123" s="223"/>
      <c r="Y123" s="221"/>
      <c r="Z123" s="223"/>
      <c r="AA123" s="46"/>
    </row>
    <row r="124" spans="2:27" x14ac:dyDescent="0.2">
      <c r="B124" s="166">
        <f>'1. LDC Info'!$F$27-3</f>
        <v>2014</v>
      </c>
      <c r="C124" s="44" t="s">
        <v>112</v>
      </c>
      <c r="D124" s="535"/>
      <c r="E124" s="533"/>
      <c r="F124" s="535"/>
      <c r="G124" s="533"/>
      <c r="H124" s="536"/>
      <c r="I124" s="533"/>
      <c r="J124" s="536"/>
      <c r="K124" s="533"/>
      <c r="L124" s="517"/>
      <c r="M124" s="534"/>
      <c r="N124" s="533"/>
      <c r="O124" s="517"/>
      <c r="P124" s="534"/>
      <c r="Q124" s="533"/>
      <c r="R124" s="535"/>
      <c r="S124" s="534"/>
      <c r="T124" s="533"/>
      <c r="U124" s="536"/>
      <c r="V124" s="534"/>
      <c r="W124" s="533"/>
      <c r="X124" s="223"/>
      <c r="Y124" s="221"/>
      <c r="Z124" s="223"/>
      <c r="AA124" s="46"/>
    </row>
    <row r="125" spans="2:27" x14ac:dyDescent="0.2">
      <c r="B125" s="166">
        <f>'1. LDC Info'!$F$27-3</f>
        <v>2014</v>
      </c>
      <c r="C125" s="44" t="s">
        <v>113</v>
      </c>
      <c r="D125" s="535"/>
      <c r="E125" s="533"/>
      <c r="F125" s="535"/>
      <c r="G125" s="533"/>
      <c r="H125" s="536"/>
      <c r="I125" s="533"/>
      <c r="J125" s="536"/>
      <c r="K125" s="533"/>
      <c r="L125" s="517"/>
      <c r="M125" s="534"/>
      <c r="N125" s="533"/>
      <c r="O125" s="517"/>
      <c r="P125" s="534"/>
      <c r="Q125" s="533"/>
      <c r="R125" s="535"/>
      <c r="S125" s="534"/>
      <c r="T125" s="533"/>
      <c r="U125" s="536"/>
      <c r="V125" s="534"/>
      <c r="W125" s="533"/>
      <c r="X125" s="223"/>
      <c r="Y125" s="221"/>
      <c r="Z125" s="223"/>
      <c r="AA125" s="46"/>
    </row>
    <row r="126" spans="2:27" x14ac:dyDescent="0.2">
      <c r="B126" s="166">
        <f>'1. LDC Info'!$F$27-3</f>
        <v>2014</v>
      </c>
      <c r="C126" s="44" t="s">
        <v>114</v>
      </c>
      <c r="D126" s="535"/>
      <c r="E126" s="533"/>
      <c r="F126" s="535"/>
      <c r="G126" s="533"/>
      <c r="H126" s="536"/>
      <c r="I126" s="533"/>
      <c r="J126" s="536"/>
      <c r="K126" s="533"/>
      <c r="L126" s="517"/>
      <c r="M126" s="534"/>
      <c r="N126" s="533"/>
      <c r="O126" s="517"/>
      <c r="P126" s="534"/>
      <c r="Q126" s="533"/>
      <c r="R126" s="535"/>
      <c r="S126" s="534"/>
      <c r="T126" s="533"/>
      <c r="U126" s="536"/>
      <c r="V126" s="534"/>
      <c r="W126" s="533"/>
      <c r="X126" s="223"/>
      <c r="Y126" s="221"/>
      <c r="Z126" s="223"/>
      <c r="AA126" s="46"/>
    </row>
    <row r="127" spans="2:27" x14ac:dyDescent="0.2">
      <c r="B127" s="166">
        <f>'1. LDC Info'!$F$27-3</f>
        <v>2014</v>
      </c>
      <c r="C127" s="44" t="s">
        <v>115</v>
      </c>
      <c r="D127" s="535"/>
      <c r="E127" s="533"/>
      <c r="F127" s="535"/>
      <c r="G127" s="533"/>
      <c r="H127" s="536"/>
      <c r="I127" s="533"/>
      <c r="J127" s="536"/>
      <c r="K127" s="533"/>
      <c r="L127" s="517"/>
      <c r="M127" s="534"/>
      <c r="N127" s="533"/>
      <c r="O127" s="517"/>
      <c r="P127" s="534"/>
      <c r="Q127" s="533"/>
      <c r="R127" s="535"/>
      <c r="S127" s="534"/>
      <c r="T127" s="533"/>
      <c r="U127" s="536"/>
      <c r="V127" s="534"/>
      <c r="W127" s="533"/>
      <c r="X127" s="223"/>
      <c r="Y127" s="221"/>
      <c r="Z127" s="223"/>
      <c r="AA127" s="46"/>
    </row>
    <row r="128" spans="2:27" x14ac:dyDescent="0.2">
      <c r="B128" s="166">
        <f>'1. LDC Info'!$F$27-3</f>
        <v>2014</v>
      </c>
      <c r="C128" s="44" t="s">
        <v>116</v>
      </c>
      <c r="D128" s="535"/>
      <c r="E128" s="533"/>
      <c r="F128" s="535"/>
      <c r="G128" s="533"/>
      <c r="H128" s="536"/>
      <c r="I128" s="533"/>
      <c r="J128" s="536"/>
      <c r="K128" s="533"/>
      <c r="L128" s="517"/>
      <c r="M128" s="534"/>
      <c r="N128" s="533"/>
      <c r="O128" s="517"/>
      <c r="P128" s="534"/>
      <c r="Q128" s="533"/>
      <c r="R128" s="535"/>
      <c r="S128" s="534"/>
      <c r="T128" s="533"/>
      <c r="U128" s="536"/>
      <c r="V128" s="534"/>
      <c r="W128" s="533"/>
      <c r="X128" s="223"/>
      <c r="Y128" s="221"/>
      <c r="Z128" s="223"/>
      <c r="AA128" s="46"/>
    </row>
    <row r="129" spans="2:27" x14ac:dyDescent="0.2">
      <c r="B129" s="166">
        <f>'1. LDC Info'!$F$27-3</f>
        <v>2014</v>
      </c>
      <c r="C129" s="44" t="s">
        <v>106</v>
      </c>
      <c r="D129" s="535"/>
      <c r="E129" s="533"/>
      <c r="F129" s="535"/>
      <c r="G129" s="533"/>
      <c r="H129" s="536"/>
      <c r="I129" s="533"/>
      <c r="J129" s="536"/>
      <c r="K129" s="533"/>
      <c r="L129" s="517"/>
      <c r="M129" s="534"/>
      <c r="N129" s="533"/>
      <c r="O129" s="517"/>
      <c r="P129" s="534"/>
      <c r="Q129" s="533"/>
      <c r="R129" s="535"/>
      <c r="S129" s="534"/>
      <c r="T129" s="533"/>
      <c r="U129" s="536"/>
      <c r="V129" s="534"/>
      <c r="W129" s="533"/>
      <c r="X129" s="223"/>
      <c r="Y129" s="221"/>
      <c r="Z129" s="223"/>
      <c r="AA129" s="46"/>
    </row>
    <row r="130" spans="2:27" x14ac:dyDescent="0.2">
      <c r="B130" s="166">
        <f>'1. LDC Info'!$F$27-3</f>
        <v>2014</v>
      </c>
      <c r="C130" s="44" t="s">
        <v>107</v>
      </c>
      <c r="D130" s="535"/>
      <c r="E130" s="533"/>
      <c r="F130" s="535"/>
      <c r="G130" s="533"/>
      <c r="H130" s="536"/>
      <c r="I130" s="533"/>
      <c r="J130" s="536"/>
      <c r="K130" s="533"/>
      <c r="L130" s="517"/>
      <c r="M130" s="534"/>
      <c r="N130" s="533"/>
      <c r="O130" s="517"/>
      <c r="P130" s="534"/>
      <c r="Q130" s="533"/>
      <c r="R130" s="535"/>
      <c r="S130" s="534"/>
      <c r="T130" s="533"/>
      <c r="U130" s="536"/>
      <c r="V130" s="534"/>
      <c r="W130" s="533"/>
      <c r="X130" s="223"/>
      <c r="Y130" s="221"/>
      <c r="Z130" s="223"/>
      <c r="AA130" s="46"/>
    </row>
    <row r="131" spans="2:27" x14ac:dyDescent="0.2">
      <c r="B131" s="166">
        <f>'1. LDC Info'!$F$27-3</f>
        <v>2014</v>
      </c>
      <c r="C131" s="44" t="s">
        <v>108</v>
      </c>
      <c r="D131" s="535"/>
      <c r="E131" s="533"/>
      <c r="F131" s="535"/>
      <c r="G131" s="533"/>
      <c r="H131" s="536"/>
      <c r="I131" s="533"/>
      <c r="J131" s="536"/>
      <c r="K131" s="533"/>
      <c r="L131" s="517"/>
      <c r="M131" s="534"/>
      <c r="N131" s="533"/>
      <c r="O131" s="517"/>
      <c r="P131" s="534"/>
      <c r="Q131" s="533"/>
      <c r="R131" s="535"/>
      <c r="S131" s="534"/>
      <c r="T131" s="533"/>
      <c r="U131" s="536"/>
      <c r="V131" s="534"/>
      <c r="W131" s="533"/>
      <c r="X131" s="223"/>
      <c r="Y131" s="221"/>
      <c r="Z131" s="223"/>
      <c r="AA131" s="46"/>
    </row>
    <row r="132" spans="2:27" x14ac:dyDescent="0.2">
      <c r="B132" s="166">
        <f>'1. LDC Info'!$F$27-3</f>
        <v>2014</v>
      </c>
      <c r="C132" s="44" t="s">
        <v>105</v>
      </c>
      <c r="D132" s="517">
        <v>30037011</v>
      </c>
      <c r="E132" s="533">
        <v>3760</v>
      </c>
      <c r="F132" s="517">
        <v>11294125</v>
      </c>
      <c r="G132" s="533">
        <v>428</v>
      </c>
      <c r="H132" s="535">
        <v>155019</v>
      </c>
      <c r="I132" s="533">
        <v>33</v>
      </c>
      <c r="J132" s="535"/>
      <c r="K132" s="533"/>
      <c r="L132" s="517">
        <v>43640624</v>
      </c>
      <c r="M132" s="534">
        <v>114180</v>
      </c>
      <c r="N132" s="533">
        <v>62</v>
      </c>
      <c r="O132" s="517">
        <v>1121519</v>
      </c>
      <c r="P132" s="534">
        <v>3110</v>
      </c>
      <c r="Q132" s="533">
        <v>1190</v>
      </c>
      <c r="R132" s="535"/>
      <c r="S132" s="534"/>
      <c r="T132" s="533"/>
      <c r="U132" s="535"/>
      <c r="V132" s="534"/>
      <c r="W132" s="533"/>
      <c r="X132" s="223"/>
      <c r="Y132" s="221"/>
      <c r="Z132" s="223"/>
      <c r="AA132" s="46"/>
    </row>
    <row r="133" spans="2:27" x14ac:dyDescent="0.2">
      <c r="B133" s="166">
        <f>'1. LDC Info'!$F$27-2</f>
        <v>2015</v>
      </c>
      <c r="C133" s="44" t="s">
        <v>109</v>
      </c>
      <c r="D133" s="535"/>
      <c r="E133" s="533"/>
      <c r="F133" s="535"/>
      <c r="G133" s="533"/>
      <c r="H133" s="536"/>
      <c r="I133" s="533"/>
      <c r="J133" s="536"/>
      <c r="K133" s="533"/>
      <c r="L133" s="517"/>
      <c r="M133" s="534"/>
      <c r="N133" s="533"/>
      <c r="O133" s="517"/>
      <c r="P133" s="534"/>
      <c r="Q133" s="533"/>
      <c r="R133" s="535"/>
      <c r="S133" s="534"/>
      <c r="T133" s="533"/>
      <c r="U133" s="536"/>
      <c r="V133" s="534"/>
      <c r="W133" s="533"/>
      <c r="X133" s="223"/>
      <c r="Y133" s="221"/>
      <c r="Z133" s="223"/>
      <c r="AA133" s="46"/>
    </row>
    <row r="134" spans="2:27" x14ac:dyDescent="0.2">
      <c r="B134" s="166">
        <f>'1. LDC Info'!$F$27-2</f>
        <v>2015</v>
      </c>
      <c r="C134" s="44" t="s">
        <v>110</v>
      </c>
      <c r="D134" s="535"/>
      <c r="E134" s="533"/>
      <c r="F134" s="535"/>
      <c r="G134" s="533"/>
      <c r="H134" s="536"/>
      <c r="I134" s="533"/>
      <c r="J134" s="536"/>
      <c r="K134" s="533"/>
      <c r="L134" s="517"/>
      <c r="M134" s="534"/>
      <c r="N134" s="533"/>
      <c r="O134" s="517"/>
      <c r="P134" s="534"/>
      <c r="Q134" s="533"/>
      <c r="R134" s="535"/>
      <c r="S134" s="534"/>
      <c r="T134" s="533"/>
      <c r="U134" s="536"/>
      <c r="V134" s="534"/>
      <c r="W134" s="533"/>
      <c r="X134" s="223"/>
      <c r="Y134" s="221"/>
      <c r="Z134" s="223"/>
      <c r="AA134" s="46"/>
    </row>
    <row r="135" spans="2:27" x14ac:dyDescent="0.2">
      <c r="B135" s="166">
        <f>'1. LDC Info'!$F$27-2</f>
        <v>2015</v>
      </c>
      <c r="C135" s="44" t="s">
        <v>111</v>
      </c>
      <c r="D135" s="535"/>
      <c r="E135" s="533"/>
      <c r="F135" s="535"/>
      <c r="G135" s="533"/>
      <c r="H135" s="536"/>
      <c r="I135" s="533"/>
      <c r="J135" s="536"/>
      <c r="K135" s="533"/>
      <c r="L135" s="517"/>
      <c r="M135" s="534"/>
      <c r="N135" s="533"/>
      <c r="O135" s="517"/>
      <c r="P135" s="534"/>
      <c r="Q135" s="533"/>
      <c r="R135" s="535"/>
      <c r="S135" s="534"/>
      <c r="T135" s="533"/>
      <c r="U135" s="536"/>
      <c r="V135" s="534"/>
      <c r="W135" s="533"/>
      <c r="X135" s="223"/>
      <c r="Y135" s="221"/>
      <c r="Z135" s="223"/>
      <c r="AA135" s="46"/>
    </row>
    <row r="136" spans="2:27" x14ac:dyDescent="0.2">
      <c r="B136" s="166">
        <f>'1. LDC Info'!$F$27-2</f>
        <v>2015</v>
      </c>
      <c r="C136" s="44" t="s">
        <v>112</v>
      </c>
      <c r="D136" s="535"/>
      <c r="E136" s="533"/>
      <c r="F136" s="535"/>
      <c r="G136" s="533"/>
      <c r="H136" s="536"/>
      <c r="I136" s="533"/>
      <c r="J136" s="536"/>
      <c r="K136" s="533"/>
      <c r="L136" s="517"/>
      <c r="M136" s="534"/>
      <c r="N136" s="533"/>
      <c r="O136" s="517"/>
      <c r="P136" s="534"/>
      <c r="Q136" s="533"/>
      <c r="R136" s="535"/>
      <c r="S136" s="534"/>
      <c r="T136" s="533"/>
      <c r="U136" s="536"/>
      <c r="V136" s="534"/>
      <c r="W136" s="533"/>
      <c r="X136" s="223"/>
      <c r="Y136" s="221"/>
      <c r="Z136" s="223"/>
      <c r="AA136" s="46"/>
    </row>
    <row r="137" spans="2:27" x14ac:dyDescent="0.2">
      <c r="B137" s="166">
        <f>'1. LDC Info'!$F$27-2</f>
        <v>2015</v>
      </c>
      <c r="C137" s="44" t="s">
        <v>113</v>
      </c>
      <c r="D137" s="535"/>
      <c r="E137" s="533"/>
      <c r="F137" s="535"/>
      <c r="G137" s="533"/>
      <c r="H137" s="536"/>
      <c r="I137" s="533"/>
      <c r="J137" s="536"/>
      <c r="K137" s="533"/>
      <c r="L137" s="517"/>
      <c r="M137" s="534"/>
      <c r="N137" s="533"/>
      <c r="O137" s="517"/>
      <c r="P137" s="534"/>
      <c r="Q137" s="533"/>
      <c r="R137" s="535"/>
      <c r="S137" s="534"/>
      <c r="T137" s="533"/>
      <c r="U137" s="536"/>
      <c r="V137" s="534"/>
      <c r="W137" s="533"/>
      <c r="X137" s="223"/>
      <c r="Y137" s="221"/>
      <c r="Z137" s="223"/>
      <c r="AA137" s="46"/>
    </row>
    <row r="138" spans="2:27" x14ac:dyDescent="0.2">
      <c r="B138" s="166">
        <f>'1. LDC Info'!$F$27-2</f>
        <v>2015</v>
      </c>
      <c r="C138" s="44" t="s">
        <v>114</v>
      </c>
      <c r="D138" s="535"/>
      <c r="E138" s="533"/>
      <c r="F138" s="535"/>
      <c r="G138" s="533"/>
      <c r="H138" s="536"/>
      <c r="I138" s="533"/>
      <c r="J138" s="536"/>
      <c r="K138" s="533"/>
      <c r="L138" s="517"/>
      <c r="M138" s="534"/>
      <c r="N138" s="533"/>
      <c r="O138" s="517"/>
      <c r="P138" s="534"/>
      <c r="Q138" s="533"/>
      <c r="R138" s="535"/>
      <c r="S138" s="534"/>
      <c r="T138" s="533"/>
      <c r="U138" s="536"/>
      <c r="V138" s="534"/>
      <c r="W138" s="533"/>
      <c r="X138" s="223"/>
      <c r="Y138" s="221"/>
      <c r="Z138" s="223"/>
      <c r="AA138" s="46"/>
    </row>
    <row r="139" spans="2:27" x14ac:dyDescent="0.2">
      <c r="B139" s="166">
        <f>'1. LDC Info'!$F$27-2</f>
        <v>2015</v>
      </c>
      <c r="C139" s="44" t="s">
        <v>115</v>
      </c>
      <c r="D139" s="535"/>
      <c r="E139" s="533"/>
      <c r="F139" s="535"/>
      <c r="G139" s="533"/>
      <c r="H139" s="536"/>
      <c r="I139" s="533"/>
      <c r="J139" s="536"/>
      <c r="K139" s="533"/>
      <c r="L139" s="517"/>
      <c r="M139" s="534"/>
      <c r="N139" s="533"/>
      <c r="O139" s="517"/>
      <c r="P139" s="534"/>
      <c r="Q139" s="533"/>
      <c r="R139" s="535"/>
      <c r="S139" s="534"/>
      <c r="T139" s="533"/>
      <c r="U139" s="536"/>
      <c r="V139" s="534"/>
      <c r="W139" s="533"/>
      <c r="X139" s="223"/>
      <c r="Y139" s="221"/>
      <c r="Z139" s="223"/>
      <c r="AA139" s="46"/>
    </row>
    <row r="140" spans="2:27" x14ac:dyDescent="0.2">
      <c r="B140" s="166">
        <f>'1. LDC Info'!$F$27-2</f>
        <v>2015</v>
      </c>
      <c r="C140" s="44" t="s">
        <v>116</v>
      </c>
      <c r="D140" s="535"/>
      <c r="E140" s="533"/>
      <c r="F140" s="535"/>
      <c r="G140" s="533"/>
      <c r="H140" s="536"/>
      <c r="I140" s="533"/>
      <c r="J140" s="536"/>
      <c r="K140" s="533"/>
      <c r="L140" s="517"/>
      <c r="M140" s="534"/>
      <c r="N140" s="533"/>
      <c r="O140" s="517"/>
      <c r="P140" s="534"/>
      <c r="Q140" s="533"/>
      <c r="R140" s="535"/>
      <c r="S140" s="534"/>
      <c r="T140" s="533"/>
      <c r="U140" s="536"/>
      <c r="V140" s="534"/>
      <c r="W140" s="533"/>
      <c r="X140" s="223"/>
      <c r="Y140" s="221"/>
      <c r="Z140" s="223"/>
      <c r="AA140" s="46"/>
    </row>
    <row r="141" spans="2:27" x14ac:dyDescent="0.2">
      <c r="B141" s="166">
        <f>'1. LDC Info'!$F$27-2</f>
        <v>2015</v>
      </c>
      <c r="C141" s="44" t="s">
        <v>106</v>
      </c>
      <c r="D141" s="535"/>
      <c r="E141" s="533"/>
      <c r="F141" s="535"/>
      <c r="G141" s="533"/>
      <c r="H141" s="536"/>
      <c r="I141" s="533"/>
      <c r="J141" s="536"/>
      <c r="K141" s="533"/>
      <c r="L141" s="517"/>
      <c r="M141" s="534"/>
      <c r="N141" s="533"/>
      <c r="O141" s="517"/>
      <c r="P141" s="534"/>
      <c r="Q141" s="533"/>
      <c r="R141" s="535"/>
      <c r="S141" s="534"/>
      <c r="T141" s="533"/>
      <c r="U141" s="536"/>
      <c r="V141" s="534"/>
      <c r="W141" s="533"/>
      <c r="X141" s="223"/>
      <c r="Y141" s="221"/>
      <c r="Z141" s="223"/>
      <c r="AA141" s="46"/>
    </row>
    <row r="142" spans="2:27" x14ac:dyDescent="0.2">
      <c r="B142" s="166">
        <f>'1. LDC Info'!$F$27-2</f>
        <v>2015</v>
      </c>
      <c r="C142" s="44" t="s">
        <v>107</v>
      </c>
      <c r="D142" s="535"/>
      <c r="E142" s="533"/>
      <c r="F142" s="535"/>
      <c r="G142" s="533"/>
      <c r="H142" s="536"/>
      <c r="I142" s="533"/>
      <c r="J142" s="536"/>
      <c r="K142" s="533"/>
      <c r="L142" s="517"/>
      <c r="M142" s="534"/>
      <c r="N142" s="533"/>
      <c r="O142" s="517"/>
      <c r="P142" s="534"/>
      <c r="Q142" s="533"/>
      <c r="R142" s="535"/>
      <c r="S142" s="534"/>
      <c r="T142" s="533"/>
      <c r="U142" s="536"/>
      <c r="V142" s="534"/>
      <c r="W142" s="533"/>
      <c r="X142" s="223"/>
      <c r="Y142" s="221"/>
      <c r="Z142" s="223"/>
      <c r="AA142" s="46"/>
    </row>
    <row r="143" spans="2:27" x14ac:dyDescent="0.2">
      <c r="B143" s="166">
        <f>'1. LDC Info'!$F$27-2</f>
        <v>2015</v>
      </c>
      <c r="C143" s="44" t="s">
        <v>108</v>
      </c>
      <c r="D143" s="535"/>
      <c r="E143" s="533"/>
      <c r="F143" s="535"/>
      <c r="G143" s="533"/>
      <c r="H143" s="536"/>
      <c r="I143" s="533"/>
      <c r="J143" s="536"/>
      <c r="K143" s="533"/>
      <c r="L143" s="517"/>
      <c r="M143" s="534"/>
      <c r="N143" s="533"/>
      <c r="O143" s="517"/>
      <c r="P143" s="534"/>
      <c r="Q143" s="533"/>
      <c r="R143" s="535"/>
      <c r="S143" s="534"/>
      <c r="T143" s="533"/>
      <c r="U143" s="536"/>
      <c r="V143" s="534"/>
      <c r="W143" s="533"/>
      <c r="X143" s="223"/>
      <c r="Y143" s="221"/>
      <c r="Z143" s="223"/>
      <c r="AA143" s="46"/>
    </row>
    <row r="144" spans="2:27" x14ac:dyDescent="0.2">
      <c r="B144" s="166">
        <f>'1. LDC Info'!$F$27-2</f>
        <v>2015</v>
      </c>
      <c r="C144" s="44" t="s">
        <v>105</v>
      </c>
      <c r="D144" s="517">
        <v>29589162</v>
      </c>
      <c r="E144" s="533">
        <v>3779</v>
      </c>
      <c r="F144" s="517">
        <v>10843312</v>
      </c>
      <c r="G144" s="533">
        <v>430</v>
      </c>
      <c r="H144" s="535">
        <v>155364</v>
      </c>
      <c r="I144" s="533">
        <v>33</v>
      </c>
      <c r="J144" s="535"/>
      <c r="K144" s="533"/>
      <c r="L144" s="517">
        <v>45095566</v>
      </c>
      <c r="M144" s="534">
        <v>113922</v>
      </c>
      <c r="N144" s="533">
        <v>61</v>
      </c>
      <c r="O144" s="517">
        <v>1123682</v>
      </c>
      <c r="P144" s="534">
        <v>3117</v>
      </c>
      <c r="Q144" s="533">
        <v>1190</v>
      </c>
      <c r="R144" s="535"/>
      <c r="S144" s="534"/>
      <c r="T144" s="533"/>
      <c r="U144" s="535"/>
      <c r="V144" s="534"/>
      <c r="W144" s="533"/>
      <c r="X144" s="223"/>
      <c r="Y144" s="221"/>
      <c r="Z144" s="223"/>
      <c r="AA144" s="46"/>
    </row>
    <row r="145" spans="2:27" x14ac:dyDescent="0.2">
      <c r="B145" s="166">
        <f>'1. LDC Info'!$F$27-1</f>
        <v>2016</v>
      </c>
      <c r="C145" s="44" t="s">
        <v>109</v>
      </c>
      <c r="D145" s="2"/>
      <c r="E145" s="221"/>
      <c r="F145" s="2"/>
      <c r="G145" s="221"/>
      <c r="H145" s="223"/>
      <c r="I145" s="221"/>
      <c r="J145" s="223"/>
      <c r="K145" s="221"/>
      <c r="L145" s="45"/>
      <c r="M145" s="48"/>
      <c r="N145" s="221"/>
      <c r="O145" s="45"/>
      <c r="P145" s="48"/>
      <c r="Q145" s="221"/>
      <c r="R145" s="2"/>
      <c r="S145" s="27"/>
      <c r="T145" s="221"/>
      <c r="U145" s="223"/>
      <c r="V145" s="515"/>
      <c r="W145" s="221"/>
      <c r="X145" s="223"/>
      <c r="Y145" s="221"/>
      <c r="Z145" s="223"/>
      <c r="AA145" s="46"/>
    </row>
    <row r="146" spans="2:27" x14ac:dyDescent="0.2">
      <c r="B146" s="166">
        <f>'1. LDC Info'!$F$27-1</f>
        <v>2016</v>
      </c>
      <c r="C146" s="44" t="s">
        <v>110</v>
      </c>
      <c r="D146" s="2"/>
      <c r="E146" s="221"/>
      <c r="F146" s="2"/>
      <c r="G146" s="221"/>
      <c r="H146" s="223"/>
      <c r="I146" s="221"/>
      <c r="J146" s="223"/>
      <c r="K146" s="221"/>
      <c r="L146" s="45"/>
      <c r="M146" s="48"/>
      <c r="N146" s="221"/>
      <c r="O146" s="45"/>
      <c r="P146" s="48"/>
      <c r="Q146" s="221"/>
      <c r="R146" s="2"/>
      <c r="S146" s="27"/>
      <c r="T146" s="221"/>
      <c r="U146" s="223"/>
      <c r="V146" s="515"/>
      <c r="W146" s="221"/>
      <c r="X146" s="223"/>
      <c r="Y146" s="221"/>
      <c r="Z146" s="223"/>
      <c r="AA146" s="46"/>
    </row>
    <row r="147" spans="2:27" x14ac:dyDescent="0.2">
      <c r="B147" s="166">
        <f>'1. LDC Info'!$F$27-1</f>
        <v>2016</v>
      </c>
      <c r="C147" s="44" t="s">
        <v>111</v>
      </c>
      <c r="D147" s="2"/>
      <c r="E147" s="221"/>
      <c r="F147" s="2"/>
      <c r="G147" s="221"/>
      <c r="H147" s="223"/>
      <c r="I147" s="221"/>
      <c r="J147" s="223"/>
      <c r="K147" s="221"/>
      <c r="L147" s="45"/>
      <c r="M147" s="48"/>
      <c r="N147" s="221"/>
      <c r="O147" s="45"/>
      <c r="P147" s="48"/>
      <c r="Q147" s="221"/>
      <c r="R147" s="2"/>
      <c r="S147" s="27"/>
      <c r="T147" s="221"/>
      <c r="U147" s="223"/>
      <c r="V147" s="515"/>
      <c r="W147" s="221"/>
      <c r="X147" s="223"/>
      <c r="Y147" s="221"/>
      <c r="Z147" s="223"/>
      <c r="AA147" s="46"/>
    </row>
    <row r="148" spans="2:27" x14ac:dyDescent="0.2">
      <c r="B148" s="166">
        <f>'1. LDC Info'!$F$27-1</f>
        <v>2016</v>
      </c>
      <c r="C148" s="44" t="s">
        <v>112</v>
      </c>
      <c r="D148" s="2"/>
      <c r="E148" s="221"/>
      <c r="F148" s="2"/>
      <c r="G148" s="221"/>
      <c r="H148" s="223"/>
      <c r="I148" s="221"/>
      <c r="J148" s="223"/>
      <c r="K148" s="221"/>
      <c r="L148" s="45"/>
      <c r="M148" s="48"/>
      <c r="N148" s="221"/>
      <c r="O148" s="45"/>
      <c r="P148" s="48"/>
      <c r="Q148" s="221"/>
      <c r="R148" s="2"/>
      <c r="S148" s="27"/>
      <c r="T148" s="221"/>
      <c r="U148" s="223"/>
      <c r="V148" s="515"/>
      <c r="W148" s="221"/>
      <c r="X148" s="223"/>
      <c r="Y148" s="221"/>
      <c r="Z148" s="223"/>
      <c r="AA148" s="46"/>
    </row>
    <row r="149" spans="2:27" x14ac:dyDescent="0.2">
      <c r="B149" s="166">
        <f>'1. LDC Info'!$F$27-1</f>
        <v>2016</v>
      </c>
      <c r="C149" s="44" t="s">
        <v>113</v>
      </c>
      <c r="D149" s="2"/>
      <c r="E149" s="221"/>
      <c r="F149" s="2"/>
      <c r="G149" s="221"/>
      <c r="H149" s="223"/>
      <c r="I149" s="221"/>
      <c r="J149" s="223"/>
      <c r="K149" s="221"/>
      <c r="L149" s="45"/>
      <c r="M149" s="48"/>
      <c r="N149" s="221"/>
      <c r="O149" s="45"/>
      <c r="P149" s="48"/>
      <c r="Q149" s="221"/>
      <c r="R149" s="2"/>
      <c r="S149" s="27"/>
      <c r="T149" s="221"/>
      <c r="U149" s="223"/>
      <c r="V149" s="515"/>
      <c r="W149" s="221"/>
      <c r="X149" s="223"/>
      <c r="Y149" s="221"/>
      <c r="Z149" s="223"/>
      <c r="AA149" s="46"/>
    </row>
    <row r="150" spans="2:27" x14ac:dyDescent="0.2">
      <c r="B150" s="166">
        <f>'1. LDC Info'!$F$27-1</f>
        <v>2016</v>
      </c>
      <c r="C150" s="44" t="s">
        <v>114</v>
      </c>
      <c r="D150" s="2"/>
      <c r="E150" s="221"/>
      <c r="F150" s="2"/>
      <c r="G150" s="221"/>
      <c r="H150" s="223"/>
      <c r="I150" s="221"/>
      <c r="J150" s="223"/>
      <c r="K150" s="221"/>
      <c r="L150" s="45"/>
      <c r="M150" s="48"/>
      <c r="N150" s="221"/>
      <c r="O150" s="2"/>
      <c r="P150" s="27"/>
      <c r="Q150" s="221"/>
      <c r="R150" s="2"/>
      <c r="S150" s="27"/>
      <c r="T150" s="221"/>
      <c r="U150" s="223"/>
      <c r="V150" s="515"/>
      <c r="W150" s="221"/>
      <c r="X150" s="223"/>
      <c r="Y150" s="221"/>
      <c r="Z150" s="223"/>
      <c r="AA150" s="46"/>
    </row>
    <row r="151" spans="2:27" x14ac:dyDescent="0.2">
      <c r="B151" s="166">
        <f>'1. LDC Info'!$F$27-1</f>
        <v>2016</v>
      </c>
      <c r="C151" s="44" t="s">
        <v>115</v>
      </c>
      <c r="D151" s="2"/>
      <c r="E151" s="221"/>
      <c r="F151" s="2"/>
      <c r="G151" s="221"/>
      <c r="H151" s="223"/>
      <c r="I151" s="221"/>
      <c r="J151" s="223"/>
      <c r="K151" s="221"/>
      <c r="L151" s="45"/>
      <c r="M151" s="48"/>
      <c r="N151" s="221"/>
      <c r="O151" s="2"/>
      <c r="P151" s="27"/>
      <c r="Q151" s="221"/>
      <c r="R151" s="2"/>
      <c r="S151" s="27"/>
      <c r="T151" s="221"/>
      <c r="U151" s="223"/>
      <c r="V151" s="515"/>
      <c r="W151" s="221"/>
      <c r="X151" s="223"/>
      <c r="Y151" s="221"/>
      <c r="Z151" s="223"/>
      <c r="AA151" s="46"/>
    </row>
    <row r="152" spans="2:27" x14ac:dyDescent="0.2">
      <c r="B152" s="166">
        <f>'1. LDC Info'!$F$27-1</f>
        <v>2016</v>
      </c>
      <c r="C152" s="44" t="s">
        <v>116</v>
      </c>
      <c r="D152" s="2"/>
      <c r="E152" s="221"/>
      <c r="F152" s="2"/>
      <c r="G152" s="221"/>
      <c r="H152" s="223"/>
      <c r="I152" s="221"/>
      <c r="J152" s="223"/>
      <c r="K152" s="221"/>
      <c r="L152" s="45"/>
      <c r="M152" s="48"/>
      <c r="N152" s="221"/>
      <c r="O152" s="2"/>
      <c r="P152" s="27"/>
      <c r="Q152" s="221"/>
      <c r="R152" s="2"/>
      <c r="S152" s="27"/>
      <c r="T152" s="221"/>
      <c r="U152" s="223"/>
      <c r="V152" s="515"/>
      <c r="W152" s="221"/>
      <c r="X152" s="223"/>
      <c r="Y152" s="221"/>
      <c r="Z152" s="223"/>
      <c r="AA152" s="46"/>
    </row>
    <row r="153" spans="2:27" x14ac:dyDescent="0.2">
      <c r="B153" s="166">
        <f>'1. LDC Info'!$F$27-1</f>
        <v>2016</v>
      </c>
      <c r="C153" s="44" t="s">
        <v>106</v>
      </c>
      <c r="D153" s="2"/>
      <c r="E153" s="221"/>
      <c r="F153" s="2"/>
      <c r="G153" s="221"/>
      <c r="H153" s="223"/>
      <c r="I153" s="221"/>
      <c r="J153" s="223"/>
      <c r="K153" s="221"/>
      <c r="L153" s="45"/>
      <c r="M153" s="48"/>
      <c r="N153" s="221"/>
      <c r="O153" s="2"/>
      <c r="P153" s="27"/>
      <c r="Q153" s="221"/>
      <c r="R153" s="2"/>
      <c r="S153" s="27"/>
      <c r="T153" s="221"/>
      <c r="U153" s="223"/>
      <c r="V153" s="515"/>
      <c r="W153" s="221"/>
      <c r="X153" s="223"/>
      <c r="Y153" s="221"/>
      <c r="Z153" s="223"/>
      <c r="AA153" s="46"/>
    </row>
    <row r="154" spans="2:27" x14ac:dyDescent="0.2">
      <c r="B154" s="166">
        <f>'1. LDC Info'!$F$27-1</f>
        <v>2016</v>
      </c>
      <c r="C154" s="44" t="s">
        <v>107</v>
      </c>
      <c r="D154" s="2"/>
      <c r="E154" s="221"/>
      <c r="F154" s="50"/>
      <c r="G154" s="221"/>
      <c r="H154" s="223"/>
      <c r="I154" s="221"/>
      <c r="J154" s="223"/>
      <c r="K154" s="221"/>
      <c r="L154" s="45"/>
      <c r="M154" s="48"/>
      <c r="N154" s="221"/>
      <c r="O154" s="2"/>
      <c r="P154" s="27"/>
      <c r="Q154" s="221"/>
      <c r="R154" s="2"/>
      <c r="S154" s="27"/>
      <c r="T154" s="221"/>
      <c r="U154" s="223"/>
      <c r="V154" s="515"/>
      <c r="W154" s="221"/>
      <c r="X154" s="223"/>
      <c r="Y154" s="221"/>
      <c r="Z154" s="223"/>
      <c r="AA154" s="46"/>
    </row>
    <row r="155" spans="2:27" x14ac:dyDescent="0.2">
      <c r="B155" s="166">
        <f>'1. LDC Info'!$F$27-1</f>
        <v>2016</v>
      </c>
      <c r="C155" s="44" t="s">
        <v>108</v>
      </c>
      <c r="D155" s="2"/>
      <c r="E155" s="221"/>
      <c r="F155" s="2"/>
      <c r="G155" s="221"/>
      <c r="H155" s="223"/>
      <c r="I155" s="221"/>
      <c r="J155" s="223"/>
      <c r="K155" s="221"/>
      <c r="L155" s="45"/>
      <c r="M155" s="48"/>
      <c r="N155" s="221"/>
      <c r="O155" s="2"/>
      <c r="P155" s="27"/>
      <c r="Q155" s="221"/>
      <c r="R155" s="2"/>
      <c r="S155" s="27"/>
      <c r="T155" s="221"/>
      <c r="U155" s="223"/>
      <c r="V155" s="515"/>
      <c r="W155" s="221"/>
      <c r="X155" s="223"/>
      <c r="Y155" s="221"/>
      <c r="Z155" s="223"/>
      <c r="AA155" s="46"/>
    </row>
    <row r="156" spans="2:27" x14ac:dyDescent="0.2">
      <c r="B156" s="166">
        <f>'1. LDC Info'!$F$27-1</f>
        <v>2016</v>
      </c>
      <c r="C156" s="44" t="s">
        <v>105</v>
      </c>
      <c r="D156" s="517"/>
      <c r="E156" s="221"/>
      <c r="F156" s="517"/>
      <c r="G156" s="533"/>
      <c r="H156" s="535"/>
      <c r="I156" s="221"/>
      <c r="J156" s="535"/>
      <c r="K156" s="221"/>
      <c r="L156" s="517"/>
      <c r="M156" s="534"/>
      <c r="N156" s="533"/>
      <c r="O156" s="535"/>
      <c r="P156" s="534"/>
      <c r="Q156" s="221"/>
      <c r="R156" s="535"/>
      <c r="S156" s="534"/>
      <c r="T156" s="533"/>
      <c r="U156" s="535"/>
      <c r="V156" s="534"/>
      <c r="W156" s="533"/>
      <c r="X156" s="223"/>
      <c r="Y156" s="221"/>
      <c r="Z156" s="223"/>
      <c r="AA156" s="46"/>
    </row>
    <row r="157" spans="2:27" x14ac:dyDescent="0.2">
      <c r="B157" s="166" t="str">
        <f>'1. LDC Info'!$F$27</f>
        <v>2017</v>
      </c>
      <c r="C157" s="44" t="s">
        <v>109</v>
      </c>
      <c r="D157" s="45"/>
      <c r="E157" s="221"/>
      <c r="F157" s="45"/>
      <c r="G157" s="221"/>
      <c r="H157" s="223"/>
      <c r="I157" s="221"/>
      <c r="J157" s="223"/>
      <c r="K157" s="221"/>
      <c r="L157" s="45"/>
      <c r="M157" s="48"/>
      <c r="N157" s="221"/>
      <c r="O157" s="2"/>
      <c r="P157" s="27"/>
      <c r="Q157" s="221"/>
      <c r="R157" s="45"/>
      <c r="S157" s="27"/>
      <c r="T157" s="221"/>
      <c r="U157" s="223"/>
      <c r="V157" s="515"/>
      <c r="W157" s="221"/>
      <c r="X157" s="223"/>
      <c r="Y157" s="221"/>
      <c r="Z157" s="223"/>
      <c r="AA157" s="46"/>
    </row>
    <row r="158" spans="2:27" x14ac:dyDescent="0.2">
      <c r="B158" s="166" t="str">
        <f>'1. LDC Info'!$F$27</f>
        <v>2017</v>
      </c>
      <c r="C158" s="44" t="s">
        <v>110</v>
      </c>
      <c r="D158" s="45"/>
      <c r="E158" s="46"/>
      <c r="F158" s="45"/>
      <c r="G158" s="46"/>
      <c r="H158" s="223"/>
      <c r="I158" s="221"/>
      <c r="J158" s="223"/>
      <c r="K158" s="221"/>
      <c r="L158" s="45"/>
      <c r="M158" s="48"/>
      <c r="N158" s="46"/>
      <c r="O158" s="2"/>
      <c r="P158" s="27"/>
      <c r="Q158" s="46"/>
      <c r="R158" s="45"/>
      <c r="S158" s="27"/>
      <c r="T158" s="46"/>
      <c r="U158" s="47"/>
      <c r="V158" s="515"/>
      <c r="W158" s="46"/>
      <c r="X158" s="47"/>
      <c r="Y158" s="46"/>
      <c r="Z158" s="47"/>
      <c r="AA158" s="46"/>
    </row>
    <row r="159" spans="2:27" x14ac:dyDescent="0.2">
      <c r="B159" s="166" t="str">
        <f>'1. LDC Info'!$F$27</f>
        <v>2017</v>
      </c>
      <c r="C159" s="44" t="s">
        <v>111</v>
      </c>
      <c r="D159" s="51"/>
      <c r="E159" s="46"/>
      <c r="F159" s="51"/>
      <c r="G159" s="46"/>
      <c r="H159" s="223"/>
      <c r="I159" s="221"/>
      <c r="J159" s="223"/>
      <c r="K159" s="221"/>
      <c r="L159" s="45"/>
      <c r="M159" s="48"/>
      <c r="N159" s="46"/>
      <c r="O159" s="2"/>
      <c r="P159" s="27"/>
      <c r="Q159" s="46"/>
      <c r="R159" s="51"/>
      <c r="S159" s="27"/>
      <c r="T159" s="46"/>
      <c r="U159" s="47"/>
      <c r="V159" s="515"/>
      <c r="W159" s="46"/>
      <c r="X159" s="47"/>
      <c r="Y159" s="46"/>
      <c r="Z159" s="47"/>
      <c r="AA159" s="46"/>
    </row>
    <row r="160" spans="2:27" x14ac:dyDescent="0.2">
      <c r="B160" s="166" t="str">
        <f>'1. LDC Info'!$F$27</f>
        <v>2017</v>
      </c>
      <c r="C160" s="44" t="s">
        <v>112</v>
      </c>
      <c r="D160" s="45"/>
      <c r="E160" s="46"/>
      <c r="F160" s="45"/>
      <c r="G160" s="46"/>
      <c r="H160" s="223"/>
      <c r="I160" s="221"/>
      <c r="J160" s="223"/>
      <c r="K160" s="221"/>
      <c r="L160" s="45"/>
      <c r="M160" s="48"/>
      <c r="N160" s="46"/>
      <c r="O160" s="2"/>
      <c r="P160" s="27"/>
      <c r="Q160" s="46"/>
      <c r="R160" s="45"/>
      <c r="S160" s="27"/>
      <c r="T160" s="46"/>
      <c r="U160" s="47"/>
      <c r="V160" s="515"/>
      <c r="W160" s="46"/>
      <c r="X160" s="47"/>
      <c r="Y160" s="46"/>
      <c r="Z160" s="47"/>
      <c r="AA160" s="46"/>
    </row>
    <row r="161" spans="2:27" x14ac:dyDescent="0.2">
      <c r="B161" s="166" t="str">
        <f>'1. LDC Info'!$F$27</f>
        <v>2017</v>
      </c>
      <c r="C161" s="44" t="s">
        <v>113</v>
      </c>
      <c r="D161" s="45"/>
      <c r="E161" s="46"/>
      <c r="F161" s="45"/>
      <c r="G161" s="46"/>
      <c r="H161" s="223"/>
      <c r="I161" s="221"/>
      <c r="J161" s="223"/>
      <c r="K161" s="221"/>
      <c r="L161" s="45"/>
      <c r="M161" s="48"/>
      <c r="N161" s="46"/>
      <c r="O161" s="2"/>
      <c r="P161" s="27"/>
      <c r="Q161" s="46"/>
      <c r="R161" s="45"/>
      <c r="S161" s="27"/>
      <c r="T161" s="46"/>
      <c r="U161" s="47"/>
      <c r="V161" s="515"/>
      <c r="W161" s="46"/>
      <c r="X161" s="47"/>
      <c r="Y161" s="46"/>
      <c r="Z161" s="47"/>
      <c r="AA161" s="46"/>
    </row>
    <row r="162" spans="2:27" x14ac:dyDescent="0.2">
      <c r="B162" s="166" t="str">
        <f>'1. LDC Info'!$F$27</f>
        <v>2017</v>
      </c>
      <c r="C162" s="44" t="s">
        <v>114</v>
      </c>
      <c r="D162" s="45"/>
      <c r="E162" s="46"/>
      <c r="F162" s="45"/>
      <c r="G162" s="46"/>
      <c r="H162" s="223"/>
      <c r="I162" s="221"/>
      <c r="J162" s="223"/>
      <c r="K162" s="221"/>
      <c r="L162" s="45"/>
      <c r="M162" s="48"/>
      <c r="N162" s="46"/>
      <c r="O162" s="2"/>
      <c r="P162" s="27"/>
      <c r="Q162" s="46"/>
      <c r="R162" s="45"/>
      <c r="S162" s="27"/>
      <c r="T162" s="46"/>
      <c r="U162" s="47"/>
      <c r="V162" s="515"/>
      <c r="W162" s="46"/>
      <c r="X162" s="47"/>
      <c r="Y162" s="46"/>
      <c r="Z162" s="47"/>
      <c r="AA162" s="46"/>
    </row>
    <row r="163" spans="2:27" x14ac:dyDescent="0.2">
      <c r="B163" s="166" t="str">
        <f>'1. LDC Info'!$F$27</f>
        <v>2017</v>
      </c>
      <c r="C163" s="44" t="s">
        <v>115</v>
      </c>
      <c r="D163" s="45"/>
      <c r="E163" s="46"/>
      <c r="F163" s="45"/>
      <c r="G163" s="46"/>
      <c r="H163" s="223"/>
      <c r="I163" s="221"/>
      <c r="J163" s="223"/>
      <c r="K163" s="221"/>
      <c r="L163" s="45"/>
      <c r="M163" s="48"/>
      <c r="N163" s="46"/>
      <c r="O163" s="2"/>
      <c r="P163" s="27"/>
      <c r="Q163" s="46"/>
      <c r="R163" s="45"/>
      <c r="S163" s="27"/>
      <c r="T163" s="46"/>
      <c r="U163" s="47"/>
      <c r="V163" s="515"/>
      <c r="W163" s="46"/>
      <c r="X163" s="47"/>
      <c r="Y163" s="46"/>
      <c r="Z163" s="47"/>
      <c r="AA163" s="46"/>
    </row>
    <row r="164" spans="2:27" x14ac:dyDescent="0.2">
      <c r="B164" s="166" t="str">
        <f>'1. LDC Info'!$F$27</f>
        <v>2017</v>
      </c>
      <c r="C164" s="44" t="s">
        <v>116</v>
      </c>
      <c r="D164" s="45"/>
      <c r="E164" s="46"/>
      <c r="F164" s="45"/>
      <c r="G164" s="46"/>
      <c r="H164" s="223"/>
      <c r="I164" s="221"/>
      <c r="J164" s="223"/>
      <c r="K164" s="221"/>
      <c r="L164" s="45"/>
      <c r="M164" s="48"/>
      <c r="N164" s="46"/>
      <c r="O164" s="2"/>
      <c r="P164" s="27"/>
      <c r="Q164" s="46"/>
      <c r="R164" s="45"/>
      <c r="S164" s="27"/>
      <c r="T164" s="46"/>
      <c r="U164" s="47"/>
      <c r="V164" s="515"/>
      <c r="W164" s="46"/>
      <c r="X164" s="47"/>
      <c r="Y164" s="46"/>
      <c r="Z164" s="47"/>
      <c r="AA164" s="46"/>
    </row>
    <row r="165" spans="2:27" x14ac:dyDescent="0.2">
      <c r="B165" s="166" t="str">
        <f>'1. LDC Info'!$F$27</f>
        <v>2017</v>
      </c>
      <c r="C165" s="44" t="s">
        <v>106</v>
      </c>
      <c r="D165" s="52"/>
      <c r="E165" s="46"/>
      <c r="F165" s="52"/>
      <c r="G165" s="46"/>
      <c r="H165" s="223"/>
      <c r="I165" s="221"/>
      <c r="J165" s="223"/>
      <c r="K165" s="221"/>
      <c r="L165" s="45"/>
      <c r="M165" s="48"/>
      <c r="N165" s="46"/>
      <c r="O165" s="2"/>
      <c r="P165" s="27"/>
      <c r="Q165" s="46"/>
      <c r="R165" s="52"/>
      <c r="S165" s="27"/>
      <c r="T165" s="46"/>
      <c r="U165" s="47"/>
      <c r="V165" s="515"/>
      <c r="W165" s="46"/>
      <c r="X165" s="47"/>
      <c r="Y165" s="46"/>
      <c r="Z165" s="47"/>
      <c r="AA165" s="46"/>
    </row>
    <row r="166" spans="2:27" x14ac:dyDescent="0.2">
      <c r="B166" s="166" t="str">
        <f>'1. LDC Info'!$F$27</f>
        <v>2017</v>
      </c>
      <c r="C166" s="44" t="s">
        <v>107</v>
      </c>
      <c r="D166" s="45"/>
      <c r="E166" s="46"/>
      <c r="F166" s="45"/>
      <c r="G166" s="46"/>
      <c r="H166" s="223"/>
      <c r="I166" s="221"/>
      <c r="J166" s="223"/>
      <c r="K166" s="221"/>
      <c r="L166" s="45"/>
      <c r="M166" s="48"/>
      <c r="N166" s="46"/>
      <c r="O166" s="2"/>
      <c r="P166" s="27"/>
      <c r="Q166" s="46"/>
      <c r="R166" s="45"/>
      <c r="S166" s="27"/>
      <c r="T166" s="46"/>
      <c r="U166" s="47"/>
      <c r="V166" s="515"/>
      <c r="W166" s="46"/>
      <c r="X166" s="47"/>
      <c r="Y166" s="46"/>
      <c r="Z166" s="47"/>
      <c r="AA166" s="46"/>
    </row>
    <row r="167" spans="2:27" x14ac:dyDescent="0.2">
      <c r="B167" s="166" t="str">
        <f>'1. LDC Info'!$F$27</f>
        <v>2017</v>
      </c>
      <c r="C167" s="44" t="s">
        <v>108</v>
      </c>
      <c r="D167" s="45"/>
      <c r="E167" s="46"/>
      <c r="F167" s="45"/>
      <c r="G167" s="46"/>
      <c r="H167" s="223"/>
      <c r="I167" s="221"/>
      <c r="J167" s="223"/>
      <c r="K167" s="221"/>
      <c r="L167" s="45"/>
      <c r="M167" s="48"/>
      <c r="N167" s="46"/>
      <c r="O167" s="2"/>
      <c r="P167" s="27"/>
      <c r="Q167" s="46"/>
      <c r="R167" s="45"/>
      <c r="S167" s="27"/>
      <c r="T167" s="46"/>
      <c r="U167" s="47"/>
      <c r="V167" s="515"/>
      <c r="W167" s="46"/>
      <c r="X167" s="47"/>
      <c r="Y167" s="46"/>
      <c r="Z167" s="47"/>
      <c r="AA167" s="46"/>
    </row>
    <row r="168" spans="2:27" ht="13.5" thickBot="1" x14ac:dyDescent="0.25">
      <c r="B168" s="166" t="str">
        <f>'1. LDC Info'!$F$27</f>
        <v>2017</v>
      </c>
      <c r="C168" s="44" t="s">
        <v>105</v>
      </c>
      <c r="D168" s="53"/>
      <c r="E168" s="54"/>
      <c r="F168" s="53"/>
      <c r="G168" s="54"/>
      <c r="H168" s="56"/>
      <c r="I168" s="54"/>
      <c r="J168" s="56"/>
      <c r="K168" s="54"/>
      <c r="L168" s="53"/>
      <c r="M168" s="55"/>
      <c r="N168" s="54"/>
      <c r="O168" s="144"/>
      <c r="P168" s="28"/>
      <c r="Q168" s="54"/>
      <c r="R168" s="53"/>
      <c r="S168" s="28"/>
      <c r="T168" s="54"/>
      <c r="U168" s="56"/>
      <c r="V168" s="510"/>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row>
    <row r="172" spans="2:27" x14ac:dyDescent="0.2">
      <c r="D172" s="235"/>
      <c r="E172" s="236"/>
      <c r="F172" s="235"/>
      <c r="G172" s="236"/>
      <c r="H172" s="235"/>
      <c r="I172" s="236"/>
      <c r="J172" s="236"/>
      <c r="K172" s="236"/>
      <c r="L172" s="235"/>
      <c r="M172" s="235"/>
      <c r="N172" s="236"/>
      <c r="O172" s="235"/>
      <c r="P172" s="235"/>
      <c r="Q172" s="236"/>
      <c r="R172" s="235"/>
      <c r="S172" s="235"/>
      <c r="T172" s="236"/>
    </row>
    <row r="173" spans="2:27" x14ac:dyDescent="0.2">
      <c r="D173" s="235"/>
      <c r="E173" s="236"/>
      <c r="F173" s="235"/>
      <c r="G173" s="236"/>
      <c r="H173" s="235"/>
      <c r="I173" s="236"/>
      <c r="J173" s="236"/>
      <c r="K173" s="236"/>
      <c r="L173" s="235"/>
      <c r="M173" s="235"/>
      <c r="N173" s="236"/>
      <c r="O173" s="235"/>
      <c r="P173" s="235"/>
      <c r="Q173" s="236"/>
      <c r="R173" s="235"/>
      <c r="S173" s="235"/>
      <c r="T173" s="236"/>
    </row>
    <row r="174" spans="2:27" x14ac:dyDescent="0.2">
      <c r="D174" s="235"/>
      <c r="E174" s="236"/>
      <c r="F174" s="235"/>
      <c r="G174" s="236"/>
      <c r="H174" s="235"/>
      <c r="I174" s="236"/>
      <c r="J174" s="236"/>
      <c r="K174" s="236"/>
      <c r="L174" s="235"/>
      <c r="M174" s="235"/>
      <c r="N174" s="236"/>
      <c r="O174" s="235"/>
      <c r="P174" s="235"/>
      <c r="Q174" s="236"/>
      <c r="R174" s="235"/>
      <c r="S174" s="235"/>
      <c r="T174" s="236"/>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A11" sqref="A11"/>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28" customFormat="1" x14ac:dyDescent="0.2">
      <c r="A1" s="744" t="s">
        <v>264</v>
      </c>
    </row>
    <row r="2" spans="1:23" s="528" customFormat="1" x14ac:dyDescent="0.2"/>
    <row r="3" spans="1:23" s="528" customFormat="1" x14ac:dyDescent="0.2"/>
    <row r="4" spans="1:23" s="528" customFormat="1" x14ac:dyDescent="0.2"/>
    <row r="5" spans="1:23" s="528" customFormat="1" x14ac:dyDescent="0.2"/>
    <row r="6" spans="1:23" s="528" customFormat="1" x14ac:dyDescent="0.2"/>
    <row r="7" spans="1:23" s="528" customFormat="1" x14ac:dyDescent="0.2"/>
    <row r="8" spans="1:23" s="528" customFormat="1" x14ac:dyDescent="0.2"/>
    <row r="9" spans="1:23" s="528" customFormat="1" x14ac:dyDescent="0.2"/>
    <row r="10" spans="1:23" customFormat="1" ht="12.75" customHeight="1" x14ac:dyDescent="0.2">
      <c r="B10" s="1043"/>
      <c r="C10" s="1043"/>
      <c r="D10" s="1043"/>
      <c r="E10" s="1043"/>
      <c r="F10" s="1043"/>
      <c r="G10" s="1043"/>
      <c r="H10" s="1043"/>
      <c r="I10" s="1043"/>
      <c r="J10" s="508"/>
      <c r="K10" s="508"/>
      <c r="L10" s="508"/>
      <c r="M10" s="508"/>
    </row>
    <row r="11" spans="1:23" ht="23.25" x14ac:dyDescent="0.2">
      <c r="B11" s="133" t="s">
        <v>83</v>
      </c>
    </row>
    <row r="12" spans="1:23" s="528" customFormat="1" ht="15" x14ac:dyDescent="0.2">
      <c r="B12" s="63" t="s">
        <v>62</v>
      </c>
    </row>
    <row r="13" spans="1:23" ht="14.25" x14ac:dyDescent="0.2">
      <c r="B13" s="100" t="s">
        <v>240</v>
      </c>
      <c r="C13" s="528"/>
      <c r="D13" s="528"/>
      <c r="E13" s="528"/>
      <c r="F13" s="528"/>
      <c r="G13" s="528"/>
      <c r="H13" s="528"/>
      <c r="I13" s="528"/>
      <c r="J13" s="305"/>
      <c r="K13" s="306"/>
    </row>
    <row r="14" spans="1:23" ht="13.5" customHeight="1" thickBot="1" x14ac:dyDescent="0.25">
      <c r="B14" s="133"/>
      <c r="J14" s="305"/>
      <c r="K14" s="306"/>
    </row>
    <row r="15" spans="1:23" ht="24.75" customHeight="1" thickBot="1" x14ac:dyDescent="0.25">
      <c r="B15" s="4"/>
      <c r="C15" s="1065" t="str">
        <f>'2. Customer Classes'!B14</f>
        <v>Residential</v>
      </c>
      <c r="D15" s="1066"/>
      <c r="E15" s="1065" t="str">
        <f>'2. Customer Classes'!B15</f>
        <v>General Service &lt; 50 kW</v>
      </c>
      <c r="F15" s="1066"/>
      <c r="G15" s="1065" t="str">
        <f>'2. Customer Classes'!B16</f>
        <v>Unmetered Scattered Load</v>
      </c>
      <c r="H15" s="1066"/>
      <c r="I15" s="1065">
        <f>'2. Customer Classes'!B17</f>
        <v>0</v>
      </c>
      <c r="J15" s="1066"/>
      <c r="K15" s="1065" t="str">
        <f>'2. Customer Classes'!B18</f>
        <v>General Service &gt; 50 kW - 4999 kW</v>
      </c>
      <c r="L15" s="1066"/>
      <c r="M15" s="1065" t="str">
        <f>'2. Customer Classes'!B19</f>
        <v>Streetlighting</v>
      </c>
      <c r="N15" s="1066"/>
      <c r="O15" s="1073">
        <f>'2. Customer Classes'!B20</f>
        <v>0</v>
      </c>
      <c r="P15" s="1066"/>
      <c r="Q15" s="1065">
        <f>'2. Customer Classes'!B21</f>
        <v>0</v>
      </c>
      <c r="R15" s="1066"/>
      <c r="S15" s="1070" t="str">
        <f>'2. Customer Classes'!B22</f>
        <v>other</v>
      </c>
      <c r="T15" s="1072"/>
      <c r="V15" s="1070" t="s">
        <v>159</v>
      </c>
      <c r="W15" s="1071"/>
    </row>
    <row r="16" spans="1:23" ht="39" thickBot="1" x14ac:dyDescent="0.25">
      <c r="B16" s="5" t="s">
        <v>3</v>
      </c>
      <c r="C16" s="170" t="s">
        <v>117</v>
      </c>
      <c r="D16" s="6" t="s">
        <v>5</v>
      </c>
      <c r="E16" s="170" t="s">
        <v>117</v>
      </c>
      <c r="F16" s="6" t="s">
        <v>5</v>
      </c>
      <c r="G16" s="170" t="s">
        <v>117</v>
      </c>
      <c r="H16" s="6" t="s">
        <v>5</v>
      </c>
      <c r="I16" s="170"/>
      <c r="J16" s="6"/>
      <c r="K16" s="170" t="s">
        <v>117</v>
      </c>
      <c r="L16" s="5" t="s">
        <v>5</v>
      </c>
      <c r="M16" s="170" t="s">
        <v>117</v>
      </c>
      <c r="N16" s="5" t="s">
        <v>5</v>
      </c>
      <c r="O16" s="170" t="s">
        <v>117</v>
      </c>
      <c r="P16" s="7" t="s">
        <v>5</v>
      </c>
      <c r="Q16" s="170" t="s">
        <v>117</v>
      </c>
      <c r="R16" s="6" t="s">
        <v>5</v>
      </c>
      <c r="S16" s="170" t="s">
        <v>117</v>
      </c>
      <c r="T16" s="7" t="s">
        <v>5</v>
      </c>
      <c r="V16" s="170" t="s">
        <v>169</v>
      </c>
      <c r="W16" s="7" t="s">
        <v>5</v>
      </c>
    </row>
    <row r="17" spans="2:23" x14ac:dyDescent="0.2">
      <c r="B17" s="8">
        <f>'1. LDC Info'!F25-10</f>
        <v>2006</v>
      </c>
      <c r="C17" s="200">
        <f>AVERAGE('3. Consumption by Rate Class'!E25,'3. Consumption by Rate Class'!E36)</f>
        <v>3537</v>
      </c>
      <c r="D17" s="169"/>
      <c r="E17" s="200">
        <f>AVERAGE('3. Consumption by Rate Class'!G25,'3. Consumption by Rate Class'!G36)</f>
        <v>512</v>
      </c>
      <c r="F17" s="169"/>
      <c r="G17" s="171">
        <f>AVERAGE('3. Consumption by Rate Class'!I25,'3. Consumption by Rate Class'!I36)</f>
        <v>28</v>
      </c>
      <c r="H17" s="169"/>
      <c r="I17" s="200"/>
      <c r="J17" s="169"/>
      <c r="K17" s="171">
        <f>AVERAGE('3. Consumption by Rate Class'!N25,'3. Consumption by Rate Class'!N36)</f>
        <v>62</v>
      </c>
      <c r="L17" s="169"/>
      <c r="M17" s="200">
        <f>IF(SUM('3. Consumption by Rate Class'!Q25:Q36)&gt;0,+AVERAGE('3. Consumption by Rate Class'!Q25,'3. Consumption by Rate Class'!Q36),0)</f>
        <v>1149</v>
      </c>
      <c r="N17" s="169"/>
      <c r="O17" s="200" t="e">
        <f>AVERAGE('3. Consumption by Rate Class'!T25,'3. Consumption by Rate Class'!T36)</f>
        <v>#DIV/0!</v>
      </c>
      <c r="P17" s="172"/>
      <c r="Q17" s="382"/>
      <c r="R17" s="169"/>
      <c r="S17" s="382"/>
      <c r="T17" s="169"/>
      <c r="V17" s="240" t="e">
        <f>+C17+E17+G17+I17+K17+M17+O17+Q17</f>
        <v>#DIV/0!</v>
      </c>
      <c r="W17" s="241"/>
    </row>
    <row r="18" spans="2:23" x14ac:dyDescent="0.2">
      <c r="B18" s="8">
        <f>'1. LDC Info'!F25-9</f>
        <v>2007</v>
      </c>
      <c r="C18" s="201">
        <f>AVERAGE('3. Consumption by Rate Class'!E37,'3. Consumption by Rate Class'!E48)</f>
        <v>3551</v>
      </c>
      <c r="D18" s="173">
        <f>C18/C17</f>
        <v>1.0039581566299123</v>
      </c>
      <c r="E18" s="201">
        <f>AVERAGE('3. Consumption by Rate Class'!G37,'3. Consumption by Rate Class'!G48)</f>
        <v>497</v>
      </c>
      <c r="F18" s="173">
        <f>E18/E17</f>
        <v>0.970703125</v>
      </c>
      <c r="G18" s="18">
        <f>AVERAGE('3. Consumption by Rate Class'!I37,'3. Consumption by Rate Class'!I48)</f>
        <v>29</v>
      </c>
      <c r="H18" s="173">
        <f t="shared" ref="H18:H26" si="0">G18/G17</f>
        <v>1.0357142857142858</v>
      </c>
      <c r="I18" s="200"/>
      <c r="J18" s="173"/>
      <c r="K18" s="18">
        <f>AVERAGE('3. Consumption by Rate Class'!N37,'3. Consumption by Rate Class'!N48)</f>
        <v>65</v>
      </c>
      <c r="L18" s="173">
        <f t="shared" ref="L18:L26" si="1">K18/K17</f>
        <v>1.0483870967741935</v>
      </c>
      <c r="M18" s="200">
        <f>IF(SUM('3. Consumption by Rate Class'!Q37:Q48)&gt;0,+AVERAGE('3. Consumption by Rate Class'!Q37,'3. Consumption by Rate Class'!Q48),0)</f>
        <v>1151</v>
      </c>
      <c r="N18" s="173">
        <f>IF(M18&gt;0,+M18/M17,0)</f>
        <v>1.0017406440382941</v>
      </c>
      <c r="O18" s="201" t="e">
        <f>AVERAGE('3. Consumption by Rate Class'!T37,'3. Consumption by Rate Class'!T48)</f>
        <v>#DIV/0!</v>
      </c>
      <c r="P18" s="174" t="e">
        <f>O18/O17</f>
        <v>#DIV/0!</v>
      </c>
      <c r="Q18" s="382"/>
      <c r="R18" s="173"/>
      <c r="S18" s="382"/>
      <c r="T18" s="173"/>
      <c r="V18" s="393" t="e">
        <f t="shared" ref="V18:V26" si="2">+C18+E18+G18+I18+K18+M18+O18+Q18</f>
        <v>#DIV/0!</v>
      </c>
      <c r="W18" s="239" t="e">
        <f t="shared" ref="W18:W26" si="3">V18/V17</f>
        <v>#DIV/0!</v>
      </c>
    </row>
    <row r="19" spans="2:23" x14ac:dyDescent="0.2">
      <c r="B19" s="8">
        <f>'1. LDC Info'!F25-8</f>
        <v>2008</v>
      </c>
      <c r="C19" s="201">
        <f>AVERAGE('3. Consumption by Rate Class'!E49,'3. Consumption by Rate Class'!E60)</f>
        <v>3581</v>
      </c>
      <c r="D19" s="173">
        <f t="shared" ref="D19:F26" si="4">C19/C18</f>
        <v>1.0084483244156575</v>
      </c>
      <c r="E19" s="201">
        <f>AVERAGE('3. Consumption by Rate Class'!G49,'3. Consumption by Rate Class'!G60)</f>
        <v>494</v>
      </c>
      <c r="F19" s="173">
        <f t="shared" si="4"/>
        <v>0.99396378269617702</v>
      </c>
      <c r="G19" s="18">
        <f>AVERAGE('3. Consumption by Rate Class'!I49,'3. Consumption by Rate Class'!I60)</f>
        <v>30</v>
      </c>
      <c r="H19" s="173">
        <f t="shared" si="0"/>
        <v>1.0344827586206897</v>
      </c>
      <c r="I19" s="200"/>
      <c r="J19" s="173"/>
      <c r="K19" s="18">
        <f>AVERAGE('3. Consumption by Rate Class'!N49,'3. Consumption by Rate Class'!N60)</f>
        <v>67</v>
      </c>
      <c r="L19" s="173">
        <f t="shared" si="1"/>
        <v>1.0307692307692307</v>
      </c>
      <c r="M19" s="200">
        <f>IF(SUM('3. Consumption by Rate Class'!Q49:Q60)&gt;0,+AVERAGE('3. Consumption by Rate Class'!Q49,'3. Consumption by Rate Class'!Q60),0)</f>
        <v>1158</v>
      </c>
      <c r="N19" s="173">
        <f t="shared" ref="N19:N26" si="5">IF(M19&gt;0,+M19/M18,0)</f>
        <v>1.0060816681146829</v>
      </c>
      <c r="O19" s="201" t="e">
        <f>AVERAGE('3. Consumption by Rate Class'!T49,'3. Consumption by Rate Class'!T60)</f>
        <v>#DIV/0!</v>
      </c>
      <c r="P19" s="174" t="e">
        <f t="shared" ref="P19:P26" si="6">O19/O18</f>
        <v>#DIV/0!</v>
      </c>
      <c r="Q19" s="382"/>
      <c r="R19" s="173"/>
      <c r="S19" s="382"/>
      <c r="T19" s="173"/>
      <c r="V19" s="393" t="e">
        <f t="shared" si="2"/>
        <v>#DIV/0!</v>
      </c>
      <c r="W19" s="239" t="e">
        <f t="shared" si="3"/>
        <v>#DIV/0!</v>
      </c>
    </row>
    <row r="20" spans="2:23" x14ac:dyDescent="0.2">
      <c r="B20" s="8">
        <f>'1. LDC Info'!F25-7</f>
        <v>2009</v>
      </c>
      <c r="C20" s="201">
        <f>AVERAGE('3. Consumption by Rate Class'!E61,'3. Consumption by Rate Class'!E72)</f>
        <v>3608</v>
      </c>
      <c r="D20" s="173">
        <f t="shared" si="4"/>
        <v>1.0075397933538117</v>
      </c>
      <c r="E20" s="201">
        <f>AVERAGE('3. Consumption by Rate Class'!G61,'3. Consumption by Rate Class'!G72)</f>
        <v>483</v>
      </c>
      <c r="F20" s="173">
        <f t="shared" si="4"/>
        <v>0.97773279352226716</v>
      </c>
      <c r="G20" s="18">
        <f>AVERAGE('3. Consumption by Rate Class'!I61,'3. Consumption by Rate Class'!I72)</f>
        <v>30</v>
      </c>
      <c r="H20" s="173">
        <f t="shared" si="0"/>
        <v>1</v>
      </c>
      <c r="I20" s="200"/>
      <c r="J20" s="173"/>
      <c r="K20" s="18">
        <f>AVERAGE('3. Consumption by Rate Class'!N61,'3. Consumption by Rate Class'!N72)</f>
        <v>66</v>
      </c>
      <c r="L20" s="173">
        <f t="shared" si="1"/>
        <v>0.9850746268656716</v>
      </c>
      <c r="M20" s="200">
        <f>IF(SUM('3. Consumption by Rate Class'!Q61:Q72)&gt;0,+AVERAGE('3. Consumption by Rate Class'!Q61,'3. Consumption by Rate Class'!Q72),0)</f>
        <v>1167</v>
      </c>
      <c r="N20" s="173">
        <f t="shared" si="5"/>
        <v>1.0077720207253886</v>
      </c>
      <c r="O20" s="201" t="e">
        <f>AVERAGE('3. Consumption by Rate Class'!T61,'3. Consumption by Rate Class'!T72)</f>
        <v>#DIV/0!</v>
      </c>
      <c r="P20" s="174" t="e">
        <f t="shared" si="6"/>
        <v>#DIV/0!</v>
      </c>
      <c r="Q20" s="382"/>
      <c r="R20" s="173"/>
      <c r="S20" s="382"/>
      <c r="T20" s="173"/>
      <c r="V20" s="393" t="e">
        <f t="shared" si="2"/>
        <v>#DIV/0!</v>
      </c>
      <c r="W20" s="239" t="e">
        <f t="shared" si="3"/>
        <v>#DIV/0!</v>
      </c>
    </row>
    <row r="21" spans="2:23" x14ac:dyDescent="0.2">
      <c r="B21" s="8">
        <f>'1. LDC Info'!F25-6</f>
        <v>2010</v>
      </c>
      <c r="C21" s="201">
        <f>AVERAGE('3. Consumption by Rate Class'!E73,'3. Consumption by Rate Class'!E84)</f>
        <v>3654</v>
      </c>
      <c r="D21" s="173">
        <f t="shared" si="4"/>
        <v>1.0127494456762749</v>
      </c>
      <c r="E21" s="201">
        <f>AVERAGE('3. Consumption by Rate Class'!G73,'3. Consumption by Rate Class'!G84)</f>
        <v>442</v>
      </c>
      <c r="F21" s="173">
        <f t="shared" si="4"/>
        <v>0.91511387163561075</v>
      </c>
      <c r="G21" s="18">
        <f>AVERAGE('3. Consumption by Rate Class'!I73,'3. Consumption by Rate Class'!I84)</f>
        <v>34</v>
      </c>
      <c r="H21" s="173">
        <f t="shared" si="0"/>
        <v>1.1333333333333333</v>
      </c>
      <c r="I21" s="200"/>
      <c r="J21" s="173"/>
      <c r="K21" s="18">
        <f>AVERAGE('3. Consumption by Rate Class'!N73,'3. Consumption by Rate Class'!N84)</f>
        <v>59</v>
      </c>
      <c r="L21" s="173">
        <f t="shared" si="1"/>
        <v>0.89393939393939392</v>
      </c>
      <c r="M21" s="200">
        <f>IF(SUM('3. Consumption by Rate Class'!Q73:Q84)&gt;0,+AVERAGE('3. Consumption by Rate Class'!Q73,'3. Consumption by Rate Class'!Q84),0)</f>
        <v>1174</v>
      </c>
      <c r="N21" s="173">
        <f t="shared" si="5"/>
        <v>1.0059982862039418</v>
      </c>
      <c r="O21" s="201" t="e">
        <f>AVERAGE('3. Consumption by Rate Class'!T73,'3. Consumption by Rate Class'!T84)</f>
        <v>#DIV/0!</v>
      </c>
      <c r="P21" s="174" t="e">
        <f t="shared" si="6"/>
        <v>#DIV/0!</v>
      </c>
      <c r="Q21" s="382"/>
      <c r="R21" s="173"/>
      <c r="S21" s="382"/>
      <c r="T21" s="173"/>
      <c r="V21" s="393" t="e">
        <f t="shared" si="2"/>
        <v>#DIV/0!</v>
      </c>
      <c r="W21" s="239" t="e">
        <f t="shared" si="3"/>
        <v>#DIV/0!</v>
      </c>
    </row>
    <row r="22" spans="2:23" x14ac:dyDescent="0.2">
      <c r="B22" s="8">
        <f>'1. LDC Info'!F25-5</f>
        <v>2011</v>
      </c>
      <c r="C22" s="201">
        <f>AVERAGE('3. Consumption by Rate Class'!E85,'3. Consumption by Rate Class'!E96)</f>
        <v>3687</v>
      </c>
      <c r="D22" s="173">
        <f t="shared" si="4"/>
        <v>1.0090311986863711</v>
      </c>
      <c r="E22" s="201">
        <f>AVERAGE('3. Consumption by Rate Class'!G85,'3. Consumption by Rate Class'!G96)</f>
        <v>437</v>
      </c>
      <c r="F22" s="173">
        <f t="shared" si="4"/>
        <v>0.9886877828054299</v>
      </c>
      <c r="G22" s="18">
        <f>AVERAGE('3. Consumption by Rate Class'!I85,'3. Consumption by Rate Class'!I96)</f>
        <v>34</v>
      </c>
      <c r="H22" s="173">
        <f t="shared" si="0"/>
        <v>1</v>
      </c>
      <c r="I22" s="200"/>
      <c r="J22" s="173"/>
      <c r="K22" s="18">
        <f>AVERAGE('3. Consumption by Rate Class'!N85,'3. Consumption by Rate Class'!N96)</f>
        <v>59</v>
      </c>
      <c r="L22" s="173">
        <f t="shared" si="1"/>
        <v>1</v>
      </c>
      <c r="M22" s="200">
        <f>IF(SUM('3. Consumption by Rate Class'!Q85:Q96)&gt;0,+AVERAGE('3. Consumption by Rate Class'!Q85,'3. Consumption by Rate Class'!Q96),0)</f>
        <v>1176</v>
      </c>
      <c r="N22" s="173">
        <f t="shared" si="5"/>
        <v>1.0017035775127767</v>
      </c>
      <c r="O22" s="201" t="e">
        <f>AVERAGE('3. Consumption by Rate Class'!T85,'3. Consumption by Rate Class'!T96)</f>
        <v>#DIV/0!</v>
      </c>
      <c r="P22" s="174" t="e">
        <f t="shared" si="6"/>
        <v>#DIV/0!</v>
      </c>
      <c r="Q22" s="382"/>
      <c r="R22" s="173"/>
      <c r="S22" s="382"/>
      <c r="T22" s="173"/>
      <c r="V22" s="393" t="e">
        <f t="shared" si="2"/>
        <v>#DIV/0!</v>
      </c>
      <c r="W22" s="239" t="e">
        <f t="shared" si="3"/>
        <v>#DIV/0!</v>
      </c>
    </row>
    <row r="23" spans="2:23" x14ac:dyDescent="0.2">
      <c r="B23" s="8">
        <f>'1. LDC Info'!F25-4</f>
        <v>2012</v>
      </c>
      <c r="C23" s="201">
        <f>AVERAGE('3. Consumption by Rate Class'!E97,'3. Consumption by Rate Class'!E108)</f>
        <v>3707</v>
      </c>
      <c r="D23" s="173">
        <f t="shared" si="4"/>
        <v>1.005424464334147</v>
      </c>
      <c r="E23" s="201">
        <f>AVERAGE('3. Consumption by Rate Class'!G97,'3. Consumption by Rate Class'!G108)</f>
        <v>435</v>
      </c>
      <c r="F23" s="173">
        <f t="shared" si="4"/>
        <v>0.99542334096109841</v>
      </c>
      <c r="G23" s="18">
        <f>AVERAGE('3. Consumption by Rate Class'!I97,'3. Consumption by Rate Class'!I108)</f>
        <v>34</v>
      </c>
      <c r="H23" s="173">
        <f t="shared" si="0"/>
        <v>1</v>
      </c>
      <c r="I23" s="200"/>
      <c r="J23" s="173"/>
      <c r="K23" s="18">
        <f>AVERAGE('3. Consumption by Rate Class'!N97,'3. Consumption by Rate Class'!N108)</f>
        <v>59</v>
      </c>
      <c r="L23" s="173">
        <f t="shared" si="1"/>
        <v>1</v>
      </c>
      <c r="M23" s="200">
        <f>IF(SUM('3. Consumption by Rate Class'!Q97:Q108)&gt;0,+AVERAGE('3. Consumption by Rate Class'!Q97,'3. Consumption by Rate Class'!Q108),0)</f>
        <v>1176</v>
      </c>
      <c r="N23" s="173">
        <f t="shared" si="5"/>
        <v>1</v>
      </c>
      <c r="O23" s="201" t="e">
        <f>AVERAGE('3. Consumption by Rate Class'!T97,'3. Consumption by Rate Class'!T108)</f>
        <v>#DIV/0!</v>
      </c>
      <c r="P23" s="174" t="e">
        <f t="shared" si="6"/>
        <v>#DIV/0!</v>
      </c>
      <c r="Q23" s="382"/>
      <c r="R23" s="173"/>
      <c r="S23" s="382"/>
      <c r="T23" s="173"/>
      <c r="V23" s="393" t="e">
        <f t="shared" si="2"/>
        <v>#DIV/0!</v>
      </c>
      <c r="W23" s="239" t="e">
        <f t="shared" si="3"/>
        <v>#DIV/0!</v>
      </c>
    </row>
    <row r="24" spans="2:23" x14ac:dyDescent="0.2">
      <c r="B24" s="8">
        <f>'1. LDC Info'!F25-3</f>
        <v>2013</v>
      </c>
      <c r="C24" s="201">
        <f>AVERAGE('3. Consumption by Rate Class'!E109,'3. Consumption by Rate Class'!E120)</f>
        <v>3730</v>
      </c>
      <c r="D24" s="173">
        <f t="shared" si="4"/>
        <v>1.0062044780145671</v>
      </c>
      <c r="E24" s="201">
        <f>AVERAGE('3. Consumption by Rate Class'!G109,'3. Consumption by Rate Class'!G120)</f>
        <v>428</v>
      </c>
      <c r="F24" s="173">
        <f t="shared" si="4"/>
        <v>0.98390804597701154</v>
      </c>
      <c r="G24" s="18">
        <f>AVERAGE('3. Consumption by Rate Class'!I109,'3. Consumption by Rate Class'!I120)</f>
        <v>33</v>
      </c>
      <c r="H24" s="173">
        <f t="shared" si="0"/>
        <v>0.97058823529411764</v>
      </c>
      <c r="I24" s="200"/>
      <c r="J24" s="173"/>
      <c r="K24" s="18">
        <f>AVERAGE('3. Consumption by Rate Class'!N109,'3. Consumption by Rate Class'!N120)</f>
        <v>62</v>
      </c>
      <c r="L24" s="173">
        <f t="shared" si="1"/>
        <v>1.0508474576271187</v>
      </c>
      <c r="M24" s="200">
        <f>IF(SUM('3. Consumption by Rate Class'!Q109:Q120)&gt;0,+AVERAGE('3. Consumption by Rate Class'!Q109,'3. Consumption by Rate Class'!Q120),0)</f>
        <v>1190</v>
      </c>
      <c r="N24" s="173">
        <f t="shared" si="5"/>
        <v>1.0119047619047619</v>
      </c>
      <c r="O24" s="201" t="e">
        <f>AVERAGE('3. Consumption by Rate Class'!T109,'3. Consumption by Rate Class'!T120)</f>
        <v>#DIV/0!</v>
      </c>
      <c r="P24" s="174" t="e">
        <f t="shared" si="6"/>
        <v>#DIV/0!</v>
      </c>
      <c r="Q24" s="382"/>
      <c r="R24" s="173"/>
      <c r="S24" s="382"/>
      <c r="T24" s="173"/>
      <c r="V24" s="393" t="e">
        <f t="shared" si="2"/>
        <v>#DIV/0!</v>
      </c>
      <c r="W24" s="239" t="e">
        <f t="shared" si="3"/>
        <v>#DIV/0!</v>
      </c>
    </row>
    <row r="25" spans="2:23" x14ac:dyDescent="0.2">
      <c r="B25" s="8">
        <f>'1. LDC Info'!F25-2</f>
        <v>2014</v>
      </c>
      <c r="C25" s="201">
        <f>AVERAGE('3. Consumption by Rate Class'!E121,'3. Consumption by Rate Class'!E132)</f>
        <v>3760</v>
      </c>
      <c r="D25" s="173">
        <f t="shared" si="4"/>
        <v>1.0080428954423593</v>
      </c>
      <c r="E25" s="201">
        <f>AVERAGE('3. Consumption by Rate Class'!G121,'3. Consumption by Rate Class'!G132)</f>
        <v>428</v>
      </c>
      <c r="F25" s="173">
        <f t="shared" si="4"/>
        <v>1</v>
      </c>
      <c r="G25" s="18">
        <f>AVERAGE('3. Consumption by Rate Class'!I121,'3. Consumption by Rate Class'!I132)</f>
        <v>33</v>
      </c>
      <c r="H25" s="173">
        <f t="shared" si="0"/>
        <v>1</v>
      </c>
      <c r="I25" s="200"/>
      <c r="J25" s="173"/>
      <c r="K25" s="18">
        <f>AVERAGE('3. Consumption by Rate Class'!N121,'3. Consumption by Rate Class'!N132)</f>
        <v>62</v>
      </c>
      <c r="L25" s="173">
        <f t="shared" si="1"/>
        <v>1</v>
      </c>
      <c r="M25" s="200">
        <f>IF(SUM('3. Consumption by Rate Class'!Q121:Q132)&gt;0,+AVERAGE('3. Consumption by Rate Class'!Q121,'3. Consumption by Rate Class'!Q132),0)</f>
        <v>1190</v>
      </c>
      <c r="N25" s="173">
        <f t="shared" si="5"/>
        <v>1</v>
      </c>
      <c r="O25" s="201" t="e">
        <f>AVERAGE('3. Consumption by Rate Class'!T121,'3. Consumption by Rate Class'!T132)</f>
        <v>#DIV/0!</v>
      </c>
      <c r="P25" s="174" t="e">
        <f t="shared" si="6"/>
        <v>#DIV/0!</v>
      </c>
      <c r="Q25" s="382"/>
      <c r="R25" s="173"/>
      <c r="S25" s="382"/>
      <c r="T25" s="173"/>
      <c r="V25" s="393" t="e">
        <f t="shared" si="2"/>
        <v>#DIV/0!</v>
      </c>
      <c r="W25" s="239" t="e">
        <f t="shared" si="3"/>
        <v>#DIV/0!</v>
      </c>
    </row>
    <row r="26" spans="2:23" x14ac:dyDescent="0.2">
      <c r="B26" s="8">
        <f>'1. LDC Info'!F25-1</f>
        <v>2015</v>
      </c>
      <c r="C26" s="201">
        <f>AVERAGE('3. Consumption by Rate Class'!E133,'3. Consumption by Rate Class'!E144)</f>
        <v>3779</v>
      </c>
      <c r="D26" s="173">
        <f t="shared" si="4"/>
        <v>1.0050531914893617</v>
      </c>
      <c r="E26" s="201">
        <f>AVERAGE('3. Consumption by Rate Class'!G133,'3. Consumption by Rate Class'!G144)</f>
        <v>430</v>
      </c>
      <c r="F26" s="173">
        <f t="shared" si="4"/>
        <v>1.0046728971962617</v>
      </c>
      <c r="G26" s="18">
        <f>AVERAGE('3. Consumption by Rate Class'!I133,'3. Consumption by Rate Class'!I144)</f>
        <v>33</v>
      </c>
      <c r="H26" s="173">
        <f t="shared" si="0"/>
        <v>1</v>
      </c>
      <c r="I26" s="200"/>
      <c r="J26" s="173"/>
      <c r="K26" s="18">
        <f>AVERAGE('3. Consumption by Rate Class'!N133,'3. Consumption by Rate Class'!N144)</f>
        <v>61</v>
      </c>
      <c r="L26" s="173">
        <f t="shared" si="1"/>
        <v>0.9838709677419355</v>
      </c>
      <c r="M26" s="200">
        <f>IF(SUM('3. Consumption by Rate Class'!Q132:Q144)&gt;0,+AVERAGE('3. Consumption by Rate Class'!Q133,'3. Consumption by Rate Class'!Q144),0)</f>
        <v>1190</v>
      </c>
      <c r="N26" s="173">
        <f t="shared" si="5"/>
        <v>1</v>
      </c>
      <c r="O26" s="201" t="e">
        <f>AVERAGE('3. Consumption by Rate Class'!T133,'3. Consumption by Rate Class'!T144)</f>
        <v>#DIV/0!</v>
      </c>
      <c r="P26" s="174" t="e">
        <f t="shared" si="6"/>
        <v>#DIV/0!</v>
      </c>
      <c r="Q26" s="382"/>
      <c r="R26" s="173"/>
      <c r="S26" s="382"/>
      <c r="T26" s="173"/>
      <c r="V26" s="393" t="e">
        <f t="shared" si="2"/>
        <v>#DIV/0!</v>
      </c>
      <c r="W26" s="239" t="e">
        <f t="shared" si="3"/>
        <v>#DIV/0!</v>
      </c>
    </row>
    <row r="27" spans="2:23" x14ac:dyDescent="0.2">
      <c r="B27" s="12"/>
      <c r="C27" s="289"/>
      <c r="D27" s="10"/>
      <c r="E27" s="289"/>
      <c r="F27" s="10"/>
      <c r="G27" s="13"/>
      <c r="H27" s="10"/>
      <c r="I27" s="289"/>
      <c r="J27" s="10"/>
      <c r="K27" s="13"/>
      <c r="L27" s="10"/>
      <c r="M27" s="289"/>
      <c r="N27" s="10"/>
      <c r="O27" s="289"/>
      <c r="P27" s="11"/>
      <c r="Q27" s="289"/>
      <c r="R27" s="10"/>
      <c r="S27" s="289"/>
      <c r="T27" s="10"/>
      <c r="V27" s="240"/>
      <c r="W27" s="241"/>
    </row>
    <row r="28" spans="2:23" x14ac:dyDescent="0.2">
      <c r="B28" s="14" t="s">
        <v>4</v>
      </c>
      <c r="C28" s="289"/>
      <c r="D28" s="15">
        <f>GEOMEAN(D18:D26)</f>
        <v>1.0073804930272678</v>
      </c>
      <c r="E28" s="291"/>
      <c r="F28" s="15">
        <f>GEOMEAN(F18:F26)</f>
        <v>0.98079357118763555</v>
      </c>
      <c r="G28" s="16"/>
      <c r="H28" s="15">
        <f>GEOMEAN(H18:H26)</f>
        <v>1.01842355212361</v>
      </c>
      <c r="I28" s="291"/>
      <c r="J28" s="15"/>
      <c r="K28" s="16"/>
      <c r="L28" s="15">
        <f>GEOMEAN(L18:L26)</f>
        <v>0.99819490660298449</v>
      </c>
      <c r="M28" s="291"/>
      <c r="N28" s="15">
        <f>IF(SUM(N18:N26)&gt;0,+GEOMEAN(N18:N26),0)</f>
        <v>1.0039032990236894</v>
      </c>
      <c r="O28" s="291"/>
      <c r="P28" s="17" t="e">
        <f>GEOMEAN(P18:P26)</f>
        <v>#DIV/0!</v>
      </c>
      <c r="Q28" s="291"/>
      <c r="R28" s="15"/>
      <c r="S28" s="291"/>
      <c r="T28" s="15"/>
      <c r="V28" s="240"/>
      <c r="W28" s="17" t="e">
        <f>GEOMEAN(W18:W26)</f>
        <v>#DIV/0!</v>
      </c>
    </row>
    <row r="29" spans="2:23" x14ac:dyDescent="0.2">
      <c r="B29" s="14"/>
      <c r="C29" s="289"/>
      <c r="D29" s="15"/>
      <c r="E29" s="291"/>
      <c r="F29" s="15"/>
      <c r="G29" s="16"/>
      <c r="H29" s="15"/>
      <c r="I29" s="291"/>
      <c r="J29" s="15"/>
      <c r="K29" s="16"/>
      <c r="L29" s="15"/>
      <c r="M29" s="291"/>
      <c r="N29" s="15"/>
      <c r="O29" s="291"/>
      <c r="P29" s="17"/>
      <c r="Q29" s="291"/>
      <c r="R29" s="15"/>
      <c r="S29" s="291"/>
      <c r="T29" s="15"/>
      <c r="V29" s="240"/>
      <c r="W29" s="241"/>
    </row>
    <row r="30" spans="2:23" x14ac:dyDescent="0.2">
      <c r="B30" s="9" t="str">
        <f>'1. LDC Info'!F25</f>
        <v>2016</v>
      </c>
      <c r="C30" s="734">
        <f>C26*D28</f>
        <v>3806.8908831500453</v>
      </c>
      <c r="D30" s="10" t="s">
        <v>30</v>
      </c>
      <c r="E30" s="734">
        <f>E26*F28</f>
        <v>421.7412356106833</v>
      </c>
      <c r="F30" s="19"/>
      <c r="G30" s="736">
        <f>G26*H28</f>
        <v>33.607977220079128</v>
      </c>
      <c r="H30" s="19"/>
      <c r="I30" s="201"/>
      <c r="J30" s="19"/>
      <c r="K30" s="736">
        <f>K26*L28</f>
        <v>60.889889302782052</v>
      </c>
      <c r="L30" s="19"/>
      <c r="M30" s="734">
        <f>M26*N28</f>
        <v>1194.6449258381904</v>
      </c>
      <c r="N30" s="19"/>
      <c r="O30" s="734" t="e">
        <f>O26*P28</f>
        <v>#DIV/0!</v>
      </c>
      <c r="P30" s="20"/>
      <c r="Q30" s="384"/>
      <c r="R30" s="19"/>
      <c r="S30" s="384"/>
      <c r="T30" s="742"/>
      <c r="V30" s="240" t="e">
        <f>+C30+E30+G30+I30+K30+M30+O30+Q30</f>
        <v>#DIV/0!</v>
      </c>
      <c r="W30" s="241"/>
    </row>
    <row r="31" spans="2:23" ht="13.5" thickBot="1" x14ac:dyDescent="0.25">
      <c r="B31" s="21" t="str">
        <f>'1. LDC Info'!F27</f>
        <v>2017</v>
      </c>
      <c r="C31" s="735">
        <f>C30*D28</f>
        <v>3834.9876147687037</v>
      </c>
      <c r="D31" s="22" t="s">
        <v>30</v>
      </c>
      <c r="E31" s="735">
        <f>E30*F28</f>
        <v>413.64109259168811</v>
      </c>
      <c r="F31" s="23"/>
      <c r="G31" s="737">
        <f>G30*H28</f>
        <v>34.227155540162357</v>
      </c>
      <c r="H31" s="23"/>
      <c r="I31" s="290"/>
      <c r="J31" s="23"/>
      <c r="K31" s="737">
        <f>K30*L28</f>
        <v>60.779977365656592</v>
      </c>
      <c r="L31" s="23"/>
      <c r="M31" s="735">
        <f>M30*N28</f>
        <v>1199.30798221087</v>
      </c>
      <c r="N31" s="23"/>
      <c r="O31" s="735" t="e">
        <f>O30*P28</f>
        <v>#DIV/0!</v>
      </c>
      <c r="P31" s="24"/>
      <c r="Q31" s="290"/>
      <c r="R31" s="23"/>
      <c r="S31" s="290"/>
      <c r="T31" s="743"/>
      <c r="V31" s="393" t="e">
        <f>+C31+E31+G31+I31+K31+M31+O31+Q31</f>
        <v>#DIV/0!</v>
      </c>
      <c r="W31" s="194"/>
    </row>
    <row r="32" spans="2:23" x14ac:dyDescent="0.2">
      <c r="Q32" s="528"/>
      <c r="R32" s="528"/>
      <c r="V32" s="238"/>
    </row>
    <row r="33" spans="2:23" x14ac:dyDescent="0.2">
      <c r="B33" s="177" t="s">
        <v>170</v>
      </c>
      <c r="Q33" s="528"/>
      <c r="R33" s="528"/>
      <c r="V33" s="238"/>
    </row>
    <row r="34" spans="2:23" ht="13.5" thickBot="1" x14ac:dyDescent="0.25">
      <c r="Q34" s="528"/>
      <c r="R34" s="528"/>
      <c r="V34" s="238"/>
    </row>
    <row r="35" spans="2:23" x14ac:dyDescent="0.2">
      <c r="B35" s="274" t="s">
        <v>31</v>
      </c>
      <c r="C35" s="25"/>
      <c r="D35" s="25"/>
      <c r="E35" s="25"/>
      <c r="F35" s="25"/>
      <c r="G35" s="25"/>
      <c r="H35" s="25"/>
      <c r="I35" s="25"/>
      <c r="J35" s="25"/>
      <c r="K35" s="25"/>
      <c r="L35" s="25"/>
      <c r="M35" s="25"/>
      <c r="N35" s="25"/>
      <c r="O35" s="25"/>
      <c r="P35" s="26"/>
      <c r="Q35" s="25"/>
      <c r="R35" s="25"/>
      <c r="S35" s="25"/>
      <c r="T35" s="26"/>
      <c r="V35" s="1063" t="s">
        <v>31</v>
      </c>
      <c r="W35" s="1064"/>
    </row>
    <row r="36" spans="2:23" x14ac:dyDescent="0.2">
      <c r="B36" s="168" t="str">
        <f>'1. LDC Info'!F25</f>
        <v>2016</v>
      </c>
      <c r="C36" s="292"/>
      <c r="D36" s="10">
        <f>C36/C26</f>
        <v>0</v>
      </c>
      <c r="E36" s="292"/>
      <c r="F36" s="10">
        <f>E36/E26</f>
        <v>0</v>
      </c>
      <c r="G36" s="292"/>
      <c r="H36" s="10">
        <f>G36/G26</f>
        <v>0</v>
      </c>
      <c r="I36" s="292"/>
      <c r="J36" s="173">
        <f>IF(I36&gt;0,+I36/I26,0)</f>
        <v>0</v>
      </c>
      <c r="K36" s="292"/>
      <c r="L36" s="10">
        <f>K36/K26</f>
        <v>0</v>
      </c>
      <c r="M36" s="292"/>
      <c r="N36" s="173">
        <f>IF(M36&gt;0,+M36/M26,0)</f>
        <v>0</v>
      </c>
      <c r="O36" s="292"/>
      <c r="P36" s="11" t="e">
        <f>O36/O26</f>
        <v>#DIV/0!</v>
      </c>
      <c r="Q36" s="520">
        <v>0</v>
      </c>
      <c r="R36" s="173" t="e">
        <f>Q36/Q26</f>
        <v>#DIV/0!</v>
      </c>
      <c r="S36" s="27"/>
      <c r="T36" s="11"/>
      <c r="V36" s="393">
        <f>+C36+E36+G36+I36+K36+M36+O36</f>
        <v>0</v>
      </c>
      <c r="W36" s="174" t="e">
        <f>V36/V26</f>
        <v>#DIV/0!</v>
      </c>
    </row>
    <row r="37" spans="2:23" ht="13.5" thickBot="1" x14ac:dyDescent="0.25">
      <c r="B37" s="167" t="str">
        <f>'1. LDC Info'!F27</f>
        <v>2017</v>
      </c>
      <c r="C37" s="293"/>
      <c r="D37" s="287">
        <f>IF(C37&gt;0,+C37/C36,0)</f>
        <v>0</v>
      </c>
      <c r="E37" s="293"/>
      <c r="F37" s="287">
        <f>IF(E37&gt;0,+E37/E36,0)</f>
        <v>0</v>
      </c>
      <c r="G37" s="293"/>
      <c r="H37" s="287">
        <f>IF(G37&gt;0,+G37/G36,0)</f>
        <v>0</v>
      </c>
      <c r="I37" s="293"/>
      <c r="J37" s="287">
        <f>IF(I37&gt;0,+I37/I36,0)</f>
        <v>0</v>
      </c>
      <c r="K37" s="293"/>
      <c r="L37" s="287">
        <f>IF(K37&gt;0,+K37/K36,0)</f>
        <v>0</v>
      </c>
      <c r="M37" s="293"/>
      <c r="N37" s="287">
        <f>IF(M37&gt;0,+M37/M36,0)</f>
        <v>0</v>
      </c>
      <c r="O37" s="293"/>
      <c r="P37" s="242">
        <f>IF(O37&gt;0,+O37/O36,0)</f>
        <v>0</v>
      </c>
      <c r="Q37" s="293">
        <v>0</v>
      </c>
      <c r="R37" s="287">
        <f>IF(Q37&gt;0,+Q37/Q36,0)</f>
        <v>0</v>
      </c>
      <c r="S37" s="28"/>
      <c r="T37" s="29"/>
      <c r="V37" s="394">
        <f>+C37+E37+G37+I37+K37+M37+O37</f>
        <v>0</v>
      </c>
      <c r="W37" s="242">
        <f>IF(V37&gt;0,+V37/V36,0)</f>
        <v>0</v>
      </c>
    </row>
    <row r="38" spans="2:23" x14ac:dyDescent="0.2">
      <c r="C38" s="182" t="s">
        <v>30</v>
      </c>
      <c r="V38" s="238"/>
    </row>
    <row r="39" spans="2:23" x14ac:dyDescent="0.2">
      <c r="B39" s="1" t="s">
        <v>125</v>
      </c>
      <c r="V39" s="238"/>
    </row>
    <row r="40" spans="2:23" ht="13.5" thickBot="1" x14ac:dyDescent="0.25">
      <c r="V40" s="238"/>
    </row>
    <row r="41" spans="2:23" x14ac:dyDescent="0.2">
      <c r="B41" s="1067" t="s">
        <v>154</v>
      </c>
      <c r="C41" s="1068"/>
      <c r="D41" s="1068"/>
      <c r="E41" s="1068"/>
      <c r="F41" s="1068"/>
      <c r="G41" s="1068"/>
      <c r="H41" s="1068"/>
      <c r="I41" s="1068"/>
      <c r="J41" s="1068"/>
      <c r="K41" s="1068"/>
      <c r="L41" s="1068"/>
      <c r="M41" s="1068"/>
      <c r="N41" s="1068"/>
      <c r="O41" s="1068"/>
      <c r="P41" s="1068"/>
      <c r="Q41" s="1068"/>
      <c r="R41" s="1069"/>
      <c r="V41" s="1063" t="s">
        <v>31</v>
      </c>
      <c r="W41" s="1064"/>
    </row>
    <row r="42" spans="2:23" ht="13.5" thickBot="1" x14ac:dyDescent="0.25">
      <c r="B42" s="542">
        <v>2014</v>
      </c>
      <c r="C42" s="738">
        <f>IF(C36&gt;0,+C36,C30)</f>
        <v>3806.8908831500453</v>
      </c>
      <c r="D42" s="514">
        <f>IF(D36&gt;0,+D36,D28)</f>
        <v>1.0073804930272678</v>
      </c>
      <c r="E42" s="738">
        <f>IF(E36&gt;0,+E36,E30)</f>
        <v>421.7412356106833</v>
      </c>
      <c r="F42" s="514">
        <f>IF(F36&gt;0,+F36,F28)</f>
        <v>0.98079357118763555</v>
      </c>
      <c r="G42" s="738">
        <f>IF(G36&gt;0,+G36,G30)</f>
        <v>33.607977220079128</v>
      </c>
      <c r="H42" s="514">
        <f>IF(H36&gt;0,+H36,H28)</f>
        <v>1.01842355212361</v>
      </c>
      <c r="I42" s="511">
        <f>IF(I36&gt;0,+I36,I30)</f>
        <v>0</v>
      </c>
      <c r="J42" s="514">
        <f>IF(J36&gt;0,+J36,J28)</f>
        <v>0</v>
      </c>
      <c r="K42" s="738">
        <f>IF(K36&gt;0,+K36,K30)</f>
        <v>60.889889302782052</v>
      </c>
      <c r="L42" s="514">
        <f>IF(L36&gt;0,+L36,L28)</f>
        <v>0.99819490660298449</v>
      </c>
      <c r="M42" s="738">
        <f>IF(M36&gt;0,+M36,M30)</f>
        <v>1194.6449258381904</v>
      </c>
      <c r="N42" s="514">
        <f>IF(N36&gt;0,+N36,N28)</f>
        <v>1.0039032990236894</v>
      </c>
      <c r="O42" s="738" t="e">
        <f>IF(O36&gt;0,+O36,O30)</f>
        <v>#DIV/0!</v>
      </c>
      <c r="P42" s="514" t="e">
        <f>IF(P36&gt;0,+P36,P28)</f>
        <v>#DIV/0!</v>
      </c>
      <c r="Q42" s="511">
        <f>IF(Q36&gt;0,+Q36,Q30)</f>
        <v>0</v>
      </c>
      <c r="R42" s="740" t="e">
        <f>IF(R36&gt;0,+R36,R28)</f>
        <v>#DIV/0!</v>
      </c>
      <c r="V42" s="393" t="e">
        <f>+C42+E42+G42+I42+K42+M42+O42</f>
        <v>#DIV/0!</v>
      </c>
      <c r="W42" s="255" t="e">
        <f>IF(V36&gt;1,+W36,W28)</f>
        <v>#DIV/0!</v>
      </c>
    </row>
    <row r="43" spans="2:23" ht="13.5" thickBot="1" x14ac:dyDescent="0.25">
      <c r="B43" s="219">
        <v>2015</v>
      </c>
      <c r="C43" s="739">
        <f>IF(C37&gt;0,+C37,C31)</f>
        <v>3834.9876147687037</v>
      </c>
      <c r="D43" s="222">
        <f>IF(D37&gt;0,+D37,D28)</f>
        <v>1.0073804930272678</v>
      </c>
      <c r="E43" s="739">
        <f>IF(E37&gt;0,+E37,E31)</f>
        <v>413.64109259168811</v>
      </c>
      <c r="F43" s="222">
        <f>IF(F37&gt;0,+F37,F28)</f>
        <v>0.98079357118763555</v>
      </c>
      <c r="G43" s="739">
        <f>IF(G37&gt;0,+G37,G31)</f>
        <v>34.227155540162357</v>
      </c>
      <c r="H43" s="222">
        <f>IF(H37&gt;0,+H37,H28)</f>
        <v>1.01842355212361</v>
      </c>
      <c r="I43" s="288">
        <f>IF(I37&gt;0,+I37,I31)</f>
        <v>0</v>
      </c>
      <c r="J43" s="222">
        <f>IF(J37&gt;0,+J37,J28)</f>
        <v>0</v>
      </c>
      <c r="K43" s="739">
        <f>IF(K37&gt;0,+K37,K31)</f>
        <v>60.779977365656592</v>
      </c>
      <c r="L43" s="222">
        <f>IF(L37&gt;0,+L37,L28)</f>
        <v>0.99819490660298449</v>
      </c>
      <c r="M43" s="739">
        <f>IF(M37&gt;0,+M37,M31)</f>
        <v>1199.30798221087</v>
      </c>
      <c r="N43" s="222">
        <f>IF(N37&gt;0,+N37,N28)</f>
        <v>1.0039032990236894</v>
      </c>
      <c r="O43" s="739" t="e">
        <f>IF(O37&gt;0,+O37,O31)</f>
        <v>#DIV/0!</v>
      </c>
      <c r="P43" s="222" t="e">
        <f>IF(P37&gt;0,+P37,P28)</f>
        <v>#DIV/0!</v>
      </c>
      <c r="Q43" s="288">
        <f>IF(Q37&gt;0,+Q37,Q31)</f>
        <v>0</v>
      </c>
      <c r="R43" s="741">
        <f>IF(R37&gt;0,+R37,R28)</f>
        <v>0</v>
      </c>
      <c r="V43" s="394" t="e">
        <f>+C43+E43+G43+I43+K43+M43+O43</f>
        <v>#DIV/0!</v>
      </c>
      <c r="W43" s="256" t="e">
        <f>IF(W37&gt;1,+W37,W28)</f>
        <v>#DIV/0!</v>
      </c>
    </row>
    <row r="48" spans="2:23" x14ac:dyDescent="0.2">
      <c r="C48" s="294"/>
    </row>
    <row r="49" spans="3:3" x14ac:dyDescent="0.2">
      <c r="C49" s="294"/>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topLeftCell="A31" zoomScaleNormal="100" zoomScaleSheetLayoutView="100" workbookViewId="0">
      <selection activeCell="C61" sqref="C61:N61"/>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28" customFormat="1" x14ac:dyDescent="0.2">
      <c r="A1" s="744" t="s">
        <v>264</v>
      </c>
      <c r="B1" s="58"/>
      <c r="C1" s="58"/>
      <c r="D1" s="58"/>
      <c r="E1" s="58"/>
      <c r="F1" s="58"/>
      <c r="G1" s="58"/>
      <c r="H1" s="58"/>
      <c r="I1" s="58"/>
      <c r="J1" s="58"/>
      <c r="K1" s="58"/>
      <c r="L1" s="58"/>
      <c r="M1" s="58"/>
      <c r="N1" s="58"/>
    </row>
    <row r="2" spans="1:15" s="528" customFormat="1" x14ac:dyDescent="0.2">
      <c r="B2" s="58"/>
      <c r="C2" s="58"/>
      <c r="D2" s="58"/>
      <c r="E2" s="58"/>
      <c r="F2" s="58"/>
      <c r="G2" s="58"/>
      <c r="H2" s="58"/>
      <c r="I2" s="58"/>
      <c r="J2" s="58"/>
      <c r="K2" s="58"/>
      <c r="L2" s="58"/>
      <c r="M2" s="58"/>
      <c r="N2" s="58"/>
    </row>
    <row r="3" spans="1:15" s="528" customFormat="1" x14ac:dyDescent="0.2">
      <c r="B3" s="58"/>
      <c r="C3" s="58"/>
      <c r="D3" s="58"/>
      <c r="E3" s="58"/>
      <c r="F3" s="58"/>
      <c r="G3" s="58"/>
      <c r="H3" s="58"/>
      <c r="I3" s="58"/>
      <c r="J3" s="58"/>
      <c r="K3" s="58"/>
      <c r="L3" s="58"/>
      <c r="M3" s="58"/>
      <c r="N3" s="58"/>
    </row>
    <row r="4" spans="1:15" s="528" customFormat="1" x14ac:dyDescent="0.2">
      <c r="B4" s="58"/>
      <c r="C4" s="58"/>
      <c r="D4" s="58"/>
      <c r="E4" s="58"/>
      <c r="F4" s="58"/>
      <c r="G4" s="58"/>
      <c r="H4" s="58"/>
      <c r="I4" s="58"/>
      <c r="J4" s="58"/>
      <c r="K4" s="58"/>
      <c r="L4" s="58"/>
      <c r="M4" s="58"/>
      <c r="N4" s="58"/>
    </row>
    <row r="5" spans="1:15" s="528" customFormat="1" x14ac:dyDescent="0.2">
      <c r="B5" s="58"/>
      <c r="C5" s="58"/>
      <c r="D5" s="58"/>
      <c r="E5" s="58"/>
      <c r="F5" s="58"/>
      <c r="G5" s="58"/>
      <c r="H5" s="58"/>
      <c r="I5" s="58"/>
      <c r="J5" s="58"/>
      <c r="K5" s="58"/>
      <c r="L5" s="58"/>
      <c r="M5" s="58"/>
      <c r="N5" s="58"/>
    </row>
    <row r="6" spans="1:15" s="528" customFormat="1" x14ac:dyDescent="0.2">
      <c r="B6" s="58"/>
      <c r="C6" s="58"/>
      <c r="D6" s="58"/>
      <c r="E6" s="58"/>
      <c r="F6" s="58"/>
      <c r="G6" s="58"/>
      <c r="H6" s="58"/>
      <c r="I6" s="58"/>
      <c r="J6" s="58"/>
      <c r="K6" s="58"/>
      <c r="L6" s="58"/>
      <c r="M6" s="58"/>
      <c r="N6" s="58"/>
    </row>
    <row r="7" spans="1:15" s="528" customFormat="1" x14ac:dyDescent="0.2">
      <c r="B7" s="58"/>
      <c r="C7" s="58"/>
      <c r="D7" s="58"/>
      <c r="E7" s="58"/>
      <c r="F7" s="58"/>
      <c r="G7" s="58"/>
      <c r="H7" s="58"/>
      <c r="I7" s="58"/>
      <c r="J7" s="58"/>
      <c r="K7" s="58"/>
      <c r="L7" s="58"/>
      <c r="M7" s="58"/>
      <c r="N7" s="58"/>
    </row>
    <row r="8" spans="1:15" s="528" customFormat="1" x14ac:dyDescent="0.2">
      <c r="B8" s="58"/>
      <c r="C8" s="58"/>
      <c r="D8" s="58"/>
      <c r="E8" s="58"/>
      <c r="F8" s="58"/>
      <c r="G8" s="58"/>
      <c r="H8" s="58"/>
      <c r="I8" s="58"/>
      <c r="J8" s="58"/>
      <c r="K8" s="58"/>
      <c r="L8" s="58"/>
      <c r="M8" s="58"/>
      <c r="N8" s="58"/>
    </row>
    <row r="9" spans="1:15" s="528" customFormat="1" x14ac:dyDescent="0.2">
      <c r="B9" s="58"/>
      <c r="C9" s="58"/>
      <c r="D9" s="58"/>
      <c r="E9" s="58"/>
      <c r="F9" s="58"/>
      <c r="G9" s="58"/>
      <c r="H9" s="58"/>
      <c r="I9" s="58"/>
      <c r="J9" s="58"/>
      <c r="K9" s="58"/>
      <c r="L9" s="58"/>
      <c r="M9" s="58"/>
      <c r="N9" s="58"/>
    </row>
    <row r="10" spans="1:15" x14ac:dyDescent="0.2">
      <c r="A10" s="244"/>
      <c r="B10" s="245"/>
      <c r="C10" s="245"/>
      <c r="D10" s="245"/>
      <c r="E10" s="245"/>
      <c r="F10" s="245"/>
      <c r="G10" s="245"/>
      <c r="H10" s="245"/>
      <c r="I10" s="245"/>
      <c r="J10" s="245"/>
      <c r="K10" s="245"/>
      <c r="L10" s="245"/>
      <c r="M10" s="245"/>
      <c r="N10" s="245"/>
      <c r="O10" s="244"/>
    </row>
    <row r="11" spans="1:15" ht="23.25" x14ac:dyDescent="0.35">
      <c r="A11" s="244"/>
      <c r="B11" s="246" t="s">
        <v>144</v>
      </c>
      <c r="C11" s="245"/>
      <c r="D11" s="245"/>
      <c r="E11" s="245"/>
      <c r="F11" s="245"/>
      <c r="G11" s="245"/>
      <c r="H11" s="245"/>
      <c r="I11" s="245"/>
      <c r="J11" s="245"/>
      <c r="K11" s="245"/>
      <c r="L11" s="245"/>
      <c r="M11" s="244"/>
      <c r="N11" s="1"/>
    </row>
    <row r="12" spans="1:15" ht="15" x14ac:dyDescent="0.2">
      <c r="A12" s="244"/>
      <c r="B12" s="63" t="s">
        <v>62</v>
      </c>
      <c r="C12" s="245"/>
      <c r="D12" s="245"/>
      <c r="E12" s="245"/>
      <c r="F12" s="245"/>
      <c r="G12" s="245"/>
      <c r="H12" s="245"/>
      <c r="I12" s="245"/>
      <c r="J12" s="245"/>
      <c r="K12" s="245"/>
      <c r="L12" s="245"/>
      <c r="M12" s="245"/>
      <c r="N12" s="245"/>
      <c r="O12" s="244"/>
    </row>
    <row r="13" spans="1:15" ht="14.25" x14ac:dyDescent="0.2">
      <c r="A13" s="244"/>
      <c r="B13" s="100" t="s">
        <v>241</v>
      </c>
      <c r="C13" s="245"/>
      <c r="D13" s="245"/>
      <c r="E13" s="245"/>
      <c r="F13" s="245"/>
      <c r="G13" s="245"/>
      <c r="H13" s="245"/>
      <c r="I13" s="245"/>
      <c r="J13" s="245"/>
      <c r="K13" s="245"/>
      <c r="L13" s="245"/>
      <c r="M13" s="245"/>
      <c r="N13" s="245"/>
      <c r="O13" s="244"/>
    </row>
    <row r="14" spans="1:15" ht="14.25" x14ac:dyDescent="0.2">
      <c r="A14" s="244"/>
      <c r="B14" s="732" t="s">
        <v>242</v>
      </c>
      <c r="C14" s="245"/>
      <c r="D14" s="245"/>
      <c r="E14" s="245"/>
      <c r="F14" s="245"/>
      <c r="G14" s="245"/>
      <c r="H14" s="245"/>
      <c r="I14" s="245"/>
      <c r="J14" s="245"/>
      <c r="K14" s="245"/>
      <c r="L14" s="245"/>
      <c r="M14" s="245"/>
      <c r="N14" s="245"/>
      <c r="O14" s="244"/>
    </row>
    <row r="15" spans="1:15" x14ac:dyDescent="0.2">
      <c r="A15" s="244"/>
      <c r="B15" s="245"/>
      <c r="C15" s="245"/>
      <c r="D15" s="245"/>
      <c r="E15" s="245"/>
      <c r="F15" s="245"/>
      <c r="G15" s="245"/>
      <c r="H15" s="245"/>
      <c r="I15" s="245"/>
      <c r="J15" s="245"/>
      <c r="K15" s="245"/>
      <c r="L15" s="245"/>
      <c r="M15" s="245"/>
      <c r="N15" s="245"/>
      <c r="O15" s="244"/>
    </row>
    <row r="16" spans="1:15" x14ac:dyDescent="0.2">
      <c r="A16" s="244"/>
      <c r="B16" s="243" t="s">
        <v>1</v>
      </c>
      <c r="C16" s="248" t="s">
        <v>132</v>
      </c>
      <c r="D16" s="248" t="s">
        <v>133</v>
      </c>
      <c r="E16" s="248" t="s">
        <v>134</v>
      </c>
      <c r="F16" s="248" t="s">
        <v>135</v>
      </c>
      <c r="G16" s="248" t="s">
        <v>113</v>
      </c>
      <c r="H16" s="248" t="s">
        <v>136</v>
      </c>
      <c r="I16" s="248" t="s">
        <v>137</v>
      </c>
      <c r="J16" s="248" t="s">
        <v>138</v>
      </c>
      <c r="K16" s="248" t="s">
        <v>139</v>
      </c>
      <c r="L16" s="248" t="s">
        <v>142</v>
      </c>
      <c r="M16" s="248" t="s">
        <v>140</v>
      </c>
      <c r="N16" s="248" t="s">
        <v>141</v>
      </c>
      <c r="O16" s="244"/>
    </row>
    <row r="17" spans="1:26" x14ac:dyDescent="0.2">
      <c r="A17" s="247"/>
      <c r="B17" s="249" t="s">
        <v>478</v>
      </c>
      <c r="C17" s="522">
        <v>920.10000000000014</v>
      </c>
      <c r="D17" s="522">
        <v>783.29999999999984</v>
      </c>
      <c r="E17" s="522">
        <v>656.2</v>
      </c>
      <c r="F17" s="522">
        <v>418.40000000000015</v>
      </c>
      <c r="G17" s="522">
        <v>187.9</v>
      </c>
      <c r="H17" s="522">
        <v>20.900000000000002</v>
      </c>
      <c r="I17" s="522">
        <v>1.6</v>
      </c>
      <c r="J17" s="522">
        <v>13.7</v>
      </c>
      <c r="K17" s="522">
        <v>83.8</v>
      </c>
      <c r="L17" s="522">
        <v>314.2</v>
      </c>
      <c r="M17" s="522">
        <v>575.19999999999993</v>
      </c>
      <c r="N17" s="522">
        <v>634.70000000000005</v>
      </c>
      <c r="O17" s="244"/>
    </row>
    <row r="18" spans="1:26" ht="12" customHeight="1" x14ac:dyDescent="0.2">
      <c r="A18" s="244"/>
      <c r="B18" s="249">
        <f>'1. LDC Info'!F27-20</f>
        <v>1997</v>
      </c>
      <c r="C18" s="522">
        <v>923</v>
      </c>
      <c r="D18" s="522">
        <v>736.40000000000009</v>
      </c>
      <c r="E18" s="522">
        <v>678.30000000000007</v>
      </c>
      <c r="F18" s="522">
        <v>378.59999999999991</v>
      </c>
      <c r="G18" s="522">
        <v>240.5</v>
      </c>
      <c r="H18" s="522">
        <v>11.700000000000001</v>
      </c>
      <c r="I18" s="522">
        <v>10.499999999999998</v>
      </c>
      <c r="J18" s="522">
        <v>14.299999999999999</v>
      </c>
      <c r="K18" s="522">
        <v>120.60000000000001</v>
      </c>
      <c r="L18" s="522">
        <v>334.19999999999993</v>
      </c>
      <c r="M18" s="522">
        <v>552.69999999999993</v>
      </c>
      <c r="N18" s="522">
        <v>754.89999999999986</v>
      </c>
      <c r="O18" s="244"/>
    </row>
    <row r="19" spans="1:26" ht="12" customHeight="1" x14ac:dyDescent="0.2">
      <c r="A19" s="244"/>
      <c r="B19" s="249">
        <f>'1. LDC Info'!F27-19</f>
        <v>1998</v>
      </c>
      <c r="C19" s="522">
        <v>801.59999999999991</v>
      </c>
      <c r="D19" s="522">
        <v>609.79999999999995</v>
      </c>
      <c r="E19" s="522">
        <v>575.79999999999995</v>
      </c>
      <c r="F19" s="522">
        <v>285.89999999999992</v>
      </c>
      <c r="G19" s="522">
        <v>43.6</v>
      </c>
      <c r="H19" s="522">
        <v>43.4</v>
      </c>
      <c r="I19" s="522">
        <v>3.4</v>
      </c>
      <c r="J19" s="522">
        <v>7.6999999999999993</v>
      </c>
      <c r="K19" s="522">
        <v>81.900000000000006</v>
      </c>
      <c r="L19" s="522">
        <v>270.7</v>
      </c>
      <c r="M19" s="522">
        <v>452.7</v>
      </c>
      <c r="N19" s="522">
        <v>648.4</v>
      </c>
      <c r="O19" s="244"/>
    </row>
    <row r="20" spans="1:26" ht="12" customHeight="1" x14ac:dyDescent="0.2">
      <c r="A20" s="244"/>
      <c r="B20" s="249">
        <f>'1. LDC Info'!F27-18</f>
        <v>1999</v>
      </c>
      <c r="C20" s="522">
        <v>875.4</v>
      </c>
      <c r="D20" s="522">
        <v>670.89999999999986</v>
      </c>
      <c r="E20" s="522">
        <v>645.69999999999993</v>
      </c>
      <c r="F20" s="522">
        <v>336.79999999999995</v>
      </c>
      <c r="G20" s="522">
        <v>83.3</v>
      </c>
      <c r="H20" s="522">
        <v>20.3</v>
      </c>
      <c r="I20" s="522">
        <v>3.8</v>
      </c>
      <c r="J20" s="522">
        <v>14.8</v>
      </c>
      <c r="K20" s="522">
        <v>65.8</v>
      </c>
      <c r="L20" s="522">
        <v>321.50000000000011</v>
      </c>
      <c r="M20" s="522">
        <v>406.7000000000001</v>
      </c>
      <c r="N20" s="522">
        <v>691.8</v>
      </c>
      <c r="O20" s="244"/>
    </row>
    <row r="21" spans="1:26" ht="12" customHeight="1" x14ac:dyDescent="0.2">
      <c r="A21" s="244"/>
      <c r="B21" s="249">
        <f>'1. LDC Info'!F27-17</f>
        <v>2000</v>
      </c>
      <c r="C21" s="522">
        <v>875.3</v>
      </c>
      <c r="D21" s="522">
        <v>728.2</v>
      </c>
      <c r="E21" s="522">
        <v>502.29999999999984</v>
      </c>
      <c r="F21" s="522">
        <v>390.99999999999994</v>
      </c>
      <c r="G21" s="522">
        <v>152</v>
      </c>
      <c r="H21" s="522">
        <v>63.2</v>
      </c>
      <c r="I21" s="522">
        <v>12.200000000000001</v>
      </c>
      <c r="J21" s="522">
        <v>18.3</v>
      </c>
      <c r="K21" s="522">
        <v>138.10000000000002</v>
      </c>
      <c r="L21" s="522">
        <v>290.79999999999995</v>
      </c>
      <c r="M21" s="522">
        <v>489.40000000000003</v>
      </c>
      <c r="N21" s="522">
        <v>882.60000000000014</v>
      </c>
      <c r="O21" s="244"/>
    </row>
    <row r="22" spans="1:26" ht="12" customHeight="1" x14ac:dyDescent="0.2">
      <c r="A22" s="244"/>
      <c r="B22" s="249">
        <f>'1. LDC Info'!F27-16</f>
        <v>2001</v>
      </c>
      <c r="C22" s="522">
        <v>848.19999999999993</v>
      </c>
      <c r="D22" s="522">
        <v>746.80000000000007</v>
      </c>
      <c r="E22" s="522">
        <v>652.29999999999995</v>
      </c>
      <c r="F22" s="522">
        <v>338.1</v>
      </c>
      <c r="G22" s="522">
        <v>109.6</v>
      </c>
      <c r="H22" s="522">
        <v>25.5</v>
      </c>
      <c r="I22" s="522">
        <v>21.599999999999998</v>
      </c>
      <c r="J22" s="522">
        <v>4.7</v>
      </c>
      <c r="K22" s="522">
        <v>89.899999999999991</v>
      </c>
      <c r="L22" s="522">
        <v>265.99999999999994</v>
      </c>
      <c r="M22" s="522">
        <v>410.09999999999991</v>
      </c>
      <c r="N22" s="522">
        <v>602.20000000000005</v>
      </c>
      <c r="O22" s="244"/>
    </row>
    <row r="23" spans="1:26" ht="12" customHeight="1" x14ac:dyDescent="0.2">
      <c r="A23" s="244"/>
      <c r="B23" s="249">
        <f>'1. LDC Info'!F27-15</f>
        <v>2002</v>
      </c>
      <c r="C23" s="522">
        <v>709.39999999999986</v>
      </c>
      <c r="D23" s="522">
        <v>668.8</v>
      </c>
      <c r="E23" s="522">
        <v>651.69999999999993</v>
      </c>
      <c r="F23" s="522">
        <v>358.79999999999995</v>
      </c>
      <c r="G23" s="522">
        <v>227.6</v>
      </c>
      <c r="H23" s="522">
        <v>61.699999999999996</v>
      </c>
      <c r="I23" s="522">
        <v>5.3</v>
      </c>
      <c r="J23" s="522">
        <v>6.8</v>
      </c>
      <c r="K23" s="522">
        <v>56.9</v>
      </c>
      <c r="L23" s="522">
        <v>370.00000000000011</v>
      </c>
      <c r="M23" s="522">
        <v>535.19999999999993</v>
      </c>
      <c r="N23" s="522">
        <v>728.3</v>
      </c>
      <c r="O23" s="244"/>
    </row>
    <row r="24" spans="1:26" ht="12" customHeight="1" x14ac:dyDescent="0.2">
      <c r="A24" s="244"/>
      <c r="B24" s="249">
        <f>'1. LDC Info'!F27-14</f>
        <v>2003</v>
      </c>
      <c r="C24" s="522">
        <v>977.30000000000018</v>
      </c>
      <c r="D24" s="522">
        <v>841.5</v>
      </c>
      <c r="E24" s="522">
        <v>675.00000000000011</v>
      </c>
      <c r="F24" s="522">
        <v>424.6</v>
      </c>
      <c r="G24" s="522">
        <v>154.10000000000002</v>
      </c>
      <c r="H24" s="522">
        <v>38.900000000000006</v>
      </c>
      <c r="I24" s="522">
        <v>2</v>
      </c>
      <c r="J24" s="522">
        <v>13.299999999999999</v>
      </c>
      <c r="K24" s="522">
        <v>60.400000000000006</v>
      </c>
      <c r="L24" s="522">
        <v>336.59999999999997</v>
      </c>
      <c r="M24" s="522">
        <v>468.80000000000007</v>
      </c>
      <c r="N24" s="522">
        <v>722.19999999999993</v>
      </c>
      <c r="O24" s="244"/>
    </row>
    <row r="25" spans="1:26" ht="12" customHeight="1" x14ac:dyDescent="0.2">
      <c r="A25" s="244"/>
      <c r="B25" s="249">
        <f>'1. LDC Info'!F27-13</f>
        <v>2004</v>
      </c>
      <c r="C25" s="522">
        <v>1045.3</v>
      </c>
      <c r="D25" s="522">
        <v>750</v>
      </c>
      <c r="E25" s="522">
        <v>559.20000000000005</v>
      </c>
      <c r="F25" s="522">
        <v>377.8</v>
      </c>
      <c r="G25" s="522">
        <v>166.2</v>
      </c>
      <c r="H25" s="522">
        <v>54</v>
      </c>
      <c r="I25" s="522">
        <v>1.8</v>
      </c>
      <c r="J25" s="522">
        <v>29.8</v>
      </c>
      <c r="K25" s="522">
        <v>66.8</v>
      </c>
      <c r="L25" s="522">
        <v>287</v>
      </c>
      <c r="M25" s="522">
        <v>484.3</v>
      </c>
      <c r="N25" s="522">
        <v>814.9</v>
      </c>
      <c r="O25" s="244"/>
    </row>
    <row r="26" spans="1:26" ht="12" customHeight="1" x14ac:dyDescent="0.2">
      <c r="A26" s="244"/>
      <c r="B26" s="249">
        <f>'1. LDC Info'!F27-12</f>
        <v>2005</v>
      </c>
      <c r="C26" s="522">
        <v>920.7</v>
      </c>
      <c r="D26" s="522">
        <v>700.6</v>
      </c>
      <c r="E26" s="522">
        <v>668.8</v>
      </c>
      <c r="F26" s="522">
        <v>324.8</v>
      </c>
      <c r="G26" s="522">
        <v>205</v>
      </c>
      <c r="H26" s="522">
        <v>16.100000000000001</v>
      </c>
      <c r="I26" s="522">
        <v>2.9</v>
      </c>
      <c r="J26" s="522">
        <v>8.4</v>
      </c>
      <c r="K26" s="522">
        <v>59.2</v>
      </c>
      <c r="L26" s="522">
        <v>269.7</v>
      </c>
      <c r="M26" s="522">
        <v>484.2</v>
      </c>
      <c r="N26" s="522">
        <v>762</v>
      </c>
      <c r="O26" s="244"/>
    </row>
    <row r="27" spans="1:26" x14ac:dyDescent="0.2">
      <c r="A27" s="244"/>
      <c r="B27" s="249">
        <f>'1. LDC Info'!F27-11</f>
        <v>2006</v>
      </c>
      <c r="C27" s="522">
        <v>733.5</v>
      </c>
      <c r="D27" s="522">
        <v>720.9</v>
      </c>
      <c r="E27" s="522">
        <v>600.4</v>
      </c>
      <c r="F27" s="522">
        <v>321.60000000000002</v>
      </c>
      <c r="G27" s="522">
        <v>128.19999999999999</v>
      </c>
      <c r="H27" s="522">
        <v>27.6</v>
      </c>
      <c r="I27" s="522">
        <v>0.3</v>
      </c>
      <c r="J27" s="522">
        <v>18.2</v>
      </c>
      <c r="K27" s="522">
        <v>121</v>
      </c>
      <c r="L27" s="522">
        <v>335.7</v>
      </c>
      <c r="M27" s="522">
        <v>417.3</v>
      </c>
      <c r="N27" s="522">
        <v>610</v>
      </c>
      <c r="O27" s="244"/>
      <c r="Z27" s="218" t="str">
        <f>+$B$16</f>
        <v>HDD</v>
      </c>
    </row>
    <row r="28" spans="1:26" x14ac:dyDescent="0.2">
      <c r="A28" s="244"/>
      <c r="B28" s="249">
        <f>'1. LDC Info'!F27-10</f>
        <v>2007</v>
      </c>
      <c r="C28" s="521">
        <v>797.1</v>
      </c>
      <c r="D28" s="521">
        <v>820</v>
      </c>
      <c r="E28" s="521">
        <v>643</v>
      </c>
      <c r="F28" s="521">
        <v>361.1</v>
      </c>
      <c r="G28" s="521">
        <v>157.30000000000001</v>
      </c>
      <c r="H28" s="521">
        <v>34.200000000000003</v>
      </c>
      <c r="I28" s="521">
        <v>11.8</v>
      </c>
      <c r="J28" s="521">
        <v>20.100000000000001</v>
      </c>
      <c r="K28" s="521">
        <v>76</v>
      </c>
      <c r="L28" s="521">
        <v>227.5</v>
      </c>
      <c r="M28" s="521">
        <v>517</v>
      </c>
      <c r="N28" s="521">
        <v>787.7</v>
      </c>
      <c r="O28" s="244"/>
      <c r="Z28" s="218" t="str">
        <f>+B39</f>
        <v>CDD</v>
      </c>
    </row>
    <row r="29" spans="1:26" x14ac:dyDescent="0.2">
      <c r="A29" s="244"/>
      <c r="B29" s="249">
        <f>'1. LDC Info'!F27-9</f>
        <v>2008</v>
      </c>
      <c r="C29" s="521">
        <v>754.2</v>
      </c>
      <c r="D29" s="521">
        <v>774.3</v>
      </c>
      <c r="E29" s="521">
        <v>721.1</v>
      </c>
      <c r="F29" s="521">
        <v>299.60000000000002</v>
      </c>
      <c r="G29" s="521">
        <v>185.4</v>
      </c>
      <c r="H29" s="521">
        <v>22.4</v>
      </c>
      <c r="I29" s="521">
        <v>0.3</v>
      </c>
      <c r="J29" s="521">
        <v>14.4</v>
      </c>
      <c r="K29" s="521">
        <v>95.4</v>
      </c>
      <c r="L29" s="521">
        <v>321.8</v>
      </c>
      <c r="M29" s="521">
        <v>502.8</v>
      </c>
      <c r="N29" s="521">
        <v>796.7</v>
      </c>
      <c r="O29" s="244"/>
      <c r="Z29" s="218" t="str">
        <f>+B62</f>
        <v>Number of Days in Month</v>
      </c>
    </row>
    <row r="30" spans="1:26" x14ac:dyDescent="0.2">
      <c r="A30" s="244"/>
      <c r="B30" s="249">
        <f>'1. LDC Info'!F27-8</f>
        <v>2009</v>
      </c>
      <c r="C30" s="521">
        <v>979.5</v>
      </c>
      <c r="D30" s="521">
        <v>711.5</v>
      </c>
      <c r="E30" s="521">
        <v>598.29999999999995</v>
      </c>
      <c r="F30" s="521">
        <v>334.3</v>
      </c>
      <c r="G30" s="521">
        <v>181.6</v>
      </c>
      <c r="H30" s="521">
        <v>50.4</v>
      </c>
      <c r="I30" s="521">
        <v>13.1</v>
      </c>
      <c r="J30" s="521">
        <v>26.1</v>
      </c>
      <c r="K30" s="521">
        <v>106.5</v>
      </c>
      <c r="L30" s="521">
        <v>355.5</v>
      </c>
      <c r="M30" s="521">
        <v>417.4</v>
      </c>
      <c r="N30" s="521">
        <v>759.4</v>
      </c>
      <c r="O30" s="244"/>
      <c r="Z30" s="218" t="str">
        <f>+B76</f>
        <v>Employment Stats</v>
      </c>
    </row>
    <row r="31" spans="1:26" x14ac:dyDescent="0.2">
      <c r="A31" s="244"/>
      <c r="B31" s="249">
        <f>'1. LDC Info'!F27-7</f>
        <v>2010</v>
      </c>
      <c r="C31" s="521">
        <v>789.2</v>
      </c>
      <c r="D31" s="521">
        <v>655.8</v>
      </c>
      <c r="E31" s="521">
        <v>460.7</v>
      </c>
      <c r="F31" s="521">
        <v>258.10000000000002</v>
      </c>
      <c r="G31" s="521">
        <v>112.3</v>
      </c>
      <c r="H31" s="521">
        <v>37.6</v>
      </c>
      <c r="I31" s="521">
        <v>4.5</v>
      </c>
      <c r="J31" s="521">
        <v>14.7</v>
      </c>
      <c r="K31" s="521">
        <v>112</v>
      </c>
      <c r="L31" s="521">
        <v>311</v>
      </c>
      <c r="M31" s="521">
        <v>491.6</v>
      </c>
      <c r="N31" s="521">
        <v>731.4</v>
      </c>
      <c r="O31" s="244"/>
      <c r="Z31" s="218" t="str">
        <f>+B90</f>
        <v>Daylight hours</v>
      </c>
    </row>
    <row r="32" spans="1:26" x14ac:dyDescent="0.2">
      <c r="A32" s="244"/>
      <c r="B32" s="249">
        <f>'1. LDC Info'!F27-6</f>
        <v>2011</v>
      </c>
      <c r="C32" s="521">
        <v>893.2</v>
      </c>
      <c r="D32" s="521">
        <v>729</v>
      </c>
      <c r="E32" s="521">
        <v>636</v>
      </c>
      <c r="F32" s="521">
        <v>347.4</v>
      </c>
      <c r="G32" s="521">
        <v>142.80000000000001</v>
      </c>
      <c r="H32" s="521">
        <v>18.5</v>
      </c>
      <c r="I32" s="521">
        <v>0</v>
      </c>
      <c r="J32" s="521">
        <v>2.2999999999999998</v>
      </c>
      <c r="K32" s="521">
        <v>55.4</v>
      </c>
      <c r="L32" s="521">
        <v>259.10000000000002</v>
      </c>
      <c r="M32" s="521">
        <v>392.9</v>
      </c>
      <c r="N32" s="521">
        <v>415</v>
      </c>
      <c r="O32" s="244"/>
    </row>
    <row r="33" spans="1:15" x14ac:dyDescent="0.2">
      <c r="A33" s="244"/>
      <c r="B33" s="249">
        <f>'1. LDC Info'!F27-5</f>
        <v>2012</v>
      </c>
      <c r="C33" s="522">
        <v>831</v>
      </c>
      <c r="D33" s="522">
        <v>671.4</v>
      </c>
      <c r="E33" s="522">
        <v>460.3</v>
      </c>
      <c r="F33" s="522">
        <v>363.3</v>
      </c>
      <c r="G33" s="522">
        <v>96</v>
      </c>
      <c r="H33" s="522">
        <v>0</v>
      </c>
      <c r="I33" s="522">
        <v>0</v>
      </c>
      <c r="J33" s="522">
        <v>8.4</v>
      </c>
      <c r="K33" s="522">
        <v>127.3</v>
      </c>
      <c r="L33" s="522">
        <v>243.1</v>
      </c>
      <c r="M33" s="522">
        <v>541.70000000000005</v>
      </c>
      <c r="N33" s="522">
        <v>680.6</v>
      </c>
      <c r="O33" s="244"/>
    </row>
    <row r="34" spans="1:15" x14ac:dyDescent="0.2">
      <c r="A34" s="244"/>
      <c r="B34" s="249">
        <f>'1. LDC Info'!F27-4</f>
        <v>2013</v>
      </c>
      <c r="C34" s="521">
        <v>839.9</v>
      </c>
      <c r="D34" s="521">
        <v>728.5</v>
      </c>
      <c r="E34" s="521">
        <v>579.6</v>
      </c>
      <c r="F34" s="521">
        <v>285.5</v>
      </c>
      <c r="G34" s="521">
        <v>105.7</v>
      </c>
      <c r="H34" s="521">
        <v>54.1</v>
      </c>
      <c r="I34" s="521">
        <v>7.7</v>
      </c>
      <c r="J34" s="521">
        <v>13.4</v>
      </c>
      <c r="K34" s="521">
        <v>133.19999999999999</v>
      </c>
      <c r="L34" s="521">
        <v>235.8</v>
      </c>
      <c r="M34" s="521">
        <v>560.79999999999995</v>
      </c>
      <c r="N34" s="521">
        <v>858.2</v>
      </c>
      <c r="O34" s="244"/>
    </row>
    <row r="35" spans="1:15" x14ac:dyDescent="0.2">
      <c r="A35" s="244"/>
      <c r="B35" s="249">
        <f>'1. LDC Info'!F27-3</f>
        <v>2014</v>
      </c>
      <c r="C35" s="521">
        <v>918.3</v>
      </c>
      <c r="D35" s="521">
        <v>793.2</v>
      </c>
      <c r="E35" s="521">
        <v>783.6</v>
      </c>
      <c r="F35" s="521">
        <v>384.2</v>
      </c>
      <c r="G35" s="521">
        <v>127.3</v>
      </c>
      <c r="H35" s="521">
        <v>20.3</v>
      </c>
      <c r="I35" s="521">
        <v>7.7</v>
      </c>
      <c r="J35" s="521">
        <v>21.4</v>
      </c>
      <c r="K35" s="521">
        <v>110.3</v>
      </c>
      <c r="L35" s="521">
        <v>257.89999999999998</v>
      </c>
      <c r="M35" s="521">
        <v>510.6</v>
      </c>
      <c r="N35" s="521">
        <v>696.4</v>
      </c>
      <c r="O35" s="244"/>
    </row>
    <row r="36" spans="1:15" x14ac:dyDescent="0.2">
      <c r="A36" s="244"/>
      <c r="B36" s="249">
        <f>'1. LDC Info'!F27-2</f>
        <v>2015</v>
      </c>
      <c r="C36" s="521">
        <v>894.29999999999984</v>
      </c>
      <c r="D36" s="521">
        <v>957.39999999999975</v>
      </c>
      <c r="E36" s="521">
        <v>726.4</v>
      </c>
      <c r="F36" s="521">
        <v>345.19999999999993</v>
      </c>
      <c r="G36" s="521">
        <v>90.9</v>
      </c>
      <c r="H36" s="521">
        <v>40.300000000000004</v>
      </c>
      <c r="I36" s="521">
        <v>7.4</v>
      </c>
      <c r="J36" s="521">
        <v>7.1999999999999993</v>
      </c>
      <c r="K36" s="521">
        <v>46.3</v>
      </c>
      <c r="L36" s="521">
        <v>311.39999999999998</v>
      </c>
      <c r="M36" s="521">
        <v>417.49999999999994</v>
      </c>
      <c r="N36" s="521">
        <v>490.1</v>
      </c>
      <c r="O36" s="244"/>
    </row>
    <row r="37" spans="1:15" x14ac:dyDescent="0.2">
      <c r="A37" s="244"/>
      <c r="B37" s="908" t="s">
        <v>472</v>
      </c>
      <c r="C37" s="909">
        <v>843.01999999999987</v>
      </c>
      <c r="D37" s="909">
        <v>756.19999999999993</v>
      </c>
      <c r="E37" s="909">
        <v>620.94000000000005</v>
      </c>
      <c r="F37" s="909">
        <v>330.03000000000003</v>
      </c>
      <c r="G37" s="909">
        <v>132.75</v>
      </c>
      <c r="H37" s="909">
        <v>30.54</v>
      </c>
      <c r="I37" s="909">
        <v>5.28</v>
      </c>
      <c r="J37" s="909">
        <v>14.62</v>
      </c>
      <c r="K37" s="909">
        <v>98.339999999999989</v>
      </c>
      <c r="L37" s="909">
        <v>285.88</v>
      </c>
      <c r="M37" s="909">
        <v>476.96000000000004</v>
      </c>
      <c r="N37" s="909">
        <v>682.55000000000007</v>
      </c>
      <c r="O37" s="244"/>
    </row>
    <row r="38" spans="1:15" x14ac:dyDescent="0.2">
      <c r="A38" s="244"/>
      <c r="B38" s="910" t="s">
        <v>473</v>
      </c>
      <c r="C38" s="911">
        <v>866.32500000000005</v>
      </c>
      <c r="D38" s="911">
        <v>739.91499999999996</v>
      </c>
      <c r="E38" s="911">
        <v>623.7349999999999</v>
      </c>
      <c r="F38" s="911">
        <v>346.755</v>
      </c>
      <c r="G38" s="911">
        <v>144.86500000000004</v>
      </c>
      <c r="H38" s="911">
        <v>33.054999999999993</v>
      </c>
      <c r="I38" s="911">
        <v>5.8949999999999996</v>
      </c>
      <c r="J38" s="911">
        <v>13.899999999999997</v>
      </c>
      <c r="K38" s="911">
        <v>90.34</v>
      </c>
      <c r="L38" s="911">
        <v>295.97500000000002</v>
      </c>
      <c r="M38" s="911">
        <v>481.44499999999999</v>
      </c>
      <c r="N38" s="911">
        <v>703.37500000000011</v>
      </c>
      <c r="O38" s="244"/>
    </row>
    <row r="39" spans="1:15" x14ac:dyDescent="0.2">
      <c r="A39" s="244"/>
      <c r="B39" s="243" t="s">
        <v>2</v>
      </c>
      <c r="C39" s="248" t="s">
        <v>132</v>
      </c>
      <c r="D39" s="248" t="s">
        <v>133</v>
      </c>
      <c r="E39" s="248" t="s">
        <v>134</v>
      </c>
      <c r="F39" s="248" t="s">
        <v>135</v>
      </c>
      <c r="G39" s="248" t="s">
        <v>113</v>
      </c>
      <c r="H39" s="248" t="s">
        <v>136</v>
      </c>
      <c r="I39" s="248" t="s">
        <v>137</v>
      </c>
      <c r="J39" s="248" t="s">
        <v>138</v>
      </c>
      <c r="K39" s="248" t="s">
        <v>139</v>
      </c>
      <c r="L39" s="248" t="s">
        <v>142</v>
      </c>
      <c r="M39" s="248" t="s">
        <v>140</v>
      </c>
      <c r="N39" s="248" t="s">
        <v>141</v>
      </c>
      <c r="O39" s="244"/>
    </row>
    <row r="40" spans="1:15" x14ac:dyDescent="0.2">
      <c r="A40" s="244"/>
      <c r="B40" s="250" t="str">
        <f t="shared" ref="B40:B59" si="0">B17</f>
        <v>1996</v>
      </c>
      <c r="C40" s="521">
        <v>0</v>
      </c>
      <c r="D40" s="521">
        <v>0</v>
      </c>
      <c r="E40" s="521">
        <v>0</v>
      </c>
      <c r="F40" s="521">
        <v>0</v>
      </c>
      <c r="G40" s="521">
        <v>8</v>
      </c>
      <c r="H40" s="521">
        <v>51.9</v>
      </c>
      <c r="I40" s="521">
        <v>67.7</v>
      </c>
      <c r="J40" s="521">
        <v>78.7</v>
      </c>
      <c r="K40" s="521">
        <v>33.799999999999997</v>
      </c>
      <c r="L40" s="521">
        <v>0</v>
      </c>
      <c r="M40" s="521">
        <v>0</v>
      </c>
      <c r="N40" s="521">
        <v>0</v>
      </c>
      <c r="O40" s="244"/>
    </row>
    <row r="41" spans="1:15" x14ac:dyDescent="0.2">
      <c r="A41" s="244"/>
      <c r="B41" s="250">
        <f t="shared" si="0"/>
        <v>1997</v>
      </c>
      <c r="C41" s="521">
        <v>0</v>
      </c>
      <c r="D41" s="521">
        <v>0</v>
      </c>
      <c r="E41" s="521">
        <v>0</v>
      </c>
      <c r="F41" s="521">
        <v>0</v>
      </c>
      <c r="G41" s="521">
        <v>0</v>
      </c>
      <c r="H41" s="521">
        <v>78.7</v>
      </c>
      <c r="I41" s="521">
        <v>95.8</v>
      </c>
      <c r="J41" s="521">
        <v>41.3</v>
      </c>
      <c r="K41" s="521">
        <v>4.4000000000000004</v>
      </c>
      <c r="L41" s="521">
        <v>0</v>
      </c>
      <c r="M41" s="521">
        <v>0</v>
      </c>
      <c r="N41" s="521">
        <v>0</v>
      </c>
      <c r="O41" s="244"/>
    </row>
    <row r="42" spans="1:15" x14ac:dyDescent="0.2">
      <c r="A42" s="244"/>
      <c r="B42" s="250">
        <f t="shared" si="0"/>
        <v>1998</v>
      </c>
      <c r="C42" s="521">
        <v>0</v>
      </c>
      <c r="D42" s="521">
        <v>0</v>
      </c>
      <c r="E42" s="521">
        <v>0</v>
      </c>
      <c r="F42" s="521">
        <v>0</v>
      </c>
      <c r="G42" s="521">
        <v>28.6</v>
      </c>
      <c r="H42" s="521">
        <v>77.900000000000006</v>
      </c>
      <c r="I42" s="521">
        <v>89.2</v>
      </c>
      <c r="J42" s="521">
        <v>86.1</v>
      </c>
      <c r="K42" s="521">
        <v>12.2</v>
      </c>
      <c r="L42" s="521">
        <v>0</v>
      </c>
      <c r="M42" s="521">
        <v>0</v>
      </c>
      <c r="N42" s="521">
        <v>0</v>
      </c>
      <c r="O42" s="244"/>
    </row>
    <row r="43" spans="1:15" x14ac:dyDescent="0.2">
      <c r="A43" s="244"/>
      <c r="B43" s="250">
        <f t="shared" si="0"/>
        <v>1999</v>
      </c>
      <c r="C43" s="521">
        <v>0</v>
      </c>
      <c r="D43" s="521">
        <v>0</v>
      </c>
      <c r="E43" s="521">
        <v>0</v>
      </c>
      <c r="F43" s="521">
        <v>0</v>
      </c>
      <c r="G43" s="521">
        <v>31.3</v>
      </c>
      <c r="H43" s="521">
        <v>99.6</v>
      </c>
      <c r="I43" s="521">
        <v>141.69999999999999</v>
      </c>
      <c r="J43" s="521">
        <v>57.6</v>
      </c>
      <c r="K43" s="521">
        <v>49.6</v>
      </c>
      <c r="L43" s="521">
        <v>0</v>
      </c>
      <c r="M43" s="521">
        <v>0</v>
      </c>
      <c r="N43" s="521">
        <v>0</v>
      </c>
      <c r="O43" s="244"/>
    </row>
    <row r="44" spans="1:15" x14ac:dyDescent="0.2">
      <c r="A44" s="244"/>
      <c r="B44" s="250">
        <f t="shared" si="0"/>
        <v>2000</v>
      </c>
      <c r="C44" s="521">
        <v>0</v>
      </c>
      <c r="D44" s="521">
        <v>0</v>
      </c>
      <c r="E44" s="521">
        <v>0</v>
      </c>
      <c r="F44" s="521">
        <v>0</v>
      </c>
      <c r="G44" s="521">
        <v>2.8</v>
      </c>
      <c r="H44" s="521">
        <v>30.7</v>
      </c>
      <c r="I44" s="521">
        <v>58.6</v>
      </c>
      <c r="J44" s="521">
        <v>60.1</v>
      </c>
      <c r="K44" s="521">
        <v>13.7</v>
      </c>
      <c r="L44" s="521">
        <v>0</v>
      </c>
      <c r="M44" s="521">
        <v>0</v>
      </c>
      <c r="N44" s="521">
        <v>0</v>
      </c>
      <c r="O44" s="244"/>
    </row>
    <row r="45" spans="1:15" x14ac:dyDescent="0.2">
      <c r="A45" s="244"/>
      <c r="B45" s="250">
        <f t="shared" si="0"/>
        <v>2001</v>
      </c>
      <c r="C45" s="521">
        <v>0</v>
      </c>
      <c r="D45" s="521">
        <v>0</v>
      </c>
      <c r="E45" s="521">
        <v>0</v>
      </c>
      <c r="F45" s="521">
        <v>0</v>
      </c>
      <c r="G45" s="521">
        <v>13.7</v>
      </c>
      <c r="H45" s="521">
        <v>75.900000000000006</v>
      </c>
      <c r="I45" s="521">
        <v>78.400000000000006</v>
      </c>
      <c r="J45" s="521">
        <v>127.5</v>
      </c>
      <c r="K45" s="521">
        <v>25.9</v>
      </c>
      <c r="L45" s="521">
        <v>0</v>
      </c>
      <c r="M45" s="521">
        <v>0</v>
      </c>
      <c r="N45" s="521">
        <v>0</v>
      </c>
      <c r="O45" s="244"/>
    </row>
    <row r="46" spans="1:15" x14ac:dyDescent="0.2">
      <c r="A46" s="244"/>
      <c r="B46" s="250">
        <f t="shared" si="0"/>
        <v>2002</v>
      </c>
      <c r="C46" s="521">
        <v>0</v>
      </c>
      <c r="D46" s="521">
        <v>0</v>
      </c>
      <c r="E46" s="521">
        <v>0</v>
      </c>
      <c r="F46" s="521">
        <v>10.3</v>
      </c>
      <c r="G46" s="521">
        <v>6.5</v>
      </c>
      <c r="H46" s="521">
        <v>39.5</v>
      </c>
      <c r="I46" s="521">
        <v>121</v>
      </c>
      <c r="J46" s="521">
        <v>106.5</v>
      </c>
      <c r="K46" s="521">
        <v>51.4</v>
      </c>
      <c r="L46" s="521">
        <v>4.0999999999999996</v>
      </c>
      <c r="M46" s="521">
        <v>0</v>
      </c>
      <c r="N46" s="521">
        <v>0</v>
      </c>
      <c r="O46" s="244"/>
    </row>
    <row r="47" spans="1:15" x14ac:dyDescent="0.2">
      <c r="A47" s="244"/>
      <c r="B47" s="250">
        <f t="shared" si="0"/>
        <v>2003</v>
      </c>
      <c r="C47" s="521">
        <v>0</v>
      </c>
      <c r="D47" s="521">
        <v>0</v>
      </c>
      <c r="E47" s="521">
        <v>0</v>
      </c>
      <c r="F47" s="521">
        <v>0</v>
      </c>
      <c r="G47" s="521">
        <v>0.1</v>
      </c>
      <c r="H47" s="521">
        <v>54.8</v>
      </c>
      <c r="I47" s="521">
        <v>90.1</v>
      </c>
      <c r="J47" s="521">
        <v>106.2</v>
      </c>
      <c r="K47" s="521">
        <v>23.7</v>
      </c>
      <c r="L47" s="521">
        <v>0</v>
      </c>
      <c r="M47" s="521">
        <v>0</v>
      </c>
      <c r="N47" s="521">
        <v>0</v>
      </c>
      <c r="O47" s="244"/>
    </row>
    <row r="48" spans="1:15" x14ac:dyDescent="0.2">
      <c r="A48" s="244"/>
      <c r="B48" s="250">
        <f t="shared" si="0"/>
        <v>2004</v>
      </c>
      <c r="C48" s="521">
        <v>0</v>
      </c>
      <c r="D48" s="521">
        <v>0</v>
      </c>
      <c r="E48" s="521">
        <v>0</v>
      </c>
      <c r="F48" s="521">
        <v>1.9</v>
      </c>
      <c r="G48" s="521">
        <v>4</v>
      </c>
      <c r="H48" s="521">
        <v>27.1</v>
      </c>
      <c r="I48" s="521">
        <v>86.5</v>
      </c>
      <c r="J48" s="521">
        <v>47.5</v>
      </c>
      <c r="K48" s="521">
        <v>11.1</v>
      </c>
      <c r="L48" s="521">
        <v>0</v>
      </c>
      <c r="M48" s="521">
        <v>0</v>
      </c>
      <c r="N48" s="521">
        <v>0</v>
      </c>
      <c r="O48" s="244"/>
    </row>
    <row r="49" spans="1:15" x14ac:dyDescent="0.2">
      <c r="A49" s="244"/>
      <c r="B49" s="250">
        <f t="shared" si="0"/>
        <v>2005</v>
      </c>
      <c r="C49" s="521">
        <v>0</v>
      </c>
      <c r="D49" s="521">
        <v>0</v>
      </c>
      <c r="E49" s="521">
        <v>0</v>
      </c>
      <c r="F49" s="521">
        <v>0</v>
      </c>
      <c r="G49" s="521">
        <v>1.9</v>
      </c>
      <c r="H49" s="521">
        <v>111.6</v>
      </c>
      <c r="I49" s="521">
        <v>128.6</v>
      </c>
      <c r="J49" s="521">
        <v>115.4</v>
      </c>
      <c r="K49" s="521">
        <v>33.1</v>
      </c>
      <c r="L49" s="521">
        <v>6.4</v>
      </c>
      <c r="M49" s="521">
        <v>0</v>
      </c>
      <c r="N49" s="521">
        <v>0</v>
      </c>
      <c r="O49" s="244"/>
    </row>
    <row r="50" spans="1:15" x14ac:dyDescent="0.2">
      <c r="A50" s="244"/>
      <c r="B50" s="250">
        <f t="shared" si="0"/>
        <v>2006</v>
      </c>
      <c r="C50" s="521">
        <v>0</v>
      </c>
      <c r="D50" s="521">
        <v>0</v>
      </c>
      <c r="E50" s="521">
        <v>0</v>
      </c>
      <c r="F50" s="521">
        <v>0</v>
      </c>
      <c r="G50" s="521">
        <v>16.899999999999999</v>
      </c>
      <c r="H50" s="521">
        <v>48.2</v>
      </c>
      <c r="I50" s="521">
        <v>130.6</v>
      </c>
      <c r="J50" s="521">
        <v>68.099999999999994</v>
      </c>
      <c r="K50" s="521">
        <v>5.3</v>
      </c>
      <c r="L50" s="521">
        <v>0</v>
      </c>
      <c r="M50" s="521">
        <v>0</v>
      </c>
      <c r="N50" s="521">
        <v>0</v>
      </c>
      <c r="O50" s="244"/>
    </row>
    <row r="51" spans="1:15" x14ac:dyDescent="0.2">
      <c r="A51" s="244"/>
      <c r="B51" s="250">
        <f t="shared" si="0"/>
        <v>2007</v>
      </c>
      <c r="C51" s="521">
        <v>0</v>
      </c>
      <c r="D51" s="521">
        <v>0</v>
      </c>
      <c r="E51" s="521">
        <v>0</v>
      </c>
      <c r="F51" s="521">
        <v>0</v>
      </c>
      <c r="G51" s="521">
        <v>0</v>
      </c>
      <c r="H51" s="521">
        <v>17.3</v>
      </c>
      <c r="I51" s="521">
        <v>66.900000000000006</v>
      </c>
      <c r="J51" s="521">
        <v>65.099999999999994</v>
      </c>
      <c r="K51" s="521">
        <v>79.3</v>
      </c>
      <c r="L51" s="521">
        <v>25.7</v>
      </c>
      <c r="M51" s="521">
        <v>1.9</v>
      </c>
      <c r="N51" s="521">
        <v>0</v>
      </c>
      <c r="O51" s="244"/>
    </row>
    <row r="52" spans="1:15" x14ac:dyDescent="0.2">
      <c r="A52" s="244"/>
      <c r="B52" s="250">
        <f t="shared" si="0"/>
        <v>2008</v>
      </c>
      <c r="C52" s="521">
        <v>0</v>
      </c>
      <c r="D52" s="521">
        <v>0</v>
      </c>
      <c r="E52" s="521">
        <v>0</v>
      </c>
      <c r="F52" s="521">
        <v>0</v>
      </c>
      <c r="G52" s="521">
        <v>0</v>
      </c>
      <c r="H52" s="521">
        <v>0</v>
      </c>
      <c r="I52" s="521">
        <v>60.5</v>
      </c>
      <c r="J52" s="521">
        <v>78.900000000000006</v>
      </c>
      <c r="K52" s="521">
        <v>49.5</v>
      </c>
      <c r="L52" s="521">
        <v>25</v>
      </c>
      <c r="M52" s="521">
        <v>0</v>
      </c>
      <c r="N52" s="521">
        <v>0</v>
      </c>
      <c r="O52" s="244"/>
    </row>
    <row r="53" spans="1:15" x14ac:dyDescent="0.2">
      <c r="A53" s="244"/>
      <c r="B53" s="250">
        <f t="shared" si="0"/>
        <v>2009</v>
      </c>
      <c r="C53" s="521">
        <v>0</v>
      </c>
      <c r="D53" s="521">
        <v>0</v>
      </c>
      <c r="E53" s="521">
        <v>0</v>
      </c>
      <c r="F53" s="521">
        <v>0</v>
      </c>
      <c r="G53" s="521">
        <v>2.5</v>
      </c>
      <c r="H53" s="521">
        <v>3.2</v>
      </c>
      <c r="I53" s="521">
        <v>44.9</v>
      </c>
      <c r="J53" s="521">
        <v>42.9</v>
      </c>
      <c r="K53" s="521">
        <v>82.1</v>
      </c>
      <c r="L53" s="521">
        <v>5</v>
      </c>
      <c r="M53" s="521">
        <v>0</v>
      </c>
      <c r="N53" s="521">
        <v>0</v>
      </c>
      <c r="O53" s="244"/>
    </row>
    <row r="54" spans="1:15" x14ac:dyDescent="0.2">
      <c r="A54" s="244"/>
      <c r="B54" s="250">
        <f t="shared" si="0"/>
        <v>2010</v>
      </c>
      <c r="C54" s="521">
        <v>0</v>
      </c>
      <c r="D54" s="521">
        <v>0</v>
      </c>
      <c r="E54" s="521">
        <v>0</v>
      </c>
      <c r="F54" s="521">
        <v>0</v>
      </c>
      <c r="G54" s="521">
        <v>1.6</v>
      </c>
      <c r="H54" s="521">
        <v>38.200000000000003</v>
      </c>
      <c r="I54" s="521">
        <v>33.4</v>
      </c>
      <c r="J54" s="521">
        <v>150.80000000000001</v>
      </c>
      <c r="K54" s="521">
        <v>93</v>
      </c>
      <c r="L54" s="521">
        <v>26.2</v>
      </c>
      <c r="M54" s="521">
        <v>0</v>
      </c>
      <c r="N54" s="521">
        <v>0</v>
      </c>
      <c r="O54" s="244"/>
    </row>
    <row r="55" spans="1:15" x14ac:dyDescent="0.2">
      <c r="A55" s="244"/>
      <c r="B55" s="250">
        <f t="shared" si="0"/>
        <v>2011</v>
      </c>
      <c r="C55" s="521">
        <v>0</v>
      </c>
      <c r="D55" s="521">
        <v>0</v>
      </c>
      <c r="E55" s="521">
        <v>0</v>
      </c>
      <c r="F55" s="521">
        <v>0</v>
      </c>
      <c r="G55" s="521">
        <v>16.7</v>
      </c>
      <c r="H55" s="521">
        <v>59.1</v>
      </c>
      <c r="I55" s="521">
        <v>137.5</v>
      </c>
      <c r="J55" s="521">
        <v>82.3</v>
      </c>
      <c r="K55" s="521">
        <v>32.9</v>
      </c>
      <c r="L55" s="521">
        <v>1.4</v>
      </c>
      <c r="M55" s="521">
        <v>0</v>
      </c>
      <c r="N55" s="521">
        <v>0</v>
      </c>
      <c r="O55" s="244"/>
    </row>
    <row r="56" spans="1:15" x14ac:dyDescent="0.2">
      <c r="A56" s="244"/>
      <c r="B56" s="250">
        <f t="shared" si="0"/>
        <v>2012</v>
      </c>
      <c r="C56" s="522">
        <v>0</v>
      </c>
      <c r="D56" s="522">
        <v>0</v>
      </c>
      <c r="E56" s="522">
        <v>0</v>
      </c>
      <c r="F56" s="522">
        <v>3.2</v>
      </c>
      <c r="G56" s="522">
        <v>21</v>
      </c>
      <c r="H56" s="522">
        <v>70.400000000000006</v>
      </c>
      <c r="I56" s="522">
        <v>142.19999999999999</v>
      </c>
      <c r="J56" s="522">
        <v>97.6</v>
      </c>
      <c r="K56" s="522">
        <v>20.6</v>
      </c>
      <c r="L56" s="522">
        <v>0</v>
      </c>
      <c r="M56" s="522">
        <v>0</v>
      </c>
      <c r="N56" s="522">
        <v>0</v>
      </c>
      <c r="O56" s="244"/>
    </row>
    <row r="57" spans="1:15" x14ac:dyDescent="0.2">
      <c r="A57" s="244"/>
      <c r="B57" s="250">
        <f t="shared" si="0"/>
        <v>2013</v>
      </c>
      <c r="C57" s="521">
        <v>0</v>
      </c>
      <c r="D57" s="521">
        <v>0</v>
      </c>
      <c r="E57" s="521">
        <v>0</v>
      </c>
      <c r="F57" s="521">
        <v>0</v>
      </c>
      <c r="G57" s="521">
        <v>15.3</v>
      </c>
      <c r="H57" s="521">
        <v>39.4</v>
      </c>
      <c r="I57" s="521">
        <v>111.1</v>
      </c>
      <c r="J57" s="521">
        <v>57.2</v>
      </c>
      <c r="K57" s="521">
        <v>10.1</v>
      </c>
      <c r="L57" s="521">
        <v>0.7</v>
      </c>
      <c r="M57" s="521">
        <v>0</v>
      </c>
      <c r="N57" s="521">
        <v>0</v>
      </c>
      <c r="O57" s="244"/>
    </row>
    <row r="58" spans="1:15" x14ac:dyDescent="0.2">
      <c r="A58" s="244"/>
      <c r="B58" s="250">
        <f t="shared" si="0"/>
        <v>2014</v>
      </c>
      <c r="C58" s="521">
        <v>0</v>
      </c>
      <c r="D58" s="521">
        <v>0</v>
      </c>
      <c r="E58" s="521">
        <v>0</v>
      </c>
      <c r="F58" s="521">
        <v>0</v>
      </c>
      <c r="G58" s="521">
        <v>8.8000000000000007</v>
      </c>
      <c r="H58" s="521">
        <v>54.9</v>
      </c>
      <c r="I58" s="521">
        <v>62.800000000000011</v>
      </c>
      <c r="J58" s="521">
        <v>55.800000000000004</v>
      </c>
      <c r="K58" s="521">
        <v>21.600000000000005</v>
      </c>
      <c r="L58" s="521">
        <v>3.1</v>
      </c>
      <c r="M58" s="521">
        <v>0</v>
      </c>
      <c r="N58" s="521">
        <v>0</v>
      </c>
      <c r="O58" s="244"/>
    </row>
    <row r="59" spans="1:15" x14ac:dyDescent="0.2">
      <c r="A59" s="244"/>
      <c r="B59" s="250">
        <f t="shared" si="0"/>
        <v>2015</v>
      </c>
      <c r="C59" s="521">
        <v>0</v>
      </c>
      <c r="D59" s="521">
        <v>0</v>
      </c>
      <c r="E59" s="521">
        <v>0</v>
      </c>
      <c r="F59" s="521">
        <v>0</v>
      </c>
      <c r="G59" s="521">
        <v>23.500000000000004</v>
      </c>
      <c r="H59" s="521">
        <v>22.5</v>
      </c>
      <c r="I59" s="521">
        <v>103.80000000000001</v>
      </c>
      <c r="J59" s="521">
        <v>71.2</v>
      </c>
      <c r="K59" s="521">
        <v>51.7</v>
      </c>
      <c r="L59" s="521">
        <v>0</v>
      </c>
      <c r="M59" s="521">
        <v>0</v>
      </c>
      <c r="N59" s="521">
        <v>0</v>
      </c>
      <c r="O59" s="244"/>
    </row>
    <row r="60" spans="1:15" x14ac:dyDescent="0.2">
      <c r="A60" s="244"/>
      <c r="B60" s="908" t="s">
        <v>472</v>
      </c>
      <c r="C60" s="909">
        <v>0</v>
      </c>
      <c r="D60" s="909">
        <v>0</v>
      </c>
      <c r="E60" s="909">
        <v>0</v>
      </c>
      <c r="F60" s="909">
        <v>0.32</v>
      </c>
      <c r="G60" s="909">
        <v>10.629999999999999</v>
      </c>
      <c r="H60" s="909">
        <v>35.32</v>
      </c>
      <c r="I60" s="909">
        <v>89.37</v>
      </c>
      <c r="J60" s="909">
        <v>76.990000000000009</v>
      </c>
      <c r="K60" s="909">
        <v>44.61</v>
      </c>
      <c r="L60" s="909">
        <v>8.7100000000000009</v>
      </c>
      <c r="M60" s="909">
        <v>0.19</v>
      </c>
      <c r="N60" s="909">
        <v>0</v>
      </c>
      <c r="O60" s="244"/>
    </row>
    <row r="61" spans="1:15" x14ac:dyDescent="0.2">
      <c r="A61" s="244"/>
      <c r="B61" s="910" t="s">
        <v>473</v>
      </c>
      <c r="C61" s="911">
        <v>0</v>
      </c>
      <c r="D61" s="911">
        <v>0</v>
      </c>
      <c r="E61" s="911">
        <v>0</v>
      </c>
      <c r="F61" s="911">
        <v>0.77000000000000013</v>
      </c>
      <c r="G61" s="911">
        <v>10.16</v>
      </c>
      <c r="H61" s="911">
        <v>50.045000000000002</v>
      </c>
      <c r="I61" s="911">
        <v>92.565000000000012</v>
      </c>
      <c r="J61" s="911">
        <v>79.84</v>
      </c>
      <c r="K61" s="911">
        <v>35.250000000000007</v>
      </c>
      <c r="L61" s="911">
        <v>4.8800000000000008</v>
      </c>
      <c r="M61" s="911">
        <v>9.5000000000000001E-2</v>
      </c>
      <c r="N61" s="911">
        <v>0</v>
      </c>
      <c r="O61" s="244"/>
    </row>
    <row r="62" spans="1:15" ht="25.5" x14ac:dyDescent="0.2">
      <c r="A62" s="244"/>
      <c r="B62" s="251" t="s">
        <v>237</v>
      </c>
      <c r="C62" s="245"/>
      <c r="D62" s="245"/>
      <c r="E62" s="245"/>
      <c r="F62" s="245"/>
      <c r="G62" s="245"/>
      <c r="H62" s="245"/>
      <c r="I62" s="245"/>
      <c r="J62" s="245"/>
      <c r="K62" s="245"/>
      <c r="L62" s="245"/>
      <c r="M62" s="245"/>
      <c r="N62" s="245"/>
      <c r="O62" s="244"/>
    </row>
    <row r="63" spans="1:15" x14ac:dyDescent="0.2">
      <c r="A63" s="244"/>
      <c r="B63" s="244"/>
      <c r="C63" s="248" t="s">
        <v>132</v>
      </c>
      <c r="D63" s="248" t="s">
        <v>133</v>
      </c>
      <c r="E63" s="248" t="s">
        <v>134</v>
      </c>
      <c r="F63" s="248" t="s">
        <v>135</v>
      </c>
      <c r="G63" s="248" t="s">
        <v>113</v>
      </c>
      <c r="H63" s="248" t="s">
        <v>136</v>
      </c>
      <c r="I63" s="248" t="s">
        <v>137</v>
      </c>
      <c r="J63" s="248" t="s">
        <v>138</v>
      </c>
      <c r="K63" s="248" t="s">
        <v>139</v>
      </c>
      <c r="L63" s="248" t="s">
        <v>142</v>
      </c>
      <c r="M63" s="248" t="s">
        <v>140</v>
      </c>
      <c r="N63" s="248" t="s">
        <v>141</v>
      </c>
      <c r="O63" s="244"/>
    </row>
    <row r="64" spans="1:15" x14ac:dyDescent="0.2">
      <c r="A64" s="244"/>
      <c r="B64" s="249">
        <f t="shared" ref="B64:B73" si="1">B50</f>
        <v>2006</v>
      </c>
      <c r="C64" s="519">
        <v>31</v>
      </c>
      <c r="D64" s="519">
        <v>28</v>
      </c>
      <c r="E64" s="519">
        <v>31</v>
      </c>
      <c r="F64" s="519">
        <v>30</v>
      </c>
      <c r="G64" s="519">
        <v>31</v>
      </c>
      <c r="H64" s="519">
        <v>30</v>
      </c>
      <c r="I64" s="519">
        <v>31</v>
      </c>
      <c r="J64" s="519">
        <v>31</v>
      </c>
      <c r="K64" s="519">
        <v>30</v>
      </c>
      <c r="L64" s="519">
        <v>31</v>
      </c>
      <c r="M64" s="519">
        <v>30</v>
      </c>
      <c r="N64" s="519">
        <v>31</v>
      </c>
      <c r="O64" s="244"/>
    </row>
    <row r="65" spans="1:15" x14ac:dyDescent="0.2">
      <c r="A65" s="244"/>
      <c r="B65" s="249">
        <f t="shared" si="1"/>
        <v>2007</v>
      </c>
      <c r="C65" s="519">
        <v>31</v>
      </c>
      <c r="D65" s="519">
        <v>28</v>
      </c>
      <c r="E65" s="519">
        <v>31</v>
      </c>
      <c r="F65" s="519">
        <v>30</v>
      </c>
      <c r="G65" s="519">
        <v>31</v>
      </c>
      <c r="H65" s="519">
        <v>30</v>
      </c>
      <c r="I65" s="519">
        <v>31</v>
      </c>
      <c r="J65" s="519">
        <v>31</v>
      </c>
      <c r="K65" s="519">
        <v>30</v>
      </c>
      <c r="L65" s="519">
        <v>31</v>
      </c>
      <c r="M65" s="519">
        <v>30</v>
      </c>
      <c r="N65" s="519">
        <v>31</v>
      </c>
      <c r="O65" s="244"/>
    </row>
    <row r="66" spans="1:15" x14ac:dyDescent="0.2">
      <c r="A66" s="244"/>
      <c r="B66" s="249">
        <f t="shared" si="1"/>
        <v>2008</v>
      </c>
      <c r="C66" s="519">
        <v>31</v>
      </c>
      <c r="D66" s="519">
        <v>28</v>
      </c>
      <c r="E66" s="519">
        <v>31</v>
      </c>
      <c r="F66" s="519">
        <v>30</v>
      </c>
      <c r="G66" s="519">
        <v>31</v>
      </c>
      <c r="H66" s="519">
        <v>30</v>
      </c>
      <c r="I66" s="519">
        <v>31</v>
      </c>
      <c r="J66" s="519">
        <v>31</v>
      </c>
      <c r="K66" s="519">
        <v>30</v>
      </c>
      <c r="L66" s="519">
        <v>31</v>
      </c>
      <c r="M66" s="519">
        <v>30</v>
      </c>
      <c r="N66" s="519">
        <v>31</v>
      </c>
      <c r="O66" s="244"/>
    </row>
    <row r="67" spans="1:15" x14ac:dyDescent="0.2">
      <c r="A67" s="244"/>
      <c r="B67" s="249">
        <f t="shared" si="1"/>
        <v>2009</v>
      </c>
      <c r="C67" s="519">
        <v>31</v>
      </c>
      <c r="D67" s="519">
        <v>29</v>
      </c>
      <c r="E67" s="519">
        <v>31</v>
      </c>
      <c r="F67" s="519">
        <v>30</v>
      </c>
      <c r="G67" s="519">
        <v>31</v>
      </c>
      <c r="H67" s="519">
        <v>30</v>
      </c>
      <c r="I67" s="519">
        <v>31</v>
      </c>
      <c r="J67" s="519">
        <v>31</v>
      </c>
      <c r="K67" s="519">
        <v>30</v>
      </c>
      <c r="L67" s="519">
        <v>31</v>
      </c>
      <c r="M67" s="519">
        <v>30</v>
      </c>
      <c r="N67" s="519">
        <v>31</v>
      </c>
      <c r="O67" s="244"/>
    </row>
    <row r="68" spans="1:15" x14ac:dyDescent="0.2">
      <c r="A68" s="244"/>
      <c r="B68" s="249">
        <f t="shared" si="1"/>
        <v>2010</v>
      </c>
      <c r="C68" s="519">
        <v>31</v>
      </c>
      <c r="D68" s="519">
        <v>28</v>
      </c>
      <c r="E68" s="519">
        <v>31</v>
      </c>
      <c r="F68" s="519">
        <v>30</v>
      </c>
      <c r="G68" s="519">
        <v>31</v>
      </c>
      <c r="H68" s="519">
        <v>30</v>
      </c>
      <c r="I68" s="519">
        <v>31</v>
      </c>
      <c r="J68" s="519">
        <v>31</v>
      </c>
      <c r="K68" s="519">
        <v>30</v>
      </c>
      <c r="L68" s="519">
        <v>31</v>
      </c>
      <c r="M68" s="519">
        <v>30</v>
      </c>
      <c r="N68" s="519">
        <v>31</v>
      </c>
      <c r="O68" s="244"/>
    </row>
    <row r="69" spans="1:15" x14ac:dyDescent="0.2">
      <c r="A69" s="244"/>
      <c r="B69" s="249">
        <f t="shared" si="1"/>
        <v>2011</v>
      </c>
      <c r="C69" s="519">
        <v>31</v>
      </c>
      <c r="D69" s="519">
        <v>28</v>
      </c>
      <c r="E69" s="519">
        <v>31</v>
      </c>
      <c r="F69" s="519">
        <v>30</v>
      </c>
      <c r="G69" s="519">
        <v>31</v>
      </c>
      <c r="H69" s="519">
        <v>30</v>
      </c>
      <c r="I69" s="519">
        <v>31</v>
      </c>
      <c r="J69" s="519">
        <v>31</v>
      </c>
      <c r="K69" s="519">
        <v>30</v>
      </c>
      <c r="L69" s="519">
        <v>31</v>
      </c>
      <c r="M69" s="519">
        <v>30</v>
      </c>
      <c r="N69" s="519">
        <v>31</v>
      </c>
      <c r="O69" s="244"/>
    </row>
    <row r="70" spans="1:15" x14ac:dyDescent="0.2">
      <c r="A70" s="244"/>
      <c r="B70" s="249">
        <f t="shared" si="1"/>
        <v>2012</v>
      </c>
      <c r="C70" s="519">
        <v>31</v>
      </c>
      <c r="D70" s="519">
        <v>28</v>
      </c>
      <c r="E70" s="519">
        <v>31</v>
      </c>
      <c r="F70" s="519">
        <v>30</v>
      </c>
      <c r="G70" s="519">
        <v>31</v>
      </c>
      <c r="H70" s="519">
        <v>30</v>
      </c>
      <c r="I70" s="519">
        <v>31</v>
      </c>
      <c r="J70" s="519">
        <v>31</v>
      </c>
      <c r="K70" s="519">
        <v>30</v>
      </c>
      <c r="L70" s="519">
        <v>31</v>
      </c>
      <c r="M70" s="519">
        <v>30</v>
      </c>
      <c r="N70" s="519">
        <v>31</v>
      </c>
      <c r="O70" s="244"/>
    </row>
    <row r="71" spans="1:15" x14ac:dyDescent="0.2">
      <c r="A71" s="244"/>
      <c r="B71" s="249">
        <f t="shared" si="1"/>
        <v>2013</v>
      </c>
      <c r="C71" s="519">
        <v>31</v>
      </c>
      <c r="D71" s="519">
        <v>29</v>
      </c>
      <c r="E71" s="519">
        <v>31</v>
      </c>
      <c r="F71" s="519">
        <v>30</v>
      </c>
      <c r="G71" s="519">
        <v>31</v>
      </c>
      <c r="H71" s="519">
        <v>30</v>
      </c>
      <c r="I71" s="519">
        <v>31</v>
      </c>
      <c r="J71" s="519">
        <v>31</v>
      </c>
      <c r="K71" s="519">
        <v>30</v>
      </c>
      <c r="L71" s="519">
        <v>31</v>
      </c>
      <c r="M71" s="519">
        <v>30</v>
      </c>
      <c r="N71" s="519">
        <v>31</v>
      </c>
      <c r="O71" s="244"/>
    </row>
    <row r="72" spans="1:15" x14ac:dyDescent="0.2">
      <c r="A72" s="244"/>
      <c r="B72" s="249">
        <f t="shared" si="1"/>
        <v>2014</v>
      </c>
      <c r="C72" s="519">
        <v>31</v>
      </c>
      <c r="D72" s="519">
        <v>28</v>
      </c>
      <c r="E72" s="519">
        <v>31</v>
      </c>
      <c r="F72" s="519">
        <v>30</v>
      </c>
      <c r="G72" s="519">
        <v>31</v>
      </c>
      <c r="H72" s="519">
        <v>30</v>
      </c>
      <c r="I72" s="519">
        <v>31</v>
      </c>
      <c r="J72" s="519">
        <v>31</v>
      </c>
      <c r="K72" s="519">
        <v>30</v>
      </c>
      <c r="L72" s="519">
        <v>31</v>
      </c>
      <c r="M72" s="519">
        <v>30</v>
      </c>
      <c r="N72" s="519">
        <v>31</v>
      </c>
      <c r="O72" s="244"/>
    </row>
    <row r="73" spans="1:15" x14ac:dyDescent="0.2">
      <c r="A73" s="244"/>
      <c r="B73" s="249">
        <f t="shared" si="1"/>
        <v>2015</v>
      </c>
      <c r="C73" s="519">
        <v>31</v>
      </c>
      <c r="D73" s="519">
        <v>28</v>
      </c>
      <c r="E73" s="519">
        <v>31</v>
      </c>
      <c r="F73" s="519">
        <v>30</v>
      </c>
      <c r="G73" s="519">
        <v>31</v>
      </c>
      <c r="H73" s="519">
        <v>30</v>
      </c>
      <c r="I73" s="519">
        <v>31</v>
      </c>
      <c r="J73" s="519">
        <v>31</v>
      </c>
      <c r="K73" s="519">
        <v>30</v>
      </c>
      <c r="L73" s="519">
        <v>31</v>
      </c>
      <c r="M73" s="519">
        <v>30</v>
      </c>
      <c r="N73" s="519">
        <v>31</v>
      </c>
      <c r="O73" s="244"/>
    </row>
    <row r="74" spans="1:15" x14ac:dyDescent="0.2">
      <c r="A74" s="244"/>
      <c r="B74" s="245"/>
      <c r="C74" s="245"/>
      <c r="D74" s="245"/>
      <c r="E74" s="245"/>
      <c r="F74" s="245"/>
      <c r="G74" s="245"/>
      <c r="H74" s="245"/>
      <c r="I74" s="245"/>
      <c r="J74" s="245"/>
      <c r="K74" s="245"/>
      <c r="L74" s="245"/>
      <c r="M74" s="245"/>
      <c r="N74" s="245"/>
      <c r="O74" s="244"/>
    </row>
    <row r="75" spans="1:15" x14ac:dyDescent="0.2">
      <c r="A75" s="244"/>
      <c r="B75" s="245"/>
      <c r="C75" s="245"/>
      <c r="D75" s="245"/>
      <c r="E75" s="245"/>
      <c r="F75" s="245"/>
      <c r="G75" s="245"/>
      <c r="H75" s="245"/>
      <c r="I75" s="245"/>
      <c r="J75" s="245"/>
      <c r="K75" s="245"/>
      <c r="L75" s="245"/>
      <c r="M75" s="245"/>
      <c r="N75" s="245"/>
      <c r="O75" s="244"/>
    </row>
    <row r="76" spans="1:15" x14ac:dyDescent="0.2">
      <c r="A76" s="244"/>
      <c r="B76" s="251" t="s">
        <v>261</v>
      </c>
      <c r="C76" s="245"/>
      <c r="D76" s="245"/>
      <c r="E76" s="245"/>
      <c r="F76" s="245"/>
      <c r="G76" s="245"/>
      <c r="H76" s="245"/>
      <c r="I76" s="245"/>
      <c r="J76" s="245"/>
      <c r="K76" s="245"/>
      <c r="L76" s="245"/>
      <c r="M76" s="245"/>
      <c r="N76" s="245"/>
      <c r="O76" s="244"/>
    </row>
    <row r="77" spans="1:15" x14ac:dyDescent="0.2">
      <c r="A77" s="244"/>
      <c r="B77" s="244"/>
      <c r="C77" s="248" t="s">
        <v>132</v>
      </c>
      <c r="D77" s="248" t="s">
        <v>133</v>
      </c>
      <c r="E77" s="248" t="s">
        <v>134</v>
      </c>
      <c r="F77" s="248" t="s">
        <v>135</v>
      </c>
      <c r="G77" s="248" t="s">
        <v>113</v>
      </c>
      <c r="H77" s="248" t="s">
        <v>136</v>
      </c>
      <c r="I77" s="248" t="s">
        <v>137</v>
      </c>
      <c r="J77" s="248" t="s">
        <v>138</v>
      </c>
      <c r="K77" s="248" t="s">
        <v>139</v>
      </c>
      <c r="L77" s="248" t="s">
        <v>142</v>
      </c>
      <c r="M77" s="248" t="s">
        <v>140</v>
      </c>
      <c r="N77" s="248" t="s">
        <v>141</v>
      </c>
      <c r="O77" s="244"/>
    </row>
    <row r="78" spans="1:15" x14ac:dyDescent="0.2">
      <c r="A78" s="244"/>
      <c r="B78" s="249">
        <f t="shared" ref="B78:B86" si="2">B64</f>
        <v>2006</v>
      </c>
      <c r="C78" s="519">
        <v>154.6</v>
      </c>
      <c r="D78" s="519">
        <v>156.1</v>
      </c>
      <c r="E78" s="519">
        <v>157.19999999999999</v>
      </c>
      <c r="F78" s="519">
        <v>158.69999999999999</v>
      </c>
      <c r="G78" s="519">
        <v>162.30000000000001</v>
      </c>
      <c r="H78" s="519">
        <v>166.4</v>
      </c>
      <c r="I78" s="519">
        <v>168.6</v>
      </c>
      <c r="J78" s="519">
        <v>168.9</v>
      </c>
      <c r="K78" s="519">
        <v>166.3</v>
      </c>
      <c r="L78" s="519">
        <v>164.6</v>
      </c>
      <c r="M78" s="519">
        <v>161.4</v>
      </c>
      <c r="N78" s="519">
        <v>160.9</v>
      </c>
      <c r="O78" s="244"/>
    </row>
    <row r="79" spans="1:15" x14ac:dyDescent="0.2">
      <c r="A79" s="244"/>
      <c r="B79" s="249">
        <f t="shared" si="2"/>
        <v>2007</v>
      </c>
      <c r="C79" s="519">
        <v>161.69999999999999</v>
      </c>
      <c r="D79" s="519">
        <v>161.1</v>
      </c>
      <c r="E79" s="519">
        <v>160</v>
      </c>
      <c r="F79" s="519">
        <v>157.1</v>
      </c>
      <c r="G79" s="519">
        <v>160.1</v>
      </c>
      <c r="H79" s="519">
        <v>166.4</v>
      </c>
      <c r="I79" s="519">
        <v>175.4</v>
      </c>
      <c r="J79" s="519">
        <v>182</v>
      </c>
      <c r="K79" s="519">
        <v>181.5</v>
      </c>
      <c r="L79" s="519">
        <v>179.6</v>
      </c>
      <c r="M79" s="519">
        <v>173.4</v>
      </c>
      <c r="N79" s="519">
        <v>169.6</v>
      </c>
      <c r="O79" s="244"/>
    </row>
    <row r="80" spans="1:15" x14ac:dyDescent="0.2">
      <c r="A80" s="244"/>
      <c r="B80" s="249">
        <f t="shared" si="2"/>
        <v>2008</v>
      </c>
      <c r="C80" s="519">
        <v>164.3</v>
      </c>
      <c r="D80" s="519">
        <v>163.19999999999999</v>
      </c>
      <c r="E80" s="519">
        <v>161</v>
      </c>
      <c r="F80" s="519">
        <v>162.69999999999999</v>
      </c>
      <c r="G80" s="519">
        <v>165.1</v>
      </c>
      <c r="H80" s="519">
        <v>171.2</v>
      </c>
      <c r="I80" s="519">
        <v>177.6</v>
      </c>
      <c r="J80" s="519">
        <v>183</v>
      </c>
      <c r="K80" s="519">
        <v>184.9</v>
      </c>
      <c r="L80" s="519">
        <v>182.4</v>
      </c>
      <c r="M80" s="519">
        <v>177.4</v>
      </c>
      <c r="N80" s="519">
        <v>176.9</v>
      </c>
      <c r="O80" s="244"/>
    </row>
    <row r="81" spans="1:15" x14ac:dyDescent="0.2">
      <c r="A81" s="244"/>
      <c r="B81" s="249">
        <f t="shared" si="2"/>
        <v>2009</v>
      </c>
      <c r="C81" s="519">
        <v>173.6</v>
      </c>
      <c r="D81" s="519">
        <v>170.8</v>
      </c>
      <c r="E81" s="519">
        <v>163.19999999999999</v>
      </c>
      <c r="F81" s="519">
        <v>160.1</v>
      </c>
      <c r="G81" s="519">
        <v>162.5</v>
      </c>
      <c r="H81" s="519">
        <v>166.2</v>
      </c>
      <c r="I81" s="519">
        <v>170.2</v>
      </c>
      <c r="J81" s="519">
        <v>170.2</v>
      </c>
      <c r="K81" s="519">
        <v>170.4</v>
      </c>
      <c r="L81" s="519">
        <v>168</v>
      </c>
      <c r="M81" s="519">
        <v>163.19999999999999</v>
      </c>
      <c r="N81" s="519">
        <v>158.30000000000001</v>
      </c>
      <c r="O81" s="244"/>
    </row>
    <row r="82" spans="1:15" x14ac:dyDescent="0.2">
      <c r="A82" s="244"/>
      <c r="B82" s="249">
        <f t="shared" si="2"/>
        <v>2010</v>
      </c>
      <c r="C82" s="519">
        <v>152.30000000000001</v>
      </c>
      <c r="D82" s="519">
        <v>149.1</v>
      </c>
      <c r="E82" s="519">
        <v>147.19999999999999</v>
      </c>
      <c r="F82" s="519">
        <v>149.30000000000001</v>
      </c>
      <c r="G82" s="519">
        <v>153.9</v>
      </c>
      <c r="H82" s="519">
        <v>158</v>
      </c>
      <c r="I82" s="519">
        <v>163.5</v>
      </c>
      <c r="J82" s="519">
        <v>163.4</v>
      </c>
      <c r="K82" s="519">
        <v>162.1</v>
      </c>
      <c r="L82" s="519">
        <v>156.69999999999999</v>
      </c>
      <c r="M82" s="519">
        <v>154.80000000000001</v>
      </c>
      <c r="N82" s="519">
        <v>157.6</v>
      </c>
      <c r="O82" s="244"/>
    </row>
    <row r="83" spans="1:15" x14ac:dyDescent="0.2">
      <c r="A83" s="244"/>
      <c r="B83" s="249">
        <f t="shared" si="2"/>
        <v>2011</v>
      </c>
      <c r="C83" s="519">
        <v>160.9</v>
      </c>
      <c r="D83" s="519">
        <v>163.6</v>
      </c>
      <c r="E83" s="519">
        <v>163.9</v>
      </c>
      <c r="F83" s="519">
        <v>168.1</v>
      </c>
      <c r="G83" s="519">
        <v>173.5</v>
      </c>
      <c r="H83" s="519">
        <v>177.7</v>
      </c>
      <c r="I83" s="519">
        <v>180</v>
      </c>
      <c r="J83" s="519">
        <v>180</v>
      </c>
      <c r="K83" s="519">
        <v>178.2</v>
      </c>
      <c r="L83" s="519">
        <v>174</v>
      </c>
      <c r="M83" s="519">
        <v>169.6</v>
      </c>
      <c r="N83" s="519">
        <v>166</v>
      </c>
      <c r="O83" s="244"/>
    </row>
    <row r="84" spans="1:15" x14ac:dyDescent="0.2">
      <c r="A84" s="244"/>
      <c r="B84" s="249">
        <f t="shared" si="2"/>
        <v>2012</v>
      </c>
      <c r="C84" s="519">
        <v>164.7</v>
      </c>
      <c r="D84" s="519">
        <v>162.5</v>
      </c>
      <c r="E84" s="519">
        <v>161.80000000000001</v>
      </c>
      <c r="F84" s="519">
        <v>162.19999999999999</v>
      </c>
      <c r="G84" s="519">
        <v>166.2</v>
      </c>
      <c r="H84" s="519">
        <v>171.4</v>
      </c>
      <c r="I84" s="519">
        <v>173.8</v>
      </c>
      <c r="J84" s="519">
        <v>174.1</v>
      </c>
      <c r="K84" s="519">
        <v>169.8</v>
      </c>
      <c r="L84" s="519">
        <v>166</v>
      </c>
      <c r="M84" s="519">
        <v>162.69999999999999</v>
      </c>
      <c r="N84" s="519">
        <v>164</v>
      </c>
      <c r="O84" s="244"/>
    </row>
    <row r="85" spans="1:15" x14ac:dyDescent="0.2">
      <c r="A85" s="244"/>
      <c r="B85" s="249">
        <f t="shared" si="2"/>
        <v>2013</v>
      </c>
      <c r="C85" s="519">
        <v>164.2</v>
      </c>
      <c r="D85" s="519">
        <v>165</v>
      </c>
      <c r="E85" s="519">
        <v>165</v>
      </c>
      <c r="F85" s="519">
        <v>166.8</v>
      </c>
      <c r="G85" s="519">
        <v>170.2</v>
      </c>
      <c r="H85" s="519">
        <v>171.4</v>
      </c>
      <c r="I85" s="519">
        <v>175.5</v>
      </c>
      <c r="J85" s="519">
        <v>177.9</v>
      </c>
      <c r="K85" s="519">
        <v>177.6</v>
      </c>
      <c r="L85" s="519">
        <v>173</v>
      </c>
      <c r="M85" s="519">
        <v>165.7</v>
      </c>
      <c r="N85" s="519">
        <v>160.5</v>
      </c>
      <c r="O85" s="244"/>
    </row>
    <row r="86" spans="1:15" x14ac:dyDescent="0.2">
      <c r="A86" s="244"/>
      <c r="B86" s="249">
        <f t="shared" si="2"/>
        <v>2014</v>
      </c>
      <c r="C86" s="519">
        <v>157.69999999999999</v>
      </c>
      <c r="D86" s="519">
        <v>156.1</v>
      </c>
      <c r="E86" s="519">
        <v>156.4</v>
      </c>
      <c r="F86" s="519">
        <v>158.5</v>
      </c>
      <c r="G86" s="519">
        <v>163.6</v>
      </c>
      <c r="H86" s="519">
        <v>170.4</v>
      </c>
      <c r="I86" s="519">
        <v>175.7</v>
      </c>
      <c r="J86" s="519">
        <v>179.7</v>
      </c>
      <c r="K86" s="519">
        <v>177.1</v>
      </c>
      <c r="L86" s="519">
        <v>172.2</v>
      </c>
      <c r="M86" s="519">
        <v>165.4</v>
      </c>
      <c r="N86" s="519">
        <v>162.1</v>
      </c>
      <c r="O86" s="244"/>
    </row>
    <row r="87" spans="1:15" x14ac:dyDescent="0.2">
      <c r="A87" s="244"/>
      <c r="B87" s="249">
        <f>B73</f>
        <v>2015</v>
      </c>
      <c r="C87" s="519">
        <v>157.6</v>
      </c>
      <c r="D87" s="519">
        <v>155.1</v>
      </c>
      <c r="E87" s="519">
        <v>151.80000000000001</v>
      </c>
      <c r="F87" s="519">
        <v>153.1</v>
      </c>
      <c r="G87" s="519">
        <v>156.30000000000001</v>
      </c>
      <c r="H87" s="519">
        <v>161.69999999999999</v>
      </c>
      <c r="I87" s="519">
        <v>164.3</v>
      </c>
      <c r="J87" s="519">
        <v>163.5</v>
      </c>
      <c r="K87" s="519">
        <v>160.6</v>
      </c>
      <c r="L87" s="519">
        <v>158.4</v>
      </c>
      <c r="M87" s="519">
        <v>154.80000000000001</v>
      </c>
      <c r="N87" s="519">
        <v>151.5</v>
      </c>
      <c r="O87" s="244"/>
    </row>
    <row r="88" spans="1:15" x14ac:dyDescent="0.2">
      <c r="A88" s="244"/>
      <c r="B88" s="245"/>
      <c r="C88" s="245"/>
      <c r="D88" s="245"/>
      <c r="E88" s="245"/>
      <c r="F88" s="245"/>
      <c r="G88" s="245"/>
      <c r="H88" s="245"/>
      <c r="I88" s="245"/>
      <c r="J88" s="245"/>
      <c r="K88" s="245"/>
      <c r="L88" s="245"/>
      <c r="M88" s="245"/>
      <c r="N88" s="245"/>
      <c r="O88" s="244"/>
    </row>
    <row r="89" spans="1:15" x14ac:dyDescent="0.2">
      <c r="A89" s="244"/>
      <c r="B89" s="245"/>
      <c r="C89" s="245"/>
      <c r="D89" s="245"/>
      <c r="E89" s="245"/>
      <c r="F89" s="245"/>
      <c r="G89" s="245"/>
      <c r="H89" s="245"/>
      <c r="I89" s="245"/>
      <c r="J89" s="245"/>
      <c r="K89" s="245"/>
      <c r="L89" s="245"/>
      <c r="M89" s="245"/>
      <c r="N89" s="245"/>
      <c r="O89" s="244"/>
    </row>
    <row r="90" spans="1:15" x14ac:dyDescent="0.2">
      <c r="A90" s="244"/>
      <c r="B90" s="251" t="s">
        <v>441</v>
      </c>
      <c r="C90" s="245"/>
      <c r="D90" s="245"/>
      <c r="E90" s="245"/>
      <c r="F90" s="245"/>
      <c r="G90" s="245"/>
      <c r="H90" s="245"/>
      <c r="I90" s="245"/>
      <c r="J90" s="245"/>
      <c r="K90" s="245"/>
      <c r="L90" s="245"/>
      <c r="M90" s="245"/>
      <c r="N90" s="245"/>
      <c r="O90" s="244"/>
    </row>
    <row r="91" spans="1:15" x14ac:dyDescent="0.2">
      <c r="A91" s="244"/>
      <c r="B91" s="244"/>
      <c r="C91" s="248" t="s">
        <v>132</v>
      </c>
      <c r="D91" s="248" t="s">
        <v>133</v>
      </c>
      <c r="E91" s="248" t="s">
        <v>134</v>
      </c>
      <c r="F91" s="248" t="s">
        <v>135</v>
      </c>
      <c r="G91" s="248" t="s">
        <v>113</v>
      </c>
      <c r="H91" s="248" t="s">
        <v>136</v>
      </c>
      <c r="I91" s="248" t="s">
        <v>137</v>
      </c>
      <c r="J91" s="248" t="s">
        <v>138</v>
      </c>
      <c r="K91" s="248" t="s">
        <v>139</v>
      </c>
      <c r="L91" s="248" t="s">
        <v>142</v>
      </c>
      <c r="M91" s="248" t="s">
        <v>140</v>
      </c>
      <c r="N91" s="248" t="s">
        <v>141</v>
      </c>
      <c r="O91" s="244"/>
    </row>
    <row r="92" spans="1:15" x14ac:dyDescent="0.2">
      <c r="A92" s="244"/>
      <c r="B92" s="249">
        <f t="shared" ref="B92:B100" si="3">B78</f>
        <v>2006</v>
      </c>
      <c r="C92" s="522">
        <v>9.09</v>
      </c>
      <c r="D92" s="522">
        <v>10.19</v>
      </c>
      <c r="E92" s="522">
        <v>11.51</v>
      </c>
      <c r="F92" s="522">
        <v>13.28</v>
      </c>
      <c r="G92" s="522">
        <v>14.52</v>
      </c>
      <c r="H92" s="522">
        <v>15.35</v>
      </c>
      <c r="I92" s="522">
        <v>15.15</v>
      </c>
      <c r="J92" s="522">
        <v>14.03</v>
      </c>
      <c r="K92" s="522">
        <v>12.29</v>
      </c>
      <c r="L92" s="522">
        <v>10.51</v>
      </c>
      <c r="M92" s="522">
        <v>9.2799999999999994</v>
      </c>
      <c r="N92" s="522">
        <v>8.4700000000000006</v>
      </c>
      <c r="O92" s="244"/>
    </row>
    <row r="93" spans="1:15" x14ac:dyDescent="0.2">
      <c r="A93" s="244"/>
      <c r="B93" s="249">
        <f t="shared" si="3"/>
        <v>2007</v>
      </c>
      <c r="C93" s="522">
        <v>9.09</v>
      </c>
      <c r="D93" s="522">
        <v>10.19</v>
      </c>
      <c r="E93" s="522">
        <v>11.51</v>
      </c>
      <c r="F93" s="522">
        <v>13.28</v>
      </c>
      <c r="G93" s="522">
        <v>14.52</v>
      </c>
      <c r="H93" s="522">
        <v>15.35</v>
      </c>
      <c r="I93" s="522">
        <v>15.15</v>
      </c>
      <c r="J93" s="522">
        <v>14.03</v>
      </c>
      <c r="K93" s="522">
        <v>12.29</v>
      </c>
      <c r="L93" s="522">
        <v>10.51</v>
      </c>
      <c r="M93" s="522">
        <v>9.2799999999999994</v>
      </c>
      <c r="N93" s="522">
        <v>8.4700000000000006</v>
      </c>
      <c r="O93" s="244"/>
    </row>
    <row r="94" spans="1:15" x14ac:dyDescent="0.2">
      <c r="A94" s="244"/>
      <c r="B94" s="249">
        <f t="shared" si="3"/>
        <v>2008</v>
      </c>
      <c r="C94" s="522">
        <v>9.09</v>
      </c>
      <c r="D94" s="522">
        <v>10.19</v>
      </c>
      <c r="E94" s="522">
        <v>11.51</v>
      </c>
      <c r="F94" s="522">
        <v>13.28</v>
      </c>
      <c r="G94" s="522">
        <v>14.52</v>
      </c>
      <c r="H94" s="522">
        <v>15.35</v>
      </c>
      <c r="I94" s="522">
        <v>15.15</v>
      </c>
      <c r="J94" s="522">
        <v>14.03</v>
      </c>
      <c r="K94" s="522">
        <v>12.29</v>
      </c>
      <c r="L94" s="522">
        <v>10.51</v>
      </c>
      <c r="M94" s="522">
        <v>9.2799999999999994</v>
      </c>
      <c r="N94" s="522">
        <v>8.4700000000000006</v>
      </c>
      <c r="O94" s="244"/>
    </row>
    <row r="95" spans="1:15" x14ac:dyDescent="0.2">
      <c r="A95" s="244"/>
      <c r="B95" s="249">
        <f t="shared" si="3"/>
        <v>2009</v>
      </c>
      <c r="C95" s="522">
        <v>9.09</v>
      </c>
      <c r="D95" s="522">
        <v>10.19</v>
      </c>
      <c r="E95" s="522">
        <v>11.51</v>
      </c>
      <c r="F95" s="522">
        <v>13.28</v>
      </c>
      <c r="G95" s="522">
        <v>14.52</v>
      </c>
      <c r="H95" s="522">
        <v>15.35</v>
      </c>
      <c r="I95" s="522">
        <v>15.15</v>
      </c>
      <c r="J95" s="522">
        <v>14.03</v>
      </c>
      <c r="K95" s="522">
        <v>12.29</v>
      </c>
      <c r="L95" s="522">
        <v>10.51</v>
      </c>
      <c r="M95" s="522">
        <v>9.2799999999999994</v>
      </c>
      <c r="N95" s="522">
        <v>8.4700000000000006</v>
      </c>
      <c r="O95" s="244"/>
    </row>
    <row r="96" spans="1:15" x14ac:dyDescent="0.2">
      <c r="A96" s="244"/>
      <c r="B96" s="249">
        <f t="shared" si="3"/>
        <v>2010</v>
      </c>
      <c r="C96" s="522">
        <v>9.09</v>
      </c>
      <c r="D96" s="522">
        <v>10.19</v>
      </c>
      <c r="E96" s="522">
        <v>11.51</v>
      </c>
      <c r="F96" s="522">
        <v>13.28</v>
      </c>
      <c r="G96" s="522">
        <v>14.52</v>
      </c>
      <c r="H96" s="522">
        <v>15.35</v>
      </c>
      <c r="I96" s="522">
        <v>15.15</v>
      </c>
      <c r="J96" s="522">
        <v>14.03</v>
      </c>
      <c r="K96" s="522">
        <v>12.29</v>
      </c>
      <c r="L96" s="522">
        <v>10.51</v>
      </c>
      <c r="M96" s="522">
        <v>9.2799999999999994</v>
      </c>
      <c r="N96" s="522">
        <v>8.4700000000000006</v>
      </c>
      <c r="O96" s="244"/>
    </row>
    <row r="97" spans="1:15" x14ac:dyDescent="0.2">
      <c r="A97" s="244"/>
      <c r="B97" s="249">
        <f t="shared" si="3"/>
        <v>2011</v>
      </c>
      <c r="C97" s="522">
        <v>9.09</v>
      </c>
      <c r="D97" s="522">
        <v>10.19</v>
      </c>
      <c r="E97" s="522">
        <v>11.51</v>
      </c>
      <c r="F97" s="522">
        <v>13.28</v>
      </c>
      <c r="G97" s="522">
        <v>14.52</v>
      </c>
      <c r="H97" s="522">
        <v>15.35</v>
      </c>
      <c r="I97" s="522">
        <v>15.15</v>
      </c>
      <c r="J97" s="522">
        <v>14.03</v>
      </c>
      <c r="K97" s="522">
        <v>12.29</v>
      </c>
      <c r="L97" s="522">
        <v>10.51</v>
      </c>
      <c r="M97" s="522">
        <v>9.2799999999999994</v>
      </c>
      <c r="N97" s="522">
        <v>8.4700000000000006</v>
      </c>
      <c r="O97" s="244"/>
    </row>
    <row r="98" spans="1:15" x14ac:dyDescent="0.2">
      <c r="A98" s="244"/>
      <c r="B98" s="249">
        <f t="shared" si="3"/>
        <v>2012</v>
      </c>
      <c r="C98" s="522">
        <v>9.09</v>
      </c>
      <c r="D98" s="522">
        <v>10.19</v>
      </c>
      <c r="E98" s="522">
        <v>11.51</v>
      </c>
      <c r="F98" s="522">
        <v>13.28</v>
      </c>
      <c r="G98" s="522">
        <v>14.52</v>
      </c>
      <c r="H98" s="522">
        <v>15.35</v>
      </c>
      <c r="I98" s="522">
        <v>15.15</v>
      </c>
      <c r="J98" s="522">
        <v>14.03</v>
      </c>
      <c r="K98" s="522">
        <v>12.29</v>
      </c>
      <c r="L98" s="522">
        <v>10.51</v>
      </c>
      <c r="M98" s="522">
        <v>9.2799999999999994</v>
      </c>
      <c r="N98" s="522">
        <v>8.4700000000000006</v>
      </c>
      <c r="O98" s="244"/>
    </row>
    <row r="99" spans="1:15" x14ac:dyDescent="0.2">
      <c r="A99" s="244"/>
      <c r="B99" s="249">
        <f t="shared" si="3"/>
        <v>2013</v>
      </c>
      <c r="C99" s="522">
        <v>9.09</v>
      </c>
      <c r="D99" s="522">
        <v>10.19</v>
      </c>
      <c r="E99" s="522">
        <v>11.51</v>
      </c>
      <c r="F99" s="522">
        <v>13.28</v>
      </c>
      <c r="G99" s="522">
        <v>14.52</v>
      </c>
      <c r="H99" s="522">
        <v>15.35</v>
      </c>
      <c r="I99" s="522">
        <v>15.15</v>
      </c>
      <c r="J99" s="522">
        <v>14.03</v>
      </c>
      <c r="K99" s="522">
        <v>12.29</v>
      </c>
      <c r="L99" s="522">
        <v>10.51</v>
      </c>
      <c r="M99" s="522">
        <v>9.2799999999999994</v>
      </c>
      <c r="N99" s="522">
        <v>8.4700000000000006</v>
      </c>
      <c r="O99" s="244"/>
    </row>
    <row r="100" spans="1:15" x14ac:dyDescent="0.2">
      <c r="A100" s="244"/>
      <c r="B100" s="249">
        <f t="shared" si="3"/>
        <v>2014</v>
      </c>
      <c r="C100" s="522">
        <v>9.09</v>
      </c>
      <c r="D100" s="522">
        <v>10.19</v>
      </c>
      <c r="E100" s="522">
        <v>11.51</v>
      </c>
      <c r="F100" s="522">
        <v>13.28</v>
      </c>
      <c r="G100" s="522">
        <v>14.52</v>
      </c>
      <c r="H100" s="522">
        <v>15.35</v>
      </c>
      <c r="I100" s="522">
        <v>15.15</v>
      </c>
      <c r="J100" s="522">
        <v>14.03</v>
      </c>
      <c r="K100" s="522">
        <v>12.29</v>
      </c>
      <c r="L100" s="522">
        <v>10.51</v>
      </c>
      <c r="M100" s="522">
        <v>9.2799999999999994</v>
      </c>
      <c r="N100" s="522">
        <v>8.4700000000000006</v>
      </c>
      <c r="O100" s="244"/>
    </row>
    <row r="101" spans="1:15" x14ac:dyDescent="0.2">
      <c r="A101" s="244"/>
      <c r="B101" s="249">
        <f>B87</f>
        <v>2015</v>
      </c>
      <c r="C101" s="522">
        <v>9.09</v>
      </c>
      <c r="D101" s="522">
        <v>10.19</v>
      </c>
      <c r="E101" s="522">
        <v>11.51</v>
      </c>
      <c r="F101" s="522">
        <v>13.28</v>
      </c>
      <c r="G101" s="522">
        <v>14.52</v>
      </c>
      <c r="H101" s="522">
        <v>15.35</v>
      </c>
      <c r="I101" s="522">
        <v>15.15</v>
      </c>
      <c r="J101" s="522">
        <v>14.03</v>
      </c>
      <c r="K101" s="522">
        <v>12.29</v>
      </c>
      <c r="L101" s="522">
        <v>10.51</v>
      </c>
      <c r="M101" s="522">
        <v>9.2799999999999994</v>
      </c>
      <c r="N101" s="522">
        <v>8.4700000000000006</v>
      </c>
      <c r="O101" s="244"/>
    </row>
    <row r="102" spans="1:15" x14ac:dyDescent="0.2">
      <c r="A102" s="244"/>
      <c r="B102" s="245"/>
      <c r="C102" s="245"/>
      <c r="D102" s="245"/>
      <c r="E102" s="245"/>
      <c r="F102" s="245"/>
      <c r="G102" s="245"/>
      <c r="H102" s="245"/>
      <c r="I102" s="245"/>
      <c r="J102" s="245"/>
      <c r="K102" s="245"/>
      <c r="L102" s="245"/>
      <c r="M102" s="245"/>
      <c r="N102" s="245"/>
      <c r="O102" s="244"/>
    </row>
    <row r="103" spans="1:15" x14ac:dyDescent="0.2">
      <c r="A103" s="244"/>
      <c r="B103" s="245"/>
      <c r="C103" s="245"/>
      <c r="D103" s="245"/>
      <c r="E103" s="245"/>
      <c r="F103" s="245"/>
      <c r="G103" s="245"/>
      <c r="H103" s="245"/>
      <c r="I103" s="245"/>
      <c r="J103" s="245"/>
      <c r="K103" s="245"/>
      <c r="L103" s="245"/>
      <c r="M103" s="245"/>
      <c r="N103" s="245"/>
      <c r="O103" s="244"/>
    </row>
    <row r="104" spans="1:15" x14ac:dyDescent="0.2">
      <c r="A104" s="244"/>
      <c r="B104" s="251" t="s">
        <v>485</v>
      </c>
      <c r="C104" s="245"/>
      <c r="D104" s="245"/>
      <c r="E104" s="245"/>
      <c r="F104" s="245"/>
      <c r="G104" s="245"/>
      <c r="H104" s="245"/>
      <c r="I104" s="245"/>
      <c r="J104" s="245"/>
      <c r="K104" s="245"/>
      <c r="L104" s="245"/>
      <c r="M104" s="245"/>
      <c r="N104" s="245"/>
      <c r="O104" s="244"/>
    </row>
    <row r="105" spans="1:15" x14ac:dyDescent="0.2">
      <c r="A105" s="244"/>
      <c r="B105" s="244"/>
      <c r="C105" s="248" t="s">
        <v>132</v>
      </c>
      <c r="D105" s="248" t="s">
        <v>133</v>
      </c>
      <c r="E105" s="248" t="s">
        <v>134</v>
      </c>
      <c r="F105" s="248" t="s">
        <v>135</v>
      </c>
      <c r="G105" s="248" t="s">
        <v>113</v>
      </c>
      <c r="H105" s="248" t="s">
        <v>136</v>
      </c>
      <c r="I105" s="248" t="s">
        <v>137</v>
      </c>
      <c r="J105" s="248" t="s">
        <v>138</v>
      </c>
      <c r="K105" s="248" t="s">
        <v>139</v>
      </c>
      <c r="L105" s="248" t="s">
        <v>142</v>
      </c>
      <c r="M105" s="248" t="s">
        <v>140</v>
      </c>
      <c r="N105" s="248" t="s">
        <v>141</v>
      </c>
      <c r="O105" s="244"/>
    </row>
    <row r="106" spans="1:15" x14ac:dyDescent="0.2">
      <c r="A106" s="244"/>
      <c r="B106" s="249">
        <f t="shared" ref="B106:B114" si="4">B92</f>
        <v>2006</v>
      </c>
      <c r="C106" s="833"/>
      <c r="D106" s="833"/>
      <c r="E106" s="833"/>
      <c r="F106" s="833"/>
      <c r="G106" s="833"/>
      <c r="H106" s="833"/>
      <c r="I106" s="833"/>
      <c r="J106" s="833"/>
      <c r="K106" s="833"/>
      <c r="L106" s="833"/>
      <c r="M106" s="833"/>
      <c r="N106" s="833"/>
      <c r="O106" s="244"/>
    </row>
    <row r="107" spans="1:15" x14ac:dyDescent="0.2">
      <c r="A107" s="244"/>
      <c r="B107" s="249">
        <f t="shared" si="4"/>
        <v>2007</v>
      </c>
      <c r="C107" s="833"/>
      <c r="D107" s="833"/>
      <c r="E107" s="833"/>
      <c r="F107" s="833"/>
      <c r="G107" s="833"/>
      <c r="H107" s="833"/>
      <c r="I107" s="833"/>
      <c r="J107" s="833"/>
      <c r="K107" s="833"/>
      <c r="L107" s="833"/>
      <c r="M107" s="833"/>
      <c r="N107" s="833"/>
      <c r="O107" s="244"/>
    </row>
    <row r="108" spans="1:15" x14ac:dyDescent="0.2">
      <c r="A108" s="244"/>
      <c r="B108" s="249">
        <f t="shared" si="4"/>
        <v>2008</v>
      </c>
      <c r="C108" s="833"/>
      <c r="D108" s="833"/>
      <c r="E108" s="833"/>
      <c r="F108" s="833"/>
      <c r="G108" s="833"/>
      <c r="H108" s="833"/>
      <c r="I108" s="833"/>
      <c r="J108" s="833"/>
      <c r="K108" s="833"/>
      <c r="L108" s="833"/>
      <c r="M108" s="833"/>
      <c r="N108" s="833"/>
      <c r="O108" s="244"/>
    </row>
    <row r="109" spans="1:15" x14ac:dyDescent="0.2">
      <c r="A109" s="244"/>
      <c r="B109" s="249">
        <f t="shared" si="4"/>
        <v>2009</v>
      </c>
      <c r="C109" s="833"/>
      <c r="D109" s="833"/>
      <c r="E109" s="833"/>
      <c r="F109" s="833"/>
      <c r="G109" s="833"/>
      <c r="H109" s="833"/>
      <c r="I109" s="833"/>
      <c r="J109" s="833"/>
      <c r="K109" s="833"/>
      <c r="L109" s="833"/>
      <c r="M109" s="833"/>
      <c r="N109" s="833"/>
      <c r="O109" s="244"/>
    </row>
    <row r="110" spans="1:15" x14ac:dyDescent="0.2">
      <c r="A110" s="244"/>
      <c r="B110" s="249">
        <f t="shared" si="4"/>
        <v>2010</v>
      </c>
      <c r="C110" s="833"/>
      <c r="D110" s="833"/>
      <c r="E110" s="833"/>
      <c r="F110" s="833"/>
      <c r="G110" s="833"/>
      <c r="H110" s="833"/>
      <c r="I110" s="833"/>
      <c r="J110" s="833"/>
      <c r="K110" s="833"/>
      <c r="L110" s="833"/>
      <c r="M110" s="833"/>
      <c r="N110" s="833"/>
      <c r="O110" s="244"/>
    </row>
    <row r="111" spans="1:15" x14ac:dyDescent="0.2">
      <c r="A111" s="244"/>
      <c r="B111" s="249">
        <f t="shared" si="4"/>
        <v>2011</v>
      </c>
      <c r="C111" s="833"/>
      <c r="D111" s="833"/>
      <c r="E111" s="833"/>
      <c r="F111" s="833"/>
      <c r="G111" s="833"/>
      <c r="H111" s="833"/>
      <c r="I111" s="833"/>
      <c r="J111" s="833"/>
      <c r="K111" s="833"/>
      <c r="L111" s="833"/>
      <c r="M111" s="833"/>
      <c r="N111" s="833"/>
      <c r="O111" s="244"/>
    </row>
    <row r="112" spans="1:15" x14ac:dyDescent="0.2">
      <c r="A112" s="244"/>
      <c r="B112" s="249">
        <f t="shared" si="4"/>
        <v>2012</v>
      </c>
      <c r="C112" s="833"/>
      <c r="D112" s="833"/>
      <c r="E112" s="833"/>
      <c r="F112" s="833"/>
      <c r="G112" s="833"/>
      <c r="H112" s="833"/>
      <c r="I112" s="833"/>
      <c r="J112" s="833"/>
      <c r="K112" s="833"/>
      <c r="L112" s="833"/>
      <c r="M112" s="833"/>
      <c r="N112" s="833"/>
      <c r="O112" s="244"/>
    </row>
    <row r="113" spans="1:15" x14ac:dyDescent="0.2">
      <c r="A113" s="244"/>
      <c r="B113" s="249">
        <f t="shared" si="4"/>
        <v>2013</v>
      </c>
      <c r="C113" s="833"/>
      <c r="D113" s="833"/>
      <c r="E113" s="833"/>
      <c r="F113" s="833"/>
      <c r="G113" s="833"/>
      <c r="H113" s="833"/>
      <c r="I113" s="833"/>
      <c r="J113" s="833"/>
      <c r="K113" s="833"/>
      <c r="L113" s="833"/>
      <c r="M113" s="833"/>
      <c r="N113" s="833"/>
      <c r="O113" s="244"/>
    </row>
    <row r="114" spans="1:15" x14ac:dyDescent="0.2">
      <c r="A114" s="244"/>
      <c r="B114" s="249">
        <f t="shared" si="4"/>
        <v>2014</v>
      </c>
      <c r="C114" s="833"/>
      <c r="D114" s="833"/>
      <c r="E114" s="833"/>
      <c r="F114" s="833"/>
      <c r="G114" s="833"/>
      <c r="H114" s="833"/>
      <c r="I114" s="833"/>
      <c r="J114" s="833"/>
      <c r="K114" s="833"/>
      <c r="L114" s="833"/>
      <c r="M114" s="833"/>
      <c r="N114" s="833"/>
      <c r="O114" s="244"/>
    </row>
    <row r="115" spans="1:15" x14ac:dyDescent="0.2">
      <c r="A115" s="244"/>
      <c r="B115" s="249">
        <f>B101</f>
        <v>2015</v>
      </c>
      <c r="C115" s="833"/>
      <c r="D115" s="833"/>
      <c r="E115" s="833"/>
      <c r="F115" s="833"/>
      <c r="G115" s="833"/>
      <c r="H115" s="833"/>
      <c r="I115" s="833"/>
      <c r="J115" s="833"/>
      <c r="K115" s="833"/>
      <c r="L115" s="833"/>
      <c r="M115" s="833"/>
      <c r="N115" s="833"/>
      <c r="O115" s="244"/>
    </row>
    <row r="116" spans="1:15" x14ac:dyDescent="0.2">
      <c r="A116" s="244"/>
      <c r="B116" s="245"/>
      <c r="C116" s="245"/>
      <c r="D116" s="245"/>
      <c r="E116" s="245"/>
      <c r="F116" s="245"/>
      <c r="G116" s="245"/>
      <c r="H116" s="245"/>
      <c r="I116" s="245"/>
      <c r="J116" s="245"/>
      <c r="K116" s="245"/>
      <c r="L116" s="245"/>
      <c r="M116" s="245"/>
      <c r="N116" s="245"/>
      <c r="O116" s="244"/>
    </row>
    <row r="117" spans="1:15" x14ac:dyDescent="0.2">
      <c r="A117" s="244"/>
      <c r="B117" s="245"/>
      <c r="C117" s="245"/>
      <c r="D117" s="245"/>
      <c r="E117" s="245"/>
      <c r="F117" s="245"/>
      <c r="G117" s="245"/>
      <c r="H117" s="245"/>
      <c r="I117" s="245"/>
      <c r="J117" s="245"/>
      <c r="K117" s="245"/>
      <c r="L117" s="245"/>
      <c r="M117" s="245"/>
      <c r="N117" s="245"/>
      <c r="O117" s="244"/>
    </row>
    <row r="118" spans="1:15" x14ac:dyDescent="0.2">
      <c r="A118" s="244"/>
      <c r="B118" s="252" t="s">
        <v>130</v>
      </c>
      <c r="C118" s="245"/>
      <c r="D118" s="245"/>
      <c r="E118" s="245"/>
      <c r="F118" s="245"/>
      <c r="G118" s="245"/>
      <c r="H118" s="245"/>
      <c r="I118" s="245"/>
      <c r="J118" s="245"/>
      <c r="K118" s="245"/>
      <c r="L118" s="245"/>
      <c r="M118" s="245"/>
      <c r="N118" s="245"/>
      <c r="O118" s="244"/>
    </row>
    <row r="119" spans="1:15" x14ac:dyDescent="0.2">
      <c r="A119" s="244"/>
      <c r="B119" s="253"/>
      <c r="C119" s="245"/>
      <c r="D119" s="245"/>
      <c r="E119" s="245"/>
      <c r="F119" s="245"/>
      <c r="G119" s="245"/>
      <c r="H119" s="245"/>
      <c r="I119" s="245"/>
      <c r="J119" s="245"/>
      <c r="K119" s="245"/>
      <c r="L119" s="245"/>
      <c r="M119" s="245"/>
      <c r="N119" s="245"/>
      <c r="O119" s="244"/>
    </row>
    <row r="120" spans="1:15" x14ac:dyDescent="0.2">
      <c r="A120" s="244"/>
      <c r="B120" s="254" t="str">
        <f>Variable1</f>
        <v>HDD</v>
      </c>
      <c r="C120" s="245"/>
      <c r="D120" s="245"/>
      <c r="E120" s="245"/>
      <c r="F120" s="245"/>
      <c r="G120" s="245"/>
      <c r="H120" s="245"/>
      <c r="I120" s="245"/>
      <c r="J120" s="245"/>
      <c r="K120" s="245"/>
      <c r="L120" s="245"/>
      <c r="M120" s="245"/>
      <c r="N120" s="245"/>
      <c r="O120" s="244"/>
    </row>
    <row r="121" spans="1:15" x14ac:dyDescent="0.2">
      <c r="A121" s="244"/>
      <c r="B121" s="254" t="str">
        <f>Variable2</f>
        <v>CDD</v>
      </c>
      <c r="C121" s="245"/>
      <c r="D121" s="245"/>
      <c r="E121" s="245"/>
      <c r="F121" s="245"/>
      <c r="G121" s="245"/>
      <c r="H121" s="245"/>
      <c r="I121" s="245"/>
      <c r="J121" s="245"/>
      <c r="K121" s="245"/>
      <c r="L121" s="245"/>
      <c r="M121" s="245"/>
      <c r="N121" s="245"/>
      <c r="O121" s="244"/>
    </row>
    <row r="122" spans="1:15" x14ac:dyDescent="0.2">
      <c r="A122" s="244"/>
      <c r="B122" s="254" t="str">
        <f>Variable3</f>
        <v>Number of Days in Month</v>
      </c>
      <c r="C122" s="245"/>
      <c r="D122" s="245"/>
      <c r="E122" s="245"/>
      <c r="F122" s="245"/>
      <c r="G122" s="245"/>
      <c r="H122" s="245"/>
      <c r="I122" s="245"/>
      <c r="J122" s="245"/>
      <c r="K122" s="245"/>
      <c r="L122" s="245"/>
      <c r="M122" s="245"/>
      <c r="N122" s="245"/>
      <c r="O122" s="244"/>
    </row>
    <row r="123" spans="1:15" x14ac:dyDescent="0.2">
      <c r="A123" s="244"/>
      <c r="B123" s="254" t="str">
        <f>B76</f>
        <v>Employment Stats</v>
      </c>
      <c r="C123" s="245"/>
      <c r="D123" s="245"/>
      <c r="E123" s="245"/>
      <c r="F123" s="245"/>
      <c r="G123" s="245"/>
      <c r="H123" s="245"/>
      <c r="I123" s="245"/>
      <c r="J123" s="245"/>
      <c r="K123" s="245"/>
      <c r="L123" s="245"/>
      <c r="M123" s="245"/>
      <c r="N123" s="245"/>
      <c r="O123" s="244"/>
    </row>
    <row r="124" spans="1:15" x14ac:dyDescent="0.2">
      <c r="A124" s="244"/>
      <c r="B124" s="254" t="str">
        <f>Variable5</f>
        <v>Daylight hours</v>
      </c>
      <c r="C124" s="245"/>
      <c r="D124" s="245"/>
      <c r="E124" s="245"/>
      <c r="F124" s="245"/>
      <c r="G124" s="245"/>
      <c r="H124" s="245"/>
      <c r="I124" s="245"/>
      <c r="J124" s="245"/>
      <c r="K124" s="245"/>
      <c r="L124" s="245"/>
      <c r="M124" s="245"/>
      <c r="N124" s="245"/>
      <c r="O124" s="244"/>
    </row>
    <row r="125" spans="1:15" x14ac:dyDescent="0.2">
      <c r="A125" s="244"/>
      <c r="B125" s="254" t="str">
        <f>Variable6</f>
        <v>Future use</v>
      </c>
      <c r="C125" s="245"/>
      <c r="D125" s="245"/>
      <c r="E125" s="245"/>
      <c r="F125" s="245"/>
      <c r="G125" s="245"/>
      <c r="H125" s="245"/>
      <c r="I125" s="245"/>
      <c r="J125" s="245"/>
      <c r="K125" s="245"/>
      <c r="L125" s="245"/>
      <c r="M125" s="245"/>
      <c r="N125" s="245"/>
      <c r="O125" s="244"/>
    </row>
    <row r="126" spans="1:15" x14ac:dyDescent="0.2">
      <c r="A126" s="244"/>
      <c r="B126" s="245"/>
      <c r="C126" s="245"/>
      <c r="D126" s="245"/>
      <c r="E126" s="245"/>
      <c r="F126" s="245"/>
      <c r="G126" s="245"/>
      <c r="H126" s="245"/>
      <c r="I126" s="245"/>
      <c r="J126" s="245"/>
      <c r="K126" s="245"/>
      <c r="L126" s="245"/>
      <c r="M126" s="245"/>
      <c r="N126" s="245"/>
      <c r="O126" s="244"/>
    </row>
    <row r="127" spans="1:15" x14ac:dyDescent="0.2">
      <c r="A127" s="244"/>
      <c r="B127" s="245"/>
      <c r="C127" s="245"/>
      <c r="D127" s="245"/>
      <c r="E127" s="245"/>
      <c r="F127" s="245"/>
      <c r="G127" s="245"/>
      <c r="H127" s="245"/>
      <c r="I127" s="245"/>
      <c r="J127" s="245"/>
      <c r="K127" s="245"/>
      <c r="L127" s="245"/>
      <c r="M127" s="245"/>
      <c r="N127" s="245"/>
      <c r="O127" s="244"/>
    </row>
    <row r="128" spans="1:15" x14ac:dyDescent="0.2">
      <c r="A128" s="244"/>
      <c r="B128" s="245"/>
      <c r="C128" s="245"/>
      <c r="D128" s="245"/>
      <c r="E128" s="245"/>
      <c r="F128" s="245"/>
      <c r="G128" s="245"/>
      <c r="H128" s="245"/>
      <c r="I128" s="245"/>
      <c r="J128" s="245"/>
      <c r="K128" s="245"/>
      <c r="L128" s="245"/>
      <c r="M128" s="245"/>
      <c r="N128" s="245"/>
      <c r="O128" s="244"/>
    </row>
    <row r="129" spans="1:15" x14ac:dyDescent="0.2">
      <c r="A129" s="244"/>
      <c r="B129" s="245"/>
      <c r="C129" s="245"/>
      <c r="D129" s="245"/>
      <c r="E129" s="245"/>
      <c r="F129" s="245"/>
      <c r="G129" s="245"/>
      <c r="H129" s="245"/>
      <c r="I129" s="245"/>
      <c r="J129" s="245"/>
      <c r="K129" s="245"/>
      <c r="L129" s="245"/>
      <c r="M129" s="245"/>
      <c r="N129" s="245"/>
      <c r="O129" s="244"/>
    </row>
    <row r="130" spans="1:15" x14ac:dyDescent="0.2">
      <c r="A130" s="244"/>
      <c r="B130" s="245"/>
      <c r="C130" s="245"/>
      <c r="D130" s="245"/>
      <c r="E130" s="245"/>
      <c r="F130" s="245"/>
      <c r="G130" s="245"/>
      <c r="H130" s="245"/>
      <c r="I130" s="245"/>
      <c r="J130" s="245"/>
      <c r="K130" s="245"/>
      <c r="L130" s="245"/>
      <c r="M130" s="245"/>
      <c r="N130" s="245"/>
      <c r="O130" s="244"/>
    </row>
    <row r="131" spans="1:15" x14ac:dyDescent="0.2">
      <c r="A131" s="244"/>
      <c r="B131" s="245"/>
      <c r="C131" s="245"/>
      <c r="D131" s="245"/>
      <c r="E131" s="245"/>
      <c r="F131" s="245"/>
      <c r="G131" s="245"/>
      <c r="H131" s="245"/>
      <c r="I131" s="245"/>
      <c r="J131" s="245"/>
      <c r="K131" s="245"/>
      <c r="L131" s="245"/>
      <c r="M131" s="245"/>
      <c r="N131" s="245"/>
      <c r="O131" s="244"/>
    </row>
    <row r="132" spans="1:15" x14ac:dyDescent="0.2">
      <c r="A132" s="244"/>
      <c r="B132" s="245"/>
      <c r="C132" s="245"/>
      <c r="D132" s="245"/>
      <c r="E132" s="245"/>
      <c r="F132" s="245"/>
      <c r="G132" s="245"/>
      <c r="H132" s="245"/>
      <c r="I132" s="245"/>
      <c r="J132" s="245"/>
      <c r="K132" s="245"/>
      <c r="L132" s="245"/>
      <c r="M132" s="245"/>
      <c r="N132" s="245"/>
      <c r="O132" s="244"/>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J100" zoomScaleNormal="100" workbookViewId="0">
      <selection activeCell="O157" sqref="O157"/>
    </sheetView>
  </sheetViews>
  <sheetFormatPr defaultRowHeight="12.75" x14ac:dyDescent="0.2"/>
  <cols>
    <col min="1" max="1" width="13.6640625" customWidth="1"/>
    <col min="2" max="2" width="25.33203125" style="58" customWidth="1"/>
    <col min="3" max="3" width="16.83203125" style="696" customWidth="1"/>
    <col min="4" max="10" width="16.83203125" style="58" customWidth="1"/>
    <col min="11" max="16" width="16.83203125" style="709" customWidth="1"/>
    <col min="17" max="17" width="4.1640625" style="1" customWidth="1"/>
    <col min="18" max="18" width="20.33203125" style="58" bestFit="1" customWidth="1"/>
    <col min="19" max="19" width="17.6640625" style="1" bestFit="1" customWidth="1"/>
    <col min="20" max="20" width="10.1640625" style="1" customWidth="1"/>
    <col min="21" max="23" width="17.83203125" style="1" customWidth="1"/>
    <col min="24" max="24" width="20.33203125" style="1" customWidth="1"/>
    <col min="25" max="29" width="17.83203125" style="1" customWidth="1"/>
    <col min="30" max="16384" width="9.33203125" style="1"/>
  </cols>
  <sheetData>
    <row r="1" spans="1:39" s="528" customFormat="1" x14ac:dyDescent="0.2">
      <c r="A1" s="744" t="s">
        <v>264</v>
      </c>
      <c r="B1" s="58"/>
      <c r="C1" s="696"/>
      <c r="D1" s="58"/>
      <c r="E1" s="58"/>
      <c r="F1" s="58"/>
      <c r="G1" s="58"/>
      <c r="H1" s="58"/>
      <c r="I1" s="58"/>
      <c r="J1" s="58"/>
      <c r="K1" s="709"/>
      <c r="L1" s="709"/>
      <c r="M1" s="709"/>
      <c r="N1" s="709"/>
      <c r="O1" s="709"/>
      <c r="P1" s="709"/>
      <c r="R1" s="58"/>
    </row>
    <row r="2" spans="1:39" s="528" customFormat="1" x14ac:dyDescent="0.2">
      <c r="A2"/>
      <c r="B2" s="58"/>
      <c r="C2" s="696"/>
      <c r="D2" s="58"/>
      <c r="E2" s="58"/>
      <c r="F2" s="58"/>
      <c r="G2" s="58"/>
      <c r="H2" s="58"/>
      <c r="I2" s="58"/>
      <c r="J2" s="58"/>
      <c r="K2" s="709"/>
      <c r="L2" s="709"/>
      <c r="M2" s="709"/>
      <c r="N2" s="709"/>
      <c r="O2" s="709"/>
      <c r="P2" s="709"/>
      <c r="R2" s="58"/>
    </row>
    <row r="3" spans="1:39" s="528" customFormat="1" x14ac:dyDescent="0.2">
      <c r="A3"/>
      <c r="B3" s="58"/>
      <c r="C3" s="696"/>
      <c r="D3" s="58"/>
      <c r="E3" s="58"/>
      <c r="F3" s="58"/>
      <c r="G3" s="58"/>
      <c r="H3" s="58"/>
      <c r="I3" s="58"/>
      <c r="J3" s="58"/>
      <c r="K3" s="709"/>
      <c r="L3" s="709"/>
      <c r="M3" s="709"/>
      <c r="N3" s="709"/>
      <c r="O3" s="709"/>
      <c r="P3" s="709"/>
      <c r="R3" s="58"/>
    </row>
    <row r="4" spans="1:39" s="528" customFormat="1" x14ac:dyDescent="0.2">
      <c r="A4"/>
      <c r="B4" s="58"/>
      <c r="C4" s="696"/>
      <c r="D4" s="58"/>
      <c r="E4" s="58"/>
      <c r="F4" s="58"/>
      <c r="G4" s="58"/>
      <c r="H4" s="58"/>
      <c r="I4" s="58"/>
      <c r="J4" s="58"/>
      <c r="K4" s="709"/>
      <c r="L4" s="709"/>
      <c r="M4" s="709"/>
      <c r="N4" s="709"/>
      <c r="O4" s="709"/>
      <c r="P4" s="709"/>
      <c r="R4" s="58"/>
    </row>
    <row r="5" spans="1:39" s="528" customFormat="1" x14ac:dyDescent="0.2">
      <c r="A5"/>
      <c r="B5" s="58"/>
      <c r="C5" s="696"/>
      <c r="D5" s="58"/>
      <c r="E5" s="58"/>
      <c r="F5" s="58"/>
      <c r="G5" s="58"/>
      <c r="H5" s="58"/>
      <c r="I5" s="58"/>
      <c r="J5" s="58"/>
      <c r="K5" s="709"/>
      <c r="L5" s="709"/>
      <c r="M5" s="709"/>
      <c r="N5" s="709"/>
      <c r="O5" s="709"/>
      <c r="P5" s="709"/>
      <c r="R5" s="58"/>
    </row>
    <row r="6" spans="1:39" s="528" customFormat="1" x14ac:dyDescent="0.2">
      <c r="A6"/>
      <c r="B6" s="58"/>
      <c r="C6" s="696"/>
      <c r="D6" s="58"/>
      <c r="E6" s="58"/>
      <c r="F6" s="58"/>
      <c r="G6" s="58"/>
      <c r="H6" s="58"/>
      <c r="I6" s="58"/>
      <c r="J6" s="58"/>
      <c r="K6" s="709"/>
      <c r="L6" s="709"/>
      <c r="M6" s="709"/>
      <c r="N6" s="709"/>
      <c r="O6" s="709"/>
      <c r="P6" s="709"/>
      <c r="R6" s="58"/>
    </row>
    <row r="7" spans="1:39" s="528" customFormat="1" x14ac:dyDescent="0.2">
      <c r="A7"/>
      <c r="B7" s="58"/>
      <c r="C7" s="696"/>
      <c r="D7" s="58"/>
      <c r="E7" s="58"/>
      <c r="F7" s="58"/>
      <c r="G7" s="58"/>
      <c r="H7" s="58"/>
      <c r="I7" s="58"/>
      <c r="J7" s="58"/>
      <c r="K7" s="709"/>
      <c r="L7" s="709"/>
      <c r="M7" s="709"/>
      <c r="N7" s="709"/>
      <c r="O7" s="709"/>
      <c r="P7" s="709"/>
      <c r="R7" s="58"/>
    </row>
    <row r="8" spans="1:39" s="528" customFormat="1" x14ac:dyDescent="0.2">
      <c r="A8"/>
      <c r="B8" s="58"/>
      <c r="C8" s="696"/>
      <c r="D8" s="58"/>
      <c r="E8" s="58"/>
      <c r="F8" s="58"/>
      <c r="G8" s="58"/>
      <c r="H8" s="58"/>
      <c r="I8" s="58"/>
      <c r="J8" s="58"/>
      <c r="K8" s="709"/>
      <c r="L8" s="709"/>
      <c r="M8" s="709"/>
      <c r="N8" s="709"/>
      <c r="O8" s="709"/>
      <c r="P8" s="709"/>
      <c r="R8" s="58"/>
    </row>
    <row r="9" spans="1:39" s="528" customFormat="1" x14ac:dyDescent="0.2">
      <c r="A9"/>
      <c r="B9" s="58"/>
      <c r="C9" s="696"/>
      <c r="D9" s="58"/>
      <c r="E9" s="58"/>
      <c r="F9" s="58"/>
      <c r="G9" s="58"/>
      <c r="H9" s="58"/>
      <c r="I9" s="58"/>
      <c r="J9" s="58"/>
      <c r="K9" s="709"/>
      <c r="L9" s="709"/>
      <c r="M9" s="709"/>
      <c r="N9" s="709"/>
      <c r="O9" s="709"/>
      <c r="P9" s="709"/>
      <c r="R9" s="58"/>
    </row>
    <row r="10" spans="1:39" s="528" customFormat="1" x14ac:dyDescent="0.2">
      <c r="A10"/>
      <c r="B10" s="58"/>
      <c r="C10" s="696"/>
      <c r="D10" s="58"/>
      <c r="E10" s="58"/>
      <c r="F10" s="58"/>
      <c r="G10" s="58"/>
      <c r="H10" s="58"/>
      <c r="I10" s="58"/>
      <c r="J10" s="58"/>
      <c r="K10" s="709"/>
      <c r="L10" s="709"/>
      <c r="M10" s="709"/>
      <c r="N10" s="709"/>
      <c r="O10" s="709"/>
      <c r="P10" s="709"/>
      <c r="R10" s="58"/>
    </row>
    <row r="11" spans="1:39" ht="23.25" x14ac:dyDescent="0.2">
      <c r="A11" s="257"/>
      <c r="B11" s="258" t="s">
        <v>96</v>
      </c>
      <c r="C11" s="697"/>
      <c r="D11" s="245"/>
      <c r="E11" s="245"/>
      <c r="F11" s="245"/>
      <c r="G11" s="245"/>
      <c r="H11" s="245"/>
      <c r="I11" s="245"/>
      <c r="J11" s="245"/>
      <c r="K11" s="710"/>
      <c r="L11" s="710"/>
      <c r="M11" s="710"/>
      <c r="N11" s="710"/>
      <c r="O11" s="710"/>
      <c r="P11" s="710"/>
      <c r="Q11" s="244"/>
      <c r="R11" s="245"/>
      <c r="S11" s="244"/>
      <c r="T11" s="244"/>
      <c r="U11" s="244"/>
      <c r="V11" s="244"/>
      <c r="W11" s="244"/>
      <c r="X11" s="244"/>
      <c r="Y11" s="244"/>
      <c r="Z11" s="244"/>
      <c r="AA11" s="244"/>
      <c r="AB11" s="244"/>
      <c r="AC11" s="244"/>
      <c r="AD11" s="244"/>
      <c r="AE11" s="244"/>
      <c r="AF11" s="244"/>
      <c r="AG11" s="244"/>
      <c r="AH11" s="244"/>
      <c r="AI11" s="244"/>
      <c r="AJ11" s="244"/>
      <c r="AK11" s="244"/>
      <c r="AL11" s="244"/>
      <c r="AM11" s="244"/>
    </row>
    <row r="12" spans="1:39" ht="15" x14ac:dyDescent="0.2">
      <c r="A12" s="257"/>
      <c r="B12" s="63" t="s">
        <v>62</v>
      </c>
      <c r="C12" s="697"/>
      <c r="D12" s="245"/>
      <c r="E12" s="245"/>
      <c r="F12" s="245"/>
      <c r="G12" s="245"/>
      <c r="H12" s="245"/>
      <c r="I12" s="245"/>
      <c r="J12" s="245"/>
      <c r="K12" s="710"/>
      <c r="L12" s="710"/>
      <c r="M12" s="710"/>
      <c r="N12" s="710"/>
      <c r="O12" s="710"/>
      <c r="P12" s="710"/>
      <c r="Q12" s="244"/>
      <c r="R12" s="244"/>
      <c r="S12" s="244"/>
      <c r="T12" s="244"/>
      <c r="U12" s="244"/>
      <c r="V12" s="244"/>
      <c r="W12" s="244"/>
      <c r="X12" s="244"/>
      <c r="Y12" s="244"/>
      <c r="Z12" s="244"/>
      <c r="AA12" s="244"/>
      <c r="AB12" s="244"/>
      <c r="AC12" s="244"/>
      <c r="AD12" s="244"/>
      <c r="AE12" s="244"/>
      <c r="AF12" s="244"/>
      <c r="AG12" s="244"/>
      <c r="AH12" s="244"/>
      <c r="AI12" s="244"/>
      <c r="AJ12" s="244"/>
      <c r="AK12" s="244"/>
    </row>
    <row r="13" spans="1:39" ht="14.25" x14ac:dyDescent="0.2">
      <c r="A13" s="257"/>
      <c r="B13" s="100" t="s">
        <v>243</v>
      </c>
      <c r="C13" s="697"/>
      <c r="D13" s="245"/>
      <c r="E13" s="245"/>
      <c r="F13" s="245"/>
      <c r="G13" s="245"/>
      <c r="H13" s="245"/>
      <c r="I13" s="245"/>
      <c r="J13" s="245"/>
      <c r="K13" s="710"/>
      <c r="L13" s="710"/>
      <c r="M13" s="710"/>
      <c r="N13" s="710"/>
      <c r="O13" s="710"/>
      <c r="P13" s="710"/>
      <c r="Q13" s="244"/>
      <c r="R13" s="245"/>
      <c r="S13" s="244"/>
      <c r="T13" s="244"/>
      <c r="U13" s="244"/>
      <c r="V13" s="244"/>
      <c r="W13" s="244"/>
      <c r="X13" s="244"/>
      <c r="Y13" s="244"/>
      <c r="Z13" s="244"/>
      <c r="AA13" s="244"/>
      <c r="AB13" s="244"/>
      <c r="AC13" s="244"/>
      <c r="AD13" s="244"/>
      <c r="AE13" s="244"/>
      <c r="AF13" s="244"/>
      <c r="AG13" s="244"/>
      <c r="AH13" s="244"/>
      <c r="AI13" s="244"/>
      <c r="AJ13" s="244"/>
      <c r="AK13" s="244"/>
      <c r="AL13" s="244"/>
      <c r="AM13" s="244"/>
    </row>
    <row r="14" spans="1:39" ht="14.25" x14ac:dyDescent="0.2">
      <c r="A14" s="257"/>
      <c r="B14" s="100" t="s">
        <v>244</v>
      </c>
      <c r="C14" s="697"/>
      <c r="D14" s="245"/>
      <c r="E14" s="245"/>
      <c r="F14" s="245"/>
      <c r="G14" s="245"/>
      <c r="H14" s="245"/>
      <c r="I14" s="245"/>
      <c r="J14" s="245"/>
      <c r="K14" s="710"/>
      <c r="L14" s="710"/>
      <c r="M14" s="710"/>
      <c r="N14" s="710"/>
      <c r="O14" s="710"/>
      <c r="P14" s="710"/>
      <c r="Q14" s="244"/>
      <c r="R14" s="245"/>
      <c r="S14" s="244"/>
      <c r="T14" s="244"/>
      <c r="U14" s="244"/>
      <c r="V14" s="244"/>
      <c r="W14" s="244"/>
      <c r="X14" s="244"/>
      <c r="Y14" s="244"/>
      <c r="Z14" s="244"/>
      <c r="AA14" s="244"/>
      <c r="AB14" s="244"/>
      <c r="AC14" s="244"/>
      <c r="AD14" s="244"/>
      <c r="AE14" s="244"/>
      <c r="AF14" s="244"/>
      <c r="AG14" s="244"/>
      <c r="AH14" s="244"/>
      <c r="AI14" s="244"/>
      <c r="AJ14" s="244"/>
      <c r="AK14" s="244"/>
      <c r="AL14" s="244"/>
      <c r="AM14" s="244"/>
    </row>
    <row r="15" spans="1:39" ht="15" customHeight="1" x14ac:dyDescent="0.2">
      <c r="A15" s="257"/>
      <c r="B15" s="100" t="s">
        <v>245</v>
      </c>
      <c r="C15" s="698"/>
      <c r="D15" s="258"/>
      <c r="E15" s="258"/>
      <c r="F15" s="258"/>
      <c r="G15" s="258"/>
      <c r="H15" s="258"/>
      <c r="I15" s="258"/>
      <c r="J15" s="245"/>
      <c r="K15" s="710"/>
      <c r="L15" s="710"/>
      <c r="M15" s="710"/>
      <c r="N15" s="710"/>
      <c r="O15" s="710"/>
      <c r="P15" s="710"/>
      <c r="Q15" s="244"/>
      <c r="R15" s="245"/>
      <c r="S15" s="244"/>
      <c r="T15" s="244"/>
      <c r="U15" s="244"/>
      <c r="V15" s="244"/>
      <c r="W15" s="244"/>
      <c r="X15" s="244"/>
      <c r="Y15" s="244"/>
      <c r="Z15" s="244"/>
      <c r="AA15" s="244"/>
      <c r="AB15" s="244"/>
      <c r="AC15" s="244"/>
      <c r="AD15" s="244"/>
      <c r="AE15" s="244"/>
      <c r="AF15" s="244"/>
      <c r="AG15" s="244"/>
      <c r="AH15" s="244"/>
      <c r="AI15" s="244"/>
      <c r="AJ15" s="244"/>
      <c r="AK15" s="244"/>
      <c r="AL15" s="244"/>
      <c r="AM15" s="244"/>
    </row>
    <row r="16" spans="1:39" ht="13.5" customHeight="1" x14ac:dyDescent="0.2">
      <c r="A16" s="257"/>
      <c r="C16" s="698"/>
      <c r="D16" s="258"/>
      <c r="E16" s="258"/>
      <c r="F16" s="258"/>
      <c r="G16" s="258"/>
      <c r="H16" s="258"/>
      <c r="I16" s="258"/>
      <c r="J16" s="245"/>
      <c r="K16" s="710"/>
      <c r="L16" s="710"/>
      <c r="M16" s="710"/>
      <c r="N16" s="710"/>
      <c r="O16" s="710"/>
      <c r="P16" s="710"/>
      <c r="Q16" s="244"/>
      <c r="R16" s="245"/>
      <c r="S16" s="244"/>
      <c r="T16" s="244"/>
      <c r="U16" s="244"/>
      <c r="V16" s="244"/>
      <c r="W16" s="244"/>
      <c r="X16" s="244"/>
      <c r="Y16" s="244"/>
      <c r="Z16" s="244"/>
      <c r="AA16" s="244"/>
      <c r="AB16" s="244"/>
      <c r="AC16" s="244"/>
      <c r="AD16" s="244"/>
      <c r="AE16" s="244"/>
      <c r="AF16" s="244"/>
      <c r="AG16" s="244"/>
      <c r="AH16" s="244"/>
      <c r="AI16" s="244"/>
      <c r="AJ16" s="244"/>
      <c r="AK16" s="244"/>
      <c r="AL16" s="244"/>
      <c r="AM16" s="244"/>
    </row>
    <row r="17" spans="1:39" s="177" customFormat="1" x14ac:dyDescent="0.2">
      <c r="A17" s="550"/>
      <c r="B17" s="553"/>
      <c r="C17" s="699"/>
      <c r="D17" s="1074" t="s">
        <v>131</v>
      </c>
      <c r="E17" s="1074"/>
      <c r="F17" s="1074"/>
      <c r="G17" s="1074"/>
      <c r="H17" s="1074"/>
      <c r="I17" s="1074"/>
      <c r="J17" s="553"/>
      <c r="K17" s="1074" t="s">
        <v>119</v>
      </c>
      <c r="L17" s="1074"/>
      <c r="M17" s="1074"/>
      <c r="N17" s="1074"/>
      <c r="O17" s="1074"/>
      <c r="P17" s="1074"/>
      <c r="Q17" s="268"/>
      <c r="R17" s="553"/>
      <c r="S17" s="268"/>
      <c r="T17" s="268"/>
      <c r="U17" s="268"/>
      <c r="V17" s="268"/>
      <c r="W17" s="268"/>
      <c r="X17" s="268"/>
      <c r="Y17" s="268"/>
      <c r="Z17" s="268"/>
      <c r="AA17" s="268"/>
      <c r="AB17" s="268"/>
      <c r="AC17" s="268"/>
      <c r="AD17" s="268"/>
      <c r="AE17" s="268"/>
      <c r="AF17" s="268"/>
      <c r="AG17" s="268"/>
      <c r="AH17" s="268"/>
      <c r="AI17" s="268"/>
      <c r="AJ17" s="268"/>
      <c r="AK17" s="268"/>
      <c r="AL17" s="268"/>
      <c r="AM17" s="268"/>
    </row>
    <row r="18" spans="1:39" s="177" customFormat="1" ht="75" customHeight="1" x14ac:dyDescent="0.2">
      <c r="A18" s="550"/>
      <c r="B18" s="1028"/>
      <c r="C18" s="1029" t="s">
        <v>482</v>
      </c>
      <c r="D18" s="1030" t="s">
        <v>269</v>
      </c>
      <c r="E18" s="1030" t="s">
        <v>270</v>
      </c>
      <c r="F18" s="1030" t="s">
        <v>239</v>
      </c>
      <c r="G18" s="1030" t="s">
        <v>239</v>
      </c>
      <c r="H18" s="1031" t="s">
        <v>239</v>
      </c>
      <c r="I18" s="1031" t="s">
        <v>239</v>
      </c>
      <c r="J18" s="842" t="s">
        <v>483</v>
      </c>
      <c r="K18" s="1032" t="s">
        <v>1</v>
      </c>
      <c r="L18" s="1032" t="s">
        <v>2</v>
      </c>
      <c r="M18" s="1032" t="s">
        <v>237</v>
      </c>
      <c r="N18" s="1032" t="s">
        <v>261</v>
      </c>
      <c r="O18" s="1032" t="s">
        <v>441</v>
      </c>
      <c r="P18" s="1033" t="s">
        <v>485</v>
      </c>
      <c r="Q18" s="551"/>
      <c r="R18" s="243" t="s">
        <v>474</v>
      </c>
      <c r="S18" s="243" t="s">
        <v>32</v>
      </c>
      <c r="T18" s="268"/>
      <c r="U18" t="s">
        <v>153</v>
      </c>
      <c r="V18"/>
      <c r="W18"/>
      <c r="X18"/>
      <c r="Y18"/>
      <c r="Z18"/>
      <c r="AA18"/>
      <c r="AB18"/>
      <c r="AC18"/>
      <c r="AD18" s="552"/>
      <c r="AE18" s="268"/>
      <c r="AF18" s="268"/>
      <c r="AG18" s="268"/>
      <c r="AH18" s="268"/>
      <c r="AI18" s="268"/>
      <c r="AJ18" s="268"/>
      <c r="AK18" s="268"/>
      <c r="AL18" s="268"/>
      <c r="AM18" s="268"/>
    </row>
    <row r="19" spans="1:39" ht="26.25" thickBot="1" x14ac:dyDescent="0.25">
      <c r="A19" s="548"/>
      <c r="B19" s="547"/>
      <c r="C19" s="700"/>
      <c r="D19" s="543"/>
      <c r="E19" s="544"/>
      <c r="F19" s="544"/>
      <c r="G19" s="545"/>
      <c r="I19" s="731" t="s">
        <v>162</v>
      </c>
      <c r="J19" s="695"/>
      <c r="K19" s="760" t="s">
        <v>164</v>
      </c>
      <c r="L19" s="760" t="s">
        <v>164</v>
      </c>
      <c r="M19" s="760" t="s">
        <v>164</v>
      </c>
      <c r="N19" s="760" t="s">
        <v>231</v>
      </c>
      <c r="O19" s="760" t="s">
        <v>164</v>
      </c>
      <c r="P19" s="830" t="s">
        <v>164</v>
      </c>
      <c r="Q19" s="1075"/>
      <c r="R19" s="1075"/>
      <c r="S19" s="1075"/>
      <c r="T19" s="244"/>
      <c r="U19"/>
      <c r="V19"/>
      <c r="W19"/>
      <c r="X19"/>
      <c r="Y19"/>
      <c r="Z19"/>
      <c r="AA19"/>
      <c r="AB19"/>
      <c r="AC19"/>
      <c r="AD19" s="259"/>
      <c r="AE19" s="244"/>
      <c r="AF19" s="244"/>
      <c r="AG19" s="244"/>
      <c r="AH19" s="244"/>
      <c r="AI19" s="244"/>
      <c r="AJ19" s="244"/>
      <c r="AK19" s="244"/>
      <c r="AL19" s="244"/>
      <c r="AM19" s="244"/>
    </row>
    <row r="20" spans="1:39" x14ac:dyDescent="0.2">
      <c r="A20" s="497">
        <v>1</v>
      </c>
      <c r="B20" s="546" t="str">
        <f>CONCATENATE('3. Consumption by Rate Class'!B25,"-",'3. Consumption by Rate Class'!C25)</f>
        <v>2006-January</v>
      </c>
      <c r="C20" s="829">
        <v>9829203.4800000004</v>
      </c>
      <c r="D20" s="687">
        <v>-587210</v>
      </c>
      <c r="E20" s="687">
        <v>-424299</v>
      </c>
      <c r="F20" s="687"/>
      <c r="G20" s="687"/>
      <c r="H20" s="688"/>
      <c r="I20" s="688"/>
      <c r="J20" s="549">
        <f>SUM(C20:I20)</f>
        <v>8817694.4800000004</v>
      </c>
      <c r="K20" s="711">
        <f>IF(K$18='5.Variables'!$B$16,+'5.Variables'!$C27,+IF(K$18='5.Variables'!$B$39,+'5.Variables'!$C50,+IF(K$18='5.Variables'!$B$62,+'5.Variables'!$C64,+IF(K$18='5.Variables'!$B$76,+'5.Variables'!$C78,+IF(K$18='5.Variables'!$B$90,+'5.Variables'!$C92,+IF(K$18='5.Variables'!$B$104,+'5.Variables'!$C106,0))))))</f>
        <v>733.5</v>
      </c>
      <c r="L20" s="711">
        <f>IF(L$18='5.Variables'!$B$16,+'5.Variables'!$C27,+IF(L$18='5.Variables'!$B$39,+'5.Variables'!$C50,+IF(L$18='5.Variables'!$B$62,+'5.Variables'!$C64,+IF(L$18='5.Variables'!$B$76,+'5.Variables'!$C78,+IF(L$18='5.Variables'!$B$90,+'5.Variables'!$C92,+IF(L$18='5.Variables'!$B$104,+'5.Variables'!$C106,0))))))</f>
        <v>0</v>
      </c>
      <c r="M20" s="711">
        <f>IF(M$18='5.Variables'!$B$16,+'5.Variables'!$C26,+IF(M$18='5.Variables'!$B$39,+'5.Variables'!$C50,+IF(M$18='5.Variables'!$B$62,+'5.Variables'!$C64,+IF(M$18='5.Variables'!$B$76,+'5.Variables'!$C78,+IF(M$18='5.Variables'!$B$90,+'5.Variables'!$C92,+IF(M$18='5.Variables'!$B$104,+'5.Variables'!$C106,0))))))</f>
        <v>31</v>
      </c>
      <c r="N20" s="711">
        <f>IF(N$18='5.Variables'!$B$16,+'5.Variables'!$C26,+IF(N$18='5.Variables'!$B$39,+'5.Variables'!$C50,+IF(N$18='5.Variables'!$B$62,+'5.Variables'!$C64,+IF(N$18='5.Variables'!$B$76,+'5.Variables'!$C78,+IF(N$18='5.Variables'!$B$90,+'5.Variables'!$C92,+IF(N$18='5.Variables'!$B$104,+'5.Variables'!$C106,0))))))</f>
        <v>154.6</v>
      </c>
      <c r="O20" s="711">
        <f>IF(O$18='5.Variables'!$B$16,+'5.Variables'!$C26,+IF(O$18='5.Variables'!$B$39,+'5.Variables'!$C50,+IF(O$18='5.Variables'!$B$62,+'5.Variables'!$C64,+IF(O$18='5.Variables'!$B$76,+'5.Variables'!$C78,+IF(O$18='5.Variables'!$B$90,+'5.Variables'!$C92,+IF(O$18='5.Variables'!$B$104,+'5.Variables'!$C106,0))))))</f>
        <v>9.09</v>
      </c>
      <c r="P20" s="831">
        <f>IF(P$18='5.Variables'!$B$16,+'5.Variables'!$C26,+IF(P$18='5.Variables'!$B$39,+'5.Variables'!$C50,+IF(P$18='5.Variables'!$B$62,+'5.Variables'!$C64,+IF(P$18='5.Variables'!$B$76,+'5.Variables'!$C78,+IF(P$18='5.Variables'!$B$90,+'5.Variables'!$C92,+IF(P$18='5.Variables'!$B$104,+'5.Variables'!$C106,0))))))</f>
        <v>0</v>
      </c>
      <c r="Q20" s="244"/>
      <c r="R20" s="549">
        <f>$V$34+(K20*$V$35)+(L20*$V$36)+(M20*$V$37)+(N20*$V$38)+(O20*$V$39)</f>
        <v>8563496.3866040334</v>
      </c>
      <c r="S20" s="262"/>
      <c r="T20" s="244"/>
      <c r="U20" s="541" t="s">
        <v>7</v>
      </c>
      <c r="V20" s="541"/>
      <c r="W20"/>
      <c r="X20"/>
      <c r="Y20"/>
      <c r="Z20"/>
      <c r="AA20"/>
      <c r="AB20"/>
      <c r="AC20"/>
      <c r="AD20" s="259"/>
      <c r="AE20" s="244"/>
      <c r="AF20" s="244"/>
      <c r="AG20" s="244"/>
      <c r="AH20" s="244"/>
      <c r="AI20" s="244"/>
      <c r="AJ20" s="244"/>
      <c r="AK20" s="244"/>
      <c r="AL20" s="244"/>
      <c r="AM20" s="244"/>
    </row>
    <row r="21" spans="1:39" x14ac:dyDescent="0.2">
      <c r="A21" s="497">
        <f>+A20+1</f>
        <v>2</v>
      </c>
      <c r="B21" s="260" t="str">
        <f>CONCATENATE('3. Consumption by Rate Class'!B26,"-",'3. Consumption by Rate Class'!C26)</f>
        <v>2006-February</v>
      </c>
      <c r="C21" s="829">
        <v>9080914.7599999998</v>
      </c>
      <c r="D21" s="687">
        <v>-532374</v>
      </c>
      <c r="E21" s="687">
        <v>-372026</v>
      </c>
      <c r="F21" s="689"/>
      <c r="G21" s="689"/>
      <c r="H21" s="689"/>
      <c r="I21" s="689"/>
      <c r="J21" s="261">
        <f t="shared" ref="J21:J84" si="0">SUM(C21:I21)</f>
        <v>8176514.7599999998</v>
      </c>
      <c r="K21" s="711">
        <f>IF(K$18='5.Variables'!$B$16,+'5.Variables'!$D27,+IF(K$18='5.Variables'!$B$39,+'5.Variables'!$D50,+IF(K$18='5.Variables'!$B$62,+'5.Variables'!$D64,+IF(K$18='5.Variables'!$B$76,+'5.Variables'!$D78,+IF(K$18='5.Variables'!$B$90,+'5.Variables'!$D92,+IF(K$18='5.Variables'!$B$104,+'5.Variables'!$D106,0))))))</f>
        <v>720.9</v>
      </c>
      <c r="L21" s="711">
        <f>IF(L$18='5.Variables'!$B$16,+'5.Variables'!$D27,+IF(L$18='5.Variables'!$B$39,+'5.Variables'!$D50,+IF(L$18='5.Variables'!$B$62,+'5.Variables'!$D64,+IF(L$18='5.Variables'!$B$76,+'5.Variables'!$D78,+IF(L$18='5.Variables'!$B$90,+'5.Variables'!$D92,+IF(L$18='5.Variables'!$B$104,+'5.Variables'!$D106,0))))))</f>
        <v>0</v>
      </c>
      <c r="M21" s="711">
        <f>IF(M$18='5.Variables'!$B$16,+'5.Variables'!$D26,+IF(M$18='5.Variables'!$B$39,+'5.Variables'!$D50,+IF(M$18='5.Variables'!$B$62,+'5.Variables'!$D64,+IF(M$18='5.Variables'!$B$76,+'5.Variables'!$D78,+IF(M$18='5.Variables'!$B$90,+'5.Variables'!$D92,+IF(M$18='5.Variables'!$B$104,+'5.Variables'!$D106,0))))))</f>
        <v>28</v>
      </c>
      <c r="N21" s="711">
        <f>IF(N$18='5.Variables'!$B$16,+'5.Variables'!$D26,+IF(N$18='5.Variables'!$B$39,+'5.Variables'!$D50,+IF(N$18='5.Variables'!$B$62,+'5.Variables'!$D64,+IF(N$18='5.Variables'!$B$76,+'5.Variables'!$D78,+IF(N$18='5.Variables'!$B$90,+'5.Variables'!$D92,+IF(N$18='5.Variables'!$B$104,+'5.Variables'!$D106,0))))))</f>
        <v>156.1</v>
      </c>
      <c r="O21" s="711">
        <f>IF(O$18='5.Variables'!$B$16,+'5.Variables'!$D26,+IF(O$18='5.Variables'!$B$39,+'5.Variables'!$D50,+IF(O$18='5.Variables'!$B$62,+'5.Variables'!$D64,+IF(O$18='5.Variables'!$B$76,+'5.Variables'!$D78,+IF(O$18='5.Variables'!$B$90,+'5.Variables'!$D92,+IF(O$18='5.Variables'!$B$104,+'5.Variables'!$D106,0))))))</f>
        <v>10.19</v>
      </c>
      <c r="P21" s="831">
        <f>IF(P$18='5.Variables'!$B$16,+'5.Variables'!$D26,+IF(P$18='5.Variables'!$B$39,+'5.Variables'!$D50,+IF(P$18='5.Variables'!$B$62,+'5.Variables'!$D64,+IF(P$18='5.Variables'!$B$76,+'5.Variables'!$D78,+IF(P$18='5.Variables'!$B$90,+'5.Variables'!$D92,+IF(P$18='5.Variables'!$B$104,+'5.Variables'!$D106,0))))))</f>
        <v>0</v>
      </c>
      <c r="Q21" s="244"/>
      <c r="R21" s="549">
        <f t="shared" ref="R21:R51" si="1">$V$34+(K21*$V$35)+(L21*$V$36)+(M21*$V$37)+(N21*$V$38)+(O21*$V$39)</f>
        <v>7931149.2455751924</v>
      </c>
      <c r="S21" s="262"/>
      <c r="T21" s="244"/>
      <c r="U21" s="538" t="s">
        <v>8</v>
      </c>
      <c r="V21" s="538">
        <v>0.89805726871464087</v>
      </c>
      <c r="W21"/>
      <c r="X21"/>
      <c r="Y21"/>
      <c r="Z21"/>
      <c r="AA21"/>
      <c r="AB21"/>
      <c r="AC21"/>
      <c r="AD21" s="259"/>
      <c r="AE21" s="244"/>
      <c r="AF21" s="244"/>
      <c r="AG21" s="244"/>
      <c r="AH21" s="244"/>
      <c r="AI21" s="244"/>
      <c r="AJ21" s="244"/>
      <c r="AK21" s="244"/>
      <c r="AL21" s="244"/>
      <c r="AM21" s="244"/>
    </row>
    <row r="22" spans="1:39" x14ac:dyDescent="0.2">
      <c r="A22" s="497">
        <f t="shared" ref="A22:A85" si="2">+A21+1</f>
        <v>3</v>
      </c>
      <c r="B22" s="260" t="str">
        <f>CONCATENATE('3. Consumption by Rate Class'!B27,"-",'3. Consumption by Rate Class'!C27)</f>
        <v>2006-March</v>
      </c>
      <c r="C22" s="684">
        <v>9372224.9199999999</v>
      </c>
      <c r="D22" s="690">
        <v>-601564</v>
      </c>
      <c r="E22" s="690">
        <v>-339535</v>
      </c>
      <c r="F22" s="690"/>
      <c r="G22" s="690"/>
      <c r="H22" s="691"/>
      <c r="I22" s="691"/>
      <c r="J22" s="261">
        <f t="shared" si="0"/>
        <v>8431125.9199999999</v>
      </c>
      <c r="K22" s="711">
        <f>IF(K$18='5.Variables'!$B$16,+'5.Variables'!$E27,+IF(K$18='5.Variables'!$B$39,+'5.Variables'!$E50,+IF(K$18='5.Variables'!$B$62,+'5.Variables'!$E64,+IF(K$18='5.Variables'!$B$76,+'5.Variables'!$E78,+IF(K$18='5.Variables'!$B$90,+'5.Variables'!$E92,+IF(K$18='5.Variables'!$B$104,+'5.Variables'!$E106,0))))))</f>
        <v>600.4</v>
      </c>
      <c r="L22" s="711">
        <f>IF(L$18='5.Variables'!$B$16,+'5.Variables'!$E27,+IF(L$18='5.Variables'!$B$39,+'5.Variables'!$E50,+IF(L$18='5.Variables'!$B$62,+'5.Variables'!$E64,+IF(L$18='5.Variables'!$B$76,+'5.Variables'!$E78,+IF(L$18='5.Variables'!$B$90,+'5.Variables'!$E92,+IF(L$18='5.Variables'!$B$104,+'5.Variables'!$E106,0))))))</f>
        <v>0</v>
      </c>
      <c r="M22" s="711">
        <f>IF(M$18='5.Variables'!$B$16,+'5.Variables'!$E26,+IF(M$18='5.Variables'!$B$39,+'5.Variables'!$E50,+IF(M$18='5.Variables'!$B$62,+'5.Variables'!$E64,+IF(M$18='5.Variables'!$B$76,+'5.Variables'!$E78,+IF(M$18='5.Variables'!$B$90,+'5.Variables'!$E92,+IF(M$18='5.Variables'!$B$104,+'5.Variables'!$E106,0))))))</f>
        <v>31</v>
      </c>
      <c r="N22" s="711">
        <f>IF(N$18='5.Variables'!$B$16,+'5.Variables'!$E26,+IF(N$18='5.Variables'!$B$39,+'5.Variables'!$E50,+IF(N$18='5.Variables'!$B$62,+'5.Variables'!$E64,+IF(N$18='5.Variables'!$B$76,+'5.Variables'!$E78,+IF(N$18='5.Variables'!$B$90,+'5.Variables'!$E92,+IF(N$18='5.Variables'!$B$104,+'5.Variables'!$E106,0))))))</f>
        <v>157.19999999999999</v>
      </c>
      <c r="O22" s="711">
        <f>IF(O$18='5.Variables'!$B$16,+'5.Variables'!$E26,+IF(O$18='5.Variables'!$B$39,+'5.Variables'!$E50,+IF(O$18='5.Variables'!$B$62,+'5.Variables'!$E64,+IF(O$18='5.Variables'!$B$76,+'5.Variables'!$E78,+IF(O$18='5.Variables'!$B$90,+'5.Variables'!$E92,+IF(O$18='5.Variables'!$B$104,+'5.Variables'!$E106,0))))))</f>
        <v>11.51</v>
      </c>
      <c r="P22" s="831">
        <f>IF(P$18='5.Variables'!$B$16,+'5.Variables'!$E26,+IF(P$18='5.Variables'!$B$39,+'5.Variables'!$E50,+IF(P$18='5.Variables'!$B$62,+'5.Variables'!$E64,+IF(P$18='5.Variables'!$B$76,+'5.Variables'!$E78,+IF(P$18='5.Variables'!$B$90,+'5.Variables'!$E92,+IF(P$18='5.Variables'!$B$104,+'5.Variables'!$E106,0))))))</f>
        <v>0</v>
      </c>
      <c r="Q22" s="244"/>
      <c r="R22" s="549">
        <f t="shared" si="1"/>
        <v>8280932.9994658139</v>
      </c>
      <c r="S22" s="263"/>
      <c r="T22" s="244"/>
      <c r="U22" s="538" t="s">
        <v>9</v>
      </c>
      <c r="V22" s="538">
        <v>0.80650685789120069</v>
      </c>
      <c r="W22"/>
      <c r="X22"/>
      <c r="Y22"/>
      <c r="Z22"/>
      <c r="AA22"/>
      <c r="AB22"/>
      <c r="AC22"/>
      <c r="AD22" s="259"/>
      <c r="AE22" s="244"/>
      <c r="AF22" s="244"/>
      <c r="AG22" s="244"/>
      <c r="AH22" s="244"/>
      <c r="AI22" s="244"/>
      <c r="AJ22" s="244"/>
      <c r="AK22" s="244"/>
      <c r="AL22" s="244"/>
      <c r="AM22" s="244"/>
    </row>
    <row r="23" spans="1:39" x14ac:dyDescent="0.2">
      <c r="A23" s="497">
        <f t="shared" si="2"/>
        <v>4</v>
      </c>
      <c r="B23" s="260" t="str">
        <f>CONCATENATE('3. Consumption by Rate Class'!B28,"-",'3. Consumption by Rate Class'!C28)</f>
        <v>2006-April</v>
      </c>
      <c r="C23" s="684">
        <v>7657227.3200000003</v>
      </c>
      <c r="D23" s="690">
        <v>-531454</v>
      </c>
      <c r="E23" s="690">
        <v>-420190</v>
      </c>
      <c r="F23" s="690"/>
      <c r="G23" s="690"/>
      <c r="H23" s="691"/>
      <c r="I23" s="691"/>
      <c r="J23" s="261">
        <f t="shared" si="0"/>
        <v>6705583.3200000003</v>
      </c>
      <c r="K23" s="711">
        <f>IF(K$18='5.Variables'!$B$16,+'5.Variables'!$F27,+IF(K$18='5.Variables'!$B$39,+'5.Variables'!$F50,+IF(K$18='5.Variables'!$B$62,+'5.Variables'!$F64,+IF(K$18='5.Variables'!$B$76,+'5.Variables'!$F78,+IF(K$18='5.Variables'!$B$90,+'5.Variables'!$F92,+IF(K$18='5.Variables'!$B$104,+'5.Variables'!$F106,0))))))</f>
        <v>321.60000000000002</v>
      </c>
      <c r="L23" s="711">
        <f>IF(L$18='5.Variables'!$B$16,+'5.Variables'!$F27,+IF(L$18='5.Variables'!$B$39,+'5.Variables'!$F50,+IF(L$18='5.Variables'!$B$62,+'5.Variables'!$F64,+IF(L$18='5.Variables'!$B$76,+'5.Variables'!$F78,+IF(L$18='5.Variables'!$B$90,+'5.Variables'!$F92,+IF(L$18='5.Variables'!$B$104,+'5.Variables'!$F106,0))))))</f>
        <v>0</v>
      </c>
      <c r="M23" s="711">
        <f>IF(M$18='5.Variables'!$B$16,+'5.Variables'!$F26,+IF(M$18='5.Variables'!$B$39,+'5.Variables'!$F50,+IF(M$18='5.Variables'!$B$62,+'5.Variables'!$F64,+IF(M$18='5.Variables'!$B$76,+'5.Variables'!$F78,+IF(M$18='5.Variables'!$B$90,+'5.Variables'!$F92,+IF(M$18='5.Variables'!$B$104,+'5.Variables'!$F106,0))))))</f>
        <v>30</v>
      </c>
      <c r="N23" s="711">
        <f>IF(N$18='5.Variables'!$B$16,+'5.Variables'!$F26,+IF(N$18='5.Variables'!$B$39,+'5.Variables'!$F50,+IF(N$18='5.Variables'!$B$62,+'5.Variables'!$F64,+IF(N$18='5.Variables'!$B$76,+'5.Variables'!$F78,+IF(N$18='5.Variables'!$B$90,+'5.Variables'!$F92,+IF(N$18='5.Variables'!$B$104,+'5.Variables'!$F106,0))))))</f>
        <v>158.69999999999999</v>
      </c>
      <c r="O23" s="711">
        <f>IF(O$18='5.Variables'!$B$16,+'5.Variables'!$F26,+IF(O$18='5.Variables'!$B$39,+'5.Variables'!$F50,+IF(O$18='5.Variables'!$B$62,+'5.Variables'!$F64,+IF(O$18='5.Variables'!$B$76,+'5.Variables'!$F78,+IF(O$18='5.Variables'!$B$90,+'5.Variables'!$F92,+IF(O$18='5.Variables'!$B$104,+'5.Variables'!$F106,0))))))</f>
        <v>13.28</v>
      </c>
      <c r="P23" s="831">
        <f>IF(P$18='5.Variables'!$B$16,+'5.Variables'!$F26,+IF(P$18='5.Variables'!$B$39,+'5.Variables'!$F50,+IF(P$18='5.Variables'!$B$62,+'5.Variables'!$F64,+IF(P$18='5.Variables'!$B$76,+'5.Variables'!$F78,+IF(P$18='5.Variables'!$B$90,+'5.Variables'!$F92,+IF(P$18='5.Variables'!$B$104,+'5.Variables'!$F106,0))))))</f>
        <v>0</v>
      </c>
      <c r="Q23" s="244"/>
      <c r="R23" s="549">
        <f t="shared" si="1"/>
        <v>7167116.5946388599</v>
      </c>
      <c r="S23" s="263"/>
      <c r="T23" s="244"/>
      <c r="U23" s="538" t="s">
        <v>10</v>
      </c>
      <c r="V23" s="538">
        <v>0.79802031657063932</v>
      </c>
      <c r="W23"/>
      <c r="X23"/>
      <c r="Y23"/>
      <c r="Z23"/>
      <c r="AA23"/>
      <c r="AB23"/>
      <c r="AC23"/>
      <c r="AD23" s="259"/>
      <c r="AE23" s="244"/>
      <c r="AF23" s="244"/>
      <c r="AG23" s="244"/>
      <c r="AH23" s="244"/>
      <c r="AI23" s="244"/>
      <c r="AJ23" s="244"/>
      <c r="AK23" s="244"/>
      <c r="AL23" s="244"/>
      <c r="AM23" s="244"/>
    </row>
    <row r="24" spans="1:39" x14ac:dyDescent="0.2">
      <c r="A24" s="497">
        <f t="shared" si="2"/>
        <v>5</v>
      </c>
      <c r="B24" s="260" t="str">
        <f>CONCATENATE('3. Consumption by Rate Class'!B29,"-",'3. Consumption by Rate Class'!C29)</f>
        <v>2006-May</v>
      </c>
      <c r="C24" s="684">
        <v>7818047</v>
      </c>
      <c r="D24" s="690">
        <v>-672250</v>
      </c>
      <c r="E24" s="690">
        <v>-475710</v>
      </c>
      <c r="F24" s="690"/>
      <c r="G24" s="690"/>
      <c r="H24" s="691"/>
      <c r="I24" s="691"/>
      <c r="J24" s="261">
        <f t="shared" si="0"/>
        <v>6670087</v>
      </c>
      <c r="K24" s="711">
        <f>IF(K$18='5.Variables'!$B$16,+'5.Variables'!$G27,+IF(K$18='5.Variables'!$B$39,+'5.Variables'!$G50,+IF(K$18='5.Variables'!$B$62,+'5.Variables'!$G64,+IF(K$18='5.Variables'!$B$76,+'5.Variables'!$G78,+IF(K$18='5.Variables'!$B$90,+'5.Variables'!$G92,+IF(K$18='5.Variables'!$B$104,+'5.Variables'!$G106,0))))))</f>
        <v>128.19999999999999</v>
      </c>
      <c r="L24" s="711">
        <f>IF(L$18='5.Variables'!$B$16,+'5.Variables'!$G27,+IF(L$18='5.Variables'!$B$39,+'5.Variables'!$G50,+IF(L$18='5.Variables'!$B$62,+'5.Variables'!$G64,+IF(L$18='5.Variables'!$B$76,+'5.Variables'!$G78,+IF(L$18='5.Variables'!$B$90,+'5.Variables'!$G92,+IF(L$18='5.Variables'!$B$104,+'5.Variables'!$G106,0))))))</f>
        <v>16.899999999999999</v>
      </c>
      <c r="M24" s="711">
        <f>IF(M$18='5.Variables'!$B$16,+'5.Variables'!$G26,+IF(M$18='5.Variables'!$B$39,+'5.Variables'!$G50,+IF(M$18='5.Variables'!$B$62,+'5.Variables'!$G64,+IF(M$18='5.Variables'!$B$76,+'5.Variables'!$G78,+IF(M$18='5.Variables'!$B$90,+'5.Variables'!$G92,+IF(M$18='5.Variables'!$B$104,+'5.Variables'!$G106,0))))))</f>
        <v>31</v>
      </c>
      <c r="N24" s="711">
        <f>IF(N$18='5.Variables'!$B$16,+'5.Variables'!$G26,+IF(N$18='5.Variables'!$B$39,+'5.Variables'!$G50,+IF(N$18='5.Variables'!$B$62,+'5.Variables'!$G64,+IF(N$18='5.Variables'!$B$76,+'5.Variables'!$G78,+IF(N$18='5.Variables'!$B$90,+'5.Variables'!$G92,+IF(N$18='5.Variables'!$B$104,+'5.Variables'!$G106,0))))))</f>
        <v>162.30000000000001</v>
      </c>
      <c r="O24" s="711">
        <f>IF(O$18='5.Variables'!$B$16,+'5.Variables'!$G26,+IF(O$18='5.Variables'!$B$39,+'5.Variables'!$G50,+IF(O$18='5.Variables'!$B$62,+'5.Variables'!$G64,+IF(O$18='5.Variables'!$B$76,+'5.Variables'!$G78,+IF(O$18='5.Variables'!$B$90,+'5.Variables'!$G92,+IF(O$18='5.Variables'!$B$104,+'5.Variables'!$G106,0))))))</f>
        <v>14.52</v>
      </c>
      <c r="P24" s="831">
        <f>IF(P$18='5.Variables'!$B$16,+'5.Variables'!$G26,+IF(P$18='5.Variables'!$B$39,+'5.Variables'!$G50,+IF(P$18='5.Variables'!$B$62,+'5.Variables'!$G64,+IF(P$18='5.Variables'!$B$76,+'5.Variables'!$G78,+IF(P$18='5.Variables'!$B$90,+'5.Variables'!$G92,+IF(P$18='5.Variables'!$B$104,+'5.Variables'!$G106,0))))))</f>
        <v>0</v>
      </c>
      <c r="Q24" s="244"/>
      <c r="R24" s="549">
        <f t="shared" si="1"/>
        <v>7003354.6156163635</v>
      </c>
      <c r="S24" s="263"/>
      <c r="T24" s="244"/>
      <c r="U24" s="538" t="s">
        <v>11</v>
      </c>
      <c r="V24" s="538">
        <v>378408.84826234449</v>
      </c>
      <c r="W24"/>
      <c r="X24"/>
      <c r="Y24"/>
      <c r="Z24"/>
      <c r="AA24"/>
      <c r="AB24"/>
      <c r="AC24"/>
      <c r="AD24" s="259"/>
      <c r="AE24" s="244"/>
      <c r="AF24" s="244"/>
      <c r="AG24" s="244"/>
      <c r="AH24" s="244"/>
      <c r="AI24" s="244"/>
      <c r="AJ24" s="244"/>
      <c r="AK24" s="244"/>
      <c r="AL24" s="244"/>
      <c r="AM24" s="244"/>
    </row>
    <row r="25" spans="1:39" ht="13.5" thickBot="1" x14ac:dyDescent="0.25">
      <c r="A25" s="497">
        <f t="shared" si="2"/>
        <v>6</v>
      </c>
      <c r="B25" s="260" t="str">
        <f>CONCATENATE('3. Consumption by Rate Class'!B30,"-",'3. Consumption by Rate Class'!C30)</f>
        <v>2006-June</v>
      </c>
      <c r="C25" s="684">
        <v>8087108</v>
      </c>
      <c r="D25" s="690">
        <v>-508427</v>
      </c>
      <c r="E25" s="690">
        <v>-370003</v>
      </c>
      <c r="F25" s="690"/>
      <c r="G25" s="690"/>
      <c r="H25" s="691"/>
      <c r="I25" s="691"/>
      <c r="J25" s="261">
        <f t="shared" si="0"/>
        <v>7208678</v>
      </c>
      <c r="K25" s="711">
        <f>IF(K$18='5.Variables'!$B$16,+'5.Variables'!$H27,+IF(K$18='5.Variables'!$B$39,+'5.Variables'!$H50,+IF(K$18='5.Variables'!$B$62,+'5.Variables'!$H64,+IF(K$18='5.Variables'!$B$76,+'5.Variables'!$H78,+IF(K$18='5.Variables'!$B$90,+'5.Variables'!$H92,+IF(K$18='5.Variables'!$B$104,+'5.Variables'!$H106,0))))))</f>
        <v>27.6</v>
      </c>
      <c r="L25" s="711">
        <f>IF(L$18='5.Variables'!$B$16,+'5.Variables'!$H27,+IF(L$18='5.Variables'!$B$39,+'5.Variables'!$H50,+IF(L$18='5.Variables'!$B$62,+'5.Variables'!$H64,+IF(L$18='5.Variables'!$B$76,+'5.Variables'!$H78,+IF(L$18='5.Variables'!$B$90,+'5.Variables'!$H92,+IF(L$18='5.Variables'!$B$104,+'5.Variables'!$H106,0))))))</f>
        <v>48.2</v>
      </c>
      <c r="M25" s="711">
        <f>IF(M$18='5.Variables'!$B$16,+'5.Variables'!$H26,+IF(M$18='5.Variables'!$B$39,+'5.Variables'!$H50,+IF(M$18='5.Variables'!$B$62,+'5.Variables'!$H64,+IF(M$18='5.Variables'!$B$76,+'5.Variables'!$H78,+IF(M$18='5.Variables'!$B$90,+'5.Variables'!$H92,+IF(M$18='5.Variables'!$B$104,+'5.Variables'!$H106,0))))))</f>
        <v>30</v>
      </c>
      <c r="N25" s="711">
        <f>IF(N$18='5.Variables'!$B$16,+'5.Variables'!$H26,+IF(N$18='5.Variables'!$B$39,+'5.Variables'!$H50,+IF(N$18='5.Variables'!$B$62,+'5.Variables'!$H64,+IF(N$18='5.Variables'!$B$76,+'5.Variables'!$H78,+IF(N$18='5.Variables'!$B$90,+'5.Variables'!$H92,+IF(N$18='5.Variables'!$B$104,+'5.Variables'!$H106,0))))))</f>
        <v>166.4</v>
      </c>
      <c r="O25" s="711">
        <f>IF(O$18='5.Variables'!$B$16,+'5.Variables'!$H26,+IF(O$18='5.Variables'!$B$39,+'5.Variables'!$H50,+IF(O$18='5.Variables'!$B$62,+'5.Variables'!$H64,+IF(O$18='5.Variables'!$B$76,+'5.Variables'!$H78,+IF(O$18='5.Variables'!$B$90,+'5.Variables'!$H92,+IF(O$18='5.Variables'!$B$104,+'5.Variables'!$H106,0))))))</f>
        <v>15.35</v>
      </c>
      <c r="P25" s="831">
        <f>IF(P$18='5.Variables'!$B$16,+'5.Variables'!$H26,+IF(P$18='5.Variables'!$B$39,+'5.Variables'!$H50,+IF(P$18='5.Variables'!$B$62,+'5.Variables'!$H64,+IF(P$18='5.Variables'!$B$76,+'5.Variables'!$H78,+IF(P$18='5.Variables'!$B$90,+'5.Variables'!$H92,+IF(P$18='5.Variables'!$B$104,+'5.Variables'!$H106,0))))))</f>
        <v>0</v>
      </c>
      <c r="Q25" s="244"/>
      <c r="R25" s="549">
        <f t="shared" si="1"/>
        <v>6861352.6250857124</v>
      </c>
      <c r="S25" s="263"/>
      <c r="T25" s="244"/>
      <c r="U25" s="539" t="s">
        <v>12</v>
      </c>
      <c r="V25" s="539">
        <v>120</v>
      </c>
      <c r="W25"/>
      <c r="X25"/>
      <c r="Y25"/>
      <c r="Z25"/>
      <c r="AA25"/>
      <c r="AB25"/>
      <c r="AC25"/>
      <c r="AD25" s="259"/>
      <c r="AE25" s="244"/>
      <c r="AF25" s="244"/>
      <c r="AG25" s="244"/>
      <c r="AH25" s="244"/>
      <c r="AI25" s="244"/>
      <c r="AJ25" s="244"/>
      <c r="AK25" s="244"/>
      <c r="AL25" s="244"/>
      <c r="AM25" s="244"/>
    </row>
    <row r="26" spans="1:39" x14ac:dyDescent="0.2">
      <c r="A26" s="497">
        <f t="shared" si="2"/>
        <v>7</v>
      </c>
      <c r="B26" s="260" t="str">
        <f>CONCATENATE('3. Consumption by Rate Class'!B31,"-",'3. Consumption by Rate Class'!C31)</f>
        <v>2006-July</v>
      </c>
      <c r="C26" s="684">
        <v>8926444</v>
      </c>
      <c r="D26" s="690">
        <v>-590461</v>
      </c>
      <c r="E26" s="690">
        <v>-448504</v>
      </c>
      <c r="F26" s="690"/>
      <c r="G26" s="690"/>
      <c r="H26" s="691"/>
      <c r="I26" s="691"/>
      <c r="J26" s="261">
        <f t="shared" si="0"/>
        <v>7887479</v>
      </c>
      <c r="K26" s="711">
        <f>IF(K$18='5.Variables'!$B$16,+'5.Variables'!$I27,+IF(K$18='5.Variables'!$B$39,+'5.Variables'!$I50,+IF(K$18='5.Variables'!$B$62,+'5.Variables'!$I64,+IF(K$18='5.Variables'!$B$76,+'5.Variables'!$I78,+IF(K$18='5.Variables'!$B$90,+'5.Variables'!$I92,+IF(K$18='5.Variables'!$B$104,+'5.Variables'!$I106,0))))))</f>
        <v>0.3</v>
      </c>
      <c r="L26" s="711">
        <f>IF(L$18='5.Variables'!$B$16,+'5.Variables'!$I27,+IF(L$18='5.Variables'!$B$39,+'5.Variables'!$I50,+IF(L$18='5.Variables'!$B$62,+'5.Variables'!$I64,+IF(L$18='5.Variables'!$B$76,+'5.Variables'!$I78,+IF(L$18='5.Variables'!$B$90,+'5.Variables'!$I92,+IF(L$18='5.Variables'!$B$104,+'5.Variables'!$I106,0))))))</f>
        <v>130.6</v>
      </c>
      <c r="M26" s="711">
        <f>IF(M$18='5.Variables'!$B$16,+'5.Variables'!$I26,+IF(M$18='5.Variables'!$B$39,+'5.Variables'!$I50,+IF(M$18='5.Variables'!$B$62,+'5.Variables'!$I64,+IF(M$18='5.Variables'!$B$76,+'5.Variables'!$I78,+IF(M$18='5.Variables'!$B$90,+'5.Variables'!$I92,+IF(M$18='5.Variables'!$B$104,+'5.Variables'!$I106,0))))))</f>
        <v>31</v>
      </c>
      <c r="N26" s="711">
        <f>IF(N$18='5.Variables'!$B$16,+'5.Variables'!$I26,+IF(N$18='5.Variables'!$B$39,+'5.Variables'!$I50,+IF(N$18='5.Variables'!$B$62,+'5.Variables'!$I64,+IF(N$18='5.Variables'!$B$76,+'5.Variables'!$I78,+IF(N$18='5.Variables'!$B$90,+'5.Variables'!$I92,+IF(N$18='5.Variables'!$B$104,+'5.Variables'!$I106,0))))))</f>
        <v>168.6</v>
      </c>
      <c r="O26" s="711">
        <f>IF(O$18='5.Variables'!$B$16,+'5.Variables'!$I26,+IF(O$18='5.Variables'!$B$39,+'5.Variables'!$I50,+IF(O$18='5.Variables'!$B$62,+'5.Variables'!$I64,+IF(O$18='5.Variables'!$B$76,+'5.Variables'!$I78,+IF(O$18='5.Variables'!$B$90,+'5.Variables'!$I92,+IF(O$18='5.Variables'!$B$104,+'5.Variables'!$I106,0))))))</f>
        <v>15.15</v>
      </c>
      <c r="P26" s="831">
        <f>IF(P$18='5.Variables'!$B$16,+'5.Variables'!$I26,+IF(P$18='5.Variables'!$B$39,+'5.Variables'!$I50,+IF(P$18='5.Variables'!$B$62,+'5.Variables'!$I64,+IF(P$18='5.Variables'!$B$76,+'5.Variables'!$I78,+IF(P$18='5.Variables'!$B$90,+'5.Variables'!$I92,+IF(P$18='5.Variables'!$B$104,+'5.Variables'!$I106,0))))))</f>
        <v>0</v>
      </c>
      <c r="Q26" s="244"/>
      <c r="R26" s="549">
        <f t="shared" si="1"/>
        <v>7906646.4147576848</v>
      </c>
      <c r="S26" s="263"/>
      <c r="T26" s="244"/>
      <c r="U26"/>
      <c r="V26"/>
      <c r="W26"/>
      <c r="X26"/>
      <c r="Y26"/>
      <c r="Z26"/>
      <c r="AA26"/>
      <c r="AB26"/>
      <c r="AC26"/>
      <c r="AD26" s="259"/>
      <c r="AE26" s="244"/>
      <c r="AF26" s="244"/>
      <c r="AG26" s="244"/>
      <c r="AH26" s="244"/>
      <c r="AI26" s="244"/>
      <c r="AJ26" s="244"/>
      <c r="AK26" s="244"/>
      <c r="AL26" s="244"/>
      <c r="AM26" s="244"/>
    </row>
    <row r="27" spans="1:39" ht="13.5" thickBot="1" x14ac:dyDescent="0.25">
      <c r="A27" s="497">
        <f t="shared" si="2"/>
        <v>8</v>
      </c>
      <c r="B27" s="260" t="str">
        <f>CONCATENATE('3. Consumption by Rate Class'!B32,"-",'3. Consumption by Rate Class'!C32)</f>
        <v>2006-August</v>
      </c>
      <c r="C27" s="684">
        <v>8353382</v>
      </c>
      <c r="D27" s="690">
        <v>-510585</v>
      </c>
      <c r="E27" s="690">
        <v>-427954</v>
      </c>
      <c r="F27" s="690"/>
      <c r="G27" s="690"/>
      <c r="H27" s="691"/>
      <c r="I27" s="691"/>
      <c r="J27" s="261">
        <f t="shared" si="0"/>
        <v>7414843</v>
      </c>
      <c r="K27" s="711">
        <f>IF(K$18='5.Variables'!$B$16,+'5.Variables'!$J27,+IF(K$18='5.Variables'!$B$39,+'5.Variables'!$J50,+IF(K$18='5.Variables'!$B$62,+'5.Variables'!$J64,+IF(K$18='5.Variables'!$B$76,+'5.Variables'!$J78,+IF(K$18='5.Variables'!$B$90,+'5.Variables'!$J92,+IF(K$18='5.Variables'!$B$104,+'5.Variables'!$J106,0))))))</f>
        <v>18.2</v>
      </c>
      <c r="L27" s="711">
        <f>IF(L$18='5.Variables'!$B$16,+'5.Variables'!$J27,+IF(L$18='5.Variables'!$B$39,+'5.Variables'!$J50,+IF(L$18='5.Variables'!$B$62,+'5.Variables'!$J64,+IF(L$18='5.Variables'!$B$76,+'5.Variables'!$J78,+IF(L$18='5.Variables'!$B$90,+'5.Variables'!$J92,+IF(L$18='5.Variables'!$B$104,+'5.Variables'!$J106,0))))))</f>
        <v>68.099999999999994</v>
      </c>
      <c r="M27" s="711">
        <f>IF(M$18='5.Variables'!$B$16,+'5.Variables'!$J26,+IF(M$18='5.Variables'!$B$39,+'5.Variables'!$J50,+IF(M$18='5.Variables'!$B$62,+'5.Variables'!$J64,+IF(M$18='5.Variables'!$B$76,+'5.Variables'!$J78,+IF(M$18='5.Variables'!$B$90,+'5.Variables'!$J92,+IF(M$18='5.Variables'!$B$104,+'5.Variables'!$J106,0))))))</f>
        <v>31</v>
      </c>
      <c r="N27" s="711">
        <f>IF(N$18='5.Variables'!$B$16,+'5.Variables'!$J26,+IF(N$18='5.Variables'!$B$39,+'5.Variables'!$J50,+IF(N$18='5.Variables'!$B$62,+'5.Variables'!$J64,+IF(N$18='5.Variables'!$B$76,+'5.Variables'!$J78,+IF(N$18='5.Variables'!$B$90,+'5.Variables'!$J92,+IF(N$18='5.Variables'!$B$104,+'5.Variables'!$J106,0))))))</f>
        <v>168.9</v>
      </c>
      <c r="O27" s="711">
        <f>IF(O$18='5.Variables'!$B$16,+'5.Variables'!$J26,+IF(O$18='5.Variables'!$B$39,+'5.Variables'!$J50,+IF(O$18='5.Variables'!$B$62,+'5.Variables'!$J64,+IF(O$18='5.Variables'!$B$76,+'5.Variables'!$J78,+IF(O$18='5.Variables'!$B$90,+'5.Variables'!$J92,+IF(O$18='5.Variables'!$B$104,+'5.Variables'!$J106,0))))))</f>
        <v>14.03</v>
      </c>
      <c r="P27" s="831">
        <f>IF(P$18='5.Variables'!$B$16,+'5.Variables'!$J26,+IF(P$18='5.Variables'!$B$39,+'5.Variables'!$J50,+IF(P$18='5.Variables'!$B$62,+'5.Variables'!$J64,+IF(P$18='5.Variables'!$B$76,+'5.Variables'!$J78,+IF(P$18='5.Variables'!$B$90,+'5.Variables'!$J92,+IF(P$18='5.Variables'!$B$104,+'5.Variables'!$J106,0))))))</f>
        <v>0</v>
      </c>
      <c r="Q27" s="244"/>
      <c r="R27" s="549">
        <f t="shared" si="1"/>
        <v>7212617.2025821265</v>
      </c>
      <c r="S27" s="263"/>
      <c r="T27" s="244"/>
      <c r="U27" t="s">
        <v>13</v>
      </c>
      <c r="V27"/>
      <c r="W27"/>
      <c r="X27"/>
      <c r="Y27"/>
      <c r="Z27"/>
      <c r="AA27"/>
      <c r="AB27"/>
      <c r="AC27"/>
      <c r="AD27" s="259"/>
      <c r="AE27" s="244"/>
      <c r="AF27" s="244"/>
      <c r="AG27" s="244"/>
      <c r="AH27" s="244"/>
      <c r="AI27" s="244"/>
      <c r="AJ27" s="244"/>
      <c r="AK27" s="244"/>
      <c r="AL27" s="244"/>
      <c r="AM27" s="244"/>
    </row>
    <row r="28" spans="1:39" x14ac:dyDescent="0.2">
      <c r="A28" s="497">
        <f t="shared" si="2"/>
        <v>9</v>
      </c>
      <c r="B28" s="260" t="str">
        <f>CONCATENATE('3. Consumption by Rate Class'!B33,"-",'3. Consumption by Rate Class'!C33)</f>
        <v>2006-September</v>
      </c>
      <c r="C28" s="684">
        <v>7595028</v>
      </c>
      <c r="D28" s="690">
        <v>-570578</v>
      </c>
      <c r="E28" s="690">
        <v>-487270</v>
      </c>
      <c r="F28" s="690"/>
      <c r="G28" s="690"/>
      <c r="H28" s="691"/>
      <c r="I28" s="691"/>
      <c r="J28" s="261">
        <f t="shared" si="0"/>
        <v>6537180</v>
      </c>
      <c r="K28" s="711">
        <f>IF(K$18='5.Variables'!$B$16,+'5.Variables'!$K27,+IF(K$18='5.Variables'!$B$39,+'5.Variables'!$K50,+IF(K$18='5.Variables'!$B$62,+'5.Variables'!$K64,+IF(K$18='5.Variables'!$B$76,+'5.Variables'!$K78,+IF(K$18='5.Variables'!$B$90,+'5.Variables'!$K92,+IF(K$18='5.Variables'!$B$104,+'5.Variables'!$K106,0))))))</f>
        <v>121</v>
      </c>
      <c r="L28" s="711">
        <f>IF(L$18='5.Variables'!$B$16,+'5.Variables'!$K27,+IF(L$18='5.Variables'!$B$39,+'5.Variables'!$K50,+IF(L$18='5.Variables'!$B$62,+'5.Variables'!$K64,+IF(L$18='5.Variables'!$B$76,+'5.Variables'!$K78,+IF(L$18='5.Variables'!$B$90,+'5.Variables'!$K92,+IF(L$18='5.Variables'!$B$104,+'5.Variables'!$K106,0))))))</f>
        <v>5.3</v>
      </c>
      <c r="M28" s="711">
        <f>IF(M$18='5.Variables'!$B$16,+'5.Variables'!$K26,+IF(M$18='5.Variables'!$B$39,+'5.Variables'!$K50,+IF(M$18='5.Variables'!$B$62,+'5.Variables'!$K64,+IF(M$18='5.Variables'!$B$76,+'5.Variables'!$K78,+IF(M$18='5.Variables'!$B$90,+'5.Variables'!$K92,+IF(M$18='5.Variables'!$B$104,+'5.Variables'!$K106,0))))))</f>
        <v>30</v>
      </c>
      <c r="N28" s="711">
        <f>IF(N$18='5.Variables'!$B$16,+'5.Variables'!$K26,+IF(N$18='5.Variables'!$B$39,+'5.Variables'!$K50,+IF(N$18='5.Variables'!$B$62,+'5.Variables'!$K64,+IF(N$18='5.Variables'!$B$76,+'5.Variables'!$K78,+IF(N$18='5.Variables'!$B$90,+'5.Variables'!$K92,+IF(N$18='5.Variables'!$B$104,+'5.Variables'!$K106,0))))))</f>
        <v>166.3</v>
      </c>
      <c r="O28" s="711">
        <f>IF(O$18='5.Variables'!$B$16,+'5.Variables'!$K26,+IF(O$18='5.Variables'!$B$39,+'5.Variables'!$K50,+IF(O$18='5.Variables'!$B$62,+'5.Variables'!$K64,+IF(O$18='5.Variables'!$B$76,+'5.Variables'!$K78,+IF(O$18='5.Variables'!$B$90,+'5.Variables'!$K92,+IF(O$18='5.Variables'!$B$104,+'5.Variables'!$K106,0))))))</f>
        <v>12.29</v>
      </c>
      <c r="P28" s="831">
        <f>IF(P$18='5.Variables'!$B$16,+'5.Variables'!$K26,+IF(P$18='5.Variables'!$B$39,+'5.Variables'!$K50,+IF(P$18='5.Variables'!$B$62,+'5.Variables'!$K64,+IF(P$18='5.Variables'!$B$76,+'5.Variables'!$K78,+IF(P$18='5.Variables'!$B$90,+'5.Variables'!$K92,+IF(P$18='5.Variables'!$B$104,+'5.Variables'!$K106,0))))))</f>
        <v>0</v>
      </c>
      <c r="Q28" s="244"/>
      <c r="R28" s="549">
        <f t="shared" si="1"/>
        <v>6516151.8018154511</v>
      </c>
      <c r="S28" s="263"/>
      <c r="T28" s="244"/>
      <c r="U28" s="540"/>
      <c r="V28" s="540" t="s">
        <v>18</v>
      </c>
      <c r="W28" s="540" t="s">
        <v>19</v>
      </c>
      <c r="X28" s="540" t="s">
        <v>20</v>
      </c>
      <c r="Y28" s="540" t="s">
        <v>21</v>
      </c>
      <c r="Z28" s="540" t="s">
        <v>22</v>
      </c>
      <c r="AA28"/>
      <c r="AB28"/>
      <c r="AC28"/>
      <c r="AD28" s="259"/>
      <c r="AE28" s="244"/>
      <c r="AF28" s="244"/>
      <c r="AG28" s="244"/>
      <c r="AH28" s="244"/>
      <c r="AI28" s="244"/>
      <c r="AJ28" s="244"/>
      <c r="AK28" s="244"/>
      <c r="AL28" s="244"/>
      <c r="AM28" s="244"/>
    </row>
    <row r="29" spans="1:39" x14ac:dyDescent="0.2">
      <c r="A29" s="497">
        <f t="shared" si="2"/>
        <v>10</v>
      </c>
      <c r="B29" s="260" t="str">
        <f>CONCATENATE('3. Consumption by Rate Class'!B34,"-",'3. Consumption by Rate Class'!C34)</f>
        <v>2006-October</v>
      </c>
      <c r="C29" s="684">
        <v>8360180</v>
      </c>
      <c r="D29" s="690">
        <v>-510368</v>
      </c>
      <c r="E29" s="690">
        <v>-483753</v>
      </c>
      <c r="F29" s="690"/>
      <c r="G29" s="690"/>
      <c r="H29" s="691"/>
      <c r="I29" s="691"/>
      <c r="J29" s="261">
        <f t="shared" si="0"/>
        <v>7366059</v>
      </c>
      <c r="K29" s="711">
        <f>IF(K$18='5.Variables'!$B$16,+'5.Variables'!$L27,+IF(K$18='5.Variables'!$B$39,+'5.Variables'!$L50,+IF(K$18='5.Variables'!$B$62,+'5.Variables'!$L64,+IF(K$18='5.Variables'!$B$76,+'5.Variables'!$L78,+IF(K$18='5.Variables'!$B$90,+'5.Variables'!$L92,+IF(K$18='5.Variables'!$B$104,+'5.Variables'!$L106,0))))))</f>
        <v>335.7</v>
      </c>
      <c r="L29" s="711">
        <f>IF(L$18='5.Variables'!$B$16,+'5.Variables'!$L27,+IF(L$18='5.Variables'!$B$39,+'5.Variables'!$L50,+IF(L$18='5.Variables'!$B$62,+'5.Variables'!$L64,+IF(L$18='5.Variables'!$B$76,+'5.Variables'!$L78,+IF(L$18='5.Variables'!$B$90,+'5.Variables'!$L92,+IF(L$18='5.Variables'!$B$104,+'5.Variables'!$L106,0))))))</f>
        <v>0</v>
      </c>
      <c r="M29" s="711">
        <f>IF(M$18='5.Variables'!$B$16,+'5.Variables'!$L26,+IF(M$18='5.Variables'!$B$39,+'5.Variables'!$L50,+IF(M$18='5.Variables'!$B$62,+'5.Variables'!$L64,+IF(M$18='5.Variables'!$B$76,+'5.Variables'!$L78,+IF(M$18='5.Variables'!$B$90,+'5.Variables'!$L92,+IF(M$18='5.Variables'!$B$104,+'5.Variables'!$L106,0))))))</f>
        <v>31</v>
      </c>
      <c r="N29" s="711">
        <f>IF(N$18='5.Variables'!$B$16,+'5.Variables'!$L26,+IF(N$18='5.Variables'!$B$39,+'5.Variables'!$L50,+IF(N$18='5.Variables'!$B$62,+'5.Variables'!$L64,+IF(N$18='5.Variables'!$B$76,+'5.Variables'!$L78,+IF(N$18='5.Variables'!$B$90,+'5.Variables'!$L92,+IF(N$18='5.Variables'!$B$104,+'5.Variables'!$L106,0))))))</f>
        <v>164.6</v>
      </c>
      <c r="O29" s="711">
        <f>IF(O$18='5.Variables'!$B$16,+'5.Variables'!$L26,+IF(O$18='5.Variables'!$B$39,+'5.Variables'!$L50,+IF(O$18='5.Variables'!$B$62,+'5.Variables'!$L64,+IF(O$18='5.Variables'!$B$76,+'5.Variables'!$L78,+IF(O$18='5.Variables'!$B$90,+'5.Variables'!$L92,+IF(O$18='5.Variables'!$B$104,+'5.Variables'!$L106,0))))))</f>
        <v>10.51</v>
      </c>
      <c r="P29" s="831">
        <f>IF(P$18='5.Variables'!$B$16,+'5.Variables'!$L26,+IF(P$18='5.Variables'!$B$39,+'5.Variables'!$L50,+IF(P$18='5.Variables'!$B$62,+'5.Variables'!$L64,+IF(P$18='5.Variables'!$B$76,+'5.Variables'!$L78,+IF(P$18='5.Variables'!$B$90,+'5.Variables'!$L92,+IF(P$18='5.Variables'!$B$104,+'5.Variables'!$L106,0))))))</f>
        <v>0</v>
      </c>
      <c r="Q29" s="244"/>
      <c r="R29" s="549">
        <f t="shared" si="1"/>
        <v>7330762.5683344128</v>
      </c>
      <c r="S29" s="263"/>
      <c r="T29" s="244"/>
      <c r="U29" s="538" t="s">
        <v>14</v>
      </c>
      <c r="V29" s="538">
        <v>5</v>
      </c>
      <c r="W29" s="538">
        <v>68040877292047.586</v>
      </c>
      <c r="X29" s="538">
        <v>13608175458409.518</v>
      </c>
      <c r="Y29" s="538">
        <v>95.033633541284772</v>
      </c>
      <c r="Z29" s="538">
        <v>5.3313778555473149E-39</v>
      </c>
      <c r="AA29"/>
      <c r="AB29"/>
      <c r="AC29"/>
      <c r="AD29" s="259"/>
      <c r="AE29" s="244"/>
      <c r="AF29" s="244"/>
      <c r="AG29" s="244"/>
      <c r="AH29" s="244"/>
      <c r="AI29" s="244"/>
      <c r="AJ29" s="244"/>
      <c r="AK29" s="244"/>
      <c r="AL29" s="244"/>
      <c r="AM29" s="244"/>
    </row>
    <row r="30" spans="1:39" x14ac:dyDescent="0.2">
      <c r="A30" s="497">
        <f t="shared" si="2"/>
        <v>11</v>
      </c>
      <c r="B30" s="260" t="str">
        <f>CONCATENATE('3. Consumption by Rate Class'!B35,"-",'3. Consumption by Rate Class'!C35)</f>
        <v>2006-November</v>
      </c>
      <c r="C30" s="684">
        <v>8538261</v>
      </c>
      <c r="D30" s="690">
        <v>-502646</v>
      </c>
      <c r="E30" s="690">
        <v>-454895</v>
      </c>
      <c r="F30" s="690"/>
      <c r="G30" s="690"/>
      <c r="H30" s="691"/>
      <c r="I30" s="691"/>
      <c r="J30" s="261">
        <f t="shared" si="0"/>
        <v>7580720</v>
      </c>
      <c r="K30" s="711">
        <f>IF(K$18='5.Variables'!$B$16,+'5.Variables'!$M27,+IF(K$18='5.Variables'!$B$39,+'5.Variables'!$M50,+IF(K$18='5.Variables'!$B$62,+'5.Variables'!$M64,+IF(K$18='5.Variables'!$B$76,+'5.Variables'!$M78,+IF(K$18='5.Variables'!$B$90,+'5.Variables'!$M92,+IF(K$18='5.Variables'!$B$104,+'5.Variables'!$M106,0))))))</f>
        <v>417.3</v>
      </c>
      <c r="L30" s="711">
        <f>IF(L$18='5.Variables'!$B$16,+'5.Variables'!$M27,+IF(L$18='5.Variables'!$B$39,+'5.Variables'!$M50,+IF(L$18='5.Variables'!$B$62,+'5.Variables'!$M64,+IF(L$18='5.Variables'!$B$76,+'5.Variables'!$M78,+IF(L$18='5.Variables'!$B$90,+'5.Variables'!$M92,+IF(L$18='5.Variables'!$B$104,+'5.Variables'!$M106,0))))))</f>
        <v>0</v>
      </c>
      <c r="M30" s="711">
        <f>IF(M$18='5.Variables'!$B$16,+'5.Variables'!$M26,+IF(M$18='5.Variables'!$B$39,+'5.Variables'!$M50,+IF(M$18='5.Variables'!$B$62,+'5.Variables'!$M64,+IF(M$18='5.Variables'!$B$76,+'5.Variables'!$M78,+IF(M$18='5.Variables'!$B$90,+'5.Variables'!$M92,+IF(M$18='5.Variables'!$B$104,+'5.Variables'!$M106,0))))))</f>
        <v>30</v>
      </c>
      <c r="N30" s="711">
        <f>IF(N$18='5.Variables'!$B$16,+'5.Variables'!$M26,+IF(N$18='5.Variables'!$B$39,+'5.Variables'!$M50,+IF(N$18='5.Variables'!$B$62,+'5.Variables'!$M64,+IF(N$18='5.Variables'!$B$76,+'5.Variables'!$M78,+IF(N$18='5.Variables'!$B$90,+'5.Variables'!$M92,+IF(N$18='5.Variables'!$B$104,+'5.Variables'!$M106,0))))))</f>
        <v>161.4</v>
      </c>
      <c r="O30" s="711">
        <f>IF(O$18='5.Variables'!$B$16,+'5.Variables'!$M26,+IF(O$18='5.Variables'!$B$39,+'5.Variables'!$M50,+IF(O$18='5.Variables'!$B$62,+'5.Variables'!$M64,+IF(O$18='5.Variables'!$B$76,+'5.Variables'!$M78,+IF(O$18='5.Variables'!$B$90,+'5.Variables'!$M92,+IF(O$18='5.Variables'!$B$104,+'5.Variables'!$M106,0))))))</f>
        <v>9.2799999999999994</v>
      </c>
      <c r="P30" s="831">
        <f>IF(P$18='5.Variables'!$B$16,+'5.Variables'!$M26,+IF(P$18='5.Variables'!$B$39,+'5.Variables'!$M50,+IF(P$18='5.Variables'!$B$62,+'5.Variables'!$M64,+IF(P$18='5.Variables'!$B$76,+'5.Variables'!$M78,+IF(P$18='5.Variables'!$B$90,+'5.Variables'!$M92,+IF(P$18='5.Variables'!$B$104,+'5.Variables'!$M106,0))))))</f>
        <v>0</v>
      </c>
      <c r="Q30" s="244"/>
      <c r="R30" s="549">
        <f t="shared" si="1"/>
        <v>7271157.1907827239</v>
      </c>
      <c r="S30" s="263"/>
      <c r="T30" s="244"/>
      <c r="U30" s="538" t="s">
        <v>15</v>
      </c>
      <c r="V30" s="538">
        <v>114</v>
      </c>
      <c r="W30" s="538">
        <v>16324031234528.68</v>
      </c>
      <c r="X30" s="538">
        <v>143193256443.23404</v>
      </c>
      <c r="Y30" s="538"/>
      <c r="Z30" s="538"/>
      <c r="AA30"/>
      <c r="AB30"/>
      <c r="AC30"/>
      <c r="AD30" s="259"/>
      <c r="AE30" s="244"/>
      <c r="AF30" s="244"/>
      <c r="AG30" s="244"/>
      <c r="AH30" s="244"/>
      <c r="AI30" s="244"/>
      <c r="AJ30" s="244"/>
      <c r="AK30" s="244"/>
      <c r="AL30" s="244"/>
      <c r="AM30" s="244"/>
    </row>
    <row r="31" spans="1:39" ht="13.5" thickBot="1" x14ac:dyDescent="0.25">
      <c r="A31" s="497">
        <f t="shared" si="2"/>
        <v>12</v>
      </c>
      <c r="B31" s="516" t="str">
        <f>CONCATENATE('3. Consumption by Rate Class'!B36,"-",'3. Consumption by Rate Class'!C36)</f>
        <v>2006-December</v>
      </c>
      <c r="C31" s="685">
        <v>9176860</v>
      </c>
      <c r="D31" s="692">
        <v>-487530</v>
      </c>
      <c r="E31" s="692">
        <v>-466742</v>
      </c>
      <c r="F31" s="692"/>
      <c r="G31" s="692"/>
      <c r="H31" s="693"/>
      <c r="I31" s="693"/>
      <c r="J31" s="261">
        <f t="shared" si="0"/>
        <v>8222588</v>
      </c>
      <c r="K31" s="711">
        <f>IF(K$18='5.Variables'!$B$16,+'5.Variables'!$N27,+IF(K$18='5.Variables'!$B$39,+'5.Variables'!$N50,+IF(K$18='5.Variables'!$B$62,+'5.Variables'!$N64,+IF(K$18='5.Variables'!$B$76,+'5.Variables'!$N78,+IF(K$18='5.Variables'!$B$90,+'5.Variables'!$N92,+IF(K$18='5.Variables'!$B$104,+'5.Variables'!$N106,0))))))</f>
        <v>610</v>
      </c>
      <c r="L31" s="711">
        <f>IF(L$18='5.Variables'!$B$16,+'5.Variables'!$N27,+IF(L$18='5.Variables'!$B$39,+'5.Variables'!$N50,+IF(L$18='5.Variables'!$B$62,+'5.Variables'!$N64,+IF(L$18='5.Variables'!$B$76,+'5.Variables'!$N78,+IF(L$18='5.Variables'!$B$90,+'5.Variables'!$N92,+IF(L$18='5.Variables'!$B$104,+'5.Variables'!$N106,0))))))</f>
        <v>0</v>
      </c>
      <c r="M31" s="711">
        <f>IF(M$18='5.Variables'!$B$16,+'5.Variables'!$N26,+IF(M$18='5.Variables'!$B$39,+'5.Variables'!$N50,+IF(M$18='5.Variables'!$B$62,+'5.Variables'!$N64,+IF(M$18='5.Variables'!$B$76,+'5.Variables'!$N78,+IF(M$18='5.Variables'!$B$90,+'5.Variables'!$N92,+IF(M$18='5.Variables'!$B$104,+'5.Variables'!$N106,0))))))</f>
        <v>31</v>
      </c>
      <c r="N31" s="711">
        <f>IF(N$18='5.Variables'!$B$16,+'5.Variables'!$N26,+IF(N$18='5.Variables'!$B$39,+'5.Variables'!$N50,+IF(N$18='5.Variables'!$B$62,+'5.Variables'!$N64,+IF(N$18='5.Variables'!$B$76,+'5.Variables'!$N78,+IF(N$18='5.Variables'!$B$90,+'5.Variables'!$N92,+IF(N$18='5.Variables'!$B$104,+'5.Variables'!$N106,0))))))</f>
        <v>160.9</v>
      </c>
      <c r="O31" s="711">
        <f>IF(O$18='5.Variables'!$B$16,+'5.Variables'!$N26,+IF(O$18='5.Variables'!$B$39,+'5.Variables'!$N50,+IF(O$18='5.Variables'!$B$62,+'5.Variables'!$N64,+IF(O$18='5.Variables'!$B$76,+'5.Variables'!$N78,+IF(O$18='5.Variables'!$B$90,+'5.Variables'!$N92,+IF(O$18='5.Variables'!$B$104,+'5.Variables'!$N106,0))))))</f>
        <v>8.4700000000000006</v>
      </c>
      <c r="P31" s="831">
        <f>IF(P$18='5.Variables'!$B$16,+'5.Variables'!$N26,+IF(P$18='5.Variables'!$B$39,+'5.Variables'!$N50,+IF(P$18='5.Variables'!$B$62,+'5.Variables'!$N64,+IF(P$18='5.Variables'!$B$76,+'5.Variables'!$N78,+IF(P$18='5.Variables'!$B$90,+'5.Variables'!$N92,+IF(P$18='5.Variables'!$B$104,+'5.Variables'!$N106,0))))))</f>
        <v>0</v>
      </c>
      <c r="Q31" s="244"/>
      <c r="R31" s="549">
        <f t="shared" si="1"/>
        <v>8148957.6635750653</v>
      </c>
      <c r="S31" s="263">
        <f>SUM(R20:R31)</f>
        <v>90193695.30883345</v>
      </c>
      <c r="T31" s="244"/>
      <c r="U31" s="539" t="s">
        <v>16</v>
      </c>
      <c r="V31" s="539">
        <v>119</v>
      </c>
      <c r="W31" s="539">
        <v>84364908526576.266</v>
      </c>
      <c r="X31" s="539"/>
      <c r="Y31" s="539"/>
      <c r="Z31" s="539"/>
      <c r="AA31"/>
      <c r="AB31"/>
      <c r="AC31"/>
      <c r="AD31" s="259"/>
      <c r="AE31" s="244"/>
      <c r="AF31" s="244"/>
      <c r="AG31" s="244"/>
      <c r="AH31" s="244"/>
      <c r="AI31" s="244"/>
      <c r="AJ31" s="244"/>
      <c r="AK31" s="244"/>
      <c r="AL31" s="244"/>
      <c r="AM31" s="244"/>
    </row>
    <row r="32" spans="1:39" ht="13.5" thickBot="1" x14ac:dyDescent="0.25">
      <c r="A32" s="497">
        <f t="shared" si="2"/>
        <v>13</v>
      </c>
      <c r="B32" s="260" t="str">
        <f>CONCATENATE('3. Consumption by Rate Class'!B37,"-",'3. Consumption by Rate Class'!C37)</f>
        <v>2007-January</v>
      </c>
      <c r="C32" s="684">
        <v>10153438.699999999</v>
      </c>
      <c r="D32" s="690">
        <v>-396426</v>
      </c>
      <c r="E32" s="690">
        <v>-421933</v>
      </c>
      <c r="F32" s="690"/>
      <c r="G32" s="690"/>
      <c r="H32" s="691"/>
      <c r="I32" s="691"/>
      <c r="J32" s="261">
        <f t="shared" si="0"/>
        <v>9335079.6999999993</v>
      </c>
      <c r="K32" s="711">
        <f>IF(K$18='5.Variables'!$B$16,+'5.Variables'!$C28,+IF(K$18='5.Variables'!$B$39,+'5.Variables'!$C51,+IF(K$18='5.Variables'!$B$62,+'5.Variables'!$C65,+IF(K$18='5.Variables'!$B$76,+'5.Variables'!$C79,+IF(K$18='5.Variables'!$B$90,+'5.Variables'!$C93,+IF(K$18='5.Variables'!$B$104,+'5.Variables'!$C107,0))))))</f>
        <v>797.1</v>
      </c>
      <c r="L32" s="711">
        <f>IF(L$18='5.Variables'!$B$16,+'5.Variables'!$C27,+IF(L$18='5.Variables'!$B$39,+'5.Variables'!$C51,+IF(L$18='5.Variables'!$B$62,+'5.Variables'!$C65,+IF(L$18='5.Variables'!$B$76,+'5.Variables'!$C79,+IF(L$18='5.Variables'!$B$90,+'5.Variables'!$C93,+IF(L$18='5.Variables'!$B$104,+'5.Variables'!$C107,0))))))</f>
        <v>0</v>
      </c>
      <c r="M32" s="711">
        <f>IF(M$18='5.Variables'!$B$16,+'5.Variables'!$C27,+IF(M$18='5.Variables'!$B$39,+'5.Variables'!$C51,+IF(M$18='5.Variables'!$B$62,+'5.Variables'!$C65,+IF(M$18='5.Variables'!$B$76,+'5.Variables'!$C79,+IF(M$18='5.Variables'!$B$90,+'5.Variables'!$C93,+IF(M$18='5.Variables'!$B$104,+'5.Variables'!$C107,0))))))</f>
        <v>31</v>
      </c>
      <c r="N32" s="711">
        <f>IF(N$18='5.Variables'!$B$16,+'5.Variables'!$C27,+IF(N$18='5.Variables'!$B$39,+'5.Variables'!$C51,+IF(N$18='5.Variables'!$B$62,+'5.Variables'!$C65,+IF(N$18='5.Variables'!$B$76,+'5.Variables'!$C79,+IF(N$18='5.Variables'!$B$90,+'5.Variables'!$C93,+IF(N$18='5.Variables'!$B$104,+'5.Variables'!$C107,0))))))</f>
        <v>161.69999999999999</v>
      </c>
      <c r="O32" s="711">
        <f>IF(O$18='5.Variables'!$B$16,+'5.Variables'!$C27,+IF(O$18='5.Variables'!$B$39,+'5.Variables'!$C51,+IF(O$18='5.Variables'!$B$62,+'5.Variables'!$C65,+IF(O$18='5.Variables'!$B$76,+'5.Variables'!$C79,+IF(O$18='5.Variables'!$B$90,+'5.Variables'!$C93,+IF(O$18='5.Variables'!$B$104,+'5.Variables'!$C107,0))))))</f>
        <v>9.09</v>
      </c>
      <c r="P32" s="831">
        <f>IF(P$18='5.Variables'!$B$16,+'5.Variables'!$C27,+IF(P$18='5.Variables'!$B$39,+'5.Variables'!$C51,+IF(P$18='5.Variables'!$B$62,+'5.Variables'!$C65,+IF(P$18='5.Variables'!$B$76,+'5.Variables'!$C79,+IF(P$18='5.Variables'!$B$90,+'5.Variables'!$C93,+IF(P$18='5.Variables'!$B$104,+'5.Variables'!$C107,0))))))</f>
        <v>0</v>
      </c>
      <c r="Q32" s="244"/>
      <c r="R32" s="549">
        <f t="shared" si="1"/>
        <v>8898706.8770858198</v>
      </c>
      <c r="S32" s="263"/>
      <c r="T32" s="244"/>
      <c r="U32"/>
      <c r="V32"/>
      <c r="W32"/>
      <c r="X32"/>
      <c r="Y32"/>
      <c r="Z32"/>
      <c r="AA32"/>
      <c r="AB32"/>
      <c r="AC32"/>
      <c r="AD32" s="259"/>
      <c r="AE32" s="244"/>
      <c r="AF32" s="244"/>
      <c r="AG32" s="244"/>
      <c r="AH32" s="244"/>
      <c r="AI32" s="244"/>
      <c r="AJ32" s="244"/>
      <c r="AK32" s="244"/>
      <c r="AL32" s="244"/>
      <c r="AM32" s="244"/>
    </row>
    <row r="33" spans="1:39" x14ac:dyDescent="0.2">
      <c r="A33" s="497">
        <f t="shared" si="2"/>
        <v>14</v>
      </c>
      <c r="B33" s="260" t="str">
        <f>CONCATENATE('3. Consumption by Rate Class'!B38,"-",'3. Consumption by Rate Class'!C38)</f>
        <v>2007-February</v>
      </c>
      <c r="C33" s="684">
        <v>9499243.9000000004</v>
      </c>
      <c r="D33" s="690">
        <v>-420592</v>
      </c>
      <c r="E33" s="690">
        <v>-412418</v>
      </c>
      <c r="F33" s="690"/>
      <c r="G33" s="690"/>
      <c r="H33" s="691"/>
      <c r="I33" s="691"/>
      <c r="J33" s="261">
        <f t="shared" si="0"/>
        <v>8666233.9000000004</v>
      </c>
      <c r="K33" s="711">
        <f>IF(K$18='5.Variables'!$B$16,+'5.Variables'!$D28,+IF(K$18='5.Variables'!$B$39,+'5.Variables'!$D51,+IF(K$18='5.Variables'!$B$62,+'5.Variables'!$D65,+IF(K$18='5.Variables'!$B$76,+'5.Variables'!$D79,+IF(K$18='5.Variables'!$B$90,+'5.Variables'!$D93,+IF(K$18='5.Variables'!$B$104,+'5.Variables'!$D107,0))))))</f>
        <v>820</v>
      </c>
      <c r="L33" s="711">
        <f>IF(L$18='5.Variables'!$B$16,+'5.Variables'!$D27,+IF(L$18='5.Variables'!$B$39,+'5.Variables'!$D51,+IF(L$18='5.Variables'!$B$62,+'5.Variables'!$D65,+IF(L$18='5.Variables'!$B$76,+'5.Variables'!$D79,+IF(L$18='5.Variables'!$B$90,+'5.Variables'!$D93,+IF(L$18='5.Variables'!$B$104,+'5.Variables'!$D107,0))))))</f>
        <v>0</v>
      </c>
      <c r="M33" s="711">
        <f>IF(M$18='5.Variables'!$B$16,+'5.Variables'!$D27,+IF(M$18='5.Variables'!$B$39,+'5.Variables'!$D51,+IF(M$18='5.Variables'!$B$62,+'5.Variables'!$D65,+IF(M$18='5.Variables'!$B$76,+'5.Variables'!$D79,+IF(M$18='5.Variables'!$B$90,+'5.Variables'!$D93,+IF(M$18='5.Variables'!$B$104,+'5.Variables'!$D107,0))))))</f>
        <v>28</v>
      </c>
      <c r="N33" s="711">
        <f>IF(N$18='5.Variables'!$B$16,+'5.Variables'!$D27,+IF(N$18='5.Variables'!$B$39,+'5.Variables'!$D51,+IF(N$18='5.Variables'!$B$62,+'5.Variables'!$D65,+IF(N$18='5.Variables'!$B$76,+'5.Variables'!$D79,+IF(N$18='5.Variables'!$B$90,+'5.Variables'!$D93,+IF(N$18='5.Variables'!$B$104,+'5.Variables'!$D107,0))))))</f>
        <v>161.1</v>
      </c>
      <c r="O33" s="711">
        <f>IF(O$18='5.Variables'!$B$16,+'5.Variables'!$D27,+IF(O$18='5.Variables'!$B$39,+'5.Variables'!$D51,+IF(O$18='5.Variables'!$B$62,+'5.Variables'!$D65,+IF(O$18='5.Variables'!$B$76,+'5.Variables'!$D79,+IF(O$18='5.Variables'!$B$90,+'5.Variables'!$D93,+IF(O$18='5.Variables'!$B$104,+'5.Variables'!$D107,0))))))</f>
        <v>10.19</v>
      </c>
      <c r="P33" s="831">
        <f>IF(P$18='5.Variables'!$B$16,+'5.Variables'!$D27,+IF(P$18='5.Variables'!$B$39,+'5.Variables'!$D51,+IF(P$18='5.Variables'!$B$62,+'5.Variables'!$D65,+IF(P$18='5.Variables'!$B$76,+'5.Variables'!$D79,+IF(P$18='5.Variables'!$B$90,+'5.Variables'!$D93,+IF(P$18='5.Variables'!$B$104,+'5.Variables'!$D107,0))))))</f>
        <v>0</v>
      </c>
      <c r="Q33" s="244"/>
      <c r="R33" s="549">
        <f t="shared" si="1"/>
        <v>8368613.4332296448</v>
      </c>
      <c r="S33" s="263"/>
      <c r="T33" s="244"/>
      <c r="U33" s="540"/>
      <c r="V33" s="540" t="s">
        <v>23</v>
      </c>
      <c r="W33" s="540" t="s">
        <v>11</v>
      </c>
      <c r="X33" s="540" t="s">
        <v>24</v>
      </c>
      <c r="Y33" s="540" t="s">
        <v>25</v>
      </c>
      <c r="Z33" s="540" t="s">
        <v>26</v>
      </c>
      <c r="AA33" s="540" t="s">
        <v>27</v>
      </c>
      <c r="AB33" s="540" t="s">
        <v>28</v>
      </c>
      <c r="AC33" s="540" t="s">
        <v>29</v>
      </c>
      <c r="AD33" s="259"/>
      <c r="AE33" s="244"/>
      <c r="AF33" s="244"/>
      <c r="AG33" s="244"/>
      <c r="AH33" s="244"/>
      <c r="AI33" s="244"/>
      <c r="AJ33" s="244"/>
      <c r="AK33" s="244"/>
      <c r="AL33" s="244"/>
      <c r="AM33" s="244"/>
    </row>
    <row r="34" spans="1:39" x14ac:dyDescent="0.2">
      <c r="A34" s="497">
        <f t="shared" si="2"/>
        <v>15</v>
      </c>
      <c r="B34" s="260" t="str">
        <f>CONCATENATE('3. Consumption by Rate Class'!B39,"-",'3. Consumption by Rate Class'!C39)</f>
        <v>2007-March</v>
      </c>
      <c r="C34" s="684">
        <v>9317383.0999999996</v>
      </c>
      <c r="D34" s="690">
        <v>-459043</v>
      </c>
      <c r="E34" s="690">
        <v>-418480</v>
      </c>
      <c r="F34" s="690"/>
      <c r="G34" s="690"/>
      <c r="H34" s="691"/>
      <c r="I34" s="691"/>
      <c r="J34" s="261">
        <f t="shared" si="0"/>
        <v>8439860.0999999996</v>
      </c>
      <c r="K34" s="711">
        <f>IF(K$18='5.Variables'!$B$16,+'5.Variables'!$E28,+IF(K$18='5.Variables'!$B$39,+'5.Variables'!$E51,+IF(K$18='5.Variables'!$B$62,+'5.Variables'!$E65,+IF(K$18='5.Variables'!$B$76,+'5.Variables'!$E79,+IF(K$18='5.Variables'!$B$90,+'5.Variables'!$E93,+IF(K$18='5.Variables'!$B$104,+'5.Variables'!$E107,0))))))</f>
        <v>643</v>
      </c>
      <c r="L34" s="711">
        <f>IF(L$18='5.Variables'!$B$16,+'5.Variables'!$E27,+IF(L$18='5.Variables'!$B$39,+'5.Variables'!$E51,+IF(L$18='5.Variables'!$B$62,+'5.Variables'!$E65,+IF(L$18='5.Variables'!$B$76,+'5.Variables'!$E79,+IF(L$18='5.Variables'!$B$90,+'5.Variables'!$E93,+IF(L$18='5.Variables'!$B$104,+'5.Variables'!$E107,0))))))</f>
        <v>0</v>
      </c>
      <c r="M34" s="711">
        <f>IF(M$18='5.Variables'!$B$16,+'5.Variables'!$E27,+IF(M$18='5.Variables'!$B$39,+'5.Variables'!$E51,+IF(M$18='5.Variables'!$B$62,+'5.Variables'!$E65,+IF(M$18='5.Variables'!$B$76,+'5.Variables'!$E79,+IF(M$18='5.Variables'!$B$90,+'5.Variables'!$E93,+IF(M$18='5.Variables'!$B$104,+'5.Variables'!$E107,0))))))</f>
        <v>31</v>
      </c>
      <c r="N34" s="711">
        <f>IF(N$18='5.Variables'!$B$16,+'5.Variables'!$E27,+IF(N$18='5.Variables'!$B$39,+'5.Variables'!$E51,+IF(N$18='5.Variables'!$B$62,+'5.Variables'!$E65,+IF(N$18='5.Variables'!$B$76,+'5.Variables'!$E79,+IF(N$18='5.Variables'!$B$90,+'5.Variables'!$E93,+IF(N$18='5.Variables'!$B$104,+'5.Variables'!$E107,0))))))</f>
        <v>160</v>
      </c>
      <c r="O34" s="711">
        <f>IF(O$18='5.Variables'!$B$16,+'5.Variables'!$E27,+IF(O$18='5.Variables'!$B$39,+'5.Variables'!$E51,+IF(O$18='5.Variables'!$B$62,+'5.Variables'!$E65,+IF(O$18='5.Variables'!$B$76,+'5.Variables'!$E79,+IF(O$18='5.Variables'!$B$90,+'5.Variables'!$E93,+IF(O$18='5.Variables'!$B$104,+'5.Variables'!$E107,0))))))</f>
        <v>11.51</v>
      </c>
      <c r="P34" s="831">
        <f>IF(P$18='5.Variables'!$B$16,+'5.Variables'!$E27,+IF(P$18='5.Variables'!$B$39,+'5.Variables'!$E51,+IF(P$18='5.Variables'!$B$62,+'5.Variables'!$E65,+IF(P$18='5.Variables'!$B$76,+'5.Variables'!$E79,+IF(P$18='5.Variables'!$B$90,+'5.Variables'!$E93,+IF(P$18='5.Variables'!$B$104,+'5.Variables'!$E107,0))))))</f>
        <v>0</v>
      </c>
      <c r="Q34" s="244"/>
      <c r="R34" s="549">
        <f t="shared" si="1"/>
        <v>8478091.1854224186</v>
      </c>
      <c r="S34" s="263"/>
      <c r="T34" s="244"/>
      <c r="U34" s="538" t="s">
        <v>17</v>
      </c>
      <c r="V34" s="538">
        <v>-4064598.9147054376</v>
      </c>
      <c r="W34" s="538">
        <v>1688270.0359396338</v>
      </c>
      <c r="X34" s="538">
        <v>-2.4075526001047693</v>
      </c>
      <c r="Y34" s="538">
        <v>1.7664446087036767E-2</v>
      </c>
      <c r="Z34" s="538">
        <v>-7409048.8528052801</v>
      </c>
      <c r="AA34" s="538">
        <v>-720148.97660559509</v>
      </c>
      <c r="AB34" s="538">
        <v>-7409048.8528052801</v>
      </c>
      <c r="AC34" s="538">
        <v>-720148.97660559509</v>
      </c>
      <c r="AD34" s="259"/>
      <c r="AE34" s="244"/>
      <c r="AF34" s="244"/>
      <c r="AG34" s="244"/>
      <c r="AH34" s="244"/>
      <c r="AI34" s="244"/>
      <c r="AJ34" s="244"/>
      <c r="AK34" s="244"/>
      <c r="AL34" s="244"/>
      <c r="AM34" s="244"/>
    </row>
    <row r="35" spans="1:39" ht="15" x14ac:dyDescent="0.25">
      <c r="A35" s="497">
        <f t="shared" si="2"/>
        <v>16</v>
      </c>
      <c r="B35" s="260" t="str">
        <f>CONCATENATE('3. Consumption by Rate Class'!B40,"-",'3. Consumption by Rate Class'!C40)</f>
        <v>2007-April</v>
      </c>
      <c r="C35" s="684">
        <v>7875440.9000000004</v>
      </c>
      <c r="D35" s="690">
        <v>-455936</v>
      </c>
      <c r="E35" s="690">
        <v>-318173</v>
      </c>
      <c r="F35" s="690"/>
      <c r="G35" s="690"/>
      <c r="H35" s="691"/>
      <c r="I35" s="691"/>
      <c r="J35" s="261">
        <f t="shared" si="0"/>
        <v>7101331.9000000004</v>
      </c>
      <c r="K35" s="711">
        <f>IF(K$18='5.Variables'!$B$16,+'5.Variables'!$F28,+IF(K$18='5.Variables'!$B$39,+'5.Variables'!$F51,+IF(K$18='5.Variables'!$B$62,+'5.Variables'!$F65,+IF(K$18='5.Variables'!$B$76,+'5.Variables'!$F79,+IF(K$18='5.Variables'!$B$90,+'5.Variables'!$F93,+IF(K$18='5.Variables'!$B$104,+'5.Variables'!$F107,0))))))</f>
        <v>361.1</v>
      </c>
      <c r="L35" s="711">
        <f>IF(L$18='5.Variables'!$B$16,+'5.Variables'!$F27,+IF(L$18='5.Variables'!$B$39,+'5.Variables'!$F51,+IF(L$18='5.Variables'!$B$62,+'5.Variables'!$F65,+IF(L$18='5.Variables'!$B$76,+'5.Variables'!$F79,+IF(L$18='5.Variables'!$B$90,+'5.Variables'!$F93,+IF(L$18='5.Variables'!$B$104,+'5.Variables'!$F107,0))))))</f>
        <v>0</v>
      </c>
      <c r="M35" s="711">
        <f>IF(M$18='5.Variables'!$B$16,+'5.Variables'!$F27,+IF(M$18='5.Variables'!$B$39,+'5.Variables'!$F51,+IF(M$18='5.Variables'!$B$62,+'5.Variables'!$F65,+IF(M$18='5.Variables'!$B$76,+'5.Variables'!$F79,+IF(M$18='5.Variables'!$B$90,+'5.Variables'!$F93,+IF(M$18='5.Variables'!$B$104,+'5.Variables'!$F107,0))))))</f>
        <v>30</v>
      </c>
      <c r="N35" s="711">
        <f>IF(N$18='5.Variables'!$B$16,+'5.Variables'!$F27,+IF(N$18='5.Variables'!$B$39,+'5.Variables'!$F51,+IF(N$18='5.Variables'!$B$62,+'5.Variables'!$F65,+IF(N$18='5.Variables'!$B$76,+'5.Variables'!$F79,+IF(N$18='5.Variables'!$B$90,+'5.Variables'!$F93,+IF(N$18='5.Variables'!$B$104,+'5.Variables'!$F107,0))))))</f>
        <v>157.1</v>
      </c>
      <c r="O35" s="711">
        <f>IF(O$18='5.Variables'!$B$16,+'5.Variables'!$F27,+IF(O$18='5.Variables'!$B$39,+'5.Variables'!$F51,+IF(O$18='5.Variables'!$B$62,+'5.Variables'!$F65,+IF(O$18='5.Variables'!$B$76,+'5.Variables'!$F79,+IF(O$18='5.Variables'!$B$90,+'5.Variables'!$F93,+IF(O$18='5.Variables'!$B$104,+'5.Variables'!$F107,0))))))</f>
        <v>13.28</v>
      </c>
      <c r="P35" s="831">
        <f>IF(P$18='5.Variables'!$B$16,+'5.Variables'!$F27,+IF(P$18='5.Variables'!$B$39,+'5.Variables'!$F51,+IF(P$18='5.Variables'!$B$62,+'5.Variables'!$F65,+IF(P$18='5.Variables'!$B$76,+'5.Variables'!$F79,+IF(P$18='5.Variables'!$B$90,+'5.Variables'!$F93,+IF(P$18='5.Variables'!$B$104,+'5.Variables'!$F107,0))))))</f>
        <v>0</v>
      </c>
      <c r="Q35" s="244"/>
      <c r="R35" s="549">
        <f t="shared" si="1"/>
        <v>7291200.8764844127</v>
      </c>
      <c r="S35" s="263"/>
      <c r="T35" s="513"/>
      <c r="U35" s="788" t="s">
        <v>1</v>
      </c>
      <c r="V35" s="538">
        <v>3708.2629598238627</v>
      </c>
      <c r="W35" s="538">
        <v>239.97668179167707</v>
      </c>
      <c r="X35" s="538">
        <v>15.452597027918708</v>
      </c>
      <c r="Y35" s="538">
        <v>9.7988569489059241E-30</v>
      </c>
      <c r="Z35" s="538">
        <v>3232.8710015007468</v>
      </c>
      <c r="AA35" s="538">
        <v>4183.6549181469791</v>
      </c>
      <c r="AB35" s="538">
        <v>3232.8710015007468</v>
      </c>
      <c r="AC35" s="538">
        <v>4183.6549181469791</v>
      </c>
      <c r="AD35" s="259"/>
      <c r="AE35" s="244"/>
      <c r="AF35" s="244"/>
      <c r="AG35" s="244"/>
      <c r="AH35" s="244"/>
      <c r="AI35" s="244"/>
      <c r="AJ35" s="244"/>
      <c r="AK35" s="244"/>
      <c r="AL35" s="244"/>
      <c r="AM35" s="244"/>
    </row>
    <row r="36" spans="1:39" ht="15" x14ac:dyDescent="0.25">
      <c r="A36" s="497">
        <f t="shared" si="2"/>
        <v>17</v>
      </c>
      <c r="B36" s="260" t="str">
        <f>CONCATENATE('3. Consumption by Rate Class'!B41,"-",'3. Consumption by Rate Class'!C41)</f>
        <v>2007-May</v>
      </c>
      <c r="C36" s="684">
        <v>7716472.7000000002</v>
      </c>
      <c r="D36" s="690">
        <v>-499128</v>
      </c>
      <c r="E36" s="690">
        <v>-337283</v>
      </c>
      <c r="F36" s="690"/>
      <c r="G36" s="690"/>
      <c r="H36" s="691"/>
      <c r="I36" s="691"/>
      <c r="J36" s="261">
        <f t="shared" si="0"/>
        <v>6880061.7000000002</v>
      </c>
      <c r="K36" s="711">
        <f>IF(K$18='5.Variables'!$B$16,+'5.Variables'!$G28,+IF(K$18='5.Variables'!$B$39,+'5.Variables'!$G51,+IF(K$18='5.Variables'!$B$62,+'5.Variables'!$G65,+IF(K$18='5.Variables'!$B$76,+'5.Variables'!$G79,+IF(K$18='5.Variables'!$B$90,+'5.Variables'!$G93,+IF(K$18='5.Variables'!$B$104,+'5.Variables'!$G107,0))))))</f>
        <v>157.30000000000001</v>
      </c>
      <c r="L36" s="711">
        <f>IF(L$18='5.Variables'!$B$16,+'5.Variables'!$G27,+IF(L$18='5.Variables'!$B$39,+'5.Variables'!$G51,+IF(L$18='5.Variables'!$B$62,+'5.Variables'!$G65,+IF(L$18='5.Variables'!$B$76,+'5.Variables'!$G79,+IF(L$18='5.Variables'!$B$90,+'5.Variables'!$G93,+IF(L$18='5.Variables'!$B$104,+'5.Variables'!$G107,0))))))</f>
        <v>0</v>
      </c>
      <c r="M36" s="711">
        <f>IF(M$18='5.Variables'!$B$16,+'5.Variables'!$G27,+IF(M$18='5.Variables'!$B$39,+'5.Variables'!$G51,+IF(M$18='5.Variables'!$B$62,+'5.Variables'!$G65,+IF(M$18='5.Variables'!$B$76,+'5.Variables'!$G79,+IF(M$18='5.Variables'!$B$90,+'5.Variables'!$G93,+IF(M$18='5.Variables'!$B$104,+'5.Variables'!$G107,0))))))</f>
        <v>31</v>
      </c>
      <c r="N36" s="711">
        <f>IF(N$18='5.Variables'!$B$16,+'5.Variables'!$G27,+IF(N$18='5.Variables'!$B$39,+'5.Variables'!$G51,+IF(N$18='5.Variables'!$B$62,+'5.Variables'!$G65,+IF(N$18='5.Variables'!$B$76,+'5.Variables'!$G79,+IF(N$18='5.Variables'!$B$90,+'5.Variables'!$G93,+IF(N$18='5.Variables'!$B$104,+'5.Variables'!$G107,0))))))</f>
        <v>160.1</v>
      </c>
      <c r="O36" s="711">
        <f>IF(O$18='5.Variables'!$B$16,+'5.Variables'!$G27,+IF(O$18='5.Variables'!$B$39,+'5.Variables'!$G51,+IF(O$18='5.Variables'!$B$62,+'5.Variables'!$G65,+IF(O$18='5.Variables'!$B$76,+'5.Variables'!$G79,+IF(O$18='5.Variables'!$B$90,+'5.Variables'!$G93,+IF(O$18='5.Variables'!$B$104,+'5.Variables'!$G107,0))))))</f>
        <v>14.52</v>
      </c>
      <c r="P36" s="831">
        <f>IF(P$18='5.Variables'!$B$16,+'5.Variables'!$G27,+IF(P$18='5.Variables'!$B$39,+'5.Variables'!$G51,+IF(P$18='5.Variables'!$B$62,+'5.Variables'!$G65,+IF(P$18='5.Variables'!$B$76,+'5.Variables'!$G79,+IF(P$18='5.Variables'!$B$90,+'5.Variables'!$G93,+IF(P$18='5.Variables'!$B$104,+'5.Variables'!$G107,0))))))</f>
        <v>0</v>
      </c>
      <c r="Q36" s="244"/>
      <c r="R36" s="549">
        <f t="shared" si="1"/>
        <v>6895579.0743282204</v>
      </c>
      <c r="S36" s="263"/>
      <c r="T36" s="513"/>
      <c r="U36" s="788" t="s">
        <v>2</v>
      </c>
      <c r="V36" s="538">
        <v>10940.641949776211</v>
      </c>
      <c r="W36" s="538">
        <v>1335.4613354035332</v>
      </c>
      <c r="X36" s="538">
        <v>8.1924063690472195</v>
      </c>
      <c r="Y36" s="538">
        <v>4.1885057784959577E-13</v>
      </c>
      <c r="Z36" s="538">
        <v>8295.1033300972558</v>
      </c>
      <c r="AA36" s="538">
        <v>13586.180569455166</v>
      </c>
      <c r="AB36" s="538">
        <v>8295.1033300972558</v>
      </c>
      <c r="AC36" s="538">
        <v>13586.180569455166</v>
      </c>
      <c r="AD36" s="259"/>
      <c r="AE36" s="244"/>
      <c r="AF36" s="244"/>
      <c r="AG36" s="244"/>
      <c r="AH36" s="244"/>
      <c r="AI36" s="244"/>
      <c r="AJ36" s="244"/>
      <c r="AK36" s="244"/>
      <c r="AL36" s="244"/>
      <c r="AM36" s="244"/>
    </row>
    <row r="37" spans="1:39" ht="15" x14ac:dyDescent="0.25">
      <c r="A37" s="497">
        <f t="shared" si="2"/>
        <v>18</v>
      </c>
      <c r="B37" s="260" t="str">
        <f>CONCATENATE('3. Consumption by Rate Class'!B42,"-",'3. Consumption by Rate Class'!C42)</f>
        <v>2007-June</v>
      </c>
      <c r="C37" s="684">
        <v>8160904.9000000004</v>
      </c>
      <c r="D37" s="690">
        <v>-434332</v>
      </c>
      <c r="E37" s="690">
        <v>-343537</v>
      </c>
      <c r="F37" s="690"/>
      <c r="G37" s="690"/>
      <c r="H37" s="691"/>
      <c r="I37" s="691"/>
      <c r="J37" s="261">
        <f t="shared" si="0"/>
        <v>7383035.9000000004</v>
      </c>
      <c r="K37" s="711">
        <f>IF(K$18='5.Variables'!$B$16,+'5.Variables'!$H28,+IF(K$18='5.Variables'!$B$39,+'5.Variables'!$H51,+IF(K$18='5.Variables'!$B$62,+'5.Variables'!$H65,+IF(K$18='5.Variables'!$B$76,+'5.Variables'!$H79,+IF(K$18='5.Variables'!$B$90,+'5.Variables'!$H93,+IF(K$18='5.Variables'!$B$104,+'5.Variables'!$H107,0))))))</f>
        <v>34.200000000000003</v>
      </c>
      <c r="L37" s="711">
        <f>IF(L$18='5.Variables'!$B$16,+'5.Variables'!$H27,+IF(L$18='5.Variables'!$B$39,+'5.Variables'!$H51,+IF(L$18='5.Variables'!$B$62,+'5.Variables'!$H65,+IF(L$18='5.Variables'!$B$76,+'5.Variables'!$H79,+IF(L$18='5.Variables'!$B$90,+'5.Variables'!$H93,+IF(L$18='5.Variables'!$B$104,+'5.Variables'!$H107,0))))))</f>
        <v>17.3</v>
      </c>
      <c r="M37" s="711">
        <f>IF(M$18='5.Variables'!$B$16,+'5.Variables'!$H27,+IF(M$18='5.Variables'!$B$39,+'5.Variables'!$H51,+IF(M$18='5.Variables'!$B$62,+'5.Variables'!$H65,+IF(M$18='5.Variables'!$B$76,+'5.Variables'!$H79,+IF(M$18='5.Variables'!$B$90,+'5.Variables'!$H93,+IF(M$18='5.Variables'!$B$104,+'5.Variables'!$H107,0))))))</f>
        <v>30</v>
      </c>
      <c r="N37" s="711">
        <f>IF(N$18='5.Variables'!$B$16,+'5.Variables'!$H27,+IF(N$18='5.Variables'!$B$39,+'5.Variables'!$H51,+IF(N$18='5.Variables'!$B$62,+'5.Variables'!$H65,+IF(N$18='5.Variables'!$B$76,+'5.Variables'!$H79,+IF(N$18='5.Variables'!$B$90,+'5.Variables'!$H93,+IF(N$18='5.Variables'!$B$104,+'5.Variables'!$H107,0))))))</f>
        <v>166.4</v>
      </c>
      <c r="O37" s="711">
        <f>IF(O$18='5.Variables'!$B$16,+'5.Variables'!$H27,+IF(O$18='5.Variables'!$B$39,+'5.Variables'!$H51,+IF(O$18='5.Variables'!$B$62,+'5.Variables'!$H65,+IF(O$18='5.Variables'!$B$76,+'5.Variables'!$H79,+IF(O$18='5.Variables'!$B$90,+'5.Variables'!$H93,+IF(O$18='5.Variables'!$B$104,+'5.Variables'!$H107,0))))))</f>
        <v>15.35</v>
      </c>
      <c r="P37" s="831">
        <f>IF(P$18='5.Variables'!$B$16,+'5.Variables'!$H27,+IF(P$18='5.Variables'!$B$39,+'5.Variables'!$H51,+IF(P$18='5.Variables'!$B$62,+'5.Variables'!$H65,+IF(P$18='5.Variables'!$B$76,+'5.Variables'!$H79,+IF(P$18='5.Variables'!$B$90,+'5.Variables'!$H93,+IF(P$18='5.Variables'!$B$104,+'5.Variables'!$H107,0))))))</f>
        <v>0</v>
      </c>
      <c r="Q37" s="244"/>
      <c r="R37" s="549">
        <f t="shared" si="1"/>
        <v>6547761.3243724648</v>
      </c>
      <c r="S37" s="263"/>
      <c r="T37" s="513"/>
      <c r="U37" s="788" t="s">
        <v>237</v>
      </c>
      <c r="V37" s="538">
        <v>228662.66966643915</v>
      </c>
      <c r="W37" s="538">
        <v>43410.920197307219</v>
      </c>
      <c r="X37" s="538">
        <v>5.2673997378342401</v>
      </c>
      <c r="Y37" s="538">
        <v>6.6070847010318714E-7</v>
      </c>
      <c r="Z37" s="538">
        <v>142665.97110752887</v>
      </c>
      <c r="AA37" s="538">
        <v>314659.36822534946</v>
      </c>
      <c r="AB37" s="538">
        <v>142665.97110752887</v>
      </c>
      <c r="AC37" s="538">
        <v>314659.36822534946</v>
      </c>
      <c r="AD37" s="259"/>
      <c r="AE37" s="244"/>
      <c r="AF37" s="244"/>
      <c r="AG37" s="244"/>
      <c r="AH37" s="244"/>
      <c r="AI37" s="244"/>
      <c r="AJ37" s="244"/>
      <c r="AK37" s="244"/>
      <c r="AL37" s="244"/>
      <c r="AM37" s="244"/>
    </row>
    <row r="38" spans="1:39" ht="15" x14ac:dyDescent="0.25">
      <c r="A38" s="497">
        <f t="shared" si="2"/>
        <v>19</v>
      </c>
      <c r="B38" s="260" t="str">
        <f>CONCATENATE('3. Consumption by Rate Class'!B43,"-",'3. Consumption by Rate Class'!C43)</f>
        <v>2007-July</v>
      </c>
      <c r="C38" s="684">
        <v>8340394.5</v>
      </c>
      <c r="D38" s="690">
        <v>-513211</v>
      </c>
      <c r="E38" s="690">
        <v>-380190</v>
      </c>
      <c r="F38" s="690"/>
      <c r="G38" s="690"/>
      <c r="H38" s="691"/>
      <c r="I38" s="691"/>
      <c r="J38" s="261">
        <f t="shared" si="0"/>
        <v>7446993.5</v>
      </c>
      <c r="K38" s="711">
        <f>IF(K$18='5.Variables'!$B$16,+'5.Variables'!$I28,+IF(K$18='5.Variables'!$B$39,+'5.Variables'!$I51,+IF(K$18='5.Variables'!$B$62,+'5.Variables'!$I65,+IF(K$18='5.Variables'!$B$76,+'5.Variables'!$I79,+IF(K$18='5.Variables'!$B$90,+'5.Variables'!$I93,+IF(K$18='5.Variables'!$B$104,+'5.Variables'!$I107,0))))))</f>
        <v>11.8</v>
      </c>
      <c r="L38" s="711">
        <f>IF(L$18='5.Variables'!$B$16,+'5.Variables'!$I27,+IF(L$18='5.Variables'!$B$39,+'5.Variables'!$I51,+IF(L$18='5.Variables'!$B$62,+'5.Variables'!$I65,+IF(L$18='5.Variables'!$B$76,+'5.Variables'!$I79,+IF(L$18='5.Variables'!$B$90,+'5.Variables'!$I93,+IF(L$18='5.Variables'!$B$104,+'5.Variables'!$I107,0))))))</f>
        <v>66.900000000000006</v>
      </c>
      <c r="M38" s="711">
        <f>IF(M$18='5.Variables'!$B$16,+'5.Variables'!$I27,+IF(M$18='5.Variables'!$B$39,+'5.Variables'!$I51,+IF(M$18='5.Variables'!$B$62,+'5.Variables'!$I65,+IF(M$18='5.Variables'!$B$76,+'5.Variables'!$I79,+IF(M$18='5.Variables'!$B$90,+'5.Variables'!$I93,+IF(M$18='5.Variables'!$B$104,+'5.Variables'!$I107,0))))))</f>
        <v>31</v>
      </c>
      <c r="N38" s="711">
        <f>IF(N$18='5.Variables'!$B$16,+'5.Variables'!$I27,+IF(N$18='5.Variables'!$B$39,+'5.Variables'!$I51,+IF(N$18='5.Variables'!$B$62,+'5.Variables'!$I65,+IF(N$18='5.Variables'!$B$76,+'5.Variables'!$I79,+IF(N$18='5.Variables'!$B$90,+'5.Variables'!$I93,+IF(N$18='5.Variables'!$B$104,+'5.Variables'!$I107,0))))))</f>
        <v>175.4</v>
      </c>
      <c r="O38" s="711">
        <f>IF(O$18='5.Variables'!$B$16,+'5.Variables'!$I27,+IF(O$18='5.Variables'!$B$39,+'5.Variables'!$I51,+IF(O$18='5.Variables'!$B$62,+'5.Variables'!$I65,+IF(O$18='5.Variables'!$B$76,+'5.Variables'!$I79,+IF(O$18='5.Variables'!$B$90,+'5.Variables'!$I93,+IF(O$18='5.Variables'!$B$104,+'5.Variables'!$I107,0))))))</f>
        <v>15.15</v>
      </c>
      <c r="P38" s="831">
        <f>IF(P$18='5.Variables'!$B$16,+'5.Variables'!$I27,+IF(P$18='5.Variables'!$B$39,+'5.Variables'!$I51,+IF(P$18='5.Variables'!$B$62,+'5.Variables'!$I65,+IF(P$18='5.Variables'!$B$76,+'5.Variables'!$I79,+IF(P$18='5.Variables'!$B$90,+'5.Variables'!$I93,+IF(P$18='5.Variables'!$B$104,+'5.Variables'!$I107,0))))))</f>
        <v>0</v>
      </c>
      <c r="Q38" s="244"/>
      <c r="R38" s="549">
        <f t="shared" si="1"/>
        <v>7347538.9931317493</v>
      </c>
      <c r="S38" s="263"/>
      <c r="T38" s="513"/>
      <c r="U38" s="788" t="s">
        <v>261</v>
      </c>
      <c r="V38" s="538">
        <v>13995.065667181512</v>
      </c>
      <c r="W38" s="538">
        <v>5090.3045964804196</v>
      </c>
      <c r="X38" s="538">
        <v>2.7493572146661118</v>
      </c>
      <c r="Y38" s="538">
        <v>6.9453174207674438E-3</v>
      </c>
      <c r="Z38" s="538">
        <v>3911.2114672026855</v>
      </c>
      <c r="AA38" s="538">
        <v>24078.919867160337</v>
      </c>
      <c r="AB38" s="538">
        <v>3911.2114672026855</v>
      </c>
      <c r="AC38" s="538">
        <v>24078.919867160337</v>
      </c>
      <c r="AD38" s="259"/>
      <c r="AE38" s="244"/>
      <c r="AF38" s="244"/>
      <c r="AG38" s="244"/>
      <c r="AH38" s="244"/>
      <c r="AI38" s="244"/>
      <c r="AJ38" s="244"/>
      <c r="AK38" s="244"/>
      <c r="AL38" s="244"/>
      <c r="AM38" s="244"/>
    </row>
    <row r="39" spans="1:39" ht="15" x14ac:dyDescent="0.25">
      <c r="A39" s="497">
        <f t="shared" si="2"/>
        <v>20</v>
      </c>
      <c r="B39" s="260" t="str">
        <f>CONCATENATE('3. Consumption by Rate Class'!B44,"-",'3. Consumption by Rate Class'!C44)</f>
        <v>2007-August</v>
      </c>
      <c r="C39" s="684">
        <v>8473769</v>
      </c>
      <c r="D39" s="690">
        <v>-473393</v>
      </c>
      <c r="E39" s="690">
        <v>-369017</v>
      </c>
      <c r="F39" s="690"/>
      <c r="G39" s="690"/>
      <c r="H39" s="691"/>
      <c r="I39" s="691"/>
      <c r="J39" s="261">
        <f t="shared" si="0"/>
        <v>7631359</v>
      </c>
      <c r="K39" s="711">
        <f>IF(K$18='5.Variables'!$B$16,+'5.Variables'!$J28,+IF(K$18='5.Variables'!$B$39,+'5.Variables'!$J51,+IF(K$18='5.Variables'!$B$62,+'5.Variables'!$J65,+IF(K$18='5.Variables'!$B$76,+'5.Variables'!$J79,+IF(K$18='5.Variables'!$B$90,+'5.Variables'!$J93,+IF(K$18='5.Variables'!$B$104,+'5.Variables'!$J107,0))))))</f>
        <v>20.100000000000001</v>
      </c>
      <c r="L39" s="711">
        <f>IF(L$18='5.Variables'!$B$16,+'5.Variables'!$J27,+IF(L$18='5.Variables'!$B$39,+'5.Variables'!$J51,+IF(L$18='5.Variables'!$B$62,+'5.Variables'!$J65,+IF(L$18='5.Variables'!$B$76,+'5.Variables'!$J79,+IF(L$18='5.Variables'!$B$90,+'5.Variables'!$J93,+IF(L$18='5.Variables'!$B$104,+'5.Variables'!$J107,0))))))</f>
        <v>65.099999999999994</v>
      </c>
      <c r="M39" s="711">
        <f>IF(M$18='5.Variables'!$B$16,+'5.Variables'!$J27,+IF(M$18='5.Variables'!$B$39,+'5.Variables'!$J51,+IF(M$18='5.Variables'!$B$62,+'5.Variables'!$J65,+IF(M$18='5.Variables'!$B$76,+'5.Variables'!$J79,+IF(M$18='5.Variables'!$B$90,+'5.Variables'!$J93,+IF(M$18='5.Variables'!$B$104,+'5.Variables'!$J107,0))))))</f>
        <v>31</v>
      </c>
      <c r="N39" s="711">
        <f>IF(N$18='5.Variables'!$B$16,+'5.Variables'!$J27,+IF(N$18='5.Variables'!$B$39,+'5.Variables'!$J51,+IF(N$18='5.Variables'!$B$62,+'5.Variables'!$J65,+IF(N$18='5.Variables'!$B$76,+'5.Variables'!$J79,+IF(N$18='5.Variables'!$B$90,+'5.Variables'!$J93,+IF(N$18='5.Variables'!$B$104,+'5.Variables'!$J107,0))))))</f>
        <v>182</v>
      </c>
      <c r="O39" s="711">
        <f>IF(O$18='5.Variables'!$B$16,+'5.Variables'!$J27,+IF(O$18='5.Variables'!$B$39,+'5.Variables'!$J51,+IF(O$18='5.Variables'!$B$62,+'5.Variables'!$J65,+IF(O$18='5.Variables'!$B$76,+'5.Variables'!$J79,+IF(O$18='5.Variables'!$B$90,+'5.Variables'!$J93,+IF(O$18='5.Variables'!$B$104,+'5.Variables'!$J107,0))))))</f>
        <v>14.03</v>
      </c>
      <c r="P39" s="831">
        <f>IF(P$18='5.Variables'!$B$16,+'5.Variables'!$J27,+IF(P$18='5.Variables'!$B$39,+'5.Variables'!$J51,+IF(P$18='5.Variables'!$B$62,+'5.Variables'!$J65,+IF(P$18='5.Variables'!$B$76,+'5.Variables'!$J79,+IF(P$18='5.Variables'!$B$90,+'5.Variables'!$J93,+IF(P$18='5.Variables'!$B$104,+'5.Variables'!$J107,0))))))</f>
        <v>0</v>
      </c>
      <c r="Q39" s="244"/>
      <c r="R39" s="549">
        <f t="shared" si="1"/>
        <v>7370176.3365965411</v>
      </c>
      <c r="S39" s="263"/>
      <c r="T39" s="513"/>
      <c r="U39" s="788" t="s">
        <v>441</v>
      </c>
      <c r="V39" s="538">
        <v>72156.711603167423</v>
      </c>
      <c r="W39" s="538">
        <v>27691.291092724212</v>
      </c>
      <c r="X39" s="538">
        <v>2.6057546887774525</v>
      </c>
      <c r="Y39" s="538">
        <v>1.039037552463137E-2</v>
      </c>
      <c r="Z39" s="538">
        <v>17300.477227473231</v>
      </c>
      <c r="AA39" s="538">
        <v>127012.94597886162</v>
      </c>
      <c r="AB39" s="538">
        <v>17300.477227473231</v>
      </c>
      <c r="AC39" s="538">
        <v>127012.94597886162</v>
      </c>
      <c r="AD39" s="788"/>
      <c r="AE39" s="244"/>
      <c r="AF39" s="244"/>
      <c r="AG39" s="244"/>
      <c r="AH39" s="244"/>
      <c r="AI39" s="244"/>
      <c r="AJ39" s="244"/>
      <c r="AK39" s="244"/>
      <c r="AL39" s="244"/>
      <c r="AM39" s="244"/>
    </row>
    <row r="40" spans="1:39" ht="15" x14ac:dyDescent="0.25">
      <c r="A40" s="497">
        <f t="shared" si="2"/>
        <v>21</v>
      </c>
      <c r="B40" s="260" t="str">
        <f>CONCATENATE('3. Consumption by Rate Class'!B45,"-",'3. Consumption by Rate Class'!C45)</f>
        <v>2007-September</v>
      </c>
      <c r="C40" s="684">
        <v>7807416.2999999998</v>
      </c>
      <c r="D40" s="690">
        <v>-466359</v>
      </c>
      <c r="E40" s="690">
        <v>-367469</v>
      </c>
      <c r="F40" s="690"/>
      <c r="G40" s="690"/>
      <c r="H40" s="691"/>
      <c r="I40" s="691"/>
      <c r="J40" s="261">
        <f t="shared" si="0"/>
        <v>6973588.2999999998</v>
      </c>
      <c r="K40" s="711">
        <f>IF(K$18='5.Variables'!$B$16,+'5.Variables'!$K28,+IF(K$18='5.Variables'!$B$39,+'5.Variables'!$K51,+IF(K$18='5.Variables'!$B$62,+'5.Variables'!$K65,+IF(K$18='5.Variables'!$B$76,+'5.Variables'!$K79,+IF(K$18='5.Variables'!$B$90,+'5.Variables'!$K93,+IF(K$18='5.Variables'!$B$104,+'5.Variables'!$K107,0))))))</f>
        <v>76</v>
      </c>
      <c r="L40" s="711">
        <f>IF(L$18='5.Variables'!$B$16,+'5.Variables'!$K27,+IF(L$18='5.Variables'!$B$39,+'5.Variables'!$K51,+IF(L$18='5.Variables'!$B$62,+'5.Variables'!$K65,+IF(L$18='5.Variables'!$B$76,+'5.Variables'!$K79,+IF(L$18='5.Variables'!$B$90,+'5.Variables'!$K93,+IF(L$18='5.Variables'!$B$104,+'5.Variables'!$K107,0))))))</f>
        <v>79.3</v>
      </c>
      <c r="M40" s="711">
        <f>IF(M$18='5.Variables'!$B$16,+'5.Variables'!$K27,+IF(M$18='5.Variables'!$B$39,+'5.Variables'!$K51,+IF(M$18='5.Variables'!$B$62,+'5.Variables'!$K65,+IF(M$18='5.Variables'!$B$76,+'5.Variables'!$K79,+IF(M$18='5.Variables'!$B$90,+'5.Variables'!$K93,+IF(M$18='5.Variables'!$B$104,+'5.Variables'!$K107,0))))))</f>
        <v>30</v>
      </c>
      <c r="N40" s="711">
        <f>IF(N$18='5.Variables'!$B$16,+'5.Variables'!$K27,+IF(N$18='5.Variables'!$B$39,+'5.Variables'!$K51,+IF(N$18='5.Variables'!$B$62,+'5.Variables'!$K65,+IF(N$18='5.Variables'!$B$76,+'5.Variables'!$K79,+IF(N$18='5.Variables'!$B$90,+'5.Variables'!$K93,+IF(N$18='5.Variables'!$B$104,+'5.Variables'!$K107,0))))))</f>
        <v>181.5</v>
      </c>
      <c r="O40" s="711">
        <f>IF(O$18='5.Variables'!$B$16,+'5.Variables'!$K27,+IF(O$18='5.Variables'!$B$39,+'5.Variables'!$K51,+IF(O$18='5.Variables'!$B$62,+'5.Variables'!$K65,+IF(O$18='5.Variables'!$B$76,+'5.Variables'!$K79,+IF(O$18='5.Variables'!$B$90,+'5.Variables'!$K93,+IF(O$18='5.Variables'!$B$104,+'5.Variables'!$K107,0))))))</f>
        <v>12.29</v>
      </c>
      <c r="P40" s="831">
        <f>IF(P$18='5.Variables'!$B$16,+'5.Variables'!$K27,+IF(P$18='5.Variables'!$B$39,+'5.Variables'!$K51,+IF(P$18='5.Variables'!$B$62,+'5.Variables'!$K65,+IF(P$18='5.Variables'!$B$76,+'5.Variables'!$K79,+IF(P$18='5.Variables'!$B$90,+'5.Variables'!$K93,+IF(P$18='5.Variables'!$B$104,+'5.Variables'!$K107,0))))))</f>
        <v>0</v>
      </c>
      <c r="Q40" s="244"/>
      <c r="R40" s="549">
        <f t="shared" si="1"/>
        <v>7371612.4710479761</v>
      </c>
      <c r="S40" s="263"/>
      <c r="T40" s="513"/>
      <c r="U40" s="788"/>
      <c r="V40" s="538"/>
      <c r="W40" s="538"/>
      <c r="X40" s="538"/>
      <c r="Y40" s="538"/>
      <c r="Z40" s="538"/>
      <c r="AA40" s="538"/>
      <c r="AB40" s="538"/>
      <c r="AC40" s="538"/>
      <c r="AD40" s="788"/>
      <c r="AE40" s="244"/>
      <c r="AF40" s="244"/>
      <c r="AG40" s="244"/>
      <c r="AH40" s="244"/>
      <c r="AI40" s="244"/>
      <c r="AJ40" s="244"/>
      <c r="AK40" s="244"/>
      <c r="AL40" s="244"/>
      <c r="AM40" s="244"/>
    </row>
    <row r="41" spans="1:39" x14ac:dyDescent="0.2">
      <c r="A41" s="497">
        <f t="shared" si="2"/>
        <v>22</v>
      </c>
      <c r="B41" s="260" t="str">
        <f>CONCATENATE('3. Consumption by Rate Class'!B46,"-",'3. Consumption by Rate Class'!C46)</f>
        <v>2007-October</v>
      </c>
      <c r="C41" s="684">
        <v>8209376</v>
      </c>
      <c r="D41" s="690">
        <v>-520885</v>
      </c>
      <c r="E41" s="690">
        <v>-392899</v>
      </c>
      <c r="F41" s="690"/>
      <c r="G41" s="690"/>
      <c r="H41" s="691"/>
      <c r="I41" s="691"/>
      <c r="J41" s="261">
        <f t="shared" si="0"/>
        <v>7295592</v>
      </c>
      <c r="K41" s="711">
        <f>IF(K$18='5.Variables'!$B$16,+'5.Variables'!$L28,+IF(K$18='5.Variables'!$B$39,+'5.Variables'!$L51,+IF(K$18='5.Variables'!$B$62,+'5.Variables'!$L65,+IF(K$18='5.Variables'!$B$76,+'5.Variables'!$L79,+IF(K$18='5.Variables'!$B$90,+'5.Variables'!$L93,+IF(K$18='5.Variables'!$B$104,+'5.Variables'!$L107,0))))))</f>
        <v>227.5</v>
      </c>
      <c r="L41" s="711">
        <f>IF(L$18='5.Variables'!$B$16,+'5.Variables'!$L27,+IF(L$18='5.Variables'!$B$39,+'5.Variables'!$L51,+IF(L$18='5.Variables'!$B$62,+'5.Variables'!$L65,+IF(L$18='5.Variables'!$B$76,+'5.Variables'!$L79,+IF(L$18='5.Variables'!$B$90,+'5.Variables'!$L93,+IF(L$18='5.Variables'!$B$104,+'5.Variables'!$L107,0))))))</f>
        <v>25.7</v>
      </c>
      <c r="M41" s="711">
        <f>IF(M$18='5.Variables'!$B$16,+'5.Variables'!$L27,+IF(M$18='5.Variables'!$B$39,+'5.Variables'!$L51,+IF(M$18='5.Variables'!$B$62,+'5.Variables'!$L65,+IF(M$18='5.Variables'!$B$76,+'5.Variables'!$L79,+IF(M$18='5.Variables'!$B$90,+'5.Variables'!$L93,+IF(M$18='5.Variables'!$B$104,+'5.Variables'!$L107,0))))))</f>
        <v>31</v>
      </c>
      <c r="N41" s="711">
        <f>IF(N$18='5.Variables'!$B$16,+'5.Variables'!$L27,+IF(N$18='5.Variables'!$B$39,+'5.Variables'!$L51,+IF(N$18='5.Variables'!$B$62,+'5.Variables'!$L65,+IF(N$18='5.Variables'!$B$76,+'5.Variables'!$L79,+IF(N$18='5.Variables'!$B$90,+'5.Variables'!$L93,+IF(N$18='5.Variables'!$B$104,+'5.Variables'!$L107,0))))))</f>
        <v>179.6</v>
      </c>
      <c r="O41" s="711">
        <f>IF(O$18='5.Variables'!$B$16,+'5.Variables'!$L27,+IF(O$18='5.Variables'!$B$39,+'5.Variables'!$L51,+IF(O$18='5.Variables'!$B$62,+'5.Variables'!$L65,+IF(O$18='5.Variables'!$B$76,+'5.Variables'!$L79,+IF(O$18='5.Variables'!$B$90,+'5.Variables'!$L93,+IF(O$18='5.Variables'!$B$104,+'5.Variables'!$L107,0))))))</f>
        <v>10.51</v>
      </c>
      <c r="P41" s="831">
        <f>IF(P$18='5.Variables'!$B$16,+'5.Variables'!$L27,+IF(P$18='5.Variables'!$B$39,+'5.Variables'!$L51,+IF(P$18='5.Variables'!$B$62,+'5.Variables'!$L65,+IF(P$18='5.Variables'!$B$76,+'5.Variables'!$L79,+IF(P$18='5.Variables'!$B$90,+'5.Variables'!$L93,+IF(P$18='5.Variables'!$B$104,+'5.Variables'!$L107,0))))))</f>
        <v>0</v>
      </c>
      <c r="Q41" s="244"/>
      <c r="R41" s="549">
        <f t="shared" si="1"/>
        <v>7420628.9991984423</v>
      </c>
      <c r="S41" s="263"/>
      <c r="T41" s="244"/>
      <c r="U41"/>
      <c r="V41"/>
      <c r="W41"/>
      <c r="X41"/>
      <c r="Y41"/>
      <c r="Z41"/>
      <c r="AA41"/>
      <c r="AB41"/>
      <c r="AC41"/>
      <c r="AD41" s="259"/>
      <c r="AE41" s="244"/>
      <c r="AF41" s="244"/>
      <c r="AG41" s="244"/>
      <c r="AH41" s="244"/>
      <c r="AI41" s="244"/>
      <c r="AJ41" s="244"/>
      <c r="AK41" s="244"/>
      <c r="AL41" s="244"/>
      <c r="AM41" s="244"/>
    </row>
    <row r="42" spans="1:39" x14ac:dyDescent="0.2">
      <c r="A42" s="497">
        <f t="shared" si="2"/>
        <v>23</v>
      </c>
      <c r="B42" s="260" t="str">
        <f>CONCATENATE('3. Consumption by Rate Class'!B47,"-",'3. Consumption by Rate Class'!C47)</f>
        <v>2007-November</v>
      </c>
      <c r="C42" s="684">
        <v>8971405.3000000007</v>
      </c>
      <c r="D42" s="690">
        <v>-474643</v>
      </c>
      <c r="E42" s="690">
        <v>-369038</v>
      </c>
      <c r="F42" s="690"/>
      <c r="G42" s="690"/>
      <c r="H42" s="691"/>
      <c r="I42" s="691"/>
      <c r="J42" s="261">
        <f t="shared" si="0"/>
        <v>8127724.3000000007</v>
      </c>
      <c r="K42" s="711">
        <f>IF(K$18='5.Variables'!$B$16,+'5.Variables'!$M28,+IF(K$18='5.Variables'!$B$39,+'5.Variables'!$M51,+IF(K$18='5.Variables'!$B$62,+'5.Variables'!$M65,+IF(K$18='5.Variables'!$B$76,+'5.Variables'!$M79,+IF(K$18='5.Variables'!$B$90,+'5.Variables'!$M93,+IF(K$18='5.Variables'!$B$104,+'5.Variables'!$M107,0))))))</f>
        <v>517</v>
      </c>
      <c r="L42" s="711">
        <f>IF(L$18='5.Variables'!$B$16,+'5.Variables'!$M27,+IF(L$18='5.Variables'!$B$39,+'5.Variables'!$M51,+IF(L$18='5.Variables'!$B$62,+'5.Variables'!$M65,+IF(L$18='5.Variables'!$B$76,+'5.Variables'!$M79,+IF(L$18='5.Variables'!$B$90,+'5.Variables'!$M93,+IF(L$18='5.Variables'!$B$104,+'5.Variables'!$M107,0))))))</f>
        <v>1.9</v>
      </c>
      <c r="M42" s="711">
        <f>IF(M$18='5.Variables'!$B$16,+'5.Variables'!$M27,+IF(M$18='5.Variables'!$B$39,+'5.Variables'!$M51,+IF(M$18='5.Variables'!$B$62,+'5.Variables'!$M65,+IF(M$18='5.Variables'!$B$76,+'5.Variables'!$M79,+IF(M$18='5.Variables'!$B$90,+'5.Variables'!$M93,+IF(M$18='5.Variables'!$B$104,+'5.Variables'!$M107,0))))))</f>
        <v>30</v>
      </c>
      <c r="N42" s="711">
        <f>IF(N$18='5.Variables'!$B$16,+'5.Variables'!$M27,+IF(N$18='5.Variables'!$B$39,+'5.Variables'!$M51,+IF(N$18='5.Variables'!$B$62,+'5.Variables'!$M65,+IF(N$18='5.Variables'!$B$76,+'5.Variables'!$M79,+IF(N$18='5.Variables'!$B$90,+'5.Variables'!$M93,+IF(N$18='5.Variables'!$B$104,+'5.Variables'!$M107,0))))))</f>
        <v>173.4</v>
      </c>
      <c r="O42" s="711">
        <f>IF(O$18='5.Variables'!$B$16,+'5.Variables'!$M27,+IF(O$18='5.Variables'!$B$39,+'5.Variables'!$M51,+IF(O$18='5.Variables'!$B$62,+'5.Variables'!$M65,+IF(O$18='5.Variables'!$B$76,+'5.Variables'!$M79,+IF(O$18='5.Variables'!$B$90,+'5.Variables'!$M93,+IF(O$18='5.Variables'!$B$104,+'5.Variables'!$M107,0))))))</f>
        <v>9.2799999999999994</v>
      </c>
      <c r="P42" s="831">
        <f>IF(P$18='5.Variables'!$B$16,+'5.Variables'!$M27,+IF(P$18='5.Variables'!$B$39,+'5.Variables'!$M51,+IF(P$18='5.Variables'!$B$62,+'5.Variables'!$M65,+IF(P$18='5.Variables'!$B$76,+'5.Variables'!$M79,+IF(P$18='5.Variables'!$B$90,+'5.Variables'!$M93,+IF(P$18='5.Variables'!$B$104,+'5.Variables'!$M107,0))))))</f>
        <v>0</v>
      </c>
      <c r="Q42" s="244"/>
      <c r="R42" s="549">
        <f t="shared" si="1"/>
        <v>7829599.0155879166</v>
      </c>
      <c r="S42" s="263"/>
      <c r="T42" s="244"/>
      <c r="U42"/>
      <c r="V42"/>
      <c r="W42"/>
      <c r="X42"/>
      <c r="Y42"/>
      <c r="Z42"/>
      <c r="AA42"/>
      <c r="AB42"/>
      <c r="AC42"/>
      <c r="AD42" s="259"/>
      <c r="AE42" s="244"/>
      <c r="AF42" s="244"/>
      <c r="AG42" s="244"/>
      <c r="AH42" s="244"/>
      <c r="AI42" s="244"/>
      <c r="AJ42" s="244"/>
      <c r="AK42" s="244"/>
      <c r="AL42" s="244"/>
      <c r="AM42" s="244"/>
    </row>
    <row r="43" spans="1:39" ht="13.5" customHeight="1" x14ac:dyDescent="0.2">
      <c r="A43" s="497">
        <f t="shared" si="2"/>
        <v>24</v>
      </c>
      <c r="B43" s="516" t="str">
        <f>CONCATENATE('3. Consumption by Rate Class'!B48,"-",'3. Consumption by Rate Class'!C48)</f>
        <v>2007-December</v>
      </c>
      <c r="C43" s="685">
        <v>10183340.9</v>
      </c>
      <c r="D43" s="692">
        <v>-492249</v>
      </c>
      <c r="E43" s="692">
        <v>-357902</v>
      </c>
      <c r="F43" s="692"/>
      <c r="G43" s="692"/>
      <c r="H43" s="693"/>
      <c r="I43" s="693"/>
      <c r="J43" s="261">
        <f t="shared" si="0"/>
        <v>9333189.9000000004</v>
      </c>
      <c r="K43" s="711">
        <f>IF(K$18='5.Variables'!$B$16,+'5.Variables'!$N28,+IF(K$18='5.Variables'!$B$39,+'5.Variables'!$N51,+IF(K$18='5.Variables'!$B$62,+'5.Variables'!$N65,+IF(K$18='5.Variables'!$B$76,+'5.Variables'!$N79,+IF(K$18='5.Variables'!$B$90,+'5.Variables'!$N93,+IF(K$18='5.Variables'!$B$104,+'5.Variables'!$N107,0))))))</f>
        <v>787.7</v>
      </c>
      <c r="L43" s="711">
        <f>IF(L$18='5.Variables'!$B$16,+'5.Variables'!$N27,+IF(L$18='5.Variables'!$B$39,+'5.Variables'!$N51,+IF(L$18='5.Variables'!$B$62,+'5.Variables'!$N65,+IF(L$18='5.Variables'!$B$76,+'5.Variables'!$N79,+IF(L$18='5.Variables'!$B$90,+'5.Variables'!$N93,+IF(L$18='5.Variables'!$B$104,+'5.Variables'!$N107,0))))))</f>
        <v>0</v>
      </c>
      <c r="M43" s="711">
        <f>IF(M$18='5.Variables'!$B$16,+'5.Variables'!$N27,+IF(M$18='5.Variables'!$B$39,+'5.Variables'!$N51,+IF(M$18='5.Variables'!$B$62,+'5.Variables'!$N65,+IF(M$18='5.Variables'!$B$76,+'5.Variables'!$N79,+IF(M$18='5.Variables'!$B$90,+'5.Variables'!$N93,+IF(M$18='5.Variables'!$B$104,+'5.Variables'!$N107,0))))))</f>
        <v>31</v>
      </c>
      <c r="N43" s="711">
        <f>IF(N$18='5.Variables'!$B$16,+'5.Variables'!$N27,+IF(N$18='5.Variables'!$B$39,+'5.Variables'!$N51,+IF(N$18='5.Variables'!$B$62,+'5.Variables'!$N65,+IF(N$18='5.Variables'!$B$76,+'5.Variables'!$N79,+IF(N$18='5.Variables'!$B$90,+'5.Variables'!$N93,+IF(N$18='5.Variables'!$B$104,+'5.Variables'!$N107,0))))))</f>
        <v>169.6</v>
      </c>
      <c r="O43" s="711">
        <f>IF(O$18='5.Variables'!$B$16,+'5.Variables'!$N27,+IF(O$18='5.Variables'!$B$39,+'5.Variables'!$N51,+IF(O$18='5.Variables'!$B$62,+'5.Variables'!$N65,+IF(O$18='5.Variables'!$B$76,+'5.Variables'!$N79,+IF(O$18='5.Variables'!$B$90,+'5.Variables'!$N93,+IF(O$18='5.Variables'!$B$104,+'5.Variables'!$N107,0))))))</f>
        <v>8.4700000000000006</v>
      </c>
      <c r="P43" s="831">
        <f>IF(P$18='5.Variables'!$B$16,+'5.Variables'!$N27,+IF(P$18='5.Variables'!$B$39,+'5.Variables'!$N51,+IF(P$18='5.Variables'!$B$62,+'5.Variables'!$N65,+IF(P$18='5.Variables'!$B$76,+'5.Variables'!$N79,+IF(P$18='5.Variables'!$B$90,+'5.Variables'!$N93,+IF(P$18='5.Variables'!$B$104,+'5.Variables'!$N107,0))))))</f>
        <v>0</v>
      </c>
      <c r="Q43" s="244"/>
      <c r="R43" s="549">
        <f t="shared" si="1"/>
        <v>8929673.0628402457</v>
      </c>
      <c r="S43" s="263">
        <f>SUM(R32:R43)</f>
        <v>92749181.649325848</v>
      </c>
      <c r="T43" s="244"/>
      <c r="U43"/>
      <c r="V43"/>
      <c r="W43"/>
      <c r="X43"/>
      <c r="Y43"/>
      <c r="Z43"/>
      <c r="AA43"/>
      <c r="AB43"/>
      <c r="AC43"/>
      <c r="AD43" s="259"/>
      <c r="AE43" s="244"/>
      <c r="AF43" s="244"/>
      <c r="AG43" s="244"/>
      <c r="AH43" s="244"/>
      <c r="AI43" s="244"/>
      <c r="AJ43" s="244"/>
      <c r="AK43" s="244"/>
      <c r="AL43" s="244"/>
      <c r="AM43" s="244"/>
    </row>
    <row r="44" spans="1:39" x14ac:dyDescent="0.2">
      <c r="A44" s="497">
        <f t="shared" si="2"/>
        <v>25</v>
      </c>
      <c r="B44" s="260" t="str">
        <f>CONCATENATE('3. Consumption by Rate Class'!B49,"-",'3. Consumption by Rate Class'!C49)</f>
        <v>2008-January</v>
      </c>
      <c r="C44" s="684">
        <v>10409337</v>
      </c>
      <c r="D44" s="690">
        <v>-384819</v>
      </c>
      <c r="E44" s="690">
        <v>-250341</v>
      </c>
      <c r="F44" s="690"/>
      <c r="G44" s="690"/>
      <c r="H44" s="691"/>
      <c r="I44" s="691"/>
      <c r="J44" s="261">
        <f t="shared" si="0"/>
        <v>9774177</v>
      </c>
      <c r="K44" s="711">
        <f>IF(K$18='5.Variables'!$B$16,+'5.Variables'!$C29,+IF(K$18='5.Variables'!$B$39,+'5.Variables'!$C52,+IF(K$18='5.Variables'!$B$62,+'5.Variables'!$C66,+IF(K$18='5.Variables'!$B$76,+'5.Variables'!$C80,+IF(K$18='5.Variables'!$B$90,+'5.Variables'!$C94,+IF(K$18='5.Variables'!$B$104,+'5.Variables'!$C108,0))))))</f>
        <v>754.2</v>
      </c>
      <c r="L44" s="711">
        <f>IF(L$18='5.Variables'!$B$16,+'5.Variables'!$C28,+IF(L$18='5.Variables'!$B$39,+'5.Variables'!$C52,+IF(L$18='5.Variables'!$B$62,+'5.Variables'!$C66,+IF(L$18='5.Variables'!$B$76,+'5.Variables'!$C80,+IF(L$18='5.Variables'!$B$90,+'5.Variables'!$C94,+IF(L$18='5.Variables'!$B$104,+'5.Variables'!$C108,0))))))</f>
        <v>0</v>
      </c>
      <c r="M44" s="711">
        <f>IF(M$18='5.Variables'!$B$16,+'5.Variables'!$C28,+IF(M$18='5.Variables'!$B$39,+'5.Variables'!$C52,+IF(M$18='5.Variables'!$B$62,+'5.Variables'!$C66,+IF(M$18='5.Variables'!$B$76,+'5.Variables'!$C80,+IF(M$18='5.Variables'!$B$90,+'5.Variables'!$C94,+IF(M$18='5.Variables'!$B$104,+'5.Variables'!$C108,0))))))</f>
        <v>31</v>
      </c>
      <c r="N44" s="711">
        <f>IF(N$18='5.Variables'!$B$16,+'5.Variables'!$C28,+IF(N$18='5.Variables'!$B$39,+'5.Variables'!$C52,+IF(N$18='5.Variables'!$B$62,+'5.Variables'!$C66,+IF(N$18='5.Variables'!$B$76,+'5.Variables'!$C80,+IF(N$18='5.Variables'!$B$90,+'5.Variables'!$C94,+IF(N$18='5.Variables'!$B$104,+'5.Variables'!$C108,0))))))</f>
        <v>164.3</v>
      </c>
      <c r="O44" s="711">
        <f>IF(O$18='5.Variables'!$B$16,+'5.Variables'!$C28,+IF(O$18='5.Variables'!$B$39,+'5.Variables'!$C52,+IF(O$18='5.Variables'!$B$62,+'5.Variables'!$C66,+IF(O$18='5.Variables'!$B$76,+'5.Variables'!$C80,+IF(O$18='5.Variables'!$B$90,+'5.Variables'!$C94,+IF(O$18='5.Variables'!$B$104,+'5.Variables'!$C108,0))))))</f>
        <v>9.09</v>
      </c>
      <c r="P44" s="831">
        <f>IF(P$18='5.Variables'!$B$16,+'5.Variables'!$C28,+IF(P$18='5.Variables'!$B$39,+'5.Variables'!$C52,+IF(P$18='5.Variables'!$B$62,+'5.Variables'!$C66,+IF(P$18='5.Variables'!$B$76,+'5.Variables'!$C80,+IF(P$18='5.Variables'!$B$90,+'5.Variables'!$C94,+IF(P$18='5.Variables'!$B$104,+'5.Variables'!$C108,0))))))</f>
        <v>0</v>
      </c>
      <c r="Q44" s="244"/>
      <c r="R44" s="549">
        <f t="shared" si="1"/>
        <v>8776009.5668440461</v>
      </c>
      <c r="S44" s="263"/>
      <c r="T44" s="244"/>
      <c r="U44" s="264" t="s">
        <v>161</v>
      </c>
      <c r="V44" s="257"/>
      <c r="W44" s="257"/>
      <c r="X44" s="257"/>
      <c r="Y44" s="257"/>
      <c r="Z44" s="257"/>
      <c r="AA44" s="257"/>
      <c r="AB44" s="257"/>
      <c r="AC44" s="257"/>
      <c r="AD44" s="259"/>
      <c r="AE44" s="244"/>
      <c r="AF44" s="244"/>
      <c r="AG44" s="244"/>
      <c r="AH44" s="244"/>
      <c r="AI44" s="244"/>
      <c r="AJ44" s="244"/>
      <c r="AK44" s="244"/>
      <c r="AL44" s="244"/>
      <c r="AM44" s="244"/>
    </row>
    <row r="45" spans="1:39" x14ac:dyDescent="0.2">
      <c r="A45" s="497">
        <f t="shared" si="2"/>
        <v>26</v>
      </c>
      <c r="B45" s="260" t="str">
        <f>CONCATENATE('3. Consumption by Rate Class'!B50,"-",'3. Consumption by Rate Class'!C50)</f>
        <v>2008-February</v>
      </c>
      <c r="C45" s="684">
        <v>9792900</v>
      </c>
      <c r="D45" s="690">
        <v>-484702</v>
      </c>
      <c r="E45" s="690">
        <v>-329910</v>
      </c>
      <c r="F45" s="690"/>
      <c r="G45" s="690"/>
      <c r="H45" s="691"/>
      <c r="I45" s="691"/>
      <c r="J45" s="261">
        <f t="shared" si="0"/>
        <v>8978288</v>
      </c>
      <c r="K45" s="711">
        <f>IF(K$18='5.Variables'!$B$16,+'5.Variables'!$D29,+IF(K$18='5.Variables'!$B$39,+'5.Variables'!$D52,+IF(K$18='5.Variables'!$B$62,+'5.Variables'!$D66,+IF(K$18='5.Variables'!$B$76,+'5.Variables'!$D80,+IF(K$18='5.Variables'!$B$90,+'5.Variables'!$D94,+IF(K$18='5.Variables'!$B$104,+'5.Variables'!$D108,0))))))</f>
        <v>774.3</v>
      </c>
      <c r="L45" s="711">
        <f>IF(L$18='5.Variables'!$B$16,+'5.Variables'!$D28,+IF(L$18='5.Variables'!$B$39,+'5.Variables'!$D52,+IF(L$18='5.Variables'!$B$62,+'5.Variables'!$D66,+IF(L$18='5.Variables'!$B$76,+'5.Variables'!$D80,+IF(L$18='5.Variables'!$B$90,+'5.Variables'!$D94,+IF(L$18='5.Variables'!$B$104,+'5.Variables'!$D108,0))))))</f>
        <v>0</v>
      </c>
      <c r="M45" s="711">
        <f>IF(M$18='5.Variables'!$B$16,+'5.Variables'!$D28,+IF(M$18='5.Variables'!$B$39,+'5.Variables'!$D52,+IF(M$18='5.Variables'!$B$62,+'5.Variables'!$D66,+IF(M$18='5.Variables'!$B$76,+'5.Variables'!$D80,+IF(M$18='5.Variables'!$B$90,+'5.Variables'!$D94,+IF(M$18='5.Variables'!$B$104,+'5.Variables'!$D108,0))))))</f>
        <v>28</v>
      </c>
      <c r="N45" s="711">
        <f>IF(N$18='5.Variables'!$B$16,+'5.Variables'!$D28,+IF(N$18='5.Variables'!$B$39,+'5.Variables'!$D52,+IF(N$18='5.Variables'!$B$62,+'5.Variables'!$D66,+IF(N$18='5.Variables'!$B$76,+'5.Variables'!$D80,+IF(N$18='5.Variables'!$B$90,+'5.Variables'!$D94,+IF(N$18='5.Variables'!$B$104,+'5.Variables'!$D108,0))))))</f>
        <v>163.19999999999999</v>
      </c>
      <c r="O45" s="711">
        <f>IF(O$18='5.Variables'!$B$16,+'5.Variables'!$D28,+IF(O$18='5.Variables'!$B$39,+'5.Variables'!$D52,+IF(O$18='5.Variables'!$B$62,+'5.Variables'!$D66,+IF(O$18='5.Variables'!$B$76,+'5.Variables'!$D80,+IF(O$18='5.Variables'!$B$90,+'5.Variables'!$D94,+IF(O$18='5.Variables'!$B$104,+'5.Variables'!$D108,0))))))</f>
        <v>10.19</v>
      </c>
      <c r="P45" s="831">
        <f>IF(P$18='5.Variables'!$B$16,+'5.Variables'!$D28,+IF(P$18='5.Variables'!$B$39,+'5.Variables'!$D52,+IF(P$18='5.Variables'!$B$62,+'5.Variables'!$D66,+IF(P$18='5.Variables'!$B$76,+'5.Variables'!$D80,+IF(P$18='5.Variables'!$B$90,+'5.Variables'!$D94,+IF(P$18='5.Variables'!$B$104,+'5.Variables'!$D108,0))))))</f>
        <v>0</v>
      </c>
      <c r="Q45" s="244"/>
      <c r="R45" s="549">
        <f t="shared" si="1"/>
        <v>8228535.4538667751</v>
      </c>
      <c r="S45" s="263"/>
      <c r="T45" s="244"/>
      <c r="U45" s="248" t="s">
        <v>33</v>
      </c>
      <c r="V45" s="248" t="s">
        <v>42</v>
      </c>
      <c r="W45" s="248" t="s">
        <v>44</v>
      </c>
      <c r="X45" s="248" t="s">
        <v>474</v>
      </c>
      <c r="Y45" s="248" t="s">
        <v>44</v>
      </c>
      <c r="Z45" s="248" t="s">
        <v>484</v>
      </c>
      <c r="AA45" s="244"/>
      <c r="AB45" s="244"/>
      <c r="AC45" s="244"/>
      <c r="AD45" s="259"/>
      <c r="AE45" s="244"/>
      <c r="AF45" s="244"/>
      <c r="AG45" s="244"/>
      <c r="AH45" s="244"/>
      <c r="AI45" s="244"/>
      <c r="AJ45" s="244"/>
      <c r="AK45" s="244"/>
      <c r="AL45" s="244"/>
      <c r="AM45" s="244"/>
    </row>
    <row r="46" spans="1:39" x14ac:dyDescent="0.2">
      <c r="A46" s="497">
        <f t="shared" si="2"/>
        <v>27</v>
      </c>
      <c r="B46" s="260" t="str">
        <f>CONCATENATE('3. Consumption by Rate Class'!B51,"-",'3. Consumption by Rate Class'!C51)</f>
        <v>2008-March</v>
      </c>
      <c r="C46" s="684">
        <v>9631393</v>
      </c>
      <c r="D46" s="690">
        <v>-455091</v>
      </c>
      <c r="E46" s="690">
        <v>-287295</v>
      </c>
      <c r="F46" s="690"/>
      <c r="G46" s="690"/>
      <c r="H46" s="691"/>
      <c r="I46" s="691"/>
      <c r="J46" s="261">
        <f t="shared" si="0"/>
        <v>8889007</v>
      </c>
      <c r="K46" s="711">
        <f>IF(K$18='5.Variables'!$B$16,+'5.Variables'!$E29,+IF(K$18='5.Variables'!$B$39,+'5.Variables'!$E52,+IF(K$18='5.Variables'!$B$62,+'5.Variables'!$E66,+IF(K$18='5.Variables'!$B$76,+'5.Variables'!$E80,+IF(K$18='5.Variables'!$B$90,+'5.Variables'!$E94,+IF(K$18='5.Variables'!$B$104,+'5.Variables'!$E108,0))))))</f>
        <v>721.1</v>
      </c>
      <c r="L46" s="711">
        <f>IF(L$18='5.Variables'!$B$16,+'5.Variables'!$E28,+IF(L$18='5.Variables'!$B$39,+'5.Variables'!$E52,+IF(L$18='5.Variables'!$B$62,+'5.Variables'!$E66,+IF(L$18='5.Variables'!$B$76,+'5.Variables'!$E80,+IF(L$18='5.Variables'!$B$90,+'5.Variables'!$E94,+IF(L$18='5.Variables'!$B$104,+'5.Variables'!$E108,0))))))</f>
        <v>0</v>
      </c>
      <c r="M46" s="711">
        <f>IF(M$18='5.Variables'!$B$16,+'5.Variables'!$E28,+IF(M$18='5.Variables'!$B$39,+'5.Variables'!$E52,+IF(M$18='5.Variables'!$B$62,+'5.Variables'!$E66,+IF(M$18='5.Variables'!$B$76,+'5.Variables'!$E80,+IF(M$18='5.Variables'!$B$90,+'5.Variables'!$E94,+IF(M$18='5.Variables'!$B$104,+'5.Variables'!$E108,0))))))</f>
        <v>31</v>
      </c>
      <c r="N46" s="711">
        <f>IF(N$18='5.Variables'!$B$16,+'5.Variables'!$E28,+IF(N$18='5.Variables'!$B$39,+'5.Variables'!$E52,+IF(N$18='5.Variables'!$B$62,+'5.Variables'!$E66,+IF(N$18='5.Variables'!$B$76,+'5.Variables'!$E80,+IF(N$18='5.Variables'!$B$90,+'5.Variables'!$E94,+IF(N$18='5.Variables'!$B$104,+'5.Variables'!$E108,0))))))</f>
        <v>161</v>
      </c>
      <c r="O46" s="711">
        <f>IF(O$18='5.Variables'!$B$16,+'5.Variables'!$E28,+IF(O$18='5.Variables'!$B$39,+'5.Variables'!$E52,+IF(O$18='5.Variables'!$B$62,+'5.Variables'!$E66,+IF(O$18='5.Variables'!$B$76,+'5.Variables'!$E80,+IF(O$18='5.Variables'!$B$90,+'5.Variables'!$E94,+IF(O$18='5.Variables'!$B$104,+'5.Variables'!$E108,0))))))</f>
        <v>11.51</v>
      </c>
      <c r="P46" s="831">
        <f>IF(P$18='5.Variables'!$B$16,+'5.Variables'!$E28,+IF(P$18='5.Variables'!$B$39,+'5.Variables'!$E52,+IF(P$18='5.Variables'!$B$62,+'5.Variables'!$E66,+IF(P$18='5.Variables'!$B$76,+'5.Variables'!$E80,+IF(P$18='5.Variables'!$B$90,+'5.Variables'!$E94,+IF(P$18='5.Variables'!$B$104,+'5.Variables'!$E108,0))))))</f>
        <v>0</v>
      </c>
      <c r="Q46" s="244"/>
      <c r="R46" s="549">
        <f t="shared" si="1"/>
        <v>8781701.588251844</v>
      </c>
      <c r="S46" s="263"/>
      <c r="T46" s="244"/>
      <c r="U46" s="249">
        <f>'4. Customer Growth'!B17</f>
        <v>2006</v>
      </c>
      <c r="V46" s="265">
        <f>SUM(J20:J31)</f>
        <v>91018552.480000004</v>
      </c>
      <c r="W46" s="265"/>
      <c r="X46" s="265">
        <f>S31</f>
        <v>90193695.30883345</v>
      </c>
      <c r="Y46" s="265"/>
      <c r="Z46" s="266">
        <f t="shared" ref="Z46:Z55" si="3">(X46-V46)/V46</f>
        <v>-9.0625169121185973E-3</v>
      </c>
      <c r="AA46" s="244"/>
      <c r="AB46" s="244"/>
      <c r="AC46" s="244"/>
      <c r="AD46" s="259"/>
      <c r="AE46" s="244"/>
      <c r="AF46" s="244"/>
      <c r="AG46" s="244"/>
      <c r="AH46" s="244"/>
      <c r="AI46" s="244"/>
      <c r="AJ46" s="244"/>
      <c r="AK46" s="244"/>
      <c r="AL46" s="244"/>
      <c r="AM46" s="244"/>
    </row>
    <row r="47" spans="1:39" x14ac:dyDescent="0.2">
      <c r="A47" s="497">
        <f t="shared" si="2"/>
        <v>28</v>
      </c>
      <c r="B47" s="260" t="str">
        <f>CONCATENATE('3. Consumption by Rate Class'!B52,"-",'3. Consumption by Rate Class'!C52)</f>
        <v>2008-April</v>
      </c>
      <c r="C47" s="684">
        <v>8033570</v>
      </c>
      <c r="D47" s="690">
        <v>-495405</v>
      </c>
      <c r="E47" s="690">
        <v>-305041</v>
      </c>
      <c r="F47" s="690"/>
      <c r="G47" s="690"/>
      <c r="H47" s="691"/>
      <c r="I47" s="691"/>
      <c r="J47" s="261">
        <f t="shared" si="0"/>
        <v>7233124</v>
      </c>
      <c r="K47" s="711">
        <f>IF(K$18='5.Variables'!$B$16,+'5.Variables'!$F29,+IF(K$18='5.Variables'!$B$39,+'5.Variables'!$F52,+IF(K$18='5.Variables'!$B$62,+'5.Variables'!$F66,+IF(K$18='5.Variables'!$B$76,+'5.Variables'!$F80,+IF(K$18='5.Variables'!$B$90,+'5.Variables'!$F94,+IF(K$18='5.Variables'!$B$104,+'5.Variables'!$F108,0))))))</f>
        <v>299.60000000000002</v>
      </c>
      <c r="L47" s="711">
        <f>IF(L$18='5.Variables'!$B$16,+'5.Variables'!$F28,+IF(L$18='5.Variables'!$B$39,+'5.Variables'!$F52,+IF(L$18='5.Variables'!$B$62,+'5.Variables'!$F66,+IF(L$18='5.Variables'!$B$76,+'5.Variables'!$F80,+IF(L$18='5.Variables'!$B$90,+'5.Variables'!$F94,+IF(L$18='5.Variables'!$B$104,+'5.Variables'!$F108,0))))))</f>
        <v>0</v>
      </c>
      <c r="M47" s="711">
        <f>IF(M$18='5.Variables'!$B$16,+'5.Variables'!$F28,+IF(M$18='5.Variables'!$B$39,+'5.Variables'!$F52,+IF(M$18='5.Variables'!$B$62,+'5.Variables'!$F66,+IF(M$18='5.Variables'!$B$76,+'5.Variables'!$F80,+IF(M$18='5.Variables'!$B$90,+'5.Variables'!$F94,+IF(M$18='5.Variables'!$B$104,+'5.Variables'!$F108,0))))))</f>
        <v>30</v>
      </c>
      <c r="N47" s="711">
        <f>IF(N$18='5.Variables'!$B$16,+'5.Variables'!$F28,+IF(N$18='5.Variables'!$B$39,+'5.Variables'!$F52,+IF(N$18='5.Variables'!$B$62,+'5.Variables'!$F66,+IF(N$18='5.Variables'!$B$76,+'5.Variables'!$F80,+IF(N$18='5.Variables'!$B$90,+'5.Variables'!$F94,+IF(N$18='5.Variables'!$B$104,+'5.Variables'!$F108,0))))))</f>
        <v>162.69999999999999</v>
      </c>
      <c r="O47" s="711">
        <f>IF(O$18='5.Variables'!$B$16,+'5.Variables'!$F28,+IF(O$18='5.Variables'!$B$39,+'5.Variables'!$F52,+IF(O$18='5.Variables'!$B$62,+'5.Variables'!$F66,+IF(O$18='5.Variables'!$B$76,+'5.Variables'!$F80,+IF(O$18='5.Variables'!$B$90,+'5.Variables'!$F94,+IF(O$18='5.Variables'!$B$104,+'5.Variables'!$F108,0))))))</f>
        <v>13.28</v>
      </c>
      <c r="P47" s="831">
        <f>IF(P$18='5.Variables'!$B$16,+'5.Variables'!$F28,+IF(P$18='5.Variables'!$B$39,+'5.Variables'!$F52,+IF(P$18='5.Variables'!$B$62,+'5.Variables'!$F66,+IF(P$18='5.Variables'!$B$76,+'5.Variables'!$F80,+IF(P$18='5.Variables'!$B$90,+'5.Variables'!$F94,+IF(P$18='5.Variables'!$B$104,+'5.Variables'!$F108,0))))))</f>
        <v>0</v>
      </c>
      <c r="Q47" s="244"/>
      <c r="R47" s="549">
        <f t="shared" si="1"/>
        <v>7141515.0721914619</v>
      </c>
      <c r="S47" s="263"/>
      <c r="T47" s="244"/>
      <c r="U47" s="249">
        <f>'4. Customer Growth'!B18</f>
        <v>2007</v>
      </c>
      <c r="V47" s="265">
        <f>SUM(J32:J43)</f>
        <v>94614050.200000003</v>
      </c>
      <c r="W47" s="266">
        <f>(V47-V46)/V46</f>
        <v>3.9502910363137855E-2</v>
      </c>
      <c r="X47" s="265">
        <f>S43</f>
        <v>92749181.649325848</v>
      </c>
      <c r="Y47" s="266">
        <f>(X47-X46)/X46</f>
        <v>2.8333314559760771E-2</v>
      </c>
      <c r="Z47" s="266">
        <f t="shared" si="3"/>
        <v>-1.9710270797329794E-2</v>
      </c>
      <c r="AA47" s="244"/>
      <c r="AB47" s="244"/>
      <c r="AC47" s="244"/>
      <c r="AD47" s="244"/>
      <c r="AE47" s="244"/>
      <c r="AF47" s="244"/>
      <c r="AG47" s="244"/>
      <c r="AH47" s="244"/>
      <c r="AI47" s="244"/>
      <c r="AJ47" s="244"/>
      <c r="AK47" s="244"/>
      <c r="AL47" s="244"/>
      <c r="AM47" s="244"/>
    </row>
    <row r="48" spans="1:39" x14ac:dyDescent="0.2">
      <c r="A48" s="497">
        <f t="shared" si="2"/>
        <v>29</v>
      </c>
      <c r="B48" s="260" t="str">
        <f>CONCATENATE('3. Consumption by Rate Class'!B53,"-",'3. Consumption by Rate Class'!C53)</f>
        <v>2008-May</v>
      </c>
      <c r="C48" s="684">
        <v>7704823</v>
      </c>
      <c r="D48" s="690">
        <v>-507861</v>
      </c>
      <c r="E48" s="690">
        <v>-325687</v>
      </c>
      <c r="F48" s="690"/>
      <c r="G48" s="690"/>
      <c r="H48" s="691"/>
      <c r="I48" s="691"/>
      <c r="J48" s="261">
        <f t="shared" si="0"/>
        <v>6871275</v>
      </c>
      <c r="K48" s="711">
        <f>IF(K$18='5.Variables'!$B$16,+'5.Variables'!$G29,+IF(K$18='5.Variables'!$B$39,+'5.Variables'!$G52,+IF(K$18='5.Variables'!$B$62,+'5.Variables'!$G66,+IF(K$18='5.Variables'!$B$76,+'5.Variables'!$G80,+IF(K$18='5.Variables'!$B$90,+'5.Variables'!$G94,+IF(K$18='5.Variables'!$B$104,+'5.Variables'!$G108,0))))))</f>
        <v>185.4</v>
      </c>
      <c r="L48" s="711">
        <f>IF(L$18='5.Variables'!$B$16,+'5.Variables'!$G28,+IF(L$18='5.Variables'!$B$39,+'5.Variables'!$G52,+IF(L$18='5.Variables'!$B$62,+'5.Variables'!$G66,+IF(L$18='5.Variables'!$B$76,+'5.Variables'!$G80,+IF(L$18='5.Variables'!$B$90,+'5.Variables'!$G94,+IF(L$18='5.Variables'!$B$104,+'5.Variables'!$G108,0))))))</f>
        <v>0</v>
      </c>
      <c r="M48" s="711">
        <f>IF(M$18='5.Variables'!$B$16,+'5.Variables'!$G28,+IF(M$18='5.Variables'!$B$39,+'5.Variables'!$G52,+IF(M$18='5.Variables'!$B$62,+'5.Variables'!$G66,+IF(M$18='5.Variables'!$B$76,+'5.Variables'!$G80,+IF(M$18='5.Variables'!$B$90,+'5.Variables'!$G94,+IF(M$18='5.Variables'!$B$104,+'5.Variables'!$G108,0))))))</f>
        <v>31</v>
      </c>
      <c r="N48" s="711">
        <f>IF(N$18='5.Variables'!$B$16,+'5.Variables'!$G28,+IF(N$18='5.Variables'!$B$39,+'5.Variables'!$G52,+IF(N$18='5.Variables'!$B$62,+'5.Variables'!$G66,+IF(N$18='5.Variables'!$B$76,+'5.Variables'!$G80,+IF(N$18='5.Variables'!$B$90,+'5.Variables'!$G94,+IF(N$18='5.Variables'!$B$104,+'5.Variables'!$G108,0))))))</f>
        <v>165.1</v>
      </c>
      <c r="O48" s="711">
        <f>IF(O$18='5.Variables'!$B$16,+'5.Variables'!$G28,+IF(O$18='5.Variables'!$B$39,+'5.Variables'!$G52,+IF(O$18='5.Variables'!$B$62,+'5.Variables'!$G66,+IF(O$18='5.Variables'!$B$76,+'5.Variables'!$G80,+IF(O$18='5.Variables'!$B$90,+'5.Variables'!$G94,+IF(O$18='5.Variables'!$B$104,+'5.Variables'!$G108,0))))))</f>
        <v>14.52</v>
      </c>
      <c r="P48" s="831">
        <f>IF(P$18='5.Variables'!$B$16,+'5.Variables'!$G28,+IF(P$18='5.Variables'!$B$39,+'5.Variables'!$G52,+IF(P$18='5.Variables'!$B$62,+'5.Variables'!$G66,+IF(P$18='5.Variables'!$B$76,+'5.Variables'!$G80,+IF(P$18='5.Variables'!$B$90,+'5.Variables'!$G94,+IF(P$18='5.Variables'!$B$104,+'5.Variables'!$G108,0))))))</f>
        <v>0</v>
      </c>
      <c r="Q48" s="244"/>
      <c r="R48" s="549">
        <f t="shared" si="1"/>
        <v>7069756.5918351775</v>
      </c>
      <c r="S48" s="263"/>
      <c r="T48" s="244"/>
      <c r="U48" s="249">
        <f>'4. Customer Growth'!B19</f>
        <v>2008</v>
      </c>
      <c r="V48" s="265">
        <f>SUM(J44:J55)</f>
        <v>96430220.5</v>
      </c>
      <c r="W48" s="266">
        <f t="shared" ref="W48:Y55" si="4">(V48-V47)/V47</f>
        <v>1.9195566579814347E-2</v>
      </c>
      <c r="X48" s="265">
        <f>S55</f>
        <v>93003400.401108235</v>
      </c>
      <c r="Y48" s="266">
        <f t="shared" si="4"/>
        <v>2.7409271678920017E-3</v>
      </c>
      <c r="Z48" s="266">
        <f t="shared" si="3"/>
        <v>-3.5536785886451074E-2</v>
      </c>
      <c r="AA48" s="244"/>
      <c r="AB48" s="244"/>
      <c r="AC48" s="244"/>
      <c r="AD48" s="244"/>
      <c r="AE48" s="244"/>
      <c r="AF48" s="244"/>
      <c r="AG48" s="244"/>
      <c r="AH48" s="244"/>
      <c r="AI48" s="244"/>
      <c r="AJ48" s="244"/>
      <c r="AK48" s="244"/>
      <c r="AL48" s="244"/>
      <c r="AM48" s="244"/>
    </row>
    <row r="49" spans="1:39" x14ac:dyDescent="0.2">
      <c r="A49" s="497">
        <f t="shared" si="2"/>
        <v>30</v>
      </c>
      <c r="B49" s="260" t="str">
        <f>CONCATENATE('3. Consumption by Rate Class'!B54,"-",'3. Consumption by Rate Class'!C54)</f>
        <v>2008-June</v>
      </c>
      <c r="C49" s="684">
        <v>8253385.5</v>
      </c>
      <c r="D49" s="690">
        <v>-527752</v>
      </c>
      <c r="E49" s="690">
        <v>-330550</v>
      </c>
      <c r="F49" s="690"/>
      <c r="G49" s="690"/>
      <c r="H49" s="691"/>
      <c r="I49" s="691"/>
      <c r="J49" s="261">
        <f t="shared" si="0"/>
        <v>7395083.5</v>
      </c>
      <c r="K49" s="711">
        <f>IF(K$18='5.Variables'!$B$16,+'5.Variables'!$H29,+IF(K$18='5.Variables'!$B$39,+'5.Variables'!$H52,+IF(K$18='5.Variables'!$B$62,+'5.Variables'!$H66,+IF(K$18='5.Variables'!$B$76,+'5.Variables'!$H80,+IF(K$18='5.Variables'!$B$90,+'5.Variables'!$H94,+IF(K$18='5.Variables'!$B$104,+'5.Variables'!$H108,0))))))</f>
        <v>22.4</v>
      </c>
      <c r="L49" s="711">
        <f>IF(L$18='5.Variables'!$B$16,+'5.Variables'!$H28,+IF(L$18='5.Variables'!$B$39,+'5.Variables'!$H52,+IF(L$18='5.Variables'!$B$62,+'5.Variables'!$H66,+IF(L$18='5.Variables'!$B$76,+'5.Variables'!$H80,+IF(L$18='5.Variables'!$B$90,+'5.Variables'!$H94,+IF(L$18='5.Variables'!$B$104,+'5.Variables'!$H108,0))))))</f>
        <v>0</v>
      </c>
      <c r="M49" s="711">
        <f>IF(M$18='5.Variables'!$B$16,+'5.Variables'!$H28,+IF(M$18='5.Variables'!$B$39,+'5.Variables'!$H52,+IF(M$18='5.Variables'!$B$62,+'5.Variables'!$H66,+IF(M$18='5.Variables'!$B$76,+'5.Variables'!$H80,+IF(M$18='5.Variables'!$B$90,+'5.Variables'!$H94,+IF(M$18='5.Variables'!$B$104,+'5.Variables'!$H108,0))))))</f>
        <v>30</v>
      </c>
      <c r="N49" s="711">
        <f>IF(N$18='5.Variables'!$B$16,+'5.Variables'!$H28,+IF(N$18='5.Variables'!$B$39,+'5.Variables'!$H52,+IF(N$18='5.Variables'!$B$62,+'5.Variables'!$H66,+IF(N$18='5.Variables'!$B$76,+'5.Variables'!$H80,+IF(N$18='5.Variables'!$B$90,+'5.Variables'!$H94,+IF(N$18='5.Variables'!$B$104,+'5.Variables'!$H108,0))))))</f>
        <v>171.2</v>
      </c>
      <c r="O49" s="711">
        <f>IF(O$18='5.Variables'!$B$16,+'5.Variables'!$H28,+IF(O$18='5.Variables'!$B$39,+'5.Variables'!$H52,+IF(O$18='5.Variables'!$B$62,+'5.Variables'!$H66,+IF(O$18='5.Variables'!$B$76,+'5.Variables'!$H80,+IF(O$18='5.Variables'!$B$90,+'5.Variables'!$H94,+IF(O$18='5.Variables'!$B$104,+'5.Variables'!$H108,0))))))</f>
        <v>15.35</v>
      </c>
      <c r="P49" s="831">
        <f>IF(P$18='5.Variables'!$B$16,+'5.Variables'!$H28,+IF(P$18='5.Variables'!$B$39,+'5.Variables'!$H52,+IF(P$18='5.Variables'!$B$62,+'5.Variables'!$H66,+IF(P$18='5.Variables'!$B$76,+'5.Variables'!$H80,+IF(P$18='5.Variables'!$B$90,+'5.Variables'!$H94,+IF(P$18='5.Variables'!$B$104,+'5.Variables'!$H108,0))))))</f>
        <v>0</v>
      </c>
      <c r="Q49" s="244"/>
      <c r="R49" s="549">
        <f t="shared" si="1"/>
        <v>6381907.0309178857</v>
      </c>
      <c r="S49" s="263"/>
      <c r="T49" s="244"/>
      <c r="U49" s="249">
        <f>'4. Customer Growth'!B20</f>
        <v>2009</v>
      </c>
      <c r="V49" s="265">
        <f>SUM(J56:J67)</f>
        <v>92313324</v>
      </c>
      <c r="W49" s="266">
        <f t="shared" si="4"/>
        <v>-4.269301136773819E-2</v>
      </c>
      <c r="X49" s="265">
        <f>S67</f>
        <v>92013713.385926887</v>
      </c>
      <c r="Y49" s="266">
        <f t="shared" si="4"/>
        <v>-1.0641406775590912E-2</v>
      </c>
      <c r="Z49" s="266">
        <f t="shared" si="3"/>
        <v>-3.2455836394008801E-3</v>
      </c>
      <c r="AA49" s="244"/>
      <c r="AB49" s="244"/>
      <c r="AC49" s="244"/>
      <c r="AD49" s="244"/>
      <c r="AE49" s="244"/>
      <c r="AF49" s="244"/>
      <c r="AG49" s="244"/>
      <c r="AH49" s="244"/>
      <c r="AI49" s="244"/>
      <c r="AJ49" s="244"/>
      <c r="AK49" s="244"/>
      <c r="AL49" s="244"/>
      <c r="AM49" s="244"/>
    </row>
    <row r="50" spans="1:39" x14ac:dyDescent="0.2">
      <c r="A50" s="497">
        <f t="shared" si="2"/>
        <v>31</v>
      </c>
      <c r="B50" s="260" t="str">
        <f>CONCATENATE('3. Consumption by Rate Class'!B55,"-",'3. Consumption by Rate Class'!C55)</f>
        <v>2008-July</v>
      </c>
      <c r="C50" s="684">
        <v>8927045</v>
      </c>
      <c r="D50" s="690">
        <v>-530697</v>
      </c>
      <c r="E50" s="690">
        <v>-340015</v>
      </c>
      <c r="F50" s="690"/>
      <c r="G50" s="690"/>
      <c r="H50" s="691"/>
      <c r="I50" s="691"/>
      <c r="J50" s="261">
        <f t="shared" si="0"/>
        <v>8056333</v>
      </c>
      <c r="K50" s="711">
        <f>IF(K$18='5.Variables'!$B$16,+'5.Variables'!$I29,+IF(K$18='5.Variables'!$B$39,+'5.Variables'!$I52,+IF(K$18='5.Variables'!$B$62,+'5.Variables'!$I66,+IF(K$18='5.Variables'!$B$76,+'5.Variables'!$I80,+IF(K$18='5.Variables'!$B$90,+'5.Variables'!$I94,+IF(K$18='5.Variables'!$B$104,+'5.Variables'!$I108,0))))))</f>
        <v>0.3</v>
      </c>
      <c r="L50" s="711">
        <f>IF(L$18='5.Variables'!$B$16,+'5.Variables'!$I28,+IF(L$18='5.Variables'!$B$39,+'5.Variables'!$I52,+IF(L$18='5.Variables'!$B$62,+'5.Variables'!$I66,+IF(L$18='5.Variables'!$B$76,+'5.Variables'!$I80,+IF(L$18='5.Variables'!$B$90,+'5.Variables'!$I94,+IF(L$18='5.Variables'!$B$104,+'5.Variables'!$I108,0))))))</f>
        <v>60.5</v>
      </c>
      <c r="M50" s="711">
        <f>IF(M$18='5.Variables'!$B$16,+'5.Variables'!$I28,+IF(M$18='5.Variables'!$B$39,+'5.Variables'!$I52,+IF(M$18='5.Variables'!$B$62,+'5.Variables'!$I66,+IF(M$18='5.Variables'!$B$76,+'5.Variables'!$I80,+IF(M$18='5.Variables'!$B$90,+'5.Variables'!$I94,+IF(M$18='5.Variables'!$B$104,+'5.Variables'!$I108,0))))))</f>
        <v>31</v>
      </c>
      <c r="N50" s="711">
        <f>IF(N$18='5.Variables'!$B$16,+'5.Variables'!$I28,+IF(N$18='5.Variables'!$B$39,+'5.Variables'!$I52,+IF(N$18='5.Variables'!$B$62,+'5.Variables'!$I66,+IF(N$18='5.Variables'!$B$76,+'5.Variables'!$I80,+IF(N$18='5.Variables'!$B$90,+'5.Variables'!$I94,+IF(N$18='5.Variables'!$B$104,+'5.Variables'!$I108,0))))))</f>
        <v>177.6</v>
      </c>
      <c r="O50" s="711">
        <f>IF(O$18='5.Variables'!$B$16,+'5.Variables'!$I28,+IF(O$18='5.Variables'!$B$39,+'5.Variables'!$I52,+IF(O$18='5.Variables'!$B$62,+'5.Variables'!$I66,+IF(O$18='5.Variables'!$B$76,+'5.Variables'!$I80,+IF(O$18='5.Variables'!$B$90,+'5.Variables'!$I94,+IF(O$18='5.Variables'!$B$104,+'5.Variables'!$I108,0))))))</f>
        <v>15.15</v>
      </c>
      <c r="P50" s="831">
        <f>IF(P$18='5.Variables'!$B$16,+'5.Variables'!$I28,+IF(P$18='5.Variables'!$B$39,+'5.Variables'!$I52,+IF(P$18='5.Variables'!$B$62,+'5.Variables'!$I66,+IF(P$18='5.Variables'!$B$76,+'5.Variables'!$I80,+IF(P$18='5.Variables'!$B$90,+'5.Variables'!$I94,+IF(P$18='5.Variables'!$B$104,+'5.Variables'!$I108,0))))))</f>
        <v>0</v>
      </c>
      <c r="Q50" s="244"/>
      <c r="R50" s="549">
        <f t="shared" si="1"/>
        <v>7265663.0050830059</v>
      </c>
      <c r="S50" s="263"/>
      <c r="T50" s="244"/>
      <c r="U50" s="249">
        <f>'4. Customer Growth'!B21</f>
        <v>2010</v>
      </c>
      <c r="V50" s="265">
        <f>SUM(J68:J79)</f>
        <v>91831741</v>
      </c>
      <c r="W50" s="266">
        <f t="shared" si="4"/>
        <v>-5.2168308878142011E-3</v>
      </c>
      <c r="X50" s="265">
        <f>S79</f>
        <v>89704461.17554681</v>
      </c>
      <c r="Y50" s="266">
        <f t="shared" si="4"/>
        <v>-2.5096826607731146E-2</v>
      </c>
      <c r="Z50" s="266">
        <f t="shared" si="3"/>
        <v>-2.3164973257483925E-2</v>
      </c>
      <c r="AA50" s="244"/>
      <c r="AB50" s="244"/>
      <c r="AC50" s="244"/>
      <c r="AD50" s="244"/>
      <c r="AE50" s="244"/>
      <c r="AF50" s="244"/>
      <c r="AG50" s="244"/>
      <c r="AH50" s="244"/>
      <c r="AI50" s="244"/>
      <c r="AJ50" s="244"/>
      <c r="AK50" s="244"/>
      <c r="AL50" s="244"/>
      <c r="AM50" s="244"/>
    </row>
    <row r="51" spans="1:39" x14ac:dyDescent="0.2">
      <c r="A51" s="497">
        <f t="shared" si="2"/>
        <v>32</v>
      </c>
      <c r="B51" s="260" t="str">
        <f>CONCATENATE('3. Consumption by Rate Class'!B56,"-",'3. Consumption by Rate Class'!C56)</f>
        <v>2008-August</v>
      </c>
      <c r="C51" s="684">
        <v>8447508</v>
      </c>
      <c r="D51" s="690">
        <v>-639985</v>
      </c>
      <c r="E51" s="690">
        <v>-345708</v>
      </c>
      <c r="F51" s="690"/>
      <c r="G51" s="690"/>
      <c r="H51" s="691"/>
      <c r="I51" s="691"/>
      <c r="J51" s="261">
        <f t="shared" si="0"/>
        <v>7461815</v>
      </c>
      <c r="K51" s="711">
        <f>IF(K$18='5.Variables'!$B$16,+'5.Variables'!$J29,+IF(K$18='5.Variables'!$B$39,+'5.Variables'!$J52,+IF(K$18='5.Variables'!$B$62,+'5.Variables'!$J66,+IF(K$18='5.Variables'!$B$76,+'5.Variables'!$J80,+IF(K$18='5.Variables'!$B$90,+'5.Variables'!$J94,+IF(K$18='5.Variables'!$B$104,+'5.Variables'!$J108,0))))))</f>
        <v>14.4</v>
      </c>
      <c r="L51" s="711">
        <f>IF(L$18='5.Variables'!$B$16,+'5.Variables'!$J28,+IF(L$18='5.Variables'!$B$39,+'5.Variables'!$J52,+IF(L$18='5.Variables'!$B$62,+'5.Variables'!$J66,+IF(L$18='5.Variables'!$B$76,+'5.Variables'!$J80,+IF(L$18='5.Variables'!$B$90,+'5.Variables'!$J94,+IF(L$18='5.Variables'!$B$104,+'5.Variables'!$J108,0))))))</f>
        <v>78.900000000000006</v>
      </c>
      <c r="M51" s="711">
        <f>IF(M$18='5.Variables'!$B$16,+'5.Variables'!$J28,+IF(M$18='5.Variables'!$B$39,+'5.Variables'!$J52,+IF(M$18='5.Variables'!$B$62,+'5.Variables'!$J66,+IF(M$18='5.Variables'!$B$76,+'5.Variables'!$J80,+IF(M$18='5.Variables'!$B$90,+'5.Variables'!$J94,+IF(M$18='5.Variables'!$B$104,+'5.Variables'!$J108,0))))))</f>
        <v>31</v>
      </c>
      <c r="N51" s="711">
        <f>IF(N$18='5.Variables'!$B$16,+'5.Variables'!$J28,+IF(N$18='5.Variables'!$B$39,+'5.Variables'!$J52,+IF(N$18='5.Variables'!$B$62,+'5.Variables'!$J66,+IF(N$18='5.Variables'!$B$76,+'5.Variables'!$J80,+IF(N$18='5.Variables'!$B$90,+'5.Variables'!$J94,+IF(N$18='5.Variables'!$B$104,+'5.Variables'!$J108,0))))))</f>
        <v>183</v>
      </c>
      <c r="O51" s="711">
        <f>IF(O$18='5.Variables'!$B$16,+'5.Variables'!$J28,+IF(O$18='5.Variables'!$B$39,+'5.Variables'!$J52,+IF(O$18='5.Variables'!$B$62,+'5.Variables'!$J66,+IF(O$18='5.Variables'!$B$76,+'5.Variables'!$J80,+IF(O$18='5.Variables'!$B$90,+'5.Variables'!$J94,+IF(O$18='5.Variables'!$B$104,+'5.Variables'!$J108,0))))))</f>
        <v>14.03</v>
      </c>
      <c r="P51" s="831">
        <f>IF(P$18='5.Variables'!$B$16,+'5.Variables'!$J28,+IF(P$18='5.Variables'!$B$39,+'5.Variables'!$J52,+IF(P$18='5.Variables'!$B$62,+'5.Variables'!$J66,+IF(P$18='5.Variables'!$B$76,+'5.Variables'!$J80,+IF(P$18='5.Variables'!$B$90,+'5.Variables'!$J94,+IF(P$18='5.Variables'!$B$104,+'5.Variables'!$J108,0))))))</f>
        <v>0</v>
      </c>
      <c r="Q51" s="244"/>
      <c r="R51" s="549">
        <f t="shared" si="1"/>
        <v>7514015.1622996386</v>
      </c>
      <c r="S51" s="263"/>
      <c r="T51" s="244"/>
      <c r="U51" s="249">
        <f>'4. Customer Growth'!B22</f>
        <v>2011</v>
      </c>
      <c r="V51" s="265">
        <f>SUM(J80:J91)</f>
        <v>90656017</v>
      </c>
      <c r="W51" s="266">
        <f t="shared" si="4"/>
        <v>-1.280302417439739E-2</v>
      </c>
      <c r="X51" s="265">
        <f>S91</f>
        <v>91860693.600385413</v>
      </c>
      <c r="Y51" s="266">
        <f t="shared" si="4"/>
        <v>2.4037070136556215E-2</v>
      </c>
      <c r="Z51" s="266">
        <f t="shared" si="3"/>
        <v>1.3288435122683722E-2</v>
      </c>
      <c r="AA51" s="244"/>
      <c r="AB51" s="244"/>
      <c r="AC51" s="244"/>
      <c r="AD51" s="244"/>
      <c r="AE51" s="244"/>
      <c r="AF51" s="244"/>
      <c r="AG51" s="244"/>
      <c r="AH51" s="244"/>
      <c r="AI51" s="244"/>
      <c r="AJ51" s="244"/>
      <c r="AK51" s="244"/>
      <c r="AL51" s="244"/>
      <c r="AM51" s="244"/>
    </row>
    <row r="52" spans="1:39" x14ac:dyDescent="0.2">
      <c r="A52" s="497">
        <f t="shared" si="2"/>
        <v>33</v>
      </c>
      <c r="B52" s="260" t="str">
        <f>CONCATENATE('3. Consumption by Rate Class'!B57,"-",'3. Consumption by Rate Class'!C57)</f>
        <v>2008-September</v>
      </c>
      <c r="C52" s="684">
        <v>7965962</v>
      </c>
      <c r="D52" s="690">
        <v>-578513</v>
      </c>
      <c r="E52" s="690">
        <v>-321694</v>
      </c>
      <c r="F52" s="690"/>
      <c r="G52" s="690"/>
      <c r="H52" s="691"/>
      <c r="I52" s="691"/>
      <c r="J52" s="261">
        <f t="shared" si="0"/>
        <v>7065755</v>
      </c>
      <c r="K52" s="711">
        <f>IF(K$18='5.Variables'!$B$16,+'5.Variables'!$K29,+IF(K$18='5.Variables'!$B$39,+'5.Variables'!$K52,+IF(K$18='5.Variables'!$B$62,+'5.Variables'!$K66,+IF(K$18='5.Variables'!$B$76,+'5.Variables'!$K80,+IF(K$18='5.Variables'!$B$90,+'5.Variables'!$K94,+IF(K$18='5.Variables'!$B$104,+'5.Variables'!$K108,0))))))</f>
        <v>95.4</v>
      </c>
      <c r="L52" s="711">
        <f>IF(L$18='5.Variables'!$B$16,+'5.Variables'!$K28,+IF(L$18='5.Variables'!$B$39,+'5.Variables'!$K52,+IF(L$18='5.Variables'!$B$62,+'5.Variables'!$K66,+IF(L$18='5.Variables'!$B$76,+'5.Variables'!$K80,+IF(L$18='5.Variables'!$B$90,+'5.Variables'!$K94,+IF(L$18='5.Variables'!$B$104,+'5.Variables'!$K108,0))))))</f>
        <v>49.5</v>
      </c>
      <c r="M52" s="711">
        <f>IF(M$18='5.Variables'!$B$16,+'5.Variables'!$K28,+IF(M$18='5.Variables'!$B$39,+'5.Variables'!$K52,+IF(M$18='5.Variables'!$B$62,+'5.Variables'!$K66,+IF(M$18='5.Variables'!$B$76,+'5.Variables'!$K80,+IF(M$18='5.Variables'!$B$90,+'5.Variables'!$K94,+IF(M$18='5.Variables'!$B$104,+'5.Variables'!$K108,0))))))</f>
        <v>30</v>
      </c>
      <c r="N52" s="711">
        <f>IF(N$18='5.Variables'!$B$16,+'5.Variables'!$K28,+IF(N$18='5.Variables'!$B$39,+'5.Variables'!$K52,+IF(N$18='5.Variables'!$B$62,+'5.Variables'!$K66,+IF(N$18='5.Variables'!$B$76,+'5.Variables'!$K80,+IF(N$18='5.Variables'!$B$90,+'5.Variables'!$K94,+IF(N$18='5.Variables'!$B$104,+'5.Variables'!$K108,0))))))</f>
        <v>184.9</v>
      </c>
      <c r="O52" s="711">
        <f>IF(O$18='5.Variables'!$B$16,+'5.Variables'!$K28,+IF(O$18='5.Variables'!$B$39,+'5.Variables'!$K52,+IF(O$18='5.Variables'!$B$62,+'5.Variables'!$K66,+IF(O$18='5.Variables'!$B$76,+'5.Variables'!$K80,+IF(O$18='5.Variables'!$B$90,+'5.Variables'!$K94,+IF(O$18='5.Variables'!$B$104,+'5.Variables'!$K108,0))))))</f>
        <v>12.29</v>
      </c>
      <c r="P52" s="831">
        <f>IF(P$18='5.Variables'!$B$16,+'5.Variables'!$K28,+IF(P$18='5.Variables'!$B$39,+'5.Variables'!$K52,+IF(P$18='5.Variables'!$B$62,+'5.Variables'!$K66,+IF(P$18='5.Variables'!$B$76,+'5.Variables'!$K80,+IF(P$18='5.Variables'!$B$90,+'5.Variables'!$K94,+IF(P$18='5.Variables'!$B$104,+'5.Variables'!$K108,0))))))</f>
        <v>0</v>
      </c>
      <c r="Q52" s="244"/>
      <c r="R52" s="549">
        <f t="shared" ref="R52:R84" si="5">$V$34+(K52*$V$35)+(L52*$V$36)+(M52*$V$37)+(N52*$V$38)+(O52*$V$39)</f>
        <v>7165104.8656336451</v>
      </c>
      <c r="S52" s="263"/>
      <c r="T52" s="244"/>
      <c r="U52" s="249">
        <f>'4. Customer Growth'!B23</f>
        <v>2012</v>
      </c>
      <c r="V52" s="265">
        <f>SUM(J92:J103)</f>
        <v>89014822</v>
      </c>
      <c r="W52" s="266">
        <f t="shared" si="4"/>
        <v>-1.8103541875218277E-2</v>
      </c>
      <c r="X52" s="265">
        <f>S103:S103</f>
        <v>91835018.09547931</v>
      </c>
      <c r="Y52" s="266">
        <f t="shared" si="4"/>
        <v>-2.7950480123519654E-4</v>
      </c>
      <c r="Z52" s="266">
        <f t="shared" si="3"/>
        <v>3.1682320226167612E-2</v>
      </c>
      <c r="AA52" s="244"/>
      <c r="AB52" s="244"/>
      <c r="AC52" s="244"/>
      <c r="AD52" s="244"/>
      <c r="AE52" s="244"/>
      <c r="AF52" s="244"/>
      <c r="AG52" s="244"/>
      <c r="AH52" s="244"/>
      <c r="AI52" s="244"/>
      <c r="AJ52" s="244"/>
      <c r="AK52" s="244"/>
      <c r="AL52" s="244"/>
      <c r="AM52" s="244"/>
    </row>
    <row r="53" spans="1:39" x14ac:dyDescent="0.2">
      <c r="A53" s="497">
        <f t="shared" si="2"/>
        <v>34</v>
      </c>
      <c r="B53" s="260" t="str">
        <f>CONCATENATE('3. Consumption by Rate Class'!B58,"-",'3. Consumption by Rate Class'!C58)</f>
        <v>2008-October</v>
      </c>
      <c r="C53" s="684">
        <v>8389702</v>
      </c>
      <c r="D53" s="690">
        <v>-554993</v>
      </c>
      <c r="E53" s="690">
        <v>-328999</v>
      </c>
      <c r="F53" s="690"/>
      <c r="G53" s="690"/>
      <c r="H53" s="691"/>
      <c r="I53" s="691"/>
      <c r="J53" s="261">
        <f t="shared" si="0"/>
        <v>7505710</v>
      </c>
      <c r="K53" s="711">
        <f>IF(K$18='5.Variables'!$B$16,+'5.Variables'!$L29,+IF(K$18='5.Variables'!$B$39,+'5.Variables'!$L52,+IF(K$18='5.Variables'!$B$62,+'5.Variables'!$L66,+IF(K$18='5.Variables'!$B$76,+'5.Variables'!$L80,+IF(K$18='5.Variables'!$B$90,+'5.Variables'!$L94,+IF(K$18='5.Variables'!$B$104,+'5.Variables'!$L108,0))))))</f>
        <v>321.8</v>
      </c>
      <c r="L53" s="711">
        <f>IF(L$18='5.Variables'!$B$16,+'5.Variables'!$L28,+IF(L$18='5.Variables'!$B$39,+'5.Variables'!$L52,+IF(L$18='5.Variables'!$B$62,+'5.Variables'!$L66,+IF(L$18='5.Variables'!$B$76,+'5.Variables'!$L80,+IF(L$18='5.Variables'!$B$90,+'5.Variables'!$L94,+IF(L$18='5.Variables'!$B$104,+'5.Variables'!$L108,0))))))</f>
        <v>25</v>
      </c>
      <c r="M53" s="711">
        <f>IF(M$18='5.Variables'!$B$16,+'5.Variables'!$L28,+IF(M$18='5.Variables'!$B$39,+'5.Variables'!$L52,+IF(M$18='5.Variables'!$B$62,+'5.Variables'!$L66,+IF(M$18='5.Variables'!$B$76,+'5.Variables'!$L80,+IF(M$18='5.Variables'!$B$90,+'5.Variables'!$L94,+IF(M$18='5.Variables'!$B$104,+'5.Variables'!$L108,0))))))</f>
        <v>31</v>
      </c>
      <c r="N53" s="711">
        <f>IF(N$18='5.Variables'!$B$16,+'5.Variables'!$L28,+IF(N$18='5.Variables'!$B$39,+'5.Variables'!$L52,+IF(N$18='5.Variables'!$B$62,+'5.Variables'!$L66,+IF(N$18='5.Variables'!$B$76,+'5.Variables'!$L80,+IF(N$18='5.Variables'!$B$90,+'5.Variables'!$L94,+IF(N$18='5.Variables'!$B$104,+'5.Variables'!$L108,0))))))</f>
        <v>182.4</v>
      </c>
      <c r="O53" s="711">
        <f>IF(O$18='5.Variables'!$B$16,+'5.Variables'!$L28,+IF(O$18='5.Variables'!$B$39,+'5.Variables'!$L52,+IF(O$18='5.Variables'!$B$62,+'5.Variables'!$L66,+IF(O$18='5.Variables'!$B$76,+'5.Variables'!$L80,+IF(O$18='5.Variables'!$B$90,+'5.Variables'!$L94,+IF(O$18='5.Variables'!$B$104,+'5.Variables'!$L108,0))))))</f>
        <v>10.51</v>
      </c>
      <c r="P53" s="831">
        <f>IF(P$18='5.Variables'!$B$16,+'5.Variables'!$L28,+IF(P$18='5.Variables'!$B$39,+'5.Variables'!$L52,+IF(P$18='5.Variables'!$B$62,+'5.Variables'!$L66,+IF(P$18='5.Variables'!$B$76,+'5.Variables'!$L80,+IF(P$18='5.Variables'!$B$90,+'5.Variables'!$L94,+IF(P$18='5.Variables'!$B$104,+'5.Variables'!$L108,0))))))</f>
        <v>0</v>
      </c>
      <c r="Q53" s="244"/>
      <c r="R53" s="549">
        <f t="shared" si="5"/>
        <v>7801845.9308130974</v>
      </c>
      <c r="S53" s="263"/>
      <c r="T53" s="244"/>
      <c r="U53" s="249">
        <f>'4. Customer Growth'!B24</f>
        <v>2013</v>
      </c>
      <c r="V53" s="265">
        <f>SUM(J104:J115)</f>
        <v>90972832</v>
      </c>
      <c r="W53" s="266">
        <f t="shared" si="4"/>
        <v>2.1996449085748888E-2</v>
      </c>
      <c r="X53" s="265">
        <f>S115</f>
        <v>92614453.307911366</v>
      </c>
      <c r="Y53" s="266">
        <f t="shared" si="4"/>
        <v>8.4873420683784385E-3</v>
      </c>
      <c r="Z53" s="266">
        <f t="shared" si="3"/>
        <v>1.804518197159528E-2</v>
      </c>
      <c r="AA53" s="244"/>
      <c r="AB53" s="244"/>
      <c r="AC53" s="244"/>
      <c r="AD53" s="244"/>
      <c r="AE53" s="244"/>
      <c r="AF53" s="244"/>
      <c r="AG53" s="244"/>
      <c r="AH53" s="244"/>
      <c r="AI53" s="244"/>
      <c r="AJ53" s="244"/>
      <c r="AK53" s="244"/>
      <c r="AL53" s="244"/>
      <c r="AM53" s="244"/>
    </row>
    <row r="54" spans="1:39" x14ac:dyDescent="0.2">
      <c r="A54" s="497">
        <f t="shared" si="2"/>
        <v>35</v>
      </c>
      <c r="B54" s="260" t="str">
        <f>CONCATENATE('3. Consumption by Rate Class'!B59,"-",'3. Consumption by Rate Class'!C59)</f>
        <v>2008-November</v>
      </c>
      <c r="C54" s="684">
        <v>8805132</v>
      </c>
      <c r="D54" s="690">
        <v>-592137</v>
      </c>
      <c r="E54" s="690">
        <v>-329608</v>
      </c>
      <c r="F54" s="690"/>
      <c r="G54" s="690"/>
      <c r="H54" s="691"/>
      <c r="I54" s="691"/>
      <c r="J54" s="261">
        <f t="shared" si="0"/>
        <v>7883387</v>
      </c>
      <c r="K54" s="711">
        <f>IF(K$18='5.Variables'!$B$16,+'5.Variables'!$M29,+IF(K$18='5.Variables'!$B$39,+'5.Variables'!$M52,+IF(K$18='5.Variables'!$B$62,+'5.Variables'!$M66,+IF(K$18='5.Variables'!$B$76,+'5.Variables'!$M80,+IF(K$18='5.Variables'!$B$90,+'5.Variables'!$M94,+IF(K$18='5.Variables'!$B$104,+'5.Variables'!$M108,0))))))</f>
        <v>502.8</v>
      </c>
      <c r="L54" s="711">
        <f>IF(L$18='5.Variables'!$B$16,+'5.Variables'!$M28,+IF(L$18='5.Variables'!$B$39,+'5.Variables'!$M52,+IF(L$18='5.Variables'!$B$62,+'5.Variables'!$M66,+IF(L$18='5.Variables'!$B$76,+'5.Variables'!$M80,+IF(L$18='5.Variables'!$B$90,+'5.Variables'!$M94,+IF(L$18='5.Variables'!$B$104,+'5.Variables'!$M108,0))))))</f>
        <v>0</v>
      </c>
      <c r="M54" s="711">
        <f>IF(M$18='5.Variables'!$B$16,+'5.Variables'!$M28,+IF(M$18='5.Variables'!$B$39,+'5.Variables'!$M52,+IF(M$18='5.Variables'!$B$62,+'5.Variables'!$M66,+IF(M$18='5.Variables'!$B$76,+'5.Variables'!$M80,+IF(M$18='5.Variables'!$B$90,+'5.Variables'!$M94,+IF(M$18='5.Variables'!$B$104,+'5.Variables'!$M108,0))))))</f>
        <v>30</v>
      </c>
      <c r="N54" s="711">
        <f>IF(N$18='5.Variables'!$B$16,+'5.Variables'!$M28,+IF(N$18='5.Variables'!$B$39,+'5.Variables'!$M52,+IF(N$18='5.Variables'!$B$62,+'5.Variables'!$M66,+IF(N$18='5.Variables'!$B$76,+'5.Variables'!$M80,+IF(N$18='5.Variables'!$B$90,+'5.Variables'!$M94,+IF(N$18='5.Variables'!$B$104,+'5.Variables'!$M108,0))))))</f>
        <v>177.4</v>
      </c>
      <c r="O54" s="711">
        <f>IF(O$18='5.Variables'!$B$16,+'5.Variables'!$M28,+IF(O$18='5.Variables'!$B$39,+'5.Variables'!$M52,+IF(O$18='5.Variables'!$B$62,+'5.Variables'!$M66,+IF(O$18='5.Variables'!$B$76,+'5.Variables'!$M80,+IF(O$18='5.Variables'!$B$90,+'5.Variables'!$M94,+IF(O$18='5.Variables'!$B$104,+'5.Variables'!$M108,0))))))</f>
        <v>9.2799999999999994</v>
      </c>
      <c r="P54" s="831">
        <f>IF(P$18='5.Variables'!$B$16,+'5.Variables'!$M28,+IF(P$18='5.Variables'!$B$39,+'5.Variables'!$M52,+IF(P$18='5.Variables'!$B$62,+'5.Variables'!$M66,+IF(P$18='5.Variables'!$B$76,+'5.Variables'!$M80,+IF(P$18='5.Variables'!$B$90,+'5.Variables'!$M94,+IF(P$18='5.Variables'!$B$104,+'5.Variables'!$M108,0))))))</f>
        <v>0</v>
      </c>
      <c r="Q54" s="244"/>
      <c r="R54" s="549">
        <f t="shared" si="5"/>
        <v>7812134.7245225683</v>
      </c>
      <c r="S54" s="263"/>
      <c r="T54" s="244"/>
      <c r="U54" s="249">
        <f>'4. Customer Growth'!B25</f>
        <v>2014</v>
      </c>
      <c r="V54" s="265">
        <f>SUM(J116:J127)</f>
        <v>89574310</v>
      </c>
      <c r="W54" s="266">
        <f t="shared" si="4"/>
        <v>-1.5372963216095109E-2</v>
      </c>
      <c r="X54" s="265">
        <f>S127</f>
        <v>92410619.010412455</v>
      </c>
      <c r="Y54" s="266">
        <f t="shared" si="4"/>
        <v>-2.2008907920800691E-3</v>
      </c>
      <c r="Z54" s="266">
        <f t="shared" si="3"/>
        <v>3.1664313243523222E-2</v>
      </c>
      <c r="AA54" s="244"/>
      <c r="AB54" s="244"/>
      <c r="AC54" s="244"/>
      <c r="AD54" s="244"/>
      <c r="AE54" s="244"/>
      <c r="AF54" s="244"/>
      <c r="AG54" s="244"/>
      <c r="AH54" s="244"/>
      <c r="AI54" s="244"/>
      <c r="AJ54" s="244"/>
      <c r="AK54" s="244"/>
      <c r="AL54" s="244"/>
      <c r="AM54" s="244"/>
    </row>
    <row r="55" spans="1:39" x14ac:dyDescent="0.2">
      <c r="A55" s="497">
        <f t="shared" si="2"/>
        <v>36</v>
      </c>
      <c r="B55" s="516" t="str">
        <f>CONCATENATE('3. Consumption by Rate Class'!B60,"-",'3. Consumption by Rate Class'!C60)</f>
        <v>2008-December</v>
      </c>
      <c r="C55" s="685">
        <v>10193166</v>
      </c>
      <c r="D55" s="692">
        <v>-574159</v>
      </c>
      <c r="E55" s="692">
        <v>-302741</v>
      </c>
      <c r="F55" s="692"/>
      <c r="G55" s="692"/>
      <c r="H55" s="693"/>
      <c r="I55" s="693"/>
      <c r="J55" s="261">
        <f t="shared" si="0"/>
        <v>9316266</v>
      </c>
      <c r="K55" s="711">
        <f>IF(K$18='5.Variables'!$B$16,+'5.Variables'!$N29,+IF(K$18='5.Variables'!$B$39,+'5.Variables'!$N52,+IF(K$18='5.Variables'!$B$62,+'5.Variables'!$N66,+IF(K$18='5.Variables'!$B$76,+'5.Variables'!$N80,+IF(K$18='5.Variables'!$B$90,+'5.Variables'!$N94,+IF(K$18='5.Variables'!$B$104,+'5.Variables'!$N108,0))))))</f>
        <v>796.7</v>
      </c>
      <c r="L55" s="711">
        <f>IF(L$18='5.Variables'!$B$16,+'5.Variables'!$N28,+IF(L$18='5.Variables'!$B$39,+'5.Variables'!$N52,+IF(L$18='5.Variables'!$B$62,+'5.Variables'!$N66,+IF(L$18='5.Variables'!$B$76,+'5.Variables'!$N80,+IF(L$18='5.Variables'!$B$90,+'5.Variables'!$N94,+IF(L$18='5.Variables'!$B$104,+'5.Variables'!$N108,0))))))</f>
        <v>0</v>
      </c>
      <c r="M55" s="711">
        <f>IF(M$18='5.Variables'!$B$16,+'5.Variables'!$N28,+IF(M$18='5.Variables'!$B$39,+'5.Variables'!$N52,+IF(M$18='5.Variables'!$B$62,+'5.Variables'!$N66,+IF(M$18='5.Variables'!$B$76,+'5.Variables'!$N80,+IF(M$18='5.Variables'!$B$90,+'5.Variables'!$N94,+IF(M$18='5.Variables'!$B$104,+'5.Variables'!$N108,0))))))</f>
        <v>31</v>
      </c>
      <c r="N55" s="711">
        <f>IF(N$18='5.Variables'!$B$16,+'5.Variables'!$N28,+IF(N$18='5.Variables'!$B$39,+'5.Variables'!$N52,+IF(N$18='5.Variables'!$B$62,+'5.Variables'!$N66,+IF(N$18='5.Variables'!$B$76,+'5.Variables'!$N80,+IF(N$18='5.Variables'!$B$90,+'5.Variables'!$N94,+IF(N$18='5.Variables'!$B$104,+'5.Variables'!$N108,0))))))</f>
        <v>176.9</v>
      </c>
      <c r="O55" s="711">
        <f>IF(O$18='5.Variables'!$B$16,+'5.Variables'!$N28,+IF(O$18='5.Variables'!$B$39,+'5.Variables'!$N52,+IF(O$18='5.Variables'!$B$62,+'5.Variables'!$N66,+IF(O$18='5.Variables'!$B$76,+'5.Variables'!$N80,+IF(O$18='5.Variables'!$B$90,+'5.Variables'!$N94,+IF(O$18='5.Variables'!$B$104,+'5.Variables'!$N108,0))))))</f>
        <v>8.4700000000000006</v>
      </c>
      <c r="P55" s="831">
        <f>IF(P$18='5.Variables'!$B$16,+'5.Variables'!$N28,+IF(P$18='5.Variables'!$B$39,+'5.Variables'!$N52,+IF(P$18='5.Variables'!$B$62,+'5.Variables'!$N66,+IF(P$18='5.Variables'!$B$76,+'5.Variables'!$N80,+IF(P$18='5.Variables'!$B$90,+'5.Variables'!$N94,+IF(P$18='5.Variables'!$B$104,+'5.Variables'!$N108,0))))))</f>
        <v>0</v>
      </c>
      <c r="Q55" s="244"/>
      <c r="R55" s="549">
        <f t="shared" si="5"/>
        <v>9065211.4088490847</v>
      </c>
      <c r="S55" s="263">
        <f>SUM(R44:R55)</f>
        <v>93003400.401108235</v>
      </c>
      <c r="T55" s="244"/>
      <c r="U55" s="249">
        <f>'4. Customer Growth'!B26</f>
        <v>2015</v>
      </c>
      <c r="V55" s="265">
        <f>SUM(J128:J139)</f>
        <v>90503010</v>
      </c>
      <c r="W55" s="266">
        <f t="shared" si="4"/>
        <v>1.0367928036509575E-2</v>
      </c>
      <c r="X55" s="265">
        <f>S139</f>
        <v>90543643.245070294</v>
      </c>
      <c r="Y55" s="266">
        <f t="shared" si="4"/>
        <v>-2.020304360402345E-2</v>
      </c>
      <c r="Z55" s="266">
        <f t="shared" si="3"/>
        <v>4.4897120074010297E-4</v>
      </c>
      <c r="AA55" s="244"/>
      <c r="AB55" s="244"/>
      <c r="AC55" s="244"/>
      <c r="AD55" s="244"/>
      <c r="AE55" s="244"/>
      <c r="AF55" s="244"/>
      <c r="AG55" s="244"/>
      <c r="AH55" s="244"/>
      <c r="AI55" s="244"/>
      <c r="AJ55" s="244"/>
      <c r="AK55" s="244"/>
      <c r="AL55" s="244"/>
      <c r="AM55" s="244"/>
    </row>
    <row r="56" spans="1:39" x14ac:dyDescent="0.2">
      <c r="A56" s="497">
        <f t="shared" si="2"/>
        <v>37</v>
      </c>
      <c r="B56" s="260" t="str">
        <f>CONCATENATE('3. Consumption by Rate Class'!B61,"-",'3. Consumption by Rate Class'!C61)</f>
        <v>2009-January</v>
      </c>
      <c r="C56" s="684">
        <v>10784568</v>
      </c>
      <c r="D56" s="690">
        <v>-529883</v>
      </c>
      <c r="E56" s="690">
        <v>-236213</v>
      </c>
      <c r="F56" s="690"/>
      <c r="G56" s="690"/>
      <c r="H56" s="691"/>
      <c r="I56" s="691"/>
      <c r="J56" s="261">
        <f t="shared" si="0"/>
        <v>10018472</v>
      </c>
      <c r="K56" s="711">
        <f>IF(K$18='5.Variables'!$B$16,+'5.Variables'!$C30,+IF(K$18='5.Variables'!$B$39,+'5.Variables'!$C53,+IF(K$18='5.Variables'!$B$62,+'5.Variables'!$C67,+IF(K$18='5.Variables'!$B$76,+'5.Variables'!$C81,+IF(K$18='5.Variables'!$B$90,+'5.Variables'!$C95,+IF(K$18='5.Variables'!$B$104,+'5.Variables'!$C109,0))))))</f>
        <v>979.5</v>
      </c>
      <c r="L56" s="711">
        <f>IF(L$18='5.Variables'!$B$16,+'5.Variables'!$C29,+IF(L$18='5.Variables'!$B$39,+'5.Variables'!$C53,+IF(L$18='5.Variables'!$B$62,+'5.Variables'!$C67,+IF(L$18='5.Variables'!$B$76,+'5.Variables'!$C81,+IF(L$18='5.Variables'!$B$90,+'5.Variables'!$C95,+IF(L$18='5.Variables'!$B$104,+'5.Variables'!$C109,0))))))</f>
        <v>0</v>
      </c>
      <c r="M56" s="711">
        <f>IF(M$18='5.Variables'!$B$16,+'5.Variables'!$C29,+IF(M$18='5.Variables'!$B$39,+'5.Variables'!$C53,+IF(M$18='5.Variables'!$B$62,+'5.Variables'!$C67,+IF(M$18='5.Variables'!$B$76,+'5.Variables'!$C81,+IF(M$18='5.Variables'!$B$90,+'5.Variables'!$C95,+IF(M$18='5.Variables'!$B$104,+'5.Variables'!$C109,0))))))</f>
        <v>31</v>
      </c>
      <c r="N56" s="711">
        <f>IF(N$18='5.Variables'!$B$16,+'5.Variables'!$C29,+IF(N$18='5.Variables'!$B$39,+'5.Variables'!$C53,+IF(N$18='5.Variables'!$B$62,+'5.Variables'!$C67,+IF(N$18='5.Variables'!$B$76,+'5.Variables'!$C81,+IF(N$18='5.Variables'!$B$90,+'5.Variables'!$C95,+IF(N$18='5.Variables'!$B$104,+'5.Variables'!$C109,0))))))</f>
        <v>173.6</v>
      </c>
      <c r="O56" s="711">
        <f>IF(O$18='5.Variables'!$B$16,+'5.Variables'!$C29,+IF(O$18='5.Variables'!$B$39,+'5.Variables'!$C53,+IF(O$18='5.Variables'!$B$62,+'5.Variables'!$C67,+IF(O$18='5.Variables'!$B$76,+'5.Variables'!$C81,+IF(O$18='5.Variables'!$B$90,+'5.Variables'!$C95,+IF(O$18='5.Variables'!$B$104,+'5.Variables'!$C109,0))))))</f>
        <v>9.09</v>
      </c>
      <c r="P56" s="831">
        <f>IF(P$18='5.Variables'!$B$16,+'5.Variables'!$C29,+IF(P$18='5.Variables'!$B$39,+'5.Variables'!$C53,+IF(P$18='5.Variables'!$B$62,+'5.Variables'!$C67,+IF(P$18='5.Variables'!$B$76,+'5.Variables'!$C81,+IF(P$18='5.Variables'!$B$90,+'5.Variables'!$C95,+IF(P$18='5.Variables'!$B$104,+'5.Variables'!$C109,0))))))</f>
        <v>0</v>
      </c>
      <c r="Q56" s="244"/>
      <c r="R56" s="549">
        <f t="shared" si="5"/>
        <v>9741635.3223971501</v>
      </c>
      <c r="S56" s="263"/>
      <c r="T56" s="244"/>
      <c r="U56" s="717"/>
      <c r="V56" s="718"/>
      <c r="W56" s="719"/>
      <c r="X56" s="718"/>
      <c r="Y56" s="719"/>
      <c r="Z56" s="719"/>
      <c r="AA56" s="244"/>
      <c r="AB56" s="244"/>
      <c r="AC56" s="244"/>
      <c r="AD56" s="244"/>
      <c r="AE56" s="244"/>
      <c r="AF56" s="244"/>
      <c r="AG56" s="244"/>
      <c r="AH56" s="244"/>
      <c r="AI56" s="244"/>
      <c r="AJ56" s="244"/>
      <c r="AK56" s="244"/>
      <c r="AL56" s="244"/>
      <c r="AM56" s="244"/>
    </row>
    <row r="57" spans="1:39" ht="13.5" customHeight="1" x14ac:dyDescent="0.2">
      <c r="A57" s="497">
        <f t="shared" si="2"/>
        <v>38</v>
      </c>
      <c r="B57" s="260" t="str">
        <f>CONCATENATE('3. Consumption by Rate Class'!B62,"-",'3. Consumption by Rate Class'!C62)</f>
        <v>2009-February</v>
      </c>
      <c r="C57" s="684">
        <v>9025772</v>
      </c>
      <c r="D57" s="690">
        <v>-591179</v>
      </c>
      <c r="E57" s="690">
        <v>-255063</v>
      </c>
      <c r="F57" s="690"/>
      <c r="G57" s="690"/>
      <c r="H57" s="691"/>
      <c r="I57" s="691"/>
      <c r="J57" s="261">
        <f t="shared" si="0"/>
        <v>8179530</v>
      </c>
      <c r="K57" s="711">
        <f>IF(K$18='5.Variables'!$B$16,+'5.Variables'!$D30,+IF(K$18='5.Variables'!$B$39,+'5.Variables'!$D53,+IF(K$18='5.Variables'!$B$62,+'5.Variables'!$D67,+IF(K$18='5.Variables'!$B$76,+'5.Variables'!$D81,+IF(K$18='5.Variables'!$B$90,+'5.Variables'!$D95,+IF(K$18='5.Variables'!$B$104,+'5.Variables'!$D109,0))))))</f>
        <v>711.5</v>
      </c>
      <c r="L57" s="711">
        <f>IF(L$18='5.Variables'!$B$16,+'5.Variables'!$D29,+IF(L$18='5.Variables'!$B$39,+'5.Variables'!$D53,+IF(L$18='5.Variables'!$B$62,+'5.Variables'!$D67,+IF(L$18='5.Variables'!$B$76,+'5.Variables'!$D81,+IF(L$18='5.Variables'!$B$90,+'5.Variables'!$D95,+IF(L$18='5.Variables'!$B$104,+'5.Variables'!$D109,0))))))</f>
        <v>0</v>
      </c>
      <c r="M57" s="711">
        <f>IF(M$18='5.Variables'!$B$16,+'5.Variables'!$D29,+IF(M$18='5.Variables'!$B$39,+'5.Variables'!$D53,+IF(M$18='5.Variables'!$B$62,+'5.Variables'!$D67,+IF(M$18='5.Variables'!$B$76,+'5.Variables'!$D81,+IF(M$18='5.Variables'!$B$90,+'5.Variables'!$D95,+IF(M$18='5.Variables'!$B$104,+'5.Variables'!$D109,0))))))</f>
        <v>29</v>
      </c>
      <c r="N57" s="711">
        <f>IF(N$18='5.Variables'!$B$16,+'5.Variables'!$D29,+IF(N$18='5.Variables'!$B$39,+'5.Variables'!$D53,+IF(N$18='5.Variables'!$B$62,+'5.Variables'!$D67,+IF(N$18='5.Variables'!$B$76,+'5.Variables'!$D81,+IF(N$18='5.Variables'!$B$90,+'5.Variables'!$D95,+IF(N$18='5.Variables'!$B$104,+'5.Variables'!$D109,0))))))</f>
        <v>170.8</v>
      </c>
      <c r="O57" s="711">
        <f>IF(O$18='5.Variables'!$B$16,+'5.Variables'!$D29,+IF(O$18='5.Variables'!$B$39,+'5.Variables'!$D53,+IF(O$18='5.Variables'!$B$62,+'5.Variables'!$D67,+IF(O$18='5.Variables'!$B$76,+'5.Variables'!$D81,+IF(O$18='5.Variables'!$B$90,+'5.Variables'!$D95,+IF(O$18='5.Variables'!$B$104,+'5.Variables'!$D109,0))))))</f>
        <v>10.19</v>
      </c>
      <c r="P57" s="831">
        <f>IF(P$18='5.Variables'!$B$16,+'5.Variables'!$D29,+IF(P$18='5.Variables'!$B$39,+'5.Variables'!$D53,+IF(P$18='5.Variables'!$B$62,+'5.Variables'!$D67,+IF(P$18='5.Variables'!$B$76,+'5.Variables'!$D81,+IF(P$18='5.Variables'!$B$90,+'5.Variables'!$D95,+IF(P$18='5.Variables'!$B$104,+'5.Variables'!$D109,0))))))</f>
        <v>0</v>
      </c>
      <c r="Q57" s="244"/>
      <c r="R57" s="549">
        <f t="shared" si="5"/>
        <v>8330681.7087268541</v>
      </c>
      <c r="S57" s="263"/>
      <c r="T57" s="244"/>
      <c r="U57" s="248" t="s">
        <v>33</v>
      </c>
      <c r="V57" s="248" t="s">
        <v>42</v>
      </c>
      <c r="W57" s="248" t="s">
        <v>31</v>
      </c>
      <c r="X57" s="248" t="s">
        <v>30</v>
      </c>
      <c r="Y57" s="244"/>
      <c r="AA57" s="828"/>
      <c r="AB57" s="244"/>
      <c r="AC57" s="244"/>
      <c r="AD57" s="244"/>
      <c r="AE57" s="244"/>
      <c r="AF57" s="244"/>
      <c r="AG57" s="244"/>
      <c r="AH57" s="244"/>
      <c r="AI57" s="244"/>
      <c r="AJ57" s="244"/>
      <c r="AK57" s="244"/>
      <c r="AL57" s="244"/>
      <c r="AM57" s="244"/>
    </row>
    <row r="58" spans="1:39" x14ac:dyDescent="0.2">
      <c r="A58" s="497">
        <f t="shared" si="2"/>
        <v>39</v>
      </c>
      <c r="B58" s="260" t="str">
        <f>CONCATENATE('3. Consumption by Rate Class'!B63,"-",'3. Consumption by Rate Class'!C63)</f>
        <v>2009-March</v>
      </c>
      <c r="C58" s="684">
        <v>9048263</v>
      </c>
      <c r="D58" s="690">
        <v>-554428</v>
      </c>
      <c r="E58" s="690">
        <v>-252359</v>
      </c>
      <c r="F58" s="690"/>
      <c r="G58" s="690"/>
      <c r="H58" s="691"/>
      <c r="I58" s="691"/>
      <c r="J58" s="261">
        <f t="shared" si="0"/>
        <v>8241476</v>
      </c>
      <c r="K58" s="711">
        <f>IF(K$18='5.Variables'!$B$16,+'5.Variables'!$E30,+IF(K$18='5.Variables'!$B$39,+'5.Variables'!$E53,+IF(K$18='5.Variables'!$B$62,+'5.Variables'!$E67,+IF(K$18='5.Variables'!$B$76,+'5.Variables'!$E81,+IF(K$18='5.Variables'!$B$90,+'5.Variables'!$E95,+IF(K$18='5.Variables'!$B$104,+'5.Variables'!$E109,0))))))</f>
        <v>598.29999999999995</v>
      </c>
      <c r="L58" s="711">
        <f>IF(L$18='5.Variables'!$B$16,+'5.Variables'!$E29,+IF(L$18='5.Variables'!$B$39,+'5.Variables'!$E53,+IF(L$18='5.Variables'!$B$62,+'5.Variables'!$E67,+IF(L$18='5.Variables'!$B$76,+'5.Variables'!$E81,+IF(L$18='5.Variables'!$B$90,+'5.Variables'!$E95,+IF(L$18='5.Variables'!$B$104,+'5.Variables'!$E109,0))))))</f>
        <v>0</v>
      </c>
      <c r="M58" s="711">
        <f>IF(M$18='5.Variables'!$B$16,+'5.Variables'!$E29,+IF(M$18='5.Variables'!$B$39,+'5.Variables'!$E53,+IF(M$18='5.Variables'!$B$62,+'5.Variables'!$E67,+IF(M$18='5.Variables'!$B$76,+'5.Variables'!$E81,+IF(M$18='5.Variables'!$B$90,+'5.Variables'!$E95,+IF(M$18='5.Variables'!$B$104,+'5.Variables'!$E109,0))))))</f>
        <v>31</v>
      </c>
      <c r="N58" s="711">
        <f>IF(N$18='5.Variables'!$B$16,+'5.Variables'!$E29,+IF(N$18='5.Variables'!$B$39,+'5.Variables'!$E53,+IF(N$18='5.Variables'!$B$62,+'5.Variables'!$E67,+IF(N$18='5.Variables'!$B$76,+'5.Variables'!$E81,+IF(N$18='5.Variables'!$B$90,+'5.Variables'!$E95,+IF(N$18='5.Variables'!$B$104,+'5.Variables'!$E109,0))))))</f>
        <v>163.19999999999999</v>
      </c>
      <c r="O58" s="711">
        <f>IF(O$18='5.Variables'!$B$16,+'5.Variables'!$E29,+IF(O$18='5.Variables'!$B$39,+'5.Variables'!$E53,+IF(O$18='5.Variables'!$B$62,+'5.Variables'!$E67,+IF(O$18='5.Variables'!$B$76,+'5.Variables'!$E81,+IF(O$18='5.Variables'!$B$90,+'5.Variables'!$E95,+IF(O$18='5.Variables'!$B$104,+'5.Variables'!$E109,0))))))</f>
        <v>11.51</v>
      </c>
      <c r="P58" s="831">
        <f>IF(P$18='5.Variables'!$B$16,+'5.Variables'!$E29,+IF(P$18='5.Variables'!$B$39,+'5.Variables'!$E53,+IF(P$18='5.Variables'!$B$62,+'5.Variables'!$E67,+IF(P$18='5.Variables'!$B$76,+'5.Variables'!$E81,+IF(P$18='5.Variables'!$B$90,+'5.Variables'!$E95,+IF(P$18='5.Variables'!$B$104,+'5.Variables'!$E109,0))))))</f>
        <v>0</v>
      </c>
      <c r="Q58" s="244"/>
      <c r="R58" s="549">
        <f t="shared" si="5"/>
        <v>8357116.0412532724</v>
      </c>
      <c r="S58" s="263"/>
      <c r="T58" s="244"/>
      <c r="U58" s="249">
        <f>'4. Customer Growth'!B17</f>
        <v>2006</v>
      </c>
      <c r="V58" s="265">
        <f t="shared" ref="V58:V67" si="6">V46</f>
        <v>91018552.480000004</v>
      </c>
      <c r="W58" s="265">
        <f t="shared" ref="W58:W67" si="7">X46</f>
        <v>90193695.30883345</v>
      </c>
      <c r="X58" s="266">
        <f>IF(ABS(V58-W58)=0,0,ABS(V58-W58)/V58)</f>
        <v>9.0625169121185973E-3</v>
      </c>
      <c r="Z58" s="244"/>
      <c r="AA58" s="244"/>
      <c r="AB58" s="244"/>
      <c r="AC58" s="244"/>
      <c r="AD58" s="244"/>
      <c r="AE58" s="244"/>
      <c r="AF58" s="244"/>
      <c r="AG58" s="244"/>
      <c r="AH58" s="244"/>
      <c r="AI58" s="244"/>
      <c r="AJ58" s="244"/>
      <c r="AK58" s="244"/>
      <c r="AL58" s="244"/>
      <c r="AM58" s="244"/>
    </row>
    <row r="59" spans="1:39" x14ac:dyDescent="0.2">
      <c r="A59" s="497">
        <f t="shared" si="2"/>
        <v>40</v>
      </c>
      <c r="B59" s="260" t="str">
        <f>CONCATENATE('3. Consumption by Rate Class'!B64,"-",'3. Consumption by Rate Class'!C64)</f>
        <v>2009-April</v>
      </c>
      <c r="C59" s="684">
        <v>7719803</v>
      </c>
      <c r="D59" s="690">
        <v>-612308</v>
      </c>
      <c r="E59" s="690">
        <v>-267852</v>
      </c>
      <c r="F59" s="690"/>
      <c r="G59" s="690"/>
      <c r="H59" s="691"/>
      <c r="I59" s="691"/>
      <c r="J59" s="261">
        <f t="shared" si="0"/>
        <v>6839643</v>
      </c>
      <c r="K59" s="711">
        <f>IF(K$18='5.Variables'!$B$16,+'5.Variables'!$F30,+IF(K$18='5.Variables'!$B$39,+'5.Variables'!$F53,+IF(K$18='5.Variables'!$B$62,+'5.Variables'!$F67,+IF(K$18='5.Variables'!$B$76,+'5.Variables'!$F81,+IF(K$18='5.Variables'!$B$90,+'5.Variables'!$F95,+IF(K$18='5.Variables'!$B$104,+'5.Variables'!$F109,0))))))</f>
        <v>334.3</v>
      </c>
      <c r="L59" s="711">
        <f>IF(L$18='5.Variables'!$B$16,+'5.Variables'!$F29,+IF(L$18='5.Variables'!$B$39,+'5.Variables'!$F53,+IF(L$18='5.Variables'!$B$62,+'5.Variables'!$F67,+IF(L$18='5.Variables'!$B$76,+'5.Variables'!$F81,+IF(L$18='5.Variables'!$B$90,+'5.Variables'!$F95,+IF(L$18='5.Variables'!$B$104,+'5.Variables'!$F109,0))))))</f>
        <v>0</v>
      </c>
      <c r="M59" s="711">
        <f>IF(M$18='5.Variables'!$B$16,+'5.Variables'!$F29,+IF(M$18='5.Variables'!$B$39,+'5.Variables'!$F53,+IF(M$18='5.Variables'!$B$62,+'5.Variables'!$F67,+IF(M$18='5.Variables'!$B$76,+'5.Variables'!$F81,+IF(M$18='5.Variables'!$B$90,+'5.Variables'!$F95,+IF(M$18='5.Variables'!$B$104,+'5.Variables'!$F109,0))))))</f>
        <v>30</v>
      </c>
      <c r="N59" s="711">
        <f>IF(N$18='5.Variables'!$B$16,+'5.Variables'!$F29,+IF(N$18='5.Variables'!$B$39,+'5.Variables'!$F53,+IF(N$18='5.Variables'!$B$62,+'5.Variables'!$F67,+IF(N$18='5.Variables'!$B$76,+'5.Variables'!$F81,+IF(N$18='5.Variables'!$B$90,+'5.Variables'!$F95,+IF(N$18='5.Variables'!$B$104,+'5.Variables'!$F109,0))))))</f>
        <v>160.1</v>
      </c>
      <c r="O59" s="711">
        <f>IF(O$18='5.Variables'!$B$16,+'5.Variables'!$F29,+IF(O$18='5.Variables'!$B$39,+'5.Variables'!$F53,+IF(O$18='5.Variables'!$B$62,+'5.Variables'!$F67,+IF(O$18='5.Variables'!$B$76,+'5.Variables'!$F81,+IF(O$18='5.Variables'!$B$90,+'5.Variables'!$F95,+IF(O$18='5.Variables'!$B$104,+'5.Variables'!$F109,0))))))</f>
        <v>13.28</v>
      </c>
      <c r="P59" s="831">
        <f>IF(P$18='5.Variables'!$B$16,+'5.Variables'!$F29,+IF(P$18='5.Variables'!$B$39,+'5.Variables'!$F53,+IF(P$18='5.Variables'!$B$62,+'5.Variables'!$F67,+IF(P$18='5.Variables'!$B$76,+'5.Variables'!$F81,+IF(P$18='5.Variables'!$B$90,+'5.Variables'!$F95,+IF(P$18='5.Variables'!$B$104,+'5.Variables'!$F109,0))))))</f>
        <v>0</v>
      </c>
      <c r="Q59" s="244"/>
      <c r="R59" s="549">
        <f t="shared" si="5"/>
        <v>7233804.626162678</v>
      </c>
      <c r="S59" s="263"/>
      <c r="T59" s="244"/>
      <c r="U59" s="249">
        <f>'4. Customer Growth'!B18</f>
        <v>2007</v>
      </c>
      <c r="V59" s="265">
        <f t="shared" si="6"/>
        <v>94614050.200000003</v>
      </c>
      <c r="W59" s="265">
        <f t="shared" si="7"/>
        <v>92749181.649325848</v>
      </c>
      <c r="X59" s="266">
        <f t="shared" ref="X59:X67" si="8">IF(ABS(V59-W59)=0,0,ABS(V59-W59)/V59)</f>
        <v>1.9710270797329794E-2</v>
      </c>
      <c r="Z59" s="244"/>
      <c r="AA59" s="244"/>
      <c r="AB59" s="244"/>
      <c r="AC59" s="244"/>
      <c r="AD59" s="244"/>
      <c r="AE59" s="244"/>
      <c r="AF59" s="244"/>
      <c r="AG59" s="244"/>
      <c r="AH59" s="244"/>
      <c r="AI59" s="244"/>
      <c r="AJ59" s="244"/>
      <c r="AK59" s="244"/>
      <c r="AL59" s="244"/>
      <c r="AM59" s="244"/>
    </row>
    <row r="60" spans="1:39" x14ac:dyDescent="0.2">
      <c r="A60" s="497">
        <f t="shared" si="2"/>
        <v>41</v>
      </c>
      <c r="B60" s="260" t="str">
        <f>CONCATENATE('3. Consumption by Rate Class'!B65,"-",'3. Consumption by Rate Class'!C65)</f>
        <v>2009-May</v>
      </c>
      <c r="C60" s="684">
        <v>7320792</v>
      </c>
      <c r="D60" s="690">
        <v>-541294</v>
      </c>
      <c r="E60" s="690">
        <v>-214035</v>
      </c>
      <c r="F60" s="690"/>
      <c r="G60" s="690"/>
      <c r="H60" s="691"/>
      <c r="I60" s="691"/>
      <c r="J60" s="261">
        <f t="shared" si="0"/>
        <v>6565463</v>
      </c>
      <c r="K60" s="711">
        <f>IF(K$18='5.Variables'!$B$16,+'5.Variables'!$G30,+IF(K$18='5.Variables'!$B$39,+'5.Variables'!$G53,+IF(K$18='5.Variables'!$B$62,+'5.Variables'!$G67,+IF(K$18='5.Variables'!$B$76,+'5.Variables'!$G81,+IF(K$18='5.Variables'!$B$90,+'5.Variables'!$G95,+IF(K$18='5.Variables'!$B$104,+'5.Variables'!$G109,0))))))</f>
        <v>181.6</v>
      </c>
      <c r="L60" s="711">
        <f>IF(L$18='5.Variables'!$B$16,+'5.Variables'!$G29,+IF(L$18='5.Variables'!$B$39,+'5.Variables'!$G53,+IF(L$18='5.Variables'!$B$62,+'5.Variables'!$G67,+IF(L$18='5.Variables'!$B$76,+'5.Variables'!$G81,+IF(L$18='5.Variables'!$B$90,+'5.Variables'!$G95,+IF(L$18='5.Variables'!$B$104,+'5.Variables'!$G109,0))))))</f>
        <v>2.5</v>
      </c>
      <c r="M60" s="711">
        <f>IF(M$18='5.Variables'!$B$16,+'5.Variables'!$G29,+IF(M$18='5.Variables'!$B$39,+'5.Variables'!$G53,+IF(M$18='5.Variables'!$B$62,+'5.Variables'!$G67,+IF(M$18='5.Variables'!$B$76,+'5.Variables'!$G81,+IF(M$18='5.Variables'!$B$90,+'5.Variables'!$G95,+IF(M$18='5.Variables'!$B$104,+'5.Variables'!$G109,0))))))</f>
        <v>31</v>
      </c>
      <c r="N60" s="711">
        <f>IF(N$18='5.Variables'!$B$16,+'5.Variables'!$G29,+IF(N$18='5.Variables'!$B$39,+'5.Variables'!$G53,+IF(N$18='5.Variables'!$B$62,+'5.Variables'!$G67,+IF(N$18='5.Variables'!$B$76,+'5.Variables'!$G81,+IF(N$18='5.Variables'!$B$90,+'5.Variables'!$G95,+IF(N$18='5.Variables'!$B$104,+'5.Variables'!$G109,0))))))</f>
        <v>162.5</v>
      </c>
      <c r="O60" s="711">
        <f>IF(O$18='5.Variables'!$B$16,+'5.Variables'!$G29,+IF(O$18='5.Variables'!$B$39,+'5.Variables'!$G53,+IF(O$18='5.Variables'!$B$62,+'5.Variables'!$G67,+IF(O$18='5.Variables'!$B$76,+'5.Variables'!$G81,+IF(O$18='5.Variables'!$B$90,+'5.Variables'!$G95,+IF(O$18='5.Variables'!$B$104,+'5.Variables'!$G109,0))))))</f>
        <v>14.52</v>
      </c>
      <c r="P60" s="831">
        <f>IF(P$18='5.Variables'!$B$16,+'5.Variables'!$G29,+IF(P$18='5.Variables'!$B$39,+'5.Variables'!$G53,+IF(P$18='5.Variables'!$B$62,+'5.Variables'!$G67,+IF(P$18='5.Variables'!$B$76,+'5.Variables'!$G81,+IF(P$18='5.Variables'!$B$90,+'5.Variables'!$G95,+IF(P$18='5.Variables'!$B$104,+'5.Variables'!$G109,0))))))</f>
        <v>0</v>
      </c>
      <c r="Q60" s="244"/>
      <c r="R60" s="549">
        <f t="shared" si="5"/>
        <v>7046629.6267276164</v>
      </c>
      <c r="S60" s="263"/>
      <c r="T60" s="244"/>
      <c r="U60" s="249">
        <f>'4. Customer Growth'!B19</f>
        <v>2008</v>
      </c>
      <c r="V60" s="265">
        <f t="shared" si="6"/>
        <v>96430220.5</v>
      </c>
      <c r="W60" s="265">
        <f t="shared" si="7"/>
        <v>93003400.401108235</v>
      </c>
      <c r="X60" s="266">
        <f t="shared" si="8"/>
        <v>3.5536785886451074E-2</v>
      </c>
      <c r="Y60" s="244"/>
      <c r="Z60" s="244"/>
      <c r="AA60" s="244"/>
      <c r="AB60" s="244"/>
      <c r="AC60" s="244"/>
      <c r="AD60" s="244"/>
      <c r="AE60" s="244"/>
      <c r="AF60" s="244"/>
      <c r="AG60" s="244"/>
      <c r="AH60" s="244"/>
      <c r="AI60" s="244"/>
      <c r="AJ60" s="244"/>
      <c r="AK60" s="244"/>
      <c r="AL60" s="244"/>
      <c r="AM60" s="244"/>
    </row>
    <row r="61" spans="1:39" x14ac:dyDescent="0.2">
      <c r="A61" s="497">
        <f t="shared" si="2"/>
        <v>42</v>
      </c>
      <c r="B61" s="260" t="str">
        <f>CONCATENATE('3. Consumption by Rate Class'!B66,"-",'3. Consumption by Rate Class'!C66)</f>
        <v>2009-June</v>
      </c>
      <c r="C61" s="684">
        <v>7700735</v>
      </c>
      <c r="D61" s="690">
        <v>-528078</v>
      </c>
      <c r="E61" s="690">
        <v>-213434</v>
      </c>
      <c r="F61" s="690"/>
      <c r="G61" s="690"/>
      <c r="H61" s="691"/>
      <c r="I61" s="691"/>
      <c r="J61" s="261">
        <f t="shared" si="0"/>
        <v>6959223</v>
      </c>
      <c r="K61" s="711">
        <f>IF(K$18='5.Variables'!$B$16,+'5.Variables'!$H30,+IF(K$18='5.Variables'!$B$39,+'5.Variables'!$H53,+IF(K$18='5.Variables'!$B$62,+'5.Variables'!$H67,+IF(K$18='5.Variables'!$B$76,+'5.Variables'!$H81,+IF(K$18='5.Variables'!$B$90,+'5.Variables'!$H95,+IF(K$18='5.Variables'!$B$104,+'5.Variables'!$H109,0))))))</f>
        <v>50.4</v>
      </c>
      <c r="L61" s="711">
        <f>IF(L$18='5.Variables'!$B$16,+'5.Variables'!$H29,+IF(L$18='5.Variables'!$B$39,+'5.Variables'!$H53,+IF(L$18='5.Variables'!$B$62,+'5.Variables'!$H67,+IF(L$18='5.Variables'!$B$76,+'5.Variables'!$H81,+IF(L$18='5.Variables'!$B$90,+'5.Variables'!$H95,+IF(L$18='5.Variables'!$B$104,+'5.Variables'!$H109,0))))))</f>
        <v>3.2</v>
      </c>
      <c r="M61" s="711">
        <f>IF(M$18='5.Variables'!$B$16,+'5.Variables'!$H29,+IF(M$18='5.Variables'!$B$39,+'5.Variables'!$H53,+IF(M$18='5.Variables'!$B$62,+'5.Variables'!$H67,+IF(M$18='5.Variables'!$B$76,+'5.Variables'!$H81,+IF(M$18='5.Variables'!$B$90,+'5.Variables'!$H95,+IF(M$18='5.Variables'!$B$104,+'5.Variables'!$H109,0))))))</f>
        <v>30</v>
      </c>
      <c r="N61" s="711">
        <f>IF(N$18='5.Variables'!$B$16,+'5.Variables'!$H29,+IF(N$18='5.Variables'!$B$39,+'5.Variables'!$H53,+IF(N$18='5.Variables'!$B$62,+'5.Variables'!$H67,+IF(N$18='5.Variables'!$B$76,+'5.Variables'!$H81,+IF(N$18='5.Variables'!$B$90,+'5.Variables'!$H95,+IF(N$18='5.Variables'!$B$104,+'5.Variables'!$H109,0))))))</f>
        <v>166.2</v>
      </c>
      <c r="O61" s="711">
        <f>IF(O$18='5.Variables'!$B$16,+'5.Variables'!$H29,+IF(O$18='5.Variables'!$B$39,+'5.Variables'!$H53,+IF(O$18='5.Variables'!$B$62,+'5.Variables'!$H67,+IF(O$18='5.Variables'!$B$76,+'5.Variables'!$H81,+IF(O$18='5.Variables'!$B$90,+'5.Variables'!$H95,+IF(O$18='5.Variables'!$B$104,+'5.Variables'!$H109,0))))))</f>
        <v>15.35</v>
      </c>
      <c r="P61" s="831">
        <f>IF(P$18='5.Variables'!$B$16,+'5.Variables'!$H29,+IF(P$18='5.Variables'!$B$39,+'5.Variables'!$H53,+IF(P$18='5.Variables'!$B$62,+'5.Variables'!$H67,+IF(P$18='5.Variables'!$B$76,+'5.Variables'!$H81,+IF(P$18='5.Variables'!$B$90,+'5.Variables'!$H95,+IF(P$18='5.Variables'!$B$104,+'5.Variables'!$H109,0))))))</f>
        <v>0</v>
      </c>
      <c r="Q61" s="244"/>
      <c r="R61" s="549">
        <f t="shared" si="5"/>
        <v>6450773.1196963303</v>
      </c>
      <c r="S61" s="263"/>
      <c r="T61" s="244"/>
      <c r="U61" s="249">
        <f>'4. Customer Growth'!B20</f>
        <v>2009</v>
      </c>
      <c r="V61" s="265">
        <f t="shared" si="6"/>
        <v>92313324</v>
      </c>
      <c r="W61" s="265">
        <f t="shared" si="7"/>
        <v>92013713.385926887</v>
      </c>
      <c r="X61" s="266">
        <f t="shared" si="8"/>
        <v>3.2455836394008801E-3</v>
      </c>
      <c r="Y61" s="244"/>
      <c r="Z61" s="244"/>
      <c r="AA61" s="244"/>
      <c r="AB61" s="244"/>
      <c r="AC61" s="244"/>
      <c r="AD61" s="244"/>
      <c r="AE61" s="244"/>
      <c r="AF61" s="244"/>
      <c r="AG61" s="244"/>
      <c r="AH61" s="244"/>
      <c r="AI61" s="244"/>
      <c r="AJ61" s="244"/>
      <c r="AK61" s="244"/>
      <c r="AL61" s="244"/>
      <c r="AM61" s="244"/>
    </row>
    <row r="62" spans="1:39" x14ac:dyDescent="0.2">
      <c r="A62" s="497">
        <f t="shared" si="2"/>
        <v>43</v>
      </c>
      <c r="B62" s="260" t="str">
        <f>CONCATENATE('3. Consumption by Rate Class'!B67,"-",'3. Consumption by Rate Class'!C67)</f>
        <v>2009-July</v>
      </c>
      <c r="C62" s="684">
        <v>8092557</v>
      </c>
      <c r="D62" s="690">
        <v>-545687</v>
      </c>
      <c r="E62" s="690">
        <v>-234610</v>
      </c>
      <c r="F62" s="690"/>
      <c r="G62" s="690"/>
      <c r="H62" s="691"/>
      <c r="I62" s="691"/>
      <c r="J62" s="261">
        <f t="shared" si="0"/>
        <v>7312260</v>
      </c>
      <c r="K62" s="711">
        <f>IF(K$18='5.Variables'!$B$16,+'5.Variables'!$I30,+IF(K$18='5.Variables'!$B$39,+'5.Variables'!$I53,+IF(K$18='5.Variables'!$B$62,+'5.Variables'!$I67,+IF(K$18='5.Variables'!$B$76,+'5.Variables'!$I81,+IF(K$18='5.Variables'!$B$90,+'5.Variables'!$I95,+IF(K$18='5.Variables'!$B$104,+'5.Variables'!$I109,0))))))</f>
        <v>13.1</v>
      </c>
      <c r="L62" s="711">
        <f>IF(L$18='5.Variables'!$B$16,+'5.Variables'!$I29,+IF(L$18='5.Variables'!$B$39,+'5.Variables'!$I53,+IF(L$18='5.Variables'!$B$62,+'5.Variables'!$I67,+IF(L$18='5.Variables'!$B$76,+'5.Variables'!$I81,+IF(L$18='5.Variables'!$B$90,+'5.Variables'!$I95,+IF(L$18='5.Variables'!$B$104,+'5.Variables'!$I109,0))))))</f>
        <v>44.9</v>
      </c>
      <c r="M62" s="711">
        <f>IF(M$18='5.Variables'!$B$16,+'5.Variables'!$I29,+IF(M$18='5.Variables'!$B$39,+'5.Variables'!$I53,+IF(M$18='5.Variables'!$B$62,+'5.Variables'!$I67,+IF(M$18='5.Variables'!$B$76,+'5.Variables'!$I81,+IF(M$18='5.Variables'!$B$90,+'5.Variables'!$I95,+IF(M$18='5.Variables'!$B$104,+'5.Variables'!$I109,0))))))</f>
        <v>31</v>
      </c>
      <c r="N62" s="711">
        <f>IF(N$18='5.Variables'!$B$16,+'5.Variables'!$I29,+IF(N$18='5.Variables'!$B$39,+'5.Variables'!$I53,+IF(N$18='5.Variables'!$B$62,+'5.Variables'!$I67,+IF(N$18='5.Variables'!$B$76,+'5.Variables'!$I81,+IF(N$18='5.Variables'!$B$90,+'5.Variables'!$I95,+IF(N$18='5.Variables'!$B$104,+'5.Variables'!$I109,0))))))</f>
        <v>170.2</v>
      </c>
      <c r="O62" s="711">
        <f>IF(O$18='5.Variables'!$B$16,+'5.Variables'!$I29,+IF(O$18='5.Variables'!$B$39,+'5.Variables'!$I53,+IF(O$18='5.Variables'!$B$62,+'5.Variables'!$I67,+IF(O$18='5.Variables'!$B$76,+'5.Variables'!$I81,+IF(O$18='5.Variables'!$B$90,+'5.Variables'!$I95,+IF(O$18='5.Variables'!$B$104,+'5.Variables'!$I109,0))))))</f>
        <v>15.15</v>
      </c>
      <c r="P62" s="831">
        <f>IF(P$18='5.Variables'!$B$16,+'5.Variables'!$I29,+IF(P$18='5.Variables'!$B$39,+'5.Variables'!$I53,+IF(P$18='5.Variables'!$B$62,+'5.Variables'!$I67,+IF(P$18='5.Variables'!$B$76,+'5.Variables'!$I81,+IF(P$18='5.Variables'!$B$90,+'5.Variables'!$I95,+IF(P$18='5.Variables'!$B$104,+'5.Variables'!$I109,0))))))</f>
        <v>0</v>
      </c>
      <c r="Q62" s="244"/>
      <c r="R62" s="549">
        <f t="shared" si="5"/>
        <v>7038891.2706150999</v>
      </c>
      <c r="S62" s="263"/>
      <c r="T62" s="244"/>
      <c r="U62" s="249">
        <f>'4. Customer Growth'!B21</f>
        <v>2010</v>
      </c>
      <c r="V62" s="265">
        <f t="shared" si="6"/>
        <v>91831741</v>
      </c>
      <c r="W62" s="265">
        <f t="shared" si="7"/>
        <v>89704461.17554681</v>
      </c>
      <c r="X62" s="266">
        <f t="shared" si="8"/>
        <v>2.3164973257483925E-2</v>
      </c>
      <c r="Y62" s="267"/>
      <c r="Z62" s="244"/>
      <c r="AA62" s="244"/>
      <c r="AB62" s="244"/>
      <c r="AC62" s="244"/>
      <c r="AD62" s="244"/>
      <c r="AE62" s="244"/>
      <c r="AF62" s="244"/>
      <c r="AG62" s="244"/>
      <c r="AH62" s="244"/>
      <c r="AI62" s="244"/>
      <c r="AJ62" s="244"/>
      <c r="AK62" s="244"/>
      <c r="AL62" s="244"/>
      <c r="AM62" s="244"/>
    </row>
    <row r="63" spans="1:39" x14ac:dyDescent="0.2">
      <c r="A63" s="497">
        <f t="shared" si="2"/>
        <v>44</v>
      </c>
      <c r="B63" s="260" t="str">
        <f>CONCATENATE('3. Consumption by Rate Class'!B68,"-",'3. Consumption by Rate Class'!C68)</f>
        <v>2009-August</v>
      </c>
      <c r="C63" s="684">
        <v>8459664</v>
      </c>
      <c r="D63" s="690">
        <v>-609637</v>
      </c>
      <c r="E63" s="690">
        <v>-268098</v>
      </c>
      <c r="F63" s="690"/>
      <c r="G63" s="690"/>
      <c r="H63" s="691"/>
      <c r="I63" s="691"/>
      <c r="J63" s="261">
        <f t="shared" si="0"/>
        <v>7581929</v>
      </c>
      <c r="K63" s="711">
        <f>IF(K$18='5.Variables'!$B$16,+'5.Variables'!$J30,+IF(K$18='5.Variables'!$B$39,+'5.Variables'!$J53,+IF(K$18='5.Variables'!$B$62,+'5.Variables'!$J67,+IF(K$18='5.Variables'!$B$76,+'5.Variables'!$J81,+IF(K$18='5.Variables'!$B$90,+'5.Variables'!$J95,+IF(K$18='5.Variables'!$B$104,+'5.Variables'!$J109,0))))))</f>
        <v>26.1</v>
      </c>
      <c r="L63" s="711">
        <f>IF(L$18='5.Variables'!$B$16,+'5.Variables'!$J29,+IF(L$18='5.Variables'!$B$39,+'5.Variables'!$J53,+IF(L$18='5.Variables'!$B$62,+'5.Variables'!$J67,+IF(L$18='5.Variables'!$B$76,+'5.Variables'!$J81,+IF(L$18='5.Variables'!$B$90,+'5.Variables'!$J95,+IF(L$18='5.Variables'!$B$104,+'5.Variables'!$J109,0))))))</f>
        <v>42.9</v>
      </c>
      <c r="M63" s="711">
        <f>IF(M$18='5.Variables'!$B$16,+'5.Variables'!$J29,+IF(M$18='5.Variables'!$B$39,+'5.Variables'!$J53,+IF(M$18='5.Variables'!$B$62,+'5.Variables'!$J67,+IF(M$18='5.Variables'!$B$76,+'5.Variables'!$J81,+IF(M$18='5.Variables'!$B$90,+'5.Variables'!$J95,+IF(M$18='5.Variables'!$B$104,+'5.Variables'!$J109,0))))))</f>
        <v>31</v>
      </c>
      <c r="N63" s="711">
        <f>IF(N$18='5.Variables'!$B$16,+'5.Variables'!$J29,+IF(N$18='5.Variables'!$B$39,+'5.Variables'!$J53,+IF(N$18='5.Variables'!$B$62,+'5.Variables'!$J67,+IF(N$18='5.Variables'!$B$76,+'5.Variables'!$J81,+IF(N$18='5.Variables'!$B$90,+'5.Variables'!$J95,+IF(N$18='5.Variables'!$B$104,+'5.Variables'!$J109,0))))))</f>
        <v>170.2</v>
      </c>
      <c r="O63" s="711">
        <f>IF(O$18='5.Variables'!$B$16,+'5.Variables'!$J29,+IF(O$18='5.Variables'!$B$39,+'5.Variables'!$J53,+IF(O$18='5.Variables'!$B$62,+'5.Variables'!$J67,+IF(O$18='5.Variables'!$B$76,+'5.Variables'!$J81,+IF(O$18='5.Variables'!$B$90,+'5.Variables'!$J95,+IF(O$18='5.Variables'!$B$104,+'5.Variables'!$J109,0))))))</f>
        <v>14.03</v>
      </c>
      <c r="P63" s="831">
        <f>IF(P$18='5.Variables'!$B$16,+'5.Variables'!$J29,+IF(P$18='5.Variables'!$B$39,+'5.Variables'!$J53,+IF(P$18='5.Variables'!$B$62,+'5.Variables'!$J67,+IF(P$18='5.Variables'!$B$76,+'5.Variables'!$J81,+IF(P$18='5.Variables'!$B$90,+'5.Variables'!$J95,+IF(P$18='5.Variables'!$B$104,+'5.Variables'!$J109,0))))))</f>
        <v>0</v>
      </c>
      <c r="Q63" s="244"/>
      <c r="R63" s="549">
        <f t="shared" si="5"/>
        <v>6984401.8881977107</v>
      </c>
      <c r="S63" s="263"/>
      <c r="T63" s="244"/>
      <c r="U63" s="249">
        <f>'4. Customer Growth'!B22</f>
        <v>2011</v>
      </c>
      <c r="V63" s="265">
        <f t="shared" si="6"/>
        <v>90656017</v>
      </c>
      <c r="W63" s="265">
        <f t="shared" si="7"/>
        <v>91860693.600385413</v>
      </c>
      <c r="X63" s="266">
        <f t="shared" si="8"/>
        <v>1.3288435122683722E-2</v>
      </c>
      <c r="Y63" s="267"/>
      <c r="Z63" s="244"/>
      <c r="AA63" s="244"/>
      <c r="AB63" s="244"/>
      <c r="AC63" s="244"/>
      <c r="AD63" s="244"/>
      <c r="AE63" s="244"/>
      <c r="AF63" s="244"/>
      <c r="AG63" s="244"/>
      <c r="AH63" s="244"/>
      <c r="AI63" s="244"/>
      <c r="AJ63" s="244"/>
      <c r="AK63" s="244"/>
      <c r="AL63" s="244"/>
      <c r="AM63" s="244"/>
    </row>
    <row r="64" spans="1:39" x14ac:dyDescent="0.2">
      <c r="A64" s="497">
        <f t="shared" si="2"/>
        <v>45</v>
      </c>
      <c r="B64" s="260" t="str">
        <f>CONCATENATE('3. Consumption by Rate Class'!B69,"-",'3. Consumption by Rate Class'!C69)</f>
        <v>2009-September</v>
      </c>
      <c r="C64" s="684">
        <v>7615409</v>
      </c>
      <c r="D64" s="690">
        <v>-550335</v>
      </c>
      <c r="E64" s="690">
        <v>-261637</v>
      </c>
      <c r="F64" s="690"/>
      <c r="G64" s="690"/>
      <c r="H64" s="691"/>
      <c r="I64" s="691"/>
      <c r="J64" s="261">
        <f t="shared" si="0"/>
        <v>6803437</v>
      </c>
      <c r="K64" s="711">
        <f>IF(K$18='5.Variables'!$B$16,+'5.Variables'!$K30,+IF(K$18='5.Variables'!$B$39,+'5.Variables'!$K53,+IF(K$18='5.Variables'!$B$62,+'5.Variables'!$K67,+IF(K$18='5.Variables'!$B$76,+'5.Variables'!$K81,+IF(K$18='5.Variables'!$B$90,+'5.Variables'!$K95,+IF(K$18='5.Variables'!$B$104,+'5.Variables'!$K109,0))))))</f>
        <v>106.5</v>
      </c>
      <c r="L64" s="711">
        <f>IF(L$18='5.Variables'!$B$16,+'5.Variables'!$K29,+IF(L$18='5.Variables'!$B$39,+'5.Variables'!$K53,+IF(L$18='5.Variables'!$B$62,+'5.Variables'!$K67,+IF(L$18='5.Variables'!$B$76,+'5.Variables'!$K81,+IF(L$18='5.Variables'!$B$90,+'5.Variables'!$K95,+IF(L$18='5.Variables'!$B$104,+'5.Variables'!$K109,0))))))</f>
        <v>82.1</v>
      </c>
      <c r="M64" s="711">
        <f>IF(M$18='5.Variables'!$B$16,+'5.Variables'!$K29,+IF(M$18='5.Variables'!$B$39,+'5.Variables'!$K53,+IF(M$18='5.Variables'!$B$62,+'5.Variables'!$K67,+IF(M$18='5.Variables'!$B$76,+'5.Variables'!$K81,+IF(M$18='5.Variables'!$B$90,+'5.Variables'!$K95,+IF(M$18='5.Variables'!$B$104,+'5.Variables'!$K109,0))))))</f>
        <v>30</v>
      </c>
      <c r="N64" s="711">
        <f>IF(N$18='5.Variables'!$B$16,+'5.Variables'!$K29,+IF(N$18='5.Variables'!$B$39,+'5.Variables'!$K53,+IF(N$18='5.Variables'!$B$62,+'5.Variables'!$K67,+IF(N$18='5.Variables'!$B$76,+'5.Variables'!$K81,+IF(N$18='5.Variables'!$B$90,+'5.Variables'!$K95,+IF(N$18='5.Variables'!$B$104,+'5.Variables'!$K109,0))))))</f>
        <v>170.4</v>
      </c>
      <c r="O64" s="711">
        <f>IF(O$18='5.Variables'!$B$16,+'5.Variables'!$K29,+IF(O$18='5.Variables'!$B$39,+'5.Variables'!$K53,+IF(O$18='5.Variables'!$B$62,+'5.Variables'!$K67,+IF(O$18='5.Variables'!$B$76,+'5.Variables'!$K81,+IF(O$18='5.Variables'!$B$90,+'5.Variables'!$K95,+IF(O$18='5.Variables'!$B$104,+'5.Variables'!$K109,0))))))</f>
        <v>12.29</v>
      </c>
      <c r="P64" s="831">
        <f>IF(P$18='5.Variables'!$B$16,+'5.Variables'!$K29,+IF(P$18='5.Variables'!$B$39,+'5.Variables'!$K53,+IF(P$18='5.Variables'!$B$62,+'5.Variables'!$K67,+IF(P$18='5.Variables'!$B$76,+'5.Variables'!$K81,+IF(P$18='5.Variables'!$B$90,+'5.Variables'!$K95,+IF(P$18='5.Variables'!$B$104,+'5.Variables'!$K109,0))))))</f>
        <v>0</v>
      </c>
      <c r="Q64" s="244"/>
      <c r="R64" s="549">
        <f t="shared" si="5"/>
        <v>7360003.0598762622</v>
      </c>
      <c r="S64" s="263"/>
      <c r="T64" s="244"/>
      <c r="U64" s="249">
        <f>'4. Customer Growth'!B23</f>
        <v>2012</v>
      </c>
      <c r="V64" s="265">
        <f t="shared" si="6"/>
        <v>89014822</v>
      </c>
      <c r="W64" s="265">
        <f t="shared" si="7"/>
        <v>91835018.09547931</v>
      </c>
      <c r="X64" s="266">
        <f t="shared" si="8"/>
        <v>3.1682320226167612E-2</v>
      </c>
      <c r="Y64" s="267"/>
      <c r="Z64" s="244"/>
      <c r="AA64" s="244"/>
      <c r="AB64" s="244"/>
      <c r="AC64" s="244"/>
      <c r="AD64" s="244"/>
      <c r="AE64" s="244"/>
      <c r="AF64" s="244"/>
      <c r="AG64" s="244"/>
      <c r="AH64" s="244"/>
      <c r="AI64" s="244"/>
      <c r="AJ64" s="244"/>
      <c r="AK64" s="244"/>
      <c r="AL64" s="244"/>
      <c r="AM64" s="244"/>
    </row>
    <row r="65" spans="1:39" x14ac:dyDescent="0.2">
      <c r="A65" s="497">
        <f t="shared" si="2"/>
        <v>46</v>
      </c>
      <c r="B65" s="260" t="str">
        <f>CONCATENATE('3. Consumption by Rate Class'!B70,"-",'3. Consumption by Rate Class'!C70)</f>
        <v>2009-October</v>
      </c>
      <c r="C65" s="684">
        <v>8282937</v>
      </c>
      <c r="D65" s="690">
        <v>-545427</v>
      </c>
      <c r="E65" s="690">
        <v>-255765</v>
      </c>
      <c r="F65" s="690"/>
      <c r="G65" s="690"/>
      <c r="H65" s="690"/>
      <c r="I65" s="691"/>
      <c r="J65" s="261">
        <f t="shared" si="0"/>
        <v>7481745</v>
      </c>
      <c r="K65" s="711">
        <f>IF(K$18='5.Variables'!$B$16,+'5.Variables'!$L30,+IF(K$18='5.Variables'!$B$39,+'5.Variables'!$L53,+IF(K$18='5.Variables'!$B$62,+'5.Variables'!$L67,+IF(K$18='5.Variables'!$B$76,+'5.Variables'!$L81,+IF(K$18='5.Variables'!$B$90,+'5.Variables'!$L95,+IF(K$18='5.Variables'!$B$104,+'5.Variables'!$L109,0))))))</f>
        <v>355.5</v>
      </c>
      <c r="L65" s="711">
        <f>IF(L$18='5.Variables'!$B$16,+'5.Variables'!$L29,+IF(L$18='5.Variables'!$B$39,+'5.Variables'!$L53,+IF(L$18='5.Variables'!$B$62,+'5.Variables'!$L67,+IF(L$18='5.Variables'!$B$76,+'5.Variables'!$L81,+IF(L$18='5.Variables'!$B$90,+'5.Variables'!$L95,+IF(L$18='5.Variables'!$B$104,+'5.Variables'!$L109,0))))))</f>
        <v>5</v>
      </c>
      <c r="M65" s="711">
        <f>IF(M$18='5.Variables'!$B$16,+'5.Variables'!$L29,+IF(M$18='5.Variables'!$B$39,+'5.Variables'!$L53,+IF(M$18='5.Variables'!$B$62,+'5.Variables'!$L67,+IF(M$18='5.Variables'!$B$76,+'5.Variables'!$L81,+IF(M$18='5.Variables'!$B$90,+'5.Variables'!$L95,+IF(M$18='5.Variables'!$B$104,+'5.Variables'!$L109,0))))))</f>
        <v>31</v>
      </c>
      <c r="N65" s="711">
        <f>IF(N$18='5.Variables'!$B$16,+'5.Variables'!$L29,+IF(N$18='5.Variables'!$B$39,+'5.Variables'!$L53,+IF(N$18='5.Variables'!$B$62,+'5.Variables'!$L67,+IF(N$18='5.Variables'!$B$76,+'5.Variables'!$L81,+IF(N$18='5.Variables'!$B$90,+'5.Variables'!$L95,+IF(N$18='5.Variables'!$B$104,+'5.Variables'!$L109,0))))))</f>
        <v>168</v>
      </c>
      <c r="O65" s="711">
        <f>IF(O$18='5.Variables'!$B$16,+'5.Variables'!$L29,+IF(O$18='5.Variables'!$B$39,+'5.Variables'!$L53,+IF(O$18='5.Variables'!$B$62,+'5.Variables'!$L67,+IF(O$18='5.Variables'!$B$76,+'5.Variables'!$L81,+IF(O$18='5.Variables'!$B$90,+'5.Variables'!$L95,+IF(O$18='5.Variables'!$B$104,+'5.Variables'!$L109,0))))))</f>
        <v>10.51</v>
      </c>
      <c r="P65" s="831">
        <f>IF(P$18='5.Variables'!$B$16,+'5.Variables'!$L29,+IF(P$18='5.Variables'!$B$39,+'5.Variables'!$L53,+IF(P$18='5.Variables'!$B$62,+'5.Variables'!$L67,+IF(P$18='5.Variables'!$B$76,+'5.Variables'!$L81,+IF(P$18='5.Variables'!$B$90,+'5.Variables'!$L95,+IF(P$18='5.Variables'!$B$104,+'5.Variables'!$L109,0))))))</f>
        <v>0</v>
      </c>
      <c r="Q65" s="244"/>
      <c r="R65" s="549">
        <f t="shared" si="5"/>
        <v>7506472.6079562223</v>
      </c>
      <c r="S65" s="263"/>
      <c r="T65" s="244"/>
      <c r="U65" s="249">
        <f>'4. Customer Growth'!B24</f>
        <v>2013</v>
      </c>
      <c r="V65" s="265">
        <f t="shared" si="6"/>
        <v>90972832</v>
      </c>
      <c r="W65" s="265">
        <f t="shared" si="7"/>
        <v>92614453.307911366</v>
      </c>
      <c r="X65" s="266">
        <f t="shared" si="8"/>
        <v>1.804518197159528E-2</v>
      </c>
      <c r="Y65" s="267"/>
      <c r="Z65" s="244"/>
      <c r="AA65" s="244"/>
      <c r="AB65" s="244"/>
      <c r="AC65" s="244"/>
      <c r="AD65" s="244"/>
      <c r="AE65" s="244"/>
      <c r="AF65" s="244"/>
      <c r="AG65" s="244"/>
      <c r="AH65" s="244"/>
      <c r="AI65" s="244"/>
      <c r="AJ65" s="244"/>
      <c r="AK65" s="244"/>
      <c r="AL65" s="244"/>
      <c r="AM65" s="244"/>
    </row>
    <row r="66" spans="1:39" x14ac:dyDescent="0.2">
      <c r="A66" s="497">
        <f t="shared" si="2"/>
        <v>47</v>
      </c>
      <c r="B66" s="260" t="str">
        <f>CONCATENATE('3. Consumption by Rate Class'!B71,"-",'3. Consumption by Rate Class'!C71)</f>
        <v>2009-November</v>
      </c>
      <c r="C66" s="684">
        <v>8249940</v>
      </c>
      <c r="D66" s="690">
        <v>-556818</v>
      </c>
      <c r="E66" s="690">
        <v>-243666</v>
      </c>
      <c r="F66" s="690"/>
      <c r="G66" s="690"/>
      <c r="H66" s="690"/>
      <c r="I66" s="691"/>
      <c r="J66" s="261">
        <f t="shared" si="0"/>
        <v>7449456</v>
      </c>
      <c r="K66" s="711">
        <f>IF(K$18='5.Variables'!$B$16,+'5.Variables'!$M30,+IF(K$18='5.Variables'!$B$39,+'5.Variables'!$M53,+IF(K$18='5.Variables'!$B$62,+'5.Variables'!$M67,+IF(K$18='5.Variables'!$B$76,+'5.Variables'!$M81,+IF(K$18='5.Variables'!$B$90,+'5.Variables'!$M95,+IF(K$18='5.Variables'!$B$104,+'5.Variables'!$M109,0))))))</f>
        <v>417.4</v>
      </c>
      <c r="L66" s="711">
        <f>IF(L$18='5.Variables'!$B$16,+'5.Variables'!$M29,+IF(L$18='5.Variables'!$B$39,+'5.Variables'!$M53,+IF(L$18='5.Variables'!$B$62,+'5.Variables'!$M67,+IF(L$18='5.Variables'!$B$76,+'5.Variables'!$M81,+IF(L$18='5.Variables'!$B$90,+'5.Variables'!$M95,+IF(L$18='5.Variables'!$B$104,+'5.Variables'!$M109,0))))))</f>
        <v>0</v>
      </c>
      <c r="M66" s="711">
        <f>IF(M$18='5.Variables'!$B$16,+'5.Variables'!$M29,+IF(M$18='5.Variables'!$B$39,+'5.Variables'!$M53,+IF(M$18='5.Variables'!$B$62,+'5.Variables'!$M67,+IF(M$18='5.Variables'!$B$76,+'5.Variables'!$M81,+IF(M$18='5.Variables'!$B$90,+'5.Variables'!$M95,+IF(M$18='5.Variables'!$B$104,+'5.Variables'!$M109,0))))))</f>
        <v>30</v>
      </c>
      <c r="N66" s="711">
        <f>IF(N$18='5.Variables'!$B$16,+'5.Variables'!$M29,+IF(N$18='5.Variables'!$B$39,+'5.Variables'!$M53,+IF(N$18='5.Variables'!$B$62,+'5.Variables'!$M67,+IF(N$18='5.Variables'!$B$76,+'5.Variables'!$M81,+IF(N$18='5.Variables'!$B$90,+'5.Variables'!$M95,+IF(N$18='5.Variables'!$B$104,+'5.Variables'!$M109,0))))))</f>
        <v>163.19999999999999</v>
      </c>
      <c r="O66" s="711">
        <f>IF(O$18='5.Variables'!$B$16,+'5.Variables'!$M29,+IF(O$18='5.Variables'!$B$39,+'5.Variables'!$M53,+IF(O$18='5.Variables'!$B$62,+'5.Variables'!$M67,+IF(O$18='5.Variables'!$B$76,+'5.Variables'!$M81,+IF(O$18='5.Variables'!$B$90,+'5.Variables'!$M95,+IF(O$18='5.Variables'!$B$104,+'5.Variables'!$M109,0))))))</f>
        <v>9.2799999999999994</v>
      </c>
      <c r="P66" s="831">
        <f>IF(P$18='5.Variables'!$B$16,+'5.Variables'!$M29,+IF(P$18='5.Variables'!$B$39,+'5.Variables'!$M53,+IF(P$18='5.Variables'!$B$62,+'5.Variables'!$M67,+IF(P$18='5.Variables'!$B$76,+'5.Variables'!$M81,+IF(P$18='5.Variables'!$B$90,+'5.Variables'!$M95,+IF(P$18='5.Variables'!$B$104,+'5.Variables'!$M109,0))))))</f>
        <v>0</v>
      </c>
      <c r="Q66" s="244"/>
      <c r="R66" s="549">
        <f t="shared" si="5"/>
        <v>7296719.1352796331</v>
      </c>
      <c r="S66" s="263"/>
      <c r="T66" s="244"/>
      <c r="U66" s="249">
        <f>'4. Customer Growth'!B25</f>
        <v>2014</v>
      </c>
      <c r="V66" s="265">
        <f t="shared" si="6"/>
        <v>89574310</v>
      </c>
      <c r="W66" s="265">
        <f t="shared" si="7"/>
        <v>92410619.010412455</v>
      </c>
      <c r="X66" s="266">
        <f t="shared" si="8"/>
        <v>3.1664313243523222E-2</v>
      </c>
      <c r="Y66" s="267"/>
      <c r="Z66" s="244"/>
      <c r="AA66" s="244"/>
      <c r="AB66" s="244"/>
      <c r="AC66" s="244"/>
      <c r="AD66" s="244"/>
      <c r="AE66" s="244"/>
      <c r="AF66" s="244"/>
      <c r="AG66" s="244"/>
      <c r="AH66" s="244"/>
      <c r="AI66" s="244"/>
      <c r="AJ66" s="244"/>
      <c r="AK66" s="244"/>
      <c r="AL66" s="244"/>
      <c r="AM66" s="244"/>
    </row>
    <row r="67" spans="1:39" x14ac:dyDescent="0.2">
      <c r="A67" s="497">
        <f t="shared" si="2"/>
        <v>48</v>
      </c>
      <c r="B67" s="516" t="str">
        <f>CONCATENATE('3. Consumption by Rate Class'!B72,"-",'3. Consumption by Rate Class'!C72)</f>
        <v>2009-December</v>
      </c>
      <c r="C67" s="685">
        <v>9666825</v>
      </c>
      <c r="D67" s="692">
        <v>-570307</v>
      </c>
      <c r="E67" s="692">
        <v>-215828</v>
      </c>
      <c r="F67" s="692"/>
      <c r="G67" s="692"/>
      <c r="H67" s="692"/>
      <c r="I67" s="693"/>
      <c r="J67" s="261">
        <f t="shared" si="0"/>
        <v>8880690</v>
      </c>
      <c r="K67" s="711">
        <f>IF(K$18='5.Variables'!$B$16,+'5.Variables'!$N30,+IF(K$18='5.Variables'!$B$39,+'5.Variables'!$N53,+IF(K$18='5.Variables'!$B$62,+'5.Variables'!$N67,+IF(K$18='5.Variables'!$B$76,+'5.Variables'!$N81,+IF(K$18='5.Variables'!$B$90,+'5.Variables'!$N95,+IF(K$18='5.Variables'!$B$104,+'5.Variables'!$N109,0))))))</f>
        <v>759.4</v>
      </c>
      <c r="L67" s="711">
        <f>IF(L$18='5.Variables'!$B$16,+'5.Variables'!$N29,+IF(L$18='5.Variables'!$B$39,+'5.Variables'!$N53,+IF(L$18='5.Variables'!$B$62,+'5.Variables'!$N67,+IF(L$18='5.Variables'!$B$76,+'5.Variables'!$N81,+IF(L$18='5.Variables'!$B$90,+'5.Variables'!$N95,+IF(L$18='5.Variables'!$B$104,+'5.Variables'!$N109,0))))))</f>
        <v>0</v>
      </c>
      <c r="M67" s="711">
        <f>IF(M$18='5.Variables'!$B$16,+'5.Variables'!$N29,+IF(M$18='5.Variables'!$B$39,+'5.Variables'!$N53,+IF(M$18='5.Variables'!$B$62,+'5.Variables'!$N67,+IF(M$18='5.Variables'!$B$76,+'5.Variables'!$N81,+IF(M$18='5.Variables'!$B$90,+'5.Variables'!$N95,+IF(M$18='5.Variables'!$B$104,+'5.Variables'!$N109,0))))))</f>
        <v>31</v>
      </c>
      <c r="N67" s="711">
        <f>IF(N$18='5.Variables'!$B$16,+'5.Variables'!$N29,+IF(N$18='5.Variables'!$B$39,+'5.Variables'!$N53,+IF(N$18='5.Variables'!$B$62,+'5.Variables'!$N67,+IF(N$18='5.Variables'!$B$76,+'5.Variables'!$N81,+IF(N$18='5.Variables'!$B$90,+'5.Variables'!$N95,+IF(N$18='5.Variables'!$B$104,+'5.Variables'!$N109,0))))))</f>
        <v>158.30000000000001</v>
      </c>
      <c r="O67" s="711">
        <f>IF(O$18='5.Variables'!$B$16,+'5.Variables'!$N29,+IF(O$18='5.Variables'!$B$39,+'5.Variables'!$N53,+IF(O$18='5.Variables'!$B$62,+'5.Variables'!$N67,+IF(O$18='5.Variables'!$B$76,+'5.Variables'!$N81,+IF(O$18='5.Variables'!$B$90,+'5.Variables'!$N95,+IF(O$18='5.Variables'!$B$104,+'5.Variables'!$N109,0))))))</f>
        <v>8.4700000000000006</v>
      </c>
      <c r="P67" s="831">
        <f>IF(P$18='5.Variables'!$B$16,+'5.Variables'!$N29,+IF(P$18='5.Variables'!$B$39,+'5.Variables'!$N53,+IF(P$18='5.Variables'!$B$62,+'5.Variables'!$N67,+IF(P$18='5.Variables'!$B$76,+'5.Variables'!$N81,+IF(P$18='5.Variables'!$B$90,+'5.Variables'!$N95,+IF(P$18='5.Variables'!$B$104,+'5.Variables'!$N109,0))))))</f>
        <v>0</v>
      </c>
      <c r="Q67" s="244"/>
      <c r="R67" s="549">
        <f t="shared" si="5"/>
        <v>8666584.9790380783</v>
      </c>
      <c r="S67" s="263">
        <f>SUM(R56:R67)</f>
        <v>92013713.385926887</v>
      </c>
      <c r="T67" s="244"/>
      <c r="U67" s="249">
        <f>'4. Customer Growth'!B26</f>
        <v>2015</v>
      </c>
      <c r="V67" s="265">
        <f t="shared" si="6"/>
        <v>90503010</v>
      </c>
      <c r="W67" s="265">
        <f t="shared" si="7"/>
        <v>90543643.245070294</v>
      </c>
      <c r="X67" s="266">
        <f t="shared" si="8"/>
        <v>4.4897120074010297E-4</v>
      </c>
      <c r="Y67" s="267"/>
      <c r="Z67" s="244"/>
      <c r="AA67" s="244"/>
      <c r="AB67" s="244"/>
      <c r="AC67" s="244"/>
      <c r="AD67" s="244"/>
      <c r="AE67" s="244"/>
      <c r="AF67" s="244"/>
      <c r="AG67" s="244"/>
      <c r="AH67" s="244"/>
      <c r="AI67" s="244"/>
      <c r="AJ67" s="244"/>
      <c r="AK67" s="244"/>
      <c r="AL67" s="244"/>
      <c r="AM67" s="244"/>
    </row>
    <row r="68" spans="1:39" x14ac:dyDescent="0.2">
      <c r="A68" s="497">
        <f t="shared" si="2"/>
        <v>49</v>
      </c>
      <c r="B68" s="260" t="str">
        <f>CONCATENATE('3. Consumption by Rate Class'!B73,"-",'3. Consumption by Rate Class'!C73)</f>
        <v>2010-January</v>
      </c>
      <c r="C68" s="684">
        <v>10052260</v>
      </c>
      <c r="D68" s="690">
        <v>-534435</v>
      </c>
      <c r="E68" s="690">
        <v>-177952</v>
      </c>
      <c r="F68" s="690"/>
      <c r="G68" s="690"/>
      <c r="H68" s="690"/>
      <c r="I68" s="691"/>
      <c r="J68" s="261">
        <f t="shared" si="0"/>
        <v>9339873</v>
      </c>
      <c r="K68" s="711">
        <f>IF(K$18='5.Variables'!$B$16,+'5.Variables'!$C31,+IF(K$18='5.Variables'!$B$39,+'5.Variables'!$C54,+IF(K$18='5.Variables'!$B$62,+'5.Variables'!$C68,+IF(K$18='5.Variables'!$B$76,+'5.Variables'!$C82,+IF(K$18='5.Variables'!$B$90,+'5.Variables'!$C96,+IF(K$18='5.Variables'!$B$104,+'5.Variables'!$C110,0))))))</f>
        <v>789.2</v>
      </c>
      <c r="L68" s="711">
        <f>IF(L$18='5.Variables'!$B$16,+'5.Variables'!$C30,+IF(L$18='5.Variables'!$B$39,+'5.Variables'!$C54,+IF(L$18='5.Variables'!$B$62,+'5.Variables'!$C68,+IF(L$18='5.Variables'!$B$76,+'5.Variables'!$C82,+IF(L$18='5.Variables'!$B$90,+'5.Variables'!$C96,+IF(L$18='5.Variables'!$B$104,+'5.Variables'!$C110,0))))))</f>
        <v>0</v>
      </c>
      <c r="M68" s="711">
        <f>IF(M$18='5.Variables'!$B$16,+'5.Variables'!$C30,+IF(M$18='5.Variables'!$B$39,+'5.Variables'!$C54,+IF(M$18='5.Variables'!$B$62,+'5.Variables'!$C68,+IF(M$18='5.Variables'!$B$76,+'5.Variables'!$C82,+IF(M$18='5.Variables'!$B$90,+'5.Variables'!$C96,+IF(M$18='5.Variables'!$B$104,+'5.Variables'!$C110,0))))))</f>
        <v>31</v>
      </c>
      <c r="N68" s="711">
        <f>IF(N$18='5.Variables'!$B$16,+'5.Variables'!$C30,+IF(N$18='5.Variables'!$B$39,+'5.Variables'!$C54,+IF(N$18='5.Variables'!$B$62,+'5.Variables'!$C68,+IF(N$18='5.Variables'!$B$76,+'5.Variables'!$C82,+IF(N$18='5.Variables'!$B$90,+'5.Variables'!$C96,+IF(N$18='5.Variables'!$B$104,+'5.Variables'!$C110,0))))))</f>
        <v>152.30000000000001</v>
      </c>
      <c r="O68" s="711">
        <f>IF(O$18='5.Variables'!$B$16,+'5.Variables'!$C30,+IF(O$18='5.Variables'!$B$39,+'5.Variables'!$C54,+IF(O$18='5.Variables'!$B$62,+'5.Variables'!$C68,+IF(O$18='5.Variables'!$B$76,+'5.Variables'!$C82,+IF(O$18='5.Variables'!$B$90,+'5.Variables'!$C96,+IF(O$18='5.Variables'!$B$104,+'5.Variables'!$C110,0))))))</f>
        <v>9.09</v>
      </c>
      <c r="P68" s="831">
        <f>IF(P$18='5.Variables'!$B$16,+'5.Variables'!$C30,+IF(P$18='5.Variables'!$B$39,+'5.Variables'!$C54,+IF(P$18='5.Variables'!$B$62,+'5.Variables'!$C68,+IF(P$18='5.Variables'!$B$76,+'5.Variables'!$C82,+IF(P$18='5.Variables'!$B$90,+'5.Variables'!$C96,+IF(P$18='5.Variables'!$B$104,+'5.Variables'!$C110,0))))))</f>
        <v>0</v>
      </c>
      <c r="Q68" s="244"/>
      <c r="R68" s="549">
        <f t="shared" si="5"/>
        <v>8737857.982431706</v>
      </c>
      <c r="S68" s="263"/>
      <c r="T68" s="244"/>
      <c r="U68" s="13">
        <v>2016</v>
      </c>
      <c r="V68" s="59"/>
      <c r="W68" s="1026">
        <f>S151</f>
        <v>91444052.015355527</v>
      </c>
      <c r="X68" s="59"/>
      <c r="Y68" s="267"/>
      <c r="Z68" s="244"/>
      <c r="AA68" s="244"/>
      <c r="AB68" s="244"/>
      <c r="AC68" s="244"/>
      <c r="AD68" s="244"/>
      <c r="AE68" s="244"/>
      <c r="AF68" s="244"/>
      <c r="AG68" s="244"/>
      <c r="AH68" s="244"/>
      <c r="AI68" s="244"/>
      <c r="AJ68" s="244"/>
      <c r="AK68" s="244"/>
      <c r="AL68" s="244"/>
      <c r="AM68" s="244"/>
    </row>
    <row r="69" spans="1:39" x14ac:dyDescent="0.2">
      <c r="A69" s="497">
        <f t="shared" si="2"/>
        <v>50</v>
      </c>
      <c r="B69" s="260" t="str">
        <f>CONCATENATE('3. Consumption by Rate Class'!B74,"-",'3. Consumption by Rate Class'!C74)</f>
        <v>2010-February</v>
      </c>
      <c r="C69" s="684">
        <v>8718138</v>
      </c>
      <c r="D69" s="690">
        <v>-577545</v>
      </c>
      <c r="E69" s="690">
        <v>-219261</v>
      </c>
      <c r="F69" s="690"/>
      <c r="G69" s="690"/>
      <c r="H69" s="690"/>
      <c r="I69" s="691"/>
      <c r="J69" s="261">
        <f t="shared" si="0"/>
        <v>7921332</v>
      </c>
      <c r="K69" s="711">
        <f>IF(K$18='5.Variables'!$B$16,+'5.Variables'!$D31,+IF(K$18='5.Variables'!$B$39,+'5.Variables'!$D54,+IF(K$18='5.Variables'!$B$62,+'5.Variables'!$D68,+IF(K$18='5.Variables'!$B$76,+'5.Variables'!$D82,+IF(K$18='5.Variables'!$B$90,+'5.Variables'!$D96,+IF(K$18='5.Variables'!$B$104,+'5.Variables'!$D110,0))))))</f>
        <v>655.8</v>
      </c>
      <c r="L69" s="711">
        <f>IF(L$18='5.Variables'!$B$16,+'5.Variables'!$D30,+IF(L$18='5.Variables'!$B$39,+'5.Variables'!$D54,+IF(L$18='5.Variables'!$B$62,+'5.Variables'!$D68,+IF(L$18='5.Variables'!$B$76,+'5.Variables'!$D82,+IF(L$18='5.Variables'!$B$90,+'5.Variables'!$D96,+IF(L$18='5.Variables'!$B$104,+'5.Variables'!$D110,0))))))</f>
        <v>0</v>
      </c>
      <c r="M69" s="711">
        <f>IF(M$18='5.Variables'!$B$16,+'5.Variables'!$D30,+IF(M$18='5.Variables'!$B$39,+'5.Variables'!$D54,+IF(M$18='5.Variables'!$B$62,+'5.Variables'!$D68,+IF(M$18='5.Variables'!$B$76,+'5.Variables'!$D82,+IF(M$18='5.Variables'!$B$90,+'5.Variables'!$D96,+IF(M$18='5.Variables'!$B$104,+'5.Variables'!$D110,0))))))</f>
        <v>28</v>
      </c>
      <c r="N69" s="711">
        <f>IF(N$18='5.Variables'!$B$16,+'5.Variables'!$D30,+IF(N$18='5.Variables'!$B$39,+'5.Variables'!$D54,+IF(N$18='5.Variables'!$B$62,+'5.Variables'!$D68,+IF(N$18='5.Variables'!$B$76,+'5.Variables'!$D82,+IF(N$18='5.Variables'!$B$90,+'5.Variables'!$D96,+IF(N$18='5.Variables'!$B$104,+'5.Variables'!$D110,0))))))</f>
        <v>149.1</v>
      </c>
      <c r="O69" s="711">
        <f>IF(O$18='5.Variables'!$B$16,+'5.Variables'!$D30,+IF(O$18='5.Variables'!$B$39,+'5.Variables'!$D54,+IF(O$18='5.Variables'!$B$62,+'5.Variables'!$D68,+IF(O$18='5.Variables'!$B$76,+'5.Variables'!$D82,+IF(O$18='5.Variables'!$B$90,+'5.Variables'!$D96,+IF(O$18='5.Variables'!$B$104,+'5.Variables'!$D110,0))))))</f>
        <v>10.19</v>
      </c>
      <c r="P69" s="831">
        <f>IF(P$18='5.Variables'!$B$16,+'5.Variables'!$D30,+IF(P$18='5.Variables'!$B$39,+'5.Variables'!$D54,+IF(P$18='5.Variables'!$B$62,+'5.Variables'!$D68,+IF(P$18='5.Variables'!$B$76,+'5.Variables'!$D82,+IF(P$18='5.Variables'!$B$90,+'5.Variables'!$D96,+IF(P$18='5.Variables'!$B$104,+'5.Variables'!$D110,0))))))</f>
        <v>0</v>
      </c>
      <c r="Q69" s="244"/>
      <c r="R69" s="549">
        <f t="shared" si="5"/>
        <v>7591775.8672203878</v>
      </c>
      <c r="S69" s="263"/>
      <c r="T69" s="244"/>
      <c r="U69" s="13">
        <v>2017</v>
      </c>
      <c r="V69" s="59"/>
      <c r="W69" s="1026">
        <f>S163</f>
        <v>91490047.074539796</v>
      </c>
      <c r="X69" s="59"/>
      <c r="Y69" s="267"/>
      <c r="Z69" s="244"/>
      <c r="AA69" s="244"/>
      <c r="AB69" s="244"/>
      <c r="AC69" s="244"/>
      <c r="AD69" s="244"/>
      <c r="AE69" s="244"/>
      <c r="AF69" s="244"/>
      <c r="AG69" s="244"/>
      <c r="AH69" s="244"/>
      <c r="AI69" s="244"/>
      <c r="AJ69" s="244"/>
      <c r="AK69" s="244"/>
      <c r="AL69" s="244"/>
      <c r="AM69" s="244"/>
    </row>
    <row r="70" spans="1:39" x14ac:dyDescent="0.2">
      <c r="A70" s="497">
        <f t="shared" si="2"/>
        <v>51</v>
      </c>
      <c r="B70" s="260" t="str">
        <f>CONCATENATE('3. Consumption by Rate Class'!B75,"-",'3. Consumption by Rate Class'!C75)</f>
        <v>2010-March</v>
      </c>
      <c r="C70" s="684">
        <v>8506437</v>
      </c>
      <c r="D70" s="690">
        <v>-547895</v>
      </c>
      <c r="E70" s="690">
        <v>-184330</v>
      </c>
      <c r="F70" s="690"/>
      <c r="G70" s="690"/>
      <c r="H70" s="690"/>
      <c r="I70" s="691"/>
      <c r="J70" s="261">
        <f t="shared" si="0"/>
        <v>7774212</v>
      </c>
      <c r="K70" s="711">
        <f>IF(K$18='5.Variables'!$B$16,+'5.Variables'!$E31,+IF(K$18='5.Variables'!$B$39,+'5.Variables'!$E54,+IF(K$18='5.Variables'!$B$62,+'5.Variables'!$E68,+IF(K$18='5.Variables'!$B$76,+'5.Variables'!$E82,+IF(K$18='5.Variables'!$B$90,+'5.Variables'!$E96,+IF(K$18='5.Variables'!$B$104,+'5.Variables'!$E110,0))))))</f>
        <v>460.7</v>
      </c>
      <c r="L70" s="711">
        <f>IF(L$18='5.Variables'!$B$16,+'5.Variables'!$E30,+IF(L$18='5.Variables'!$B$39,+'5.Variables'!$E54,+IF(L$18='5.Variables'!$B$62,+'5.Variables'!$E68,+IF(L$18='5.Variables'!$B$76,+'5.Variables'!$E82,+IF(L$18='5.Variables'!$B$90,+'5.Variables'!$E96,+IF(L$18='5.Variables'!$B$104,+'5.Variables'!$E110,0))))))</f>
        <v>0</v>
      </c>
      <c r="M70" s="711">
        <f>IF(M$18='5.Variables'!$B$16,+'5.Variables'!$E30,+IF(M$18='5.Variables'!$B$39,+'5.Variables'!$E54,+IF(M$18='5.Variables'!$B$62,+'5.Variables'!$E68,+IF(M$18='5.Variables'!$B$76,+'5.Variables'!$E82,+IF(M$18='5.Variables'!$B$90,+'5.Variables'!$E96,+IF(M$18='5.Variables'!$B$104,+'5.Variables'!$E110,0))))))</f>
        <v>31</v>
      </c>
      <c r="N70" s="711">
        <f>IF(N$18='5.Variables'!$B$16,+'5.Variables'!$E30,+IF(N$18='5.Variables'!$B$39,+'5.Variables'!$E54,+IF(N$18='5.Variables'!$B$62,+'5.Variables'!$E68,+IF(N$18='5.Variables'!$B$76,+'5.Variables'!$E82,+IF(N$18='5.Variables'!$B$90,+'5.Variables'!$E96,+IF(N$18='5.Variables'!$B$104,+'5.Variables'!$E110,0))))))</f>
        <v>147.19999999999999</v>
      </c>
      <c r="O70" s="711">
        <f>IF(O$18='5.Variables'!$B$16,+'5.Variables'!$E30,+IF(O$18='5.Variables'!$B$39,+'5.Variables'!$E54,+IF(O$18='5.Variables'!$B$62,+'5.Variables'!$E68,+IF(O$18='5.Variables'!$B$76,+'5.Variables'!$E82,+IF(O$18='5.Variables'!$B$90,+'5.Variables'!$E96,+IF(O$18='5.Variables'!$B$104,+'5.Variables'!$E110,0))))))</f>
        <v>11.51</v>
      </c>
      <c r="P70" s="831">
        <f>IF(P$18='5.Variables'!$B$16,+'5.Variables'!$E30,+IF(P$18='5.Variables'!$B$39,+'5.Variables'!$E54,+IF(P$18='5.Variables'!$B$62,+'5.Variables'!$E68,+IF(P$18='5.Variables'!$B$76,+'5.Variables'!$E82,+IF(P$18='5.Variables'!$B$90,+'5.Variables'!$E96,+IF(P$18='5.Variables'!$B$104,+'5.Variables'!$E110,0))))))</f>
        <v>0</v>
      </c>
      <c r="Q70" s="244"/>
      <c r="R70" s="549">
        <f t="shared" si="5"/>
        <v>7622938.0073066046</v>
      </c>
      <c r="S70" s="263"/>
      <c r="T70" s="244"/>
      <c r="Y70" s="267">
        <f>(W67-V67)/V67</f>
        <v>4.4897120074010297E-4</v>
      </c>
      <c r="Z70" s="244"/>
      <c r="AA70" s="244"/>
      <c r="AB70" s="244"/>
      <c r="AC70" s="244"/>
      <c r="AD70" s="244"/>
      <c r="AE70" s="244"/>
      <c r="AF70" s="244"/>
      <c r="AG70" s="244"/>
      <c r="AH70" s="244"/>
      <c r="AI70" s="244"/>
      <c r="AJ70" s="244"/>
      <c r="AK70" s="244"/>
      <c r="AL70" s="244"/>
      <c r="AM70" s="244"/>
    </row>
    <row r="71" spans="1:39" x14ac:dyDescent="0.2">
      <c r="A71" s="497">
        <f t="shared" si="2"/>
        <v>52</v>
      </c>
      <c r="B71" s="260" t="str">
        <f>CONCATENATE('3. Consumption by Rate Class'!B76,"-",'3. Consumption by Rate Class'!C76)</f>
        <v>2010-April</v>
      </c>
      <c r="C71" s="684">
        <v>7323495</v>
      </c>
      <c r="D71" s="690">
        <v>-526984</v>
      </c>
      <c r="E71" s="690">
        <v>-227468</v>
      </c>
      <c r="F71" s="690"/>
      <c r="G71" s="690"/>
      <c r="H71" s="690"/>
      <c r="I71" s="691"/>
      <c r="J71" s="261">
        <f t="shared" si="0"/>
        <v>6569043</v>
      </c>
      <c r="K71" s="711">
        <f>IF(K$18='5.Variables'!$B$16,+'5.Variables'!$F31,+IF(K$18='5.Variables'!$B$39,+'5.Variables'!$F54,+IF(K$18='5.Variables'!$B$62,+'5.Variables'!$F68,+IF(K$18='5.Variables'!$B$76,+'5.Variables'!$F82,+IF(K$18='5.Variables'!$B$90,+'5.Variables'!$F96,+IF(K$18='5.Variables'!$B$104,+'5.Variables'!$F110,0))))))</f>
        <v>258.10000000000002</v>
      </c>
      <c r="L71" s="711">
        <f>IF(L$18='5.Variables'!$B$16,+'5.Variables'!$F30,+IF(L$18='5.Variables'!$B$39,+'5.Variables'!$F54,+IF(L$18='5.Variables'!$B$62,+'5.Variables'!$F68,+IF(L$18='5.Variables'!$B$76,+'5.Variables'!$F82,+IF(L$18='5.Variables'!$B$90,+'5.Variables'!$F96,+IF(L$18='5.Variables'!$B$104,+'5.Variables'!$F110,0))))))</f>
        <v>0</v>
      </c>
      <c r="M71" s="711">
        <f>IF(M$18='5.Variables'!$B$16,+'5.Variables'!$F30,+IF(M$18='5.Variables'!$B$39,+'5.Variables'!$F54,+IF(M$18='5.Variables'!$B$62,+'5.Variables'!$F68,+IF(M$18='5.Variables'!$B$76,+'5.Variables'!$F82,+IF(M$18='5.Variables'!$B$90,+'5.Variables'!$F96,+IF(M$18='5.Variables'!$B$104,+'5.Variables'!$F110,0))))))</f>
        <v>30</v>
      </c>
      <c r="N71" s="711">
        <f>IF(N$18='5.Variables'!$B$16,+'5.Variables'!$F30,+IF(N$18='5.Variables'!$B$39,+'5.Variables'!$F54,+IF(N$18='5.Variables'!$B$62,+'5.Variables'!$F68,+IF(N$18='5.Variables'!$B$76,+'5.Variables'!$F82,+IF(N$18='5.Variables'!$B$90,+'5.Variables'!$F96,+IF(N$18='5.Variables'!$B$104,+'5.Variables'!$F110,0))))))</f>
        <v>149.30000000000001</v>
      </c>
      <c r="O71" s="711">
        <f>IF(O$18='5.Variables'!$B$16,+'5.Variables'!$F30,+IF(O$18='5.Variables'!$B$39,+'5.Variables'!$F54,+IF(O$18='5.Variables'!$B$62,+'5.Variables'!$F68,+IF(O$18='5.Variables'!$B$76,+'5.Variables'!$F82,+IF(O$18='5.Variables'!$B$90,+'5.Variables'!$F96,+IF(O$18='5.Variables'!$B$104,+'5.Variables'!$F110,0))))))</f>
        <v>13.28</v>
      </c>
      <c r="P71" s="831">
        <f>IF(P$18='5.Variables'!$B$16,+'5.Variables'!$F30,+IF(P$18='5.Variables'!$B$39,+'5.Variables'!$F54,+IF(P$18='5.Variables'!$B$62,+'5.Variables'!$F68,+IF(P$18='5.Variables'!$B$76,+'5.Variables'!$F82,+IF(P$18='5.Variables'!$B$90,+'5.Variables'!$F96,+IF(P$18='5.Variables'!$B$104,+'5.Variables'!$F110,0))))))</f>
        <v>0</v>
      </c>
      <c r="Q71" s="244"/>
      <c r="R71" s="549">
        <f t="shared" si="5"/>
        <v>6800088.2794185393</v>
      </c>
      <c r="S71" s="263"/>
      <c r="T71" s="244"/>
      <c r="U71" s="268" t="s">
        <v>45</v>
      </c>
      <c r="V71" s="268"/>
      <c r="W71" s="268"/>
      <c r="X71" s="269">
        <f>AVERAGE(X58:X67)</f>
        <v>1.8584935225749423E-2</v>
      </c>
      <c r="Y71" s="244"/>
      <c r="Z71" s="244"/>
      <c r="AA71" s="244"/>
      <c r="AB71" s="244"/>
      <c r="AC71" s="244"/>
      <c r="AD71" s="244"/>
      <c r="AE71" s="244"/>
      <c r="AF71" s="244"/>
      <c r="AG71" s="244"/>
      <c r="AH71" s="244"/>
      <c r="AI71" s="244"/>
      <c r="AJ71" s="244"/>
      <c r="AK71" s="244"/>
      <c r="AL71" s="244"/>
      <c r="AM71" s="244"/>
    </row>
    <row r="72" spans="1:39" x14ac:dyDescent="0.2">
      <c r="A72" s="497">
        <f t="shared" si="2"/>
        <v>53</v>
      </c>
      <c r="B72" s="260" t="str">
        <f>CONCATENATE('3. Consumption by Rate Class'!B77,"-",'3. Consumption by Rate Class'!C77)</f>
        <v>2010-May</v>
      </c>
      <c r="C72" s="684">
        <v>7652874</v>
      </c>
      <c r="D72" s="690">
        <v>-480187</v>
      </c>
      <c r="E72" s="690">
        <v>-194277</v>
      </c>
      <c r="F72" s="690"/>
      <c r="G72" s="690"/>
      <c r="H72" s="690"/>
      <c r="I72" s="691"/>
      <c r="J72" s="261">
        <f t="shared" si="0"/>
        <v>6978410</v>
      </c>
      <c r="K72" s="711">
        <f>IF(K$18='5.Variables'!$B$16,+'5.Variables'!$G31,+IF(K$18='5.Variables'!$B$39,+'5.Variables'!$G54,+IF(K$18='5.Variables'!$B$62,+'5.Variables'!$G68,+IF(K$18='5.Variables'!$B$76,+'5.Variables'!$G82,+IF(K$18='5.Variables'!$B$90,+'5.Variables'!$G96,+IF(K$18='5.Variables'!$B$104,+'5.Variables'!$G110,0))))))</f>
        <v>112.3</v>
      </c>
      <c r="L72" s="711">
        <f>IF(L$18='5.Variables'!$B$16,+'5.Variables'!$G30,+IF(L$18='5.Variables'!$B$39,+'5.Variables'!$G54,+IF(L$18='5.Variables'!$B$62,+'5.Variables'!$G68,+IF(L$18='5.Variables'!$B$76,+'5.Variables'!$G82,+IF(L$18='5.Variables'!$B$90,+'5.Variables'!$G96,+IF(L$18='5.Variables'!$B$104,+'5.Variables'!$G110,0))))))</f>
        <v>1.6</v>
      </c>
      <c r="M72" s="711">
        <f>IF(M$18='5.Variables'!$B$16,+'5.Variables'!$G30,+IF(M$18='5.Variables'!$B$39,+'5.Variables'!$G54,+IF(M$18='5.Variables'!$B$62,+'5.Variables'!$G68,+IF(M$18='5.Variables'!$B$76,+'5.Variables'!$G82,+IF(M$18='5.Variables'!$B$90,+'5.Variables'!$G96,+IF(M$18='5.Variables'!$B$104,+'5.Variables'!$G110,0))))))</f>
        <v>31</v>
      </c>
      <c r="N72" s="711">
        <f>IF(N$18='5.Variables'!$B$16,+'5.Variables'!$G30,+IF(N$18='5.Variables'!$B$39,+'5.Variables'!$G54,+IF(N$18='5.Variables'!$B$62,+'5.Variables'!$G68,+IF(N$18='5.Variables'!$B$76,+'5.Variables'!$G82,+IF(N$18='5.Variables'!$B$90,+'5.Variables'!$G96,+IF(N$18='5.Variables'!$B$104,+'5.Variables'!$G110,0))))))</f>
        <v>153.9</v>
      </c>
      <c r="O72" s="711">
        <f>IF(O$18='5.Variables'!$B$16,+'5.Variables'!$G30,+IF(O$18='5.Variables'!$B$39,+'5.Variables'!$G54,+IF(O$18='5.Variables'!$B$62,+'5.Variables'!$G68,+IF(O$18='5.Variables'!$B$76,+'5.Variables'!$G82,+IF(O$18='5.Variables'!$B$90,+'5.Variables'!$G96,+IF(O$18='5.Variables'!$B$104,+'5.Variables'!$G110,0))))))</f>
        <v>14.52</v>
      </c>
      <c r="P72" s="831">
        <f>IF(P$18='5.Variables'!$B$16,+'5.Variables'!$G30,+IF(P$18='5.Variables'!$B$39,+'5.Variables'!$G54,+IF(P$18='5.Variables'!$B$62,+'5.Variables'!$G68,+IF(P$18='5.Variables'!$B$76,+'5.Variables'!$G82,+IF(P$18='5.Variables'!$B$90,+'5.Variables'!$G96,+IF(P$18='5.Variables'!$B$104,+'5.Variables'!$G110,0))))))</f>
        <v>0</v>
      </c>
      <c r="Q72" s="244"/>
      <c r="R72" s="549">
        <f t="shared" si="5"/>
        <v>6659442.8611192638</v>
      </c>
      <c r="S72" s="263"/>
      <c r="T72" s="244"/>
      <c r="U72" s="268" t="s">
        <v>61</v>
      </c>
      <c r="V72" s="244"/>
      <c r="W72" s="244"/>
      <c r="X72" s="269">
        <f>MEDIAN(X58:X67)</f>
        <v>1.8877726384462536E-2</v>
      </c>
      <c r="Y72" s="244"/>
      <c r="Z72" s="244"/>
      <c r="AA72" s="244"/>
      <c r="AB72" s="244"/>
      <c r="AC72" s="244"/>
      <c r="AD72" s="244"/>
      <c r="AE72" s="244"/>
      <c r="AF72" s="244"/>
      <c r="AG72" s="244"/>
      <c r="AH72" s="244"/>
      <c r="AI72" s="244"/>
      <c r="AJ72" s="244"/>
      <c r="AK72" s="244"/>
      <c r="AL72" s="244"/>
      <c r="AM72" s="244"/>
    </row>
    <row r="73" spans="1:39" x14ac:dyDescent="0.2">
      <c r="A73" s="497">
        <f t="shared" si="2"/>
        <v>54</v>
      </c>
      <c r="B73" s="260" t="str">
        <f>CONCATENATE('3. Consumption by Rate Class'!B78,"-",'3. Consumption by Rate Class'!C78)</f>
        <v>2010-June</v>
      </c>
      <c r="C73" s="684">
        <v>7766307</v>
      </c>
      <c r="D73" s="690">
        <v>-483773</v>
      </c>
      <c r="E73" s="690">
        <v>-198061</v>
      </c>
      <c r="F73" s="690"/>
      <c r="G73" s="690"/>
      <c r="H73" s="690"/>
      <c r="I73" s="691"/>
      <c r="J73" s="261">
        <f t="shared" si="0"/>
        <v>7084473</v>
      </c>
      <c r="K73" s="711">
        <f>IF(K$18='5.Variables'!$B$16,+'5.Variables'!$H31,+IF(K$18='5.Variables'!$B$39,+'5.Variables'!$H54,+IF(K$18='5.Variables'!$B$62,+'5.Variables'!$H68,+IF(K$18='5.Variables'!$B$76,+'5.Variables'!$H82,+IF(K$18='5.Variables'!$B$90,+'5.Variables'!$H96,+IF(K$18='5.Variables'!$B$104,+'5.Variables'!$H110,0))))))</f>
        <v>37.6</v>
      </c>
      <c r="L73" s="711">
        <f>IF(L$18='5.Variables'!$B$16,+'5.Variables'!$H30,+IF(L$18='5.Variables'!$B$39,+'5.Variables'!$H54,+IF(L$18='5.Variables'!$B$62,+'5.Variables'!$H68,+IF(L$18='5.Variables'!$B$76,+'5.Variables'!$H82,+IF(L$18='5.Variables'!$B$90,+'5.Variables'!$H96,+IF(L$18='5.Variables'!$B$104,+'5.Variables'!$H110,0))))))</f>
        <v>38.200000000000003</v>
      </c>
      <c r="M73" s="711">
        <f>IF(M$18='5.Variables'!$B$16,+'5.Variables'!$H30,+IF(M$18='5.Variables'!$B$39,+'5.Variables'!$H54,+IF(M$18='5.Variables'!$B$62,+'5.Variables'!$H68,+IF(M$18='5.Variables'!$B$76,+'5.Variables'!$H82,+IF(M$18='5.Variables'!$B$90,+'5.Variables'!$H96,+IF(M$18='5.Variables'!$B$104,+'5.Variables'!$H110,0))))))</f>
        <v>30</v>
      </c>
      <c r="N73" s="711">
        <f>IF(N$18='5.Variables'!$B$16,+'5.Variables'!$H30,+IF(N$18='5.Variables'!$B$39,+'5.Variables'!$H54,+IF(N$18='5.Variables'!$B$62,+'5.Variables'!$H68,+IF(N$18='5.Variables'!$B$76,+'5.Variables'!$H82,+IF(N$18='5.Variables'!$B$90,+'5.Variables'!$H96,+IF(N$18='5.Variables'!$B$104,+'5.Variables'!$H110,0))))))</f>
        <v>158</v>
      </c>
      <c r="O73" s="711">
        <f>IF(O$18='5.Variables'!$B$16,+'5.Variables'!$H30,+IF(O$18='5.Variables'!$B$39,+'5.Variables'!$H54,+IF(O$18='5.Variables'!$B$62,+'5.Variables'!$H68,+IF(O$18='5.Variables'!$B$76,+'5.Variables'!$H82,+IF(O$18='5.Variables'!$B$90,+'5.Variables'!$H96,+IF(O$18='5.Variables'!$B$104,+'5.Variables'!$H110,0))))))</f>
        <v>15.35</v>
      </c>
      <c r="P73" s="831">
        <f>IF(P$18='5.Variables'!$B$16,+'5.Variables'!$H30,+IF(P$18='5.Variables'!$B$39,+'5.Variables'!$H54,+IF(P$18='5.Variables'!$B$62,+'5.Variables'!$H68,+IF(P$18='5.Variables'!$B$76,+'5.Variables'!$H82,+IF(P$18='5.Variables'!$B$90,+'5.Variables'!$H96,+IF(P$18='5.Variables'!$B$104,+'5.Variables'!$H110,0))))))</f>
        <v>0</v>
      </c>
      <c r="Q73" s="244"/>
      <c r="R73" s="549">
        <f t="shared" si="5"/>
        <v>6671470.2835818641</v>
      </c>
      <c r="S73" s="263"/>
      <c r="T73" s="244"/>
      <c r="U73" s="244"/>
      <c r="V73" s="244"/>
      <c r="W73" s="244"/>
      <c r="X73" s="244"/>
      <c r="Y73" s="244"/>
      <c r="Z73" s="244"/>
      <c r="AA73" s="244"/>
      <c r="AB73" s="244"/>
      <c r="AC73" s="244"/>
      <c r="AD73" s="244"/>
      <c r="AE73" s="244"/>
      <c r="AF73" s="244"/>
      <c r="AG73" s="244"/>
      <c r="AH73" s="244"/>
      <c r="AI73" s="244"/>
      <c r="AJ73" s="244"/>
      <c r="AK73" s="244"/>
      <c r="AL73" s="244"/>
      <c r="AM73" s="244"/>
    </row>
    <row r="74" spans="1:39" x14ac:dyDescent="0.2">
      <c r="A74" s="497">
        <f t="shared" si="2"/>
        <v>55</v>
      </c>
      <c r="B74" s="260" t="str">
        <f>CONCATENATE('3. Consumption by Rate Class'!B79,"-",'3. Consumption by Rate Class'!C79)</f>
        <v>2010-July</v>
      </c>
      <c r="C74" s="684">
        <v>8939793</v>
      </c>
      <c r="D74" s="690">
        <v>-505641</v>
      </c>
      <c r="E74" s="690">
        <v>-214547</v>
      </c>
      <c r="F74" s="690"/>
      <c r="G74" s="690"/>
      <c r="H74" s="690"/>
      <c r="I74" s="691"/>
      <c r="J74" s="261">
        <f t="shared" si="0"/>
        <v>8219605</v>
      </c>
      <c r="K74" s="711">
        <f>IF(K$18='5.Variables'!$B$16,+'5.Variables'!$I31,+IF(K$18='5.Variables'!$B$39,+'5.Variables'!$I54,+IF(K$18='5.Variables'!$B$62,+'5.Variables'!$I68,+IF(K$18='5.Variables'!$B$76,+'5.Variables'!$I82,+IF(K$18='5.Variables'!$B$90,+'5.Variables'!$I96,+IF(K$18='5.Variables'!$B$104,+'5.Variables'!$I110,0))))))</f>
        <v>4.5</v>
      </c>
      <c r="L74" s="711">
        <f>IF(L$18='5.Variables'!$B$16,+'5.Variables'!$I30,+IF(L$18='5.Variables'!$B$39,+'5.Variables'!$I54,+IF(L$18='5.Variables'!$B$62,+'5.Variables'!$I68,+IF(L$18='5.Variables'!$B$76,+'5.Variables'!$I82,+IF(L$18='5.Variables'!$B$90,+'5.Variables'!$I96,+IF(L$18='5.Variables'!$B$104,+'5.Variables'!$I110,0))))))</f>
        <v>33.4</v>
      </c>
      <c r="M74" s="711">
        <f>IF(M$18='5.Variables'!$B$16,+'5.Variables'!$I30,+IF(M$18='5.Variables'!$B$39,+'5.Variables'!$I54,+IF(M$18='5.Variables'!$B$62,+'5.Variables'!$I68,+IF(M$18='5.Variables'!$B$76,+'5.Variables'!$I82,+IF(M$18='5.Variables'!$B$90,+'5.Variables'!$I96,+IF(M$18='5.Variables'!$B$104,+'5.Variables'!$I110,0))))))</f>
        <v>31</v>
      </c>
      <c r="N74" s="711">
        <f>IF(N$18='5.Variables'!$B$16,+'5.Variables'!$I30,+IF(N$18='5.Variables'!$B$39,+'5.Variables'!$I54,+IF(N$18='5.Variables'!$B$62,+'5.Variables'!$I68,+IF(N$18='5.Variables'!$B$76,+'5.Variables'!$I82,+IF(N$18='5.Variables'!$B$90,+'5.Variables'!$I96,+IF(N$18='5.Variables'!$B$104,+'5.Variables'!$I110,0))))))</f>
        <v>163.5</v>
      </c>
      <c r="O74" s="711">
        <f>IF(O$18='5.Variables'!$B$16,+'5.Variables'!$I30,+IF(O$18='5.Variables'!$B$39,+'5.Variables'!$I54,+IF(O$18='5.Variables'!$B$62,+'5.Variables'!$I68,+IF(O$18='5.Variables'!$B$76,+'5.Variables'!$I82,+IF(O$18='5.Variables'!$B$90,+'5.Variables'!$I96,+IF(O$18='5.Variables'!$B$104,+'5.Variables'!$I110,0))))))</f>
        <v>15.15</v>
      </c>
      <c r="P74" s="831">
        <f>IF(P$18='5.Variables'!$B$16,+'5.Variables'!$I30,+IF(P$18='5.Variables'!$B$39,+'5.Variables'!$I54,+IF(P$18='5.Variables'!$B$62,+'5.Variables'!$I68,+IF(P$18='5.Variables'!$B$76,+'5.Variables'!$I82,+IF(P$18='5.Variables'!$B$90,+'5.Variables'!$I96,+IF(P$18='5.Variables'!$B$104,+'5.Variables'!$I110,0))))))</f>
        <v>0</v>
      </c>
      <c r="Q74" s="244"/>
      <c r="R74" s="549">
        <f t="shared" si="5"/>
        <v>6787415.8867680719</v>
      </c>
      <c r="S74" s="263"/>
      <c r="T74" s="244"/>
      <c r="U74" s="244" t="s">
        <v>120</v>
      </c>
      <c r="V74" s="244"/>
      <c r="W74" s="244"/>
      <c r="X74" s="244"/>
      <c r="Y74" s="244"/>
      <c r="Z74" s="244"/>
      <c r="AA74" s="244"/>
      <c r="AB74" s="244"/>
      <c r="AC74" s="244"/>
      <c r="AD74" s="244"/>
      <c r="AE74" s="244"/>
      <c r="AF74" s="244"/>
      <c r="AG74" s="244"/>
      <c r="AH74" s="244"/>
      <c r="AI74" s="244"/>
      <c r="AJ74" s="244"/>
      <c r="AK74" s="244"/>
      <c r="AL74" s="244"/>
      <c r="AM74" s="244"/>
    </row>
    <row r="75" spans="1:39" x14ac:dyDescent="0.2">
      <c r="A75" s="497">
        <f t="shared" si="2"/>
        <v>56</v>
      </c>
      <c r="B75" s="260" t="str">
        <f>CONCATENATE('3. Consumption by Rate Class'!B80,"-",'3. Consumption by Rate Class'!C80)</f>
        <v>2010-August</v>
      </c>
      <c r="C75" s="684">
        <v>8377877</v>
      </c>
      <c r="D75" s="690">
        <v>-478590</v>
      </c>
      <c r="E75" s="690">
        <v>-219153</v>
      </c>
      <c r="F75" s="690"/>
      <c r="G75" s="690"/>
      <c r="H75" s="690"/>
      <c r="I75" s="691"/>
      <c r="J75" s="261">
        <f t="shared" si="0"/>
        <v>7680134</v>
      </c>
      <c r="K75" s="711">
        <f>IF(K$18='5.Variables'!$B$16,+'5.Variables'!$J31,+IF(K$18='5.Variables'!$B$39,+'5.Variables'!$J54,+IF(K$18='5.Variables'!$B$62,+'5.Variables'!$J68,+IF(K$18='5.Variables'!$B$76,+'5.Variables'!$J82,+IF(K$18='5.Variables'!$B$90,+'5.Variables'!$J96,+IF(K$18='5.Variables'!$B$104,+'5.Variables'!$J110,0))))))</f>
        <v>14.7</v>
      </c>
      <c r="L75" s="711">
        <f>IF(L$18='5.Variables'!$B$16,+'5.Variables'!$J30,+IF(L$18='5.Variables'!$B$39,+'5.Variables'!$J54,+IF(L$18='5.Variables'!$B$62,+'5.Variables'!$J68,+IF(L$18='5.Variables'!$B$76,+'5.Variables'!$J82,+IF(L$18='5.Variables'!$B$90,+'5.Variables'!$J96,+IF(L$18='5.Variables'!$B$104,+'5.Variables'!$J110,0))))))</f>
        <v>150.80000000000001</v>
      </c>
      <c r="M75" s="711">
        <f>IF(M$18='5.Variables'!$B$16,+'5.Variables'!$J30,+IF(M$18='5.Variables'!$B$39,+'5.Variables'!$J54,+IF(M$18='5.Variables'!$B$62,+'5.Variables'!$J68,+IF(M$18='5.Variables'!$B$76,+'5.Variables'!$J82,+IF(M$18='5.Variables'!$B$90,+'5.Variables'!$J96,+IF(M$18='5.Variables'!$B$104,+'5.Variables'!$J110,0))))))</f>
        <v>31</v>
      </c>
      <c r="N75" s="711">
        <f>IF(N$18='5.Variables'!$B$16,+'5.Variables'!$J30,+IF(N$18='5.Variables'!$B$39,+'5.Variables'!$J54,+IF(N$18='5.Variables'!$B$62,+'5.Variables'!$J68,+IF(N$18='5.Variables'!$B$76,+'5.Variables'!$J82,+IF(N$18='5.Variables'!$B$90,+'5.Variables'!$J96,+IF(N$18='5.Variables'!$B$104,+'5.Variables'!$J110,0))))))</f>
        <v>163.4</v>
      </c>
      <c r="O75" s="711">
        <f>IF(O$18='5.Variables'!$B$16,+'5.Variables'!$J30,+IF(O$18='5.Variables'!$B$39,+'5.Variables'!$J54,+IF(O$18='5.Variables'!$B$62,+'5.Variables'!$J68,+IF(O$18='5.Variables'!$B$76,+'5.Variables'!$J82,+IF(O$18='5.Variables'!$B$90,+'5.Variables'!$J96,+IF(O$18='5.Variables'!$B$104,+'5.Variables'!$J110,0))))))</f>
        <v>14.03</v>
      </c>
      <c r="P75" s="831">
        <f>IF(P$18='5.Variables'!$B$16,+'5.Variables'!$J30,+IF(P$18='5.Variables'!$B$39,+'5.Variables'!$J54,+IF(P$18='5.Variables'!$B$62,+'5.Variables'!$J68,+IF(P$18='5.Variables'!$B$76,+'5.Variables'!$J82,+IF(P$18='5.Variables'!$B$90,+'5.Variables'!$J96,+IF(P$18='5.Variables'!$B$104,+'5.Variables'!$J110,0))))))</f>
        <v>0</v>
      </c>
      <c r="Q75" s="244"/>
      <c r="R75" s="549">
        <f t="shared" si="5"/>
        <v>8027456.5102997376</v>
      </c>
      <c r="S75" s="263"/>
      <c r="T75" s="244"/>
      <c r="U75" s="244" t="s">
        <v>163</v>
      </c>
      <c r="V75" s="244"/>
      <c r="W75" s="244"/>
      <c r="X75" s="244"/>
      <c r="Y75" s="244"/>
      <c r="Z75" s="244"/>
      <c r="AA75" s="244"/>
      <c r="AB75" s="244"/>
      <c r="AC75" s="244"/>
      <c r="AD75" s="244"/>
      <c r="AE75" s="244"/>
      <c r="AF75" s="244"/>
      <c r="AG75" s="244"/>
      <c r="AH75" s="244"/>
      <c r="AI75" s="244"/>
      <c r="AJ75" s="244"/>
      <c r="AK75" s="244"/>
      <c r="AL75" s="244"/>
      <c r="AM75" s="244"/>
    </row>
    <row r="76" spans="1:39" x14ac:dyDescent="0.2">
      <c r="A76" s="497">
        <f t="shared" si="2"/>
        <v>57</v>
      </c>
      <c r="B76" s="260" t="str">
        <f>CONCATENATE('3. Consumption by Rate Class'!B81,"-",'3. Consumption by Rate Class'!C81)</f>
        <v>2010-September</v>
      </c>
      <c r="C76" s="684">
        <v>7625677</v>
      </c>
      <c r="D76" s="690">
        <v>-485646</v>
      </c>
      <c r="E76" s="690">
        <v>-216382</v>
      </c>
      <c r="F76" s="690"/>
      <c r="G76" s="690"/>
      <c r="H76" s="691"/>
      <c r="I76" s="691"/>
      <c r="J76" s="261">
        <f t="shared" si="0"/>
        <v>6923649</v>
      </c>
      <c r="K76" s="711">
        <f>IF(K$18='5.Variables'!$B$16,+'5.Variables'!$K31,+IF(K$18='5.Variables'!$B$39,+'5.Variables'!$K54,+IF(K$18='5.Variables'!$B$62,+'5.Variables'!$K68,+IF(K$18='5.Variables'!$B$76,+'5.Variables'!$K82,+IF(K$18='5.Variables'!$B$90,+'5.Variables'!$K96,+IF(K$18='5.Variables'!$B$104,+'5.Variables'!$K110,0))))))</f>
        <v>112</v>
      </c>
      <c r="L76" s="711">
        <f>IF(L$18='5.Variables'!$B$16,+'5.Variables'!$K30,+IF(L$18='5.Variables'!$B$39,+'5.Variables'!$K54,+IF(L$18='5.Variables'!$B$62,+'5.Variables'!$K68,+IF(L$18='5.Variables'!$B$76,+'5.Variables'!$K82,+IF(L$18='5.Variables'!$B$90,+'5.Variables'!$K96,+IF(L$18='5.Variables'!$B$104,+'5.Variables'!$K110,0))))))</f>
        <v>93</v>
      </c>
      <c r="M76" s="711">
        <f>IF(M$18='5.Variables'!$B$16,+'5.Variables'!$K30,+IF(M$18='5.Variables'!$B$39,+'5.Variables'!$K54,+IF(M$18='5.Variables'!$B$62,+'5.Variables'!$K68,+IF(M$18='5.Variables'!$B$76,+'5.Variables'!$K82,+IF(M$18='5.Variables'!$B$90,+'5.Variables'!$K96,+IF(M$18='5.Variables'!$B$104,+'5.Variables'!$K110,0))))))</f>
        <v>30</v>
      </c>
      <c r="N76" s="711">
        <f>IF(N$18='5.Variables'!$B$16,+'5.Variables'!$K30,+IF(N$18='5.Variables'!$B$39,+'5.Variables'!$K54,+IF(N$18='5.Variables'!$B$62,+'5.Variables'!$K68,+IF(N$18='5.Variables'!$B$76,+'5.Variables'!$K82,+IF(N$18='5.Variables'!$B$90,+'5.Variables'!$K96,+IF(N$18='5.Variables'!$B$104,+'5.Variables'!$K110,0))))))</f>
        <v>162.1</v>
      </c>
      <c r="O76" s="711">
        <f>IF(O$18='5.Variables'!$B$16,+'5.Variables'!$K30,+IF(O$18='5.Variables'!$B$39,+'5.Variables'!$K54,+IF(O$18='5.Variables'!$B$62,+'5.Variables'!$K68,+IF(O$18='5.Variables'!$B$76,+'5.Variables'!$K82,+IF(O$18='5.Variables'!$B$90,+'5.Variables'!$K96,+IF(O$18='5.Variables'!$B$104,+'5.Variables'!$K110,0))))))</f>
        <v>12.29</v>
      </c>
      <c r="P76" s="831">
        <f>IF(P$18='5.Variables'!$B$16,+'5.Variables'!$K30,+IF(P$18='5.Variables'!$B$39,+'5.Variables'!$K54,+IF(P$18='5.Variables'!$B$62,+'5.Variables'!$K68,+IF(P$18='5.Variables'!$B$76,+'5.Variables'!$K82,+IF(P$18='5.Variables'!$B$90,+'5.Variables'!$K96,+IF(P$18='5.Variables'!$B$104,+'5.Variables'!$K110,0))))))</f>
        <v>0</v>
      </c>
      <c r="Q76" s="244"/>
      <c r="R76" s="549">
        <f t="shared" si="5"/>
        <v>7383492.4583702469</v>
      </c>
      <c r="S76" s="263"/>
      <c r="T76" s="244"/>
      <c r="U76" s="244"/>
      <c r="V76" s="244"/>
      <c r="W76" s="244"/>
      <c r="X76" s="244"/>
      <c r="Y76" s="244"/>
      <c r="Z76" s="244"/>
      <c r="AA76" s="244"/>
      <c r="AB76" s="244"/>
      <c r="AC76" s="244"/>
      <c r="AD76" s="244"/>
      <c r="AE76" s="244"/>
      <c r="AF76" s="244"/>
      <c r="AG76" s="244"/>
      <c r="AH76" s="244"/>
      <c r="AI76" s="244"/>
      <c r="AJ76" s="244"/>
      <c r="AK76" s="244"/>
      <c r="AL76" s="244"/>
      <c r="AM76" s="244"/>
    </row>
    <row r="77" spans="1:39" x14ac:dyDescent="0.2">
      <c r="A77" s="497">
        <f t="shared" si="2"/>
        <v>58</v>
      </c>
      <c r="B77" s="260" t="str">
        <f>CONCATENATE('3. Consumption by Rate Class'!B82,"-",'3. Consumption by Rate Class'!C82)</f>
        <v>2010-October</v>
      </c>
      <c r="C77" s="684">
        <v>7736468</v>
      </c>
      <c r="D77" s="690">
        <v>-465953</v>
      </c>
      <c r="E77" s="690">
        <v>-185744</v>
      </c>
      <c r="F77" s="690"/>
      <c r="G77" s="690"/>
      <c r="H77" s="691"/>
      <c r="I77" s="691"/>
      <c r="J77" s="261">
        <f t="shared" si="0"/>
        <v>7084771</v>
      </c>
      <c r="K77" s="711">
        <f>IF(K$18='5.Variables'!$B$16,+'5.Variables'!$L31,+IF(K$18='5.Variables'!$B$39,+'5.Variables'!$L54,+IF(K$18='5.Variables'!$B$62,+'5.Variables'!$L68,+IF(K$18='5.Variables'!$B$76,+'5.Variables'!$L82,+IF(K$18='5.Variables'!$B$90,+'5.Variables'!$L96,+IF(K$18='5.Variables'!$B$104,+'5.Variables'!$L110,0))))))</f>
        <v>311</v>
      </c>
      <c r="L77" s="711">
        <f>IF(L$18='5.Variables'!$B$16,+'5.Variables'!$L30,+IF(L$18='5.Variables'!$B$39,+'5.Variables'!$L54,+IF(L$18='5.Variables'!$B$62,+'5.Variables'!$L68,+IF(L$18='5.Variables'!$B$76,+'5.Variables'!$L82,+IF(L$18='5.Variables'!$B$90,+'5.Variables'!$L96,+IF(L$18='5.Variables'!$B$104,+'5.Variables'!$L110,0))))))</f>
        <v>26.2</v>
      </c>
      <c r="M77" s="711">
        <f>IF(M$18='5.Variables'!$B$16,+'5.Variables'!$L30,+IF(M$18='5.Variables'!$B$39,+'5.Variables'!$L54,+IF(M$18='5.Variables'!$B$62,+'5.Variables'!$L68,+IF(M$18='5.Variables'!$B$76,+'5.Variables'!$L82,+IF(M$18='5.Variables'!$B$90,+'5.Variables'!$L96,+IF(M$18='5.Variables'!$B$104,+'5.Variables'!$L110,0))))))</f>
        <v>31</v>
      </c>
      <c r="N77" s="711">
        <f>IF(N$18='5.Variables'!$B$16,+'5.Variables'!$L30,+IF(N$18='5.Variables'!$B$39,+'5.Variables'!$L54,+IF(N$18='5.Variables'!$B$62,+'5.Variables'!$L68,+IF(N$18='5.Variables'!$B$76,+'5.Variables'!$L82,+IF(N$18='5.Variables'!$B$90,+'5.Variables'!$L96,+IF(N$18='5.Variables'!$B$104,+'5.Variables'!$L110,0))))))</f>
        <v>156.69999999999999</v>
      </c>
      <c r="O77" s="711">
        <f>IF(O$18='5.Variables'!$B$16,+'5.Variables'!$L30,+IF(O$18='5.Variables'!$B$39,+'5.Variables'!$L54,+IF(O$18='5.Variables'!$B$62,+'5.Variables'!$L68,+IF(O$18='5.Variables'!$B$76,+'5.Variables'!$L82,+IF(O$18='5.Variables'!$B$90,+'5.Variables'!$L96,+IF(O$18='5.Variables'!$B$104,+'5.Variables'!$L110,0))))))</f>
        <v>10.51</v>
      </c>
      <c r="P77" s="831">
        <f>IF(P$18='5.Variables'!$B$16,+'5.Variables'!$L30,+IF(P$18='5.Variables'!$B$39,+'5.Variables'!$L54,+IF(P$18='5.Variables'!$B$62,+'5.Variables'!$L68,+IF(P$18='5.Variables'!$B$76,+'5.Variables'!$L82,+IF(P$18='5.Variables'!$B$90,+'5.Variables'!$L96,+IF(P$18='5.Variables'!$B$104,+'5.Variables'!$L110,0))))))</f>
        <v>0</v>
      </c>
      <c r="Q77" s="244"/>
      <c r="R77" s="549">
        <f t="shared" si="5"/>
        <v>7415252.2735401662</v>
      </c>
      <c r="S77" s="263"/>
      <c r="T77" s="244"/>
      <c r="U77" s="526" t="s">
        <v>33</v>
      </c>
      <c r="V77" s="526" t="s">
        <v>238</v>
      </c>
      <c r="W77" s="527" t="s">
        <v>44</v>
      </c>
      <c r="X77" s="244"/>
      <c r="Y77" s="244"/>
      <c r="Z77" s="244"/>
      <c r="AA77" s="244"/>
      <c r="AB77" s="244"/>
      <c r="AC77" s="244"/>
      <c r="AD77" s="244"/>
      <c r="AE77" s="244"/>
      <c r="AF77" s="244"/>
      <c r="AG77" s="244"/>
      <c r="AH77" s="244"/>
      <c r="AI77" s="244"/>
      <c r="AJ77" s="244"/>
      <c r="AK77" s="244"/>
      <c r="AL77" s="244"/>
      <c r="AM77" s="244"/>
    </row>
    <row r="78" spans="1:39" x14ac:dyDescent="0.2">
      <c r="A78" s="497">
        <f t="shared" si="2"/>
        <v>59</v>
      </c>
      <c r="B78" s="260" t="str">
        <f>CONCATENATE('3. Consumption by Rate Class'!B83,"-",'3. Consumption by Rate Class'!C83)</f>
        <v>2010-November</v>
      </c>
      <c r="C78" s="684">
        <v>8261354</v>
      </c>
      <c r="D78" s="690">
        <v>-456016</v>
      </c>
      <c r="E78" s="690">
        <v>-143546</v>
      </c>
      <c r="F78" s="690"/>
      <c r="G78" s="690"/>
      <c r="H78" s="691"/>
      <c r="I78" s="691"/>
      <c r="J78" s="261">
        <f t="shared" si="0"/>
        <v>7661792</v>
      </c>
      <c r="K78" s="711">
        <f>IF(K$18='5.Variables'!$B$16,+'5.Variables'!$M31,+IF(K$18='5.Variables'!$B$39,+'5.Variables'!$M54,+IF(K$18='5.Variables'!$B$62,+'5.Variables'!$M68,+IF(K$18='5.Variables'!$B$76,+'5.Variables'!$M82,+IF(K$18='5.Variables'!$B$90,+'5.Variables'!$M96,+IF(K$18='5.Variables'!$B$104,+'5.Variables'!$M110,0))))))</f>
        <v>491.6</v>
      </c>
      <c r="L78" s="711">
        <f>IF(L$18='5.Variables'!$B$16,+'5.Variables'!$M30,+IF(L$18='5.Variables'!$B$39,+'5.Variables'!$M54,+IF(L$18='5.Variables'!$B$62,+'5.Variables'!$M68,+IF(L$18='5.Variables'!$B$76,+'5.Variables'!$M82,+IF(L$18='5.Variables'!$B$90,+'5.Variables'!$M96,+IF(L$18='5.Variables'!$B$104,+'5.Variables'!$M110,0))))))</f>
        <v>0</v>
      </c>
      <c r="M78" s="711">
        <f>IF(M$18='5.Variables'!$B$16,+'5.Variables'!$M30,+IF(M$18='5.Variables'!$B$39,+'5.Variables'!$M54,+IF(M$18='5.Variables'!$B$62,+'5.Variables'!$M68,+IF(M$18='5.Variables'!$B$76,+'5.Variables'!$M82,+IF(M$18='5.Variables'!$B$90,+'5.Variables'!$M96,+IF(M$18='5.Variables'!$B$104,+'5.Variables'!$M110,0))))))</f>
        <v>30</v>
      </c>
      <c r="N78" s="711">
        <f>IF(N$18='5.Variables'!$B$16,+'5.Variables'!$M30,+IF(N$18='5.Variables'!$B$39,+'5.Variables'!$M54,+IF(N$18='5.Variables'!$B$62,+'5.Variables'!$M68,+IF(N$18='5.Variables'!$B$76,+'5.Variables'!$M82,+IF(N$18='5.Variables'!$B$90,+'5.Variables'!$M96,+IF(N$18='5.Variables'!$B$104,+'5.Variables'!$M110,0))))))</f>
        <v>154.80000000000001</v>
      </c>
      <c r="O78" s="711">
        <f>IF(O$18='5.Variables'!$B$16,+'5.Variables'!$M30,+IF(O$18='5.Variables'!$B$39,+'5.Variables'!$M54,+IF(O$18='5.Variables'!$B$62,+'5.Variables'!$M68,+IF(O$18='5.Variables'!$B$76,+'5.Variables'!$M82,+IF(O$18='5.Variables'!$B$90,+'5.Variables'!$M96,+IF(O$18='5.Variables'!$B$104,+'5.Variables'!$M110,0))))))</f>
        <v>9.2799999999999994</v>
      </c>
      <c r="P78" s="831">
        <f>IF(P$18='5.Variables'!$B$16,+'5.Variables'!$M30,+IF(P$18='5.Variables'!$B$39,+'5.Variables'!$M54,+IF(P$18='5.Variables'!$B$62,+'5.Variables'!$M68,+IF(P$18='5.Variables'!$B$76,+'5.Variables'!$M82,+IF(P$18='5.Variables'!$B$90,+'5.Variables'!$M96,+IF(P$18='5.Variables'!$B$104,+'5.Variables'!$M110,0))))))</f>
        <v>0</v>
      </c>
      <c r="Q78" s="244"/>
      <c r="R78" s="549">
        <f t="shared" si="5"/>
        <v>7454313.6952942386</v>
      </c>
      <c r="S78" s="263"/>
      <c r="T78" s="244"/>
      <c r="U78" s="525">
        <v>2015</v>
      </c>
      <c r="V78" s="523">
        <f>S151</f>
        <v>91444052.015355527</v>
      </c>
      <c r="W78" s="524">
        <f>(V78-V67)/V67</f>
        <v>1.0397908482331443E-2</v>
      </c>
      <c r="X78" s="244"/>
      <c r="Y78" s="244"/>
      <c r="Z78" s="244"/>
      <c r="AA78" s="244"/>
      <c r="AB78" s="244"/>
      <c r="AC78" s="244"/>
      <c r="AD78" s="244"/>
      <c r="AE78" s="244"/>
      <c r="AF78" s="244"/>
      <c r="AG78" s="244"/>
      <c r="AH78" s="244"/>
      <c r="AI78" s="244"/>
      <c r="AJ78" s="244"/>
      <c r="AK78" s="244"/>
      <c r="AL78" s="244"/>
      <c r="AM78" s="244"/>
    </row>
    <row r="79" spans="1:39" x14ac:dyDescent="0.2">
      <c r="A79" s="497">
        <f t="shared" si="2"/>
        <v>60</v>
      </c>
      <c r="B79" s="516" t="str">
        <f>CONCATENATE('3. Consumption by Rate Class'!B84,"-",'3. Consumption by Rate Class'!C84)</f>
        <v>2010-December</v>
      </c>
      <c r="C79" s="685">
        <v>9216196</v>
      </c>
      <c r="D79" s="692">
        <v>-476096</v>
      </c>
      <c r="E79" s="692">
        <v>-145653</v>
      </c>
      <c r="F79" s="692"/>
      <c r="G79" s="692"/>
      <c r="H79" s="693"/>
      <c r="I79" s="693"/>
      <c r="J79" s="261">
        <f t="shared" si="0"/>
        <v>8594447</v>
      </c>
      <c r="K79" s="711">
        <f>IF(K$18='5.Variables'!$B$16,+'5.Variables'!$N31,+IF(K$18='5.Variables'!$B$39,+'5.Variables'!$N54,+IF(K$18='5.Variables'!$B$62,+'5.Variables'!$N68,+IF(K$18='5.Variables'!$B$76,+'5.Variables'!$N82,+IF(K$18='5.Variables'!$B$90,+'5.Variables'!$N96,+IF(K$18='5.Variables'!$B$104,+'5.Variables'!$N110,0))))))</f>
        <v>731.4</v>
      </c>
      <c r="L79" s="711">
        <f>IF(L$18='5.Variables'!$B$16,+'5.Variables'!$N30,+IF(L$18='5.Variables'!$B$39,+'5.Variables'!$N54,+IF(L$18='5.Variables'!$B$62,+'5.Variables'!$N68,+IF(L$18='5.Variables'!$B$76,+'5.Variables'!$N82,+IF(L$18='5.Variables'!$B$90,+'5.Variables'!$N96,+IF(L$18='5.Variables'!$B$104,+'5.Variables'!$N110,0))))))</f>
        <v>0</v>
      </c>
      <c r="M79" s="711">
        <f>IF(M$18='5.Variables'!$B$16,+'5.Variables'!$N30,+IF(M$18='5.Variables'!$B$39,+'5.Variables'!$N54,+IF(M$18='5.Variables'!$B$62,+'5.Variables'!$N68,+IF(M$18='5.Variables'!$B$76,+'5.Variables'!$N82,+IF(M$18='5.Variables'!$B$90,+'5.Variables'!$N96,+IF(M$18='5.Variables'!$B$104,+'5.Variables'!$N110,0))))))</f>
        <v>31</v>
      </c>
      <c r="N79" s="711">
        <f>IF(N$18='5.Variables'!$B$16,+'5.Variables'!$N30,+IF(N$18='5.Variables'!$B$39,+'5.Variables'!$N54,+IF(N$18='5.Variables'!$B$62,+'5.Variables'!$N68,+IF(N$18='5.Variables'!$B$76,+'5.Variables'!$N82,+IF(N$18='5.Variables'!$B$90,+'5.Variables'!$N96,+IF(N$18='5.Variables'!$B$104,+'5.Variables'!$N110,0))))))</f>
        <v>157.6</v>
      </c>
      <c r="O79" s="711">
        <f>IF(O$18='5.Variables'!$B$16,+'5.Variables'!$N30,+IF(O$18='5.Variables'!$B$39,+'5.Variables'!$N54,+IF(O$18='5.Variables'!$B$62,+'5.Variables'!$N68,+IF(O$18='5.Variables'!$B$76,+'5.Variables'!$N82,+IF(O$18='5.Variables'!$B$90,+'5.Variables'!$N96,+IF(O$18='5.Variables'!$B$104,+'5.Variables'!$N110,0))))))</f>
        <v>8.4700000000000006</v>
      </c>
      <c r="P79" s="831">
        <f>IF(P$18='5.Variables'!$B$16,+'5.Variables'!$N30,+IF(P$18='5.Variables'!$B$39,+'5.Variables'!$N54,+IF(P$18='5.Variables'!$B$62,+'5.Variables'!$N68,+IF(P$18='5.Variables'!$B$76,+'5.Variables'!$N82,+IF(P$18='5.Variables'!$B$90,+'5.Variables'!$N96,+IF(P$18='5.Variables'!$B$104,+'5.Variables'!$N110,0))))))</f>
        <v>0</v>
      </c>
      <c r="Q79" s="244"/>
      <c r="R79" s="549">
        <f t="shared" si="5"/>
        <v>8552957.0701959822</v>
      </c>
      <c r="S79" s="263">
        <f>SUM(R68:R79)</f>
        <v>89704461.17554681</v>
      </c>
      <c r="T79" s="244"/>
      <c r="U79" s="525">
        <v>2016</v>
      </c>
      <c r="V79" s="523">
        <f>S163</f>
        <v>91490047.074539796</v>
      </c>
      <c r="W79" s="524">
        <f>(V79-V78)/V78</f>
        <v>5.0298579481740933E-4</v>
      </c>
      <c r="X79" s="244"/>
      <c r="Y79" s="244"/>
      <c r="Z79" s="244"/>
      <c r="AA79" s="244"/>
      <c r="AB79" s="244"/>
      <c r="AC79" s="244"/>
      <c r="AD79" s="244"/>
      <c r="AE79" s="244"/>
      <c r="AF79" s="244"/>
      <c r="AG79" s="244"/>
      <c r="AH79" s="244"/>
      <c r="AI79" s="244"/>
      <c r="AJ79" s="244"/>
      <c r="AK79" s="244"/>
      <c r="AL79" s="244"/>
      <c r="AM79" s="244"/>
    </row>
    <row r="80" spans="1:39" x14ac:dyDescent="0.2">
      <c r="A80" s="497">
        <f t="shared" si="2"/>
        <v>61</v>
      </c>
      <c r="B80" s="260" t="str">
        <f>CONCATENATE('3. Consumption by Rate Class'!B85,"-",'3. Consumption by Rate Class'!C85)</f>
        <v>2011-January</v>
      </c>
      <c r="C80" s="684">
        <v>9759801</v>
      </c>
      <c r="D80" s="690">
        <v>-336214</v>
      </c>
      <c r="E80" s="690">
        <v>-129497</v>
      </c>
      <c r="F80" s="690"/>
      <c r="G80" s="690"/>
      <c r="H80" s="691"/>
      <c r="I80" s="691"/>
      <c r="J80" s="261">
        <f t="shared" si="0"/>
        <v>9294090</v>
      </c>
      <c r="K80" s="711">
        <f>IF(K$18='5.Variables'!$B$16,+'5.Variables'!$C32,+IF(K$18='5.Variables'!$B$39,+'5.Variables'!$C55,+IF(K$18='5.Variables'!$B$62,+'5.Variables'!$C69,+IF(K$18='5.Variables'!$B$76,+'5.Variables'!$C83,+IF(K$18='5.Variables'!$B$90,+'5.Variables'!$C97,+IF(K$18='5.Variables'!$B$104,+'5.Variables'!$C111,0))))))</f>
        <v>893.2</v>
      </c>
      <c r="L80" s="711">
        <f>IF(L$18='5.Variables'!$B$16,+'5.Variables'!$C31,+IF(L$18='5.Variables'!$B$39,+'5.Variables'!$C55,+IF(L$18='5.Variables'!$B$62,+'5.Variables'!$C69,+IF(L$18='5.Variables'!$B$76,+'5.Variables'!$C83,+IF(L$18='5.Variables'!$B$90,+'5.Variables'!$C97,+IF(L$18='5.Variables'!$B$104,+'5.Variables'!$C111,0))))))</f>
        <v>0</v>
      </c>
      <c r="M80" s="711">
        <f>IF(M$18='5.Variables'!$B$16,+'5.Variables'!$C31,+IF(M$18='5.Variables'!$B$39,+'5.Variables'!$C55,+IF(M$18='5.Variables'!$B$62,+'5.Variables'!$C69,+IF(M$18='5.Variables'!$B$76,+'5.Variables'!$C83,+IF(M$18='5.Variables'!$B$90,+'5.Variables'!$C97,+IF(M$18='5.Variables'!$B$104,+'5.Variables'!$C111,0))))))</f>
        <v>31</v>
      </c>
      <c r="N80" s="711">
        <f>IF(N$18='5.Variables'!$B$16,+'5.Variables'!$C31,+IF(N$18='5.Variables'!$B$39,+'5.Variables'!$C55,+IF(N$18='5.Variables'!$B$62,+'5.Variables'!$C69,+IF(N$18='5.Variables'!$B$76,+'5.Variables'!$C83,+IF(N$18='5.Variables'!$B$90,+'5.Variables'!$C97,+IF(N$18='5.Variables'!$B$104,+'5.Variables'!$C111,0))))))</f>
        <v>160.9</v>
      </c>
      <c r="O80" s="711">
        <f>IF(O$18='5.Variables'!$B$16,+'5.Variables'!$C31,+IF(O$18='5.Variables'!$B$39,+'5.Variables'!$C55,+IF(O$18='5.Variables'!$B$62,+'5.Variables'!$C69,+IF(O$18='5.Variables'!$B$76,+'5.Variables'!$C83,+IF(O$18='5.Variables'!$B$90,+'5.Variables'!$C97,+IF(O$18='5.Variables'!$B$104,+'5.Variables'!$C111,0))))))</f>
        <v>9.09</v>
      </c>
      <c r="P80" s="831">
        <f>IF(P$18='5.Variables'!$B$16,+'5.Variables'!$C31,+IF(P$18='5.Variables'!$B$39,+'5.Variables'!$C55,+IF(P$18='5.Variables'!$B$62,+'5.Variables'!$C69,+IF(P$18='5.Variables'!$B$76,+'5.Variables'!$C83,+IF(P$18='5.Variables'!$B$90,+'5.Variables'!$C97,+IF(P$18='5.Variables'!$B$104,+'5.Variables'!$C111,0))))))</f>
        <v>0</v>
      </c>
      <c r="Q80" s="244"/>
      <c r="R80" s="549">
        <f t="shared" si="5"/>
        <v>9243874.8949911483</v>
      </c>
      <c r="S80" s="263"/>
      <c r="T80" s="244"/>
      <c r="U80" s="270"/>
      <c r="V80" s="244"/>
      <c r="W80" s="244"/>
      <c r="X80" s="244"/>
      <c r="Y80" s="244"/>
      <c r="Z80" s="244"/>
      <c r="AA80" s="244"/>
      <c r="AB80" s="244"/>
      <c r="AC80" s="244"/>
      <c r="AD80" s="244"/>
      <c r="AE80" s="244"/>
      <c r="AF80" s="244"/>
      <c r="AG80" s="244"/>
      <c r="AH80" s="244"/>
      <c r="AI80" s="244"/>
      <c r="AJ80" s="244"/>
      <c r="AK80" s="244"/>
      <c r="AL80" s="244"/>
      <c r="AM80" s="244"/>
    </row>
    <row r="81" spans="1:39" x14ac:dyDescent="0.2">
      <c r="A81" s="497">
        <f t="shared" si="2"/>
        <v>62</v>
      </c>
      <c r="B81" s="260" t="str">
        <f>CONCATENATE('3. Consumption by Rate Class'!B86,"-",'3. Consumption by Rate Class'!C86)</f>
        <v>2011-February</v>
      </c>
      <c r="C81" s="684">
        <v>8352645</v>
      </c>
      <c r="D81" s="690">
        <v>-355422</v>
      </c>
      <c r="E81" s="690">
        <v>-141293</v>
      </c>
      <c r="F81" s="690"/>
      <c r="G81" s="690"/>
      <c r="H81" s="691"/>
      <c r="I81" s="691"/>
      <c r="J81" s="261">
        <f t="shared" si="0"/>
        <v>7855930</v>
      </c>
      <c r="K81" s="711">
        <f>IF(K$18='5.Variables'!$B$16,+'5.Variables'!$D32,+IF(K$18='5.Variables'!$B$39,+'5.Variables'!$D55,+IF(K$18='5.Variables'!$B$62,+'5.Variables'!$D69,+IF(K$18='5.Variables'!$B$76,+'5.Variables'!$D83,+IF(K$18='5.Variables'!$B$90,+'5.Variables'!$D97,+IF(K$18='5.Variables'!$B$104,+'5.Variables'!$D111,0))))))</f>
        <v>729</v>
      </c>
      <c r="L81" s="711">
        <f>IF(L$18='5.Variables'!$B$16,+'5.Variables'!$D31,+IF(L$18='5.Variables'!$B$39,+'5.Variables'!$D55,+IF(L$18='5.Variables'!$B$62,+'5.Variables'!$D69,+IF(L$18='5.Variables'!$B$76,+'5.Variables'!$D83,+IF(L$18='5.Variables'!$B$90,+'5.Variables'!$D97,+IF(L$18='5.Variables'!$B$104,+'5.Variables'!$D111,0))))))</f>
        <v>0</v>
      </c>
      <c r="M81" s="711">
        <f>IF(M$18='5.Variables'!$B$16,+'5.Variables'!$D31,+IF(M$18='5.Variables'!$B$39,+'5.Variables'!$D55,+IF(M$18='5.Variables'!$B$62,+'5.Variables'!$D69,+IF(M$18='5.Variables'!$B$76,+'5.Variables'!$D83,+IF(M$18='5.Variables'!$B$90,+'5.Variables'!$D97,+IF(M$18='5.Variables'!$B$104,+'5.Variables'!$D111,0))))))</f>
        <v>28</v>
      </c>
      <c r="N81" s="711">
        <f>IF(N$18='5.Variables'!$B$16,+'5.Variables'!$D31,+IF(N$18='5.Variables'!$B$39,+'5.Variables'!$D55,+IF(N$18='5.Variables'!$B$62,+'5.Variables'!$D69,+IF(N$18='5.Variables'!$B$76,+'5.Variables'!$D83,+IF(N$18='5.Variables'!$B$90,+'5.Variables'!$D97,+IF(N$18='5.Variables'!$B$104,+'5.Variables'!$D111,0))))))</f>
        <v>163.6</v>
      </c>
      <c r="O81" s="711">
        <f>IF(O$18='5.Variables'!$B$16,+'5.Variables'!$D31,+IF(O$18='5.Variables'!$B$39,+'5.Variables'!$D55,+IF(O$18='5.Variables'!$B$62,+'5.Variables'!$D69,+IF(O$18='5.Variables'!$B$76,+'5.Variables'!$D83,+IF(O$18='5.Variables'!$B$90,+'5.Variables'!$D97,+IF(O$18='5.Variables'!$B$104,+'5.Variables'!$D111,0))))))</f>
        <v>10.19</v>
      </c>
      <c r="P81" s="831">
        <f>IF(P$18='5.Variables'!$B$16,+'5.Variables'!$D31,+IF(P$18='5.Variables'!$B$39,+'5.Variables'!$D55,+IF(P$18='5.Variables'!$B$62,+'5.Variables'!$D69,+IF(P$18='5.Variables'!$B$76,+'5.Variables'!$D83,+IF(P$18='5.Variables'!$B$90,+'5.Variables'!$D97,+IF(P$18='5.Variables'!$B$104,+'5.Variables'!$D111,0))))))</f>
        <v>0</v>
      </c>
      <c r="Q81" s="244"/>
      <c r="R81" s="549">
        <f t="shared" si="5"/>
        <v>8066149.1680536261</v>
      </c>
      <c r="S81" s="263"/>
      <c r="T81" s="244"/>
      <c r="U81" s="270"/>
      <c r="V81" s="244"/>
      <c r="W81" s="244"/>
      <c r="X81" s="244"/>
      <c r="Y81" s="244"/>
      <c r="Z81" s="244"/>
      <c r="AA81" s="244"/>
      <c r="AB81" s="244"/>
      <c r="AC81" s="244"/>
      <c r="AD81" s="244"/>
      <c r="AE81" s="244"/>
      <c r="AF81" s="244"/>
      <c r="AG81" s="244"/>
      <c r="AH81" s="244"/>
      <c r="AI81" s="244"/>
      <c r="AJ81" s="244"/>
      <c r="AK81" s="244"/>
      <c r="AL81" s="244"/>
      <c r="AM81" s="244"/>
    </row>
    <row r="82" spans="1:39" x14ac:dyDescent="0.2">
      <c r="A82" s="497">
        <f t="shared" si="2"/>
        <v>63</v>
      </c>
      <c r="B82" s="260" t="str">
        <f>CONCATENATE('3. Consumption by Rate Class'!B87,"-",'3. Consumption by Rate Class'!C87)</f>
        <v>2011-March</v>
      </c>
      <c r="C82" s="684">
        <v>8492854</v>
      </c>
      <c r="D82" s="690">
        <v>-172624</v>
      </c>
      <c r="E82" s="690">
        <v>-130363</v>
      </c>
      <c r="F82" s="690"/>
      <c r="G82" s="690"/>
      <c r="H82" s="691"/>
      <c r="I82" s="691"/>
      <c r="J82" s="261">
        <f t="shared" si="0"/>
        <v>8189867</v>
      </c>
      <c r="K82" s="711">
        <f>IF(K$18='5.Variables'!$B$16,+'5.Variables'!$E32,+IF(K$18='5.Variables'!$B$39,+'5.Variables'!$E55,+IF(K$18='5.Variables'!$B$62,+'5.Variables'!$E69,+IF(K$18='5.Variables'!$B$76,+'5.Variables'!$E83,+IF(K$18='5.Variables'!$B$90,+'5.Variables'!$E97,+IF(K$18='5.Variables'!$B$104,+'5.Variables'!$E111,0))))))</f>
        <v>636</v>
      </c>
      <c r="L82" s="711">
        <f>IF(L$18='5.Variables'!$B$16,+'5.Variables'!$E31,+IF(L$18='5.Variables'!$B$39,+'5.Variables'!$E55,+IF(L$18='5.Variables'!$B$62,+'5.Variables'!$E69,+IF(L$18='5.Variables'!$B$76,+'5.Variables'!$E83,+IF(L$18='5.Variables'!$B$90,+'5.Variables'!$E97,+IF(L$18='5.Variables'!$B$104,+'5.Variables'!$E111,0))))))</f>
        <v>0</v>
      </c>
      <c r="M82" s="711">
        <f>IF(M$18='5.Variables'!$B$16,+'5.Variables'!$E31,+IF(M$18='5.Variables'!$B$39,+'5.Variables'!$E55,+IF(M$18='5.Variables'!$B$62,+'5.Variables'!$E69,+IF(M$18='5.Variables'!$B$76,+'5.Variables'!$E83,+IF(M$18='5.Variables'!$B$90,+'5.Variables'!$E97,+IF(M$18='5.Variables'!$B$104,+'5.Variables'!$E111,0))))))</f>
        <v>31</v>
      </c>
      <c r="N82" s="711">
        <f>IF(N$18='5.Variables'!$B$16,+'5.Variables'!$E31,+IF(N$18='5.Variables'!$B$39,+'5.Variables'!$E55,+IF(N$18='5.Variables'!$B$62,+'5.Variables'!$E69,+IF(N$18='5.Variables'!$B$76,+'5.Variables'!$E83,+IF(N$18='5.Variables'!$B$90,+'5.Variables'!$E97,+IF(N$18='5.Variables'!$B$104,+'5.Variables'!$E111,0))))))</f>
        <v>163.9</v>
      </c>
      <c r="O82" s="711">
        <f>IF(O$18='5.Variables'!$B$16,+'5.Variables'!$E31,+IF(O$18='5.Variables'!$B$39,+'5.Variables'!$E55,+IF(O$18='5.Variables'!$B$62,+'5.Variables'!$E69,+IF(O$18='5.Variables'!$B$76,+'5.Variables'!$E83,+IF(O$18='5.Variables'!$B$90,+'5.Variables'!$E97,+IF(O$18='5.Variables'!$B$104,+'5.Variables'!$E111,0))))))</f>
        <v>11.51</v>
      </c>
      <c r="P82" s="831">
        <f>IF(P$18='5.Variables'!$B$16,+'5.Variables'!$E31,+IF(P$18='5.Variables'!$B$39,+'5.Variables'!$E55,+IF(P$18='5.Variables'!$B$62,+'5.Variables'!$E69,+IF(P$18='5.Variables'!$B$76,+'5.Variables'!$E83,+IF(P$18='5.Variables'!$B$90,+'5.Variables'!$E97,+IF(P$18='5.Variables'!$B$104,+'5.Variables'!$E111,0))))))</f>
        <v>0</v>
      </c>
      <c r="Q82" s="244"/>
      <c r="R82" s="549">
        <f t="shared" si="5"/>
        <v>8506714.1008056588</v>
      </c>
      <c r="S82" s="263"/>
      <c r="T82" s="244"/>
      <c r="U82" s="270"/>
      <c r="V82" s="244"/>
      <c r="W82" s="244"/>
      <c r="X82" s="244"/>
      <c r="Y82" s="244"/>
      <c r="Z82" s="244"/>
      <c r="AA82" s="244"/>
      <c r="AB82" s="244"/>
      <c r="AC82" s="244"/>
      <c r="AD82" s="244"/>
      <c r="AE82" s="244"/>
      <c r="AF82" s="244"/>
      <c r="AG82" s="244"/>
      <c r="AH82" s="244"/>
      <c r="AI82" s="244"/>
      <c r="AJ82" s="244"/>
      <c r="AK82" s="244"/>
      <c r="AL82" s="244"/>
      <c r="AM82" s="244"/>
    </row>
    <row r="83" spans="1:39" x14ac:dyDescent="0.2">
      <c r="A83" s="497">
        <f t="shared" si="2"/>
        <v>64</v>
      </c>
      <c r="B83" s="260" t="str">
        <f>CONCATENATE('3. Consumption by Rate Class'!B88,"-",'3. Consumption by Rate Class'!C88)</f>
        <v>2011-April</v>
      </c>
      <c r="C83" s="684">
        <v>7111890</v>
      </c>
      <c r="D83" s="690">
        <v>-81961</v>
      </c>
      <c r="E83" s="690">
        <v>-157533</v>
      </c>
      <c r="F83" s="690"/>
      <c r="G83" s="690"/>
      <c r="H83" s="691"/>
      <c r="I83" s="691"/>
      <c r="J83" s="261">
        <f t="shared" si="0"/>
        <v>6872396</v>
      </c>
      <c r="K83" s="711">
        <f>IF(K$18='5.Variables'!$B$16,+'5.Variables'!$F32,+IF(K$18='5.Variables'!$B$39,+'5.Variables'!$F55,+IF(K$18='5.Variables'!$B$62,+'5.Variables'!$F69,+IF(K$18='5.Variables'!$B$76,+'5.Variables'!$F83,+IF(K$18='5.Variables'!$B$90,+'5.Variables'!$F97,+IF(K$18='5.Variables'!$B$104,+'5.Variables'!$F111,0))))))</f>
        <v>347.4</v>
      </c>
      <c r="L83" s="711">
        <f>IF(L$18='5.Variables'!$B$16,+'5.Variables'!$F31,+IF(L$18='5.Variables'!$B$39,+'5.Variables'!$F55,+IF(L$18='5.Variables'!$B$62,+'5.Variables'!$F69,+IF(L$18='5.Variables'!$B$76,+'5.Variables'!$F83,+IF(L$18='5.Variables'!$B$90,+'5.Variables'!$F97,+IF(L$18='5.Variables'!$B$104,+'5.Variables'!$F111,0))))))</f>
        <v>0</v>
      </c>
      <c r="M83" s="711">
        <f>IF(M$18='5.Variables'!$B$16,+'5.Variables'!$F31,+IF(M$18='5.Variables'!$B$39,+'5.Variables'!$F55,+IF(M$18='5.Variables'!$B$62,+'5.Variables'!$F69,+IF(M$18='5.Variables'!$B$76,+'5.Variables'!$F83,+IF(M$18='5.Variables'!$B$90,+'5.Variables'!$F97,+IF(M$18='5.Variables'!$B$104,+'5.Variables'!$F111,0))))))</f>
        <v>30</v>
      </c>
      <c r="N83" s="711">
        <f>IF(N$18='5.Variables'!$B$16,+'5.Variables'!$F31,+IF(N$18='5.Variables'!$B$39,+'5.Variables'!$F55,+IF(N$18='5.Variables'!$B$62,+'5.Variables'!$F69,+IF(N$18='5.Variables'!$B$76,+'5.Variables'!$F83,+IF(N$18='5.Variables'!$B$90,+'5.Variables'!$F97,+IF(N$18='5.Variables'!$B$104,+'5.Variables'!$F111,0))))))</f>
        <v>168.1</v>
      </c>
      <c r="O83" s="711">
        <f>IF(O$18='5.Variables'!$B$16,+'5.Variables'!$F31,+IF(O$18='5.Variables'!$B$39,+'5.Variables'!$F55,+IF(O$18='5.Variables'!$B$62,+'5.Variables'!$F69,+IF(O$18='5.Variables'!$B$76,+'5.Variables'!$F83,+IF(O$18='5.Variables'!$B$90,+'5.Variables'!$F97,+IF(O$18='5.Variables'!$B$104,+'5.Variables'!$F111,0))))))</f>
        <v>13.28</v>
      </c>
      <c r="P83" s="831">
        <f>IF(P$18='5.Variables'!$B$16,+'5.Variables'!$F31,+IF(P$18='5.Variables'!$B$39,+'5.Variables'!$F55,+IF(P$18='5.Variables'!$B$62,+'5.Variables'!$F69,+IF(P$18='5.Variables'!$B$76,+'5.Variables'!$F83,+IF(P$18='5.Variables'!$B$90,+'5.Variables'!$F97,+IF(P$18='5.Variables'!$B$104,+'5.Variables'!$F111,0))))))</f>
        <v>0</v>
      </c>
      <c r="Q83" s="244"/>
      <c r="R83" s="549">
        <f t="shared" si="5"/>
        <v>7394343.3962738216</v>
      </c>
      <c r="S83" s="263"/>
      <c r="T83" s="244"/>
      <c r="U83" s="244"/>
      <c r="V83" s="244"/>
      <c r="W83" s="244"/>
      <c r="X83" s="244"/>
      <c r="Y83" s="244"/>
      <c r="Z83" s="244"/>
      <c r="AA83" s="244"/>
      <c r="AB83" s="244"/>
      <c r="AC83" s="244"/>
      <c r="AD83" s="244"/>
      <c r="AE83" s="244"/>
      <c r="AF83" s="244"/>
      <c r="AG83" s="244"/>
      <c r="AH83" s="244"/>
      <c r="AI83" s="244"/>
      <c r="AJ83" s="244"/>
      <c r="AK83" s="244"/>
      <c r="AL83" s="244"/>
      <c r="AM83" s="244"/>
    </row>
    <row r="84" spans="1:39" x14ac:dyDescent="0.2">
      <c r="A84" s="497">
        <f t="shared" si="2"/>
        <v>65</v>
      </c>
      <c r="B84" s="260" t="str">
        <f>CONCATENATE('3. Consumption by Rate Class'!B89,"-",'3. Consumption by Rate Class'!C89)</f>
        <v>2011-May</v>
      </c>
      <c r="C84" s="684">
        <v>7074093</v>
      </c>
      <c r="D84" s="690">
        <v>-51729</v>
      </c>
      <c r="E84" s="690">
        <v>-143363</v>
      </c>
      <c r="F84" s="690"/>
      <c r="G84" s="690"/>
      <c r="H84" s="691"/>
      <c r="I84" s="691"/>
      <c r="J84" s="261">
        <f t="shared" si="0"/>
        <v>6879001</v>
      </c>
      <c r="K84" s="711">
        <f>IF(K$18='5.Variables'!$B$16,+'5.Variables'!$G32,+IF(K$18='5.Variables'!$B$39,+'5.Variables'!$G55,+IF(K$18='5.Variables'!$B$62,+'5.Variables'!$G69,+IF(K$18='5.Variables'!$B$76,+'5.Variables'!$G83,+IF(K$18='5.Variables'!$B$90,+'5.Variables'!$G97,+IF(K$18='5.Variables'!$B$104,+'5.Variables'!$G111,0))))))</f>
        <v>142.80000000000001</v>
      </c>
      <c r="L84" s="711">
        <f>IF(L$18='5.Variables'!$B$16,+'5.Variables'!$G31,+IF(L$18='5.Variables'!$B$39,+'5.Variables'!$G55,+IF(L$18='5.Variables'!$B$62,+'5.Variables'!$G69,+IF(L$18='5.Variables'!$B$76,+'5.Variables'!$G83,+IF(L$18='5.Variables'!$B$90,+'5.Variables'!$G97,+IF(L$18='5.Variables'!$B$104,+'5.Variables'!$G111,0))))))</f>
        <v>16.7</v>
      </c>
      <c r="M84" s="711">
        <f>IF(M$18='5.Variables'!$B$16,+'5.Variables'!$G31,+IF(M$18='5.Variables'!$B$39,+'5.Variables'!$G55,+IF(M$18='5.Variables'!$B$62,+'5.Variables'!$G69,+IF(M$18='5.Variables'!$B$76,+'5.Variables'!$G83,+IF(M$18='5.Variables'!$B$90,+'5.Variables'!$G97,+IF(M$18='5.Variables'!$B$104,+'5.Variables'!$G111,0))))))</f>
        <v>31</v>
      </c>
      <c r="N84" s="711">
        <f>IF(N$18='5.Variables'!$B$16,+'5.Variables'!$G31,+IF(N$18='5.Variables'!$B$39,+'5.Variables'!$G55,+IF(N$18='5.Variables'!$B$62,+'5.Variables'!$G69,+IF(N$18='5.Variables'!$B$76,+'5.Variables'!$G83,+IF(N$18='5.Variables'!$B$90,+'5.Variables'!$G97,+IF(N$18='5.Variables'!$B$104,+'5.Variables'!$G111,0))))))</f>
        <v>173.5</v>
      </c>
      <c r="O84" s="711">
        <f>IF(O$18='5.Variables'!$B$16,+'5.Variables'!$G31,+IF(O$18='5.Variables'!$B$39,+'5.Variables'!$G55,+IF(O$18='5.Variables'!$B$62,+'5.Variables'!$G69,+IF(O$18='5.Variables'!$B$76,+'5.Variables'!$G83,+IF(O$18='5.Variables'!$B$90,+'5.Variables'!$G97,+IF(O$18='5.Variables'!$B$104,+'5.Variables'!$G111,0))))))</f>
        <v>14.52</v>
      </c>
      <c r="P84" s="831">
        <f>IF(P$18='5.Variables'!$B$16,+'5.Variables'!$G31,+IF(P$18='5.Variables'!$B$39,+'5.Variables'!$G55,+IF(P$18='5.Variables'!$B$62,+'5.Variables'!$G69,+IF(P$18='5.Variables'!$B$76,+'5.Variables'!$G83,+IF(P$18='5.Variables'!$B$90,+'5.Variables'!$G97,+IF(P$18='5.Variables'!$B$104,+'5.Variables'!$G111,0))))))</f>
        <v>0</v>
      </c>
      <c r="Q84" s="244"/>
      <c r="R84" s="549">
        <f t="shared" si="5"/>
        <v>7212051.8619122691</v>
      </c>
      <c r="S84" s="263"/>
      <c r="T84" s="244"/>
      <c r="U84" s="244"/>
      <c r="V84" s="244"/>
      <c r="W84" s="244"/>
      <c r="X84" s="244"/>
      <c r="Y84" s="244"/>
      <c r="Z84" s="244"/>
      <c r="AA84" s="244"/>
      <c r="AB84" s="244"/>
      <c r="AC84" s="244"/>
      <c r="AD84" s="244"/>
      <c r="AE84" s="244"/>
      <c r="AF84" s="244"/>
      <c r="AG84" s="244"/>
      <c r="AH84" s="244"/>
      <c r="AI84" s="244"/>
      <c r="AJ84" s="244"/>
      <c r="AK84" s="244"/>
      <c r="AL84" s="244"/>
      <c r="AM84" s="244"/>
    </row>
    <row r="85" spans="1:39" ht="13.5" customHeight="1" x14ac:dyDescent="0.2">
      <c r="A85" s="497">
        <f t="shared" si="2"/>
        <v>66</v>
      </c>
      <c r="B85" s="260" t="str">
        <f>CONCATENATE('3. Consumption by Rate Class'!B90,"-",'3. Consumption by Rate Class'!C90)</f>
        <v>2011-June</v>
      </c>
      <c r="C85" s="684">
        <v>7368575</v>
      </c>
      <c r="D85" s="690">
        <v>-46573</v>
      </c>
      <c r="E85" s="690">
        <v>-171439</v>
      </c>
      <c r="F85" s="690"/>
      <c r="G85" s="690"/>
      <c r="H85" s="691"/>
      <c r="I85" s="691"/>
      <c r="J85" s="261">
        <f t="shared" ref="J85:J139" si="9">SUM(C85:I85)</f>
        <v>7150563</v>
      </c>
      <c r="K85" s="711">
        <f>IF(K$18='5.Variables'!$B$16,+'5.Variables'!$H32,+IF(K$18='5.Variables'!$B$39,+'5.Variables'!$H55,+IF(K$18='5.Variables'!$B$62,+'5.Variables'!$H69,+IF(K$18='5.Variables'!$B$76,+'5.Variables'!$H83,+IF(K$18='5.Variables'!$B$90,+'5.Variables'!$H97,+IF(K$18='5.Variables'!$B$104,+'5.Variables'!$H111,0))))))</f>
        <v>18.5</v>
      </c>
      <c r="L85" s="711">
        <f>IF(L$18='5.Variables'!$B$16,+'5.Variables'!$H31,+IF(L$18='5.Variables'!$B$39,+'5.Variables'!$H55,+IF(L$18='5.Variables'!$B$62,+'5.Variables'!$H69,+IF(L$18='5.Variables'!$B$76,+'5.Variables'!$H83,+IF(L$18='5.Variables'!$B$90,+'5.Variables'!$H97,+IF(L$18='5.Variables'!$B$104,+'5.Variables'!$H111,0))))))</f>
        <v>59.1</v>
      </c>
      <c r="M85" s="711">
        <f>IF(M$18='5.Variables'!$B$16,+'5.Variables'!$H31,+IF(M$18='5.Variables'!$B$39,+'5.Variables'!$H55,+IF(M$18='5.Variables'!$B$62,+'5.Variables'!$H69,+IF(M$18='5.Variables'!$B$76,+'5.Variables'!$H83,+IF(M$18='5.Variables'!$B$90,+'5.Variables'!$H97,+IF(M$18='5.Variables'!$B$104,+'5.Variables'!$H111,0))))))</f>
        <v>30</v>
      </c>
      <c r="N85" s="711">
        <f>IF(N$18='5.Variables'!$B$16,+'5.Variables'!$H31,+IF(N$18='5.Variables'!$B$39,+'5.Variables'!$H55,+IF(N$18='5.Variables'!$B$62,+'5.Variables'!$H69,+IF(N$18='5.Variables'!$B$76,+'5.Variables'!$H83,+IF(N$18='5.Variables'!$B$90,+'5.Variables'!$H97,+IF(N$18='5.Variables'!$B$104,+'5.Variables'!$H111,0))))))</f>
        <v>177.7</v>
      </c>
      <c r="O85" s="711">
        <f>IF(O$18='5.Variables'!$B$16,+'5.Variables'!$H31,+IF(O$18='5.Variables'!$B$39,+'5.Variables'!$H55,+IF(O$18='5.Variables'!$B$62,+'5.Variables'!$H69,+IF(O$18='5.Variables'!$B$76,+'5.Variables'!$H83,+IF(O$18='5.Variables'!$B$90,+'5.Variables'!$H97,+IF(O$18='5.Variables'!$B$104,+'5.Variables'!$H111,0))))))</f>
        <v>15.35</v>
      </c>
      <c r="P85" s="831">
        <f>IF(P$18='5.Variables'!$B$16,+'5.Variables'!$H31,+IF(P$18='5.Variables'!$B$39,+'5.Variables'!$H55,+IF(P$18='5.Variables'!$B$62,+'5.Variables'!$H69,+IF(P$18='5.Variables'!$B$76,+'5.Variables'!$H83,+IF(P$18='5.Variables'!$B$90,+'5.Variables'!$H97,+IF(P$18='5.Variables'!$B$104,+'5.Variables'!$H111,0))))))</f>
        <v>0</v>
      </c>
      <c r="Q85" s="244"/>
      <c r="R85" s="549">
        <f t="shared" ref="R85:R148" si="10">$V$34+(K85*$V$35)+(L85*$V$36)+(M85*$V$37)+(N85*$V$38)+(O85*$V$39)</f>
        <v>7105004.6714430265</v>
      </c>
      <c r="S85" s="263"/>
      <c r="T85" s="244"/>
      <c r="U85" s="244"/>
      <c r="V85" s="244"/>
      <c r="W85" s="244"/>
      <c r="X85" s="244"/>
      <c r="Y85" s="244"/>
      <c r="Z85" s="244"/>
      <c r="AA85" s="244"/>
      <c r="AB85" s="244"/>
      <c r="AC85" s="244"/>
      <c r="AD85" s="244"/>
      <c r="AE85" s="244"/>
      <c r="AF85" s="244"/>
      <c r="AG85" s="244"/>
      <c r="AH85" s="244"/>
      <c r="AI85" s="244"/>
      <c r="AJ85" s="244"/>
      <c r="AK85" s="244"/>
      <c r="AL85" s="244"/>
      <c r="AM85" s="244"/>
    </row>
    <row r="86" spans="1:39" x14ac:dyDescent="0.2">
      <c r="A86" s="497">
        <f t="shared" ref="A86:A149" si="11">+A85+1</f>
        <v>67</v>
      </c>
      <c r="B86" s="260" t="str">
        <f>CONCATENATE('3. Consumption by Rate Class'!B91,"-",'3. Consumption by Rate Class'!C91)</f>
        <v>2011-July</v>
      </c>
      <c r="C86" s="684">
        <v>8343633</v>
      </c>
      <c r="D86" s="690">
        <v>-65519</v>
      </c>
      <c r="E86" s="690">
        <v>-144161</v>
      </c>
      <c r="F86" s="690"/>
      <c r="G86" s="690"/>
      <c r="H86" s="691"/>
      <c r="I86" s="691"/>
      <c r="J86" s="261">
        <f t="shared" si="9"/>
        <v>8133953</v>
      </c>
      <c r="K86" s="711">
        <f>IF(K$18='5.Variables'!$B$16,+'5.Variables'!$I32,+IF(K$18='5.Variables'!$B$39,+'5.Variables'!$I55,+IF(K$18='5.Variables'!$B$62,+'5.Variables'!$I69,+IF(K$18='5.Variables'!$B$76,+'5.Variables'!$I83,+IF(K$18='5.Variables'!$B$90,+'5.Variables'!$I97,+IF(K$18='5.Variables'!$B$104,+'5.Variables'!$I111,0))))))</f>
        <v>0</v>
      </c>
      <c r="L86" s="711">
        <f>IF(L$18='5.Variables'!$B$16,+'5.Variables'!$I31,+IF(L$18='5.Variables'!$B$39,+'5.Variables'!$I55,+IF(L$18='5.Variables'!$B$62,+'5.Variables'!$I69,+IF(L$18='5.Variables'!$B$76,+'5.Variables'!$I83,+IF(L$18='5.Variables'!$B$90,+'5.Variables'!$I97,+IF(L$18='5.Variables'!$B$104,+'5.Variables'!$I111,0))))))</f>
        <v>137.5</v>
      </c>
      <c r="M86" s="711">
        <f>IF(M$18='5.Variables'!$B$16,+'5.Variables'!$I31,+IF(M$18='5.Variables'!$B$39,+'5.Variables'!$I55,+IF(M$18='5.Variables'!$B$62,+'5.Variables'!$I69,+IF(M$18='5.Variables'!$B$76,+'5.Variables'!$I83,+IF(M$18='5.Variables'!$B$90,+'5.Variables'!$I97,+IF(M$18='5.Variables'!$B$104,+'5.Variables'!$I111,0))))))</f>
        <v>31</v>
      </c>
      <c r="N86" s="711">
        <f>IF(N$18='5.Variables'!$B$16,+'5.Variables'!$I31,+IF(N$18='5.Variables'!$B$39,+'5.Variables'!$I55,+IF(N$18='5.Variables'!$B$62,+'5.Variables'!$I69,+IF(N$18='5.Variables'!$B$76,+'5.Variables'!$I83,+IF(N$18='5.Variables'!$B$90,+'5.Variables'!$I97,+IF(N$18='5.Variables'!$B$104,+'5.Variables'!$I111,0))))))</f>
        <v>180</v>
      </c>
      <c r="O86" s="711">
        <f>IF(O$18='5.Variables'!$B$16,+'5.Variables'!$I31,+IF(O$18='5.Variables'!$B$39,+'5.Variables'!$I55,+IF(O$18='5.Variables'!$B$62,+'5.Variables'!$I69,+IF(O$18='5.Variables'!$B$76,+'5.Variables'!$I83,+IF(O$18='5.Variables'!$B$90,+'5.Variables'!$I97,+IF(O$18='5.Variables'!$B$104,+'5.Variables'!$I111,0))))))</f>
        <v>15.15</v>
      </c>
      <c r="P86" s="831">
        <f>IF(P$18='5.Variables'!$B$16,+'5.Variables'!$I31,+IF(P$18='5.Variables'!$B$39,+'5.Variables'!$I55,+IF(P$18='5.Variables'!$B$62,+'5.Variables'!$I69,+IF(P$18='5.Variables'!$B$76,+'5.Variables'!$I83,+IF(P$18='5.Variables'!$B$90,+'5.Variables'!$I97,+IF(P$18='5.Variables'!$B$104,+'5.Variables'!$I111,0))))))</f>
        <v>0</v>
      </c>
      <c r="Q86" s="244"/>
      <c r="R86" s="549">
        <f t="shared" si="10"/>
        <v>8140568.1139290631</v>
      </c>
      <c r="S86" s="263"/>
      <c r="T86" s="244"/>
      <c r="U86" s="244"/>
      <c r="V86" s="244"/>
      <c r="W86" s="244"/>
      <c r="X86" s="244"/>
      <c r="Y86" s="244"/>
      <c r="Z86" s="244"/>
      <c r="AA86" s="244"/>
      <c r="AB86" s="244"/>
      <c r="AC86" s="244"/>
      <c r="AD86" s="244"/>
      <c r="AE86" s="244"/>
      <c r="AF86" s="244"/>
      <c r="AG86" s="244"/>
      <c r="AH86" s="244"/>
      <c r="AI86" s="244"/>
      <c r="AJ86" s="244"/>
      <c r="AK86" s="244"/>
      <c r="AL86" s="244"/>
      <c r="AM86" s="244"/>
    </row>
    <row r="87" spans="1:39" x14ac:dyDescent="0.2">
      <c r="A87" s="497">
        <f t="shared" si="11"/>
        <v>68</v>
      </c>
      <c r="B87" s="260" t="str">
        <f>CONCATENATE('3. Consumption by Rate Class'!B92,"-",'3. Consumption by Rate Class'!C92)</f>
        <v>2011-August</v>
      </c>
      <c r="C87" s="684">
        <v>7893661</v>
      </c>
      <c r="D87" s="690">
        <v>-119335</v>
      </c>
      <c r="E87" s="690">
        <v>-168573</v>
      </c>
      <c r="F87" s="690"/>
      <c r="G87" s="690"/>
      <c r="H87" s="691"/>
      <c r="I87" s="691"/>
      <c r="J87" s="261">
        <f t="shared" si="9"/>
        <v>7605753</v>
      </c>
      <c r="K87" s="711">
        <f>IF(K$18='5.Variables'!$B$16,+'5.Variables'!$J32,+IF(K$18='5.Variables'!$B$39,+'5.Variables'!$J55,+IF(K$18='5.Variables'!$B$62,+'5.Variables'!$J69,+IF(K$18='5.Variables'!$B$76,+'5.Variables'!$J83,+IF(K$18='5.Variables'!$B$90,+'5.Variables'!$J97,+IF(K$18='5.Variables'!$B$104,+'5.Variables'!$J111,0))))))</f>
        <v>2.2999999999999998</v>
      </c>
      <c r="L87" s="711">
        <f>IF(L$18='5.Variables'!$B$16,+'5.Variables'!$J31,+IF(L$18='5.Variables'!$B$39,+'5.Variables'!$J55,+IF(L$18='5.Variables'!$B$62,+'5.Variables'!$J69,+IF(L$18='5.Variables'!$B$76,+'5.Variables'!$J83,+IF(L$18='5.Variables'!$B$90,+'5.Variables'!$J97,+IF(L$18='5.Variables'!$B$104,+'5.Variables'!$J111,0))))))</f>
        <v>82.3</v>
      </c>
      <c r="M87" s="711">
        <f>IF(M$18='5.Variables'!$B$16,+'5.Variables'!$J31,+IF(M$18='5.Variables'!$B$39,+'5.Variables'!$J55,+IF(M$18='5.Variables'!$B$62,+'5.Variables'!$J69,+IF(M$18='5.Variables'!$B$76,+'5.Variables'!$J83,+IF(M$18='5.Variables'!$B$90,+'5.Variables'!$J97,+IF(M$18='5.Variables'!$B$104,+'5.Variables'!$J111,0))))))</f>
        <v>31</v>
      </c>
      <c r="N87" s="711">
        <f>IF(N$18='5.Variables'!$B$16,+'5.Variables'!$J31,+IF(N$18='5.Variables'!$B$39,+'5.Variables'!$J55,+IF(N$18='5.Variables'!$B$62,+'5.Variables'!$J69,+IF(N$18='5.Variables'!$B$76,+'5.Variables'!$J83,+IF(N$18='5.Variables'!$B$90,+'5.Variables'!$J97,+IF(N$18='5.Variables'!$B$104,+'5.Variables'!$J111,0))))))</f>
        <v>180</v>
      </c>
      <c r="O87" s="711">
        <f>IF(O$18='5.Variables'!$B$16,+'5.Variables'!$J31,+IF(O$18='5.Variables'!$B$39,+'5.Variables'!$J55,+IF(O$18='5.Variables'!$B$62,+'5.Variables'!$J69,+IF(O$18='5.Variables'!$B$76,+'5.Variables'!$J83,+IF(O$18='5.Variables'!$B$90,+'5.Variables'!$J97,+IF(O$18='5.Variables'!$B$104,+'5.Variables'!$J111,0))))))</f>
        <v>14.03</v>
      </c>
      <c r="P87" s="831">
        <f>IF(P$18='5.Variables'!$B$16,+'5.Variables'!$J31,+IF(P$18='5.Variables'!$B$39,+'5.Variables'!$J55,+IF(P$18='5.Variables'!$B$62,+'5.Variables'!$J69,+IF(P$18='5.Variables'!$B$76,+'5.Variables'!$J83,+IF(P$18='5.Variables'!$B$90,+'5.Variables'!$J97,+IF(P$18='5.Variables'!$B$104,+'5.Variables'!$J111,0))))))</f>
        <v>0</v>
      </c>
      <c r="Q87" s="244"/>
      <c r="R87" s="549">
        <f t="shared" si="10"/>
        <v>7464358.1661134642</v>
      </c>
      <c r="S87" s="263"/>
      <c r="T87" s="244"/>
      <c r="U87" s="244"/>
      <c r="V87" s="244"/>
      <c r="W87" s="244"/>
      <c r="X87" s="244"/>
      <c r="Y87" s="244"/>
      <c r="Z87" s="244"/>
      <c r="AA87" s="244"/>
      <c r="AB87" s="244"/>
      <c r="AC87" s="244"/>
      <c r="AD87" s="244"/>
      <c r="AE87" s="244"/>
      <c r="AF87" s="244"/>
      <c r="AG87" s="244"/>
      <c r="AH87" s="244"/>
      <c r="AI87" s="244"/>
      <c r="AJ87" s="244"/>
      <c r="AK87" s="244"/>
      <c r="AL87" s="244"/>
      <c r="AM87" s="244"/>
    </row>
    <row r="88" spans="1:39" x14ac:dyDescent="0.2">
      <c r="A88" s="497">
        <f t="shared" si="11"/>
        <v>69</v>
      </c>
      <c r="B88" s="260" t="str">
        <f>CONCATENATE('3. Consumption by Rate Class'!B93,"-",'3. Consumption by Rate Class'!C93)</f>
        <v>2011-September</v>
      </c>
      <c r="C88" s="684">
        <v>7174414</v>
      </c>
      <c r="D88" s="690">
        <v>-174247</v>
      </c>
      <c r="E88" s="690">
        <v>-158259</v>
      </c>
      <c r="F88" s="690"/>
      <c r="G88" s="690"/>
      <c r="H88" s="691"/>
      <c r="I88" s="691"/>
      <c r="J88" s="261">
        <f t="shared" si="9"/>
        <v>6841908</v>
      </c>
      <c r="K88" s="711">
        <f>IF(K$18='5.Variables'!$B$16,+'5.Variables'!$K32,+IF(K$18='5.Variables'!$B$39,+'5.Variables'!$K55,+IF(K$18='5.Variables'!$B$62,+'5.Variables'!$K69,+IF(K$18='5.Variables'!$B$76,+'5.Variables'!$K83,+IF(K$18='5.Variables'!$B$90,+'5.Variables'!$K97,+IF(K$18='5.Variables'!$B$104,+'5.Variables'!$K111,0))))))</f>
        <v>55.4</v>
      </c>
      <c r="L88" s="711">
        <f>IF(L$18='5.Variables'!$B$16,+'5.Variables'!$K31,+IF(L$18='5.Variables'!$B$39,+'5.Variables'!$K55,+IF(L$18='5.Variables'!$B$62,+'5.Variables'!$K69,+IF(L$18='5.Variables'!$B$76,+'5.Variables'!$K83,+IF(L$18='5.Variables'!$B$90,+'5.Variables'!$K97,+IF(L$18='5.Variables'!$B$104,+'5.Variables'!$K111,0))))))</f>
        <v>32.9</v>
      </c>
      <c r="M88" s="711">
        <f>IF(M$18='5.Variables'!$B$16,+'5.Variables'!$K31,+IF(M$18='5.Variables'!$B$39,+'5.Variables'!$K55,+IF(M$18='5.Variables'!$B$62,+'5.Variables'!$K69,+IF(M$18='5.Variables'!$B$76,+'5.Variables'!$K83,+IF(M$18='5.Variables'!$B$90,+'5.Variables'!$K97,+IF(M$18='5.Variables'!$B$104,+'5.Variables'!$K111,0))))))</f>
        <v>30</v>
      </c>
      <c r="N88" s="711">
        <f>IF(N$18='5.Variables'!$B$16,+'5.Variables'!$K31,+IF(N$18='5.Variables'!$B$39,+'5.Variables'!$K55,+IF(N$18='5.Variables'!$B$62,+'5.Variables'!$K69,+IF(N$18='5.Variables'!$B$76,+'5.Variables'!$K83,+IF(N$18='5.Variables'!$B$90,+'5.Variables'!$K97,+IF(N$18='5.Variables'!$B$104,+'5.Variables'!$K111,0))))))</f>
        <v>178.2</v>
      </c>
      <c r="O88" s="711">
        <f>IF(O$18='5.Variables'!$B$16,+'5.Variables'!$K31,+IF(O$18='5.Variables'!$B$39,+'5.Variables'!$K55,+IF(O$18='5.Variables'!$B$62,+'5.Variables'!$K69,+IF(O$18='5.Variables'!$B$76,+'5.Variables'!$K83,+IF(O$18='5.Variables'!$B$90,+'5.Variables'!$K97,+IF(O$18='5.Variables'!$B$104,+'5.Variables'!$K111,0))))))</f>
        <v>12.29</v>
      </c>
      <c r="P88" s="831">
        <f>IF(P$18='5.Variables'!$B$16,+'5.Variables'!$K31,+IF(P$18='5.Variables'!$B$39,+'5.Variables'!$K55,+IF(P$18='5.Variables'!$B$62,+'5.Variables'!$K69,+IF(P$18='5.Variables'!$B$76,+'5.Variables'!$K83,+IF(P$18='5.Variables'!$B$90,+'5.Variables'!$K97,+IF(P$18='5.Variables'!$B$104,+'5.Variables'!$K111,0))))))</f>
        <v>0</v>
      </c>
      <c r="Q88" s="244"/>
      <c r="R88" s="549">
        <f t="shared" si="10"/>
        <v>6741392.7509042891</v>
      </c>
      <c r="S88" s="263"/>
      <c r="T88" s="244"/>
      <c r="U88" s="244"/>
      <c r="V88" s="244"/>
      <c r="W88" s="244"/>
      <c r="X88" s="244"/>
      <c r="Y88" s="244"/>
      <c r="Z88" s="244"/>
      <c r="AA88" s="244"/>
      <c r="AB88" s="244"/>
      <c r="AC88" s="244"/>
      <c r="AD88" s="244"/>
      <c r="AE88" s="244"/>
      <c r="AF88" s="244"/>
      <c r="AG88" s="244"/>
      <c r="AH88" s="244"/>
      <c r="AI88" s="244"/>
      <c r="AJ88" s="244"/>
      <c r="AK88" s="244"/>
      <c r="AL88" s="244"/>
      <c r="AM88" s="244"/>
    </row>
    <row r="89" spans="1:39" x14ac:dyDescent="0.2">
      <c r="A89" s="497">
        <f t="shared" si="11"/>
        <v>70</v>
      </c>
      <c r="B89" s="260" t="str">
        <f>CONCATENATE('3. Consumption by Rate Class'!B94,"-",'3. Consumption by Rate Class'!C94)</f>
        <v>2011-October</v>
      </c>
      <c r="C89" s="684">
        <v>7199042</v>
      </c>
      <c r="D89" s="690">
        <v>-223114</v>
      </c>
      <c r="E89" s="690">
        <v>-133414</v>
      </c>
      <c r="F89" s="690"/>
      <c r="G89" s="690"/>
      <c r="H89" s="691"/>
      <c r="I89" s="691"/>
      <c r="J89" s="261">
        <f t="shared" si="9"/>
        <v>6842514</v>
      </c>
      <c r="K89" s="711">
        <f>IF(K$18='5.Variables'!$B$16,+'5.Variables'!$L32,+IF(K$18='5.Variables'!$B$39,+'5.Variables'!$L55,+IF(K$18='5.Variables'!$B$62,+'5.Variables'!$L69,+IF(K$18='5.Variables'!$B$76,+'5.Variables'!$L83,+IF(K$18='5.Variables'!$B$90,+'5.Variables'!$L97,+IF(K$18='5.Variables'!$B$104,+'5.Variables'!$L111,0))))))</f>
        <v>259.10000000000002</v>
      </c>
      <c r="L89" s="711">
        <f>IF(L$18='5.Variables'!$B$16,+'5.Variables'!$L31,+IF(L$18='5.Variables'!$B$39,+'5.Variables'!$L55,+IF(L$18='5.Variables'!$B$62,+'5.Variables'!$L69,+IF(L$18='5.Variables'!$B$76,+'5.Variables'!$L83,+IF(L$18='5.Variables'!$B$90,+'5.Variables'!$L97,+IF(L$18='5.Variables'!$B$104,+'5.Variables'!$L111,0))))))</f>
        <v>1.4</v>
      </c>
      <c r="M89" s="711">
        <f>IF(M$18='5.Variables'!$B$16,+'5.Variables'!$L31,+IF(M$18='5.Variables'!$B$39,+'5.Variables'!$L55,+IF(M$18='5.Variables'!$B$62,+'5.Variables'!$L69,+IF(M$18='5.Variables'!$B$76,+'5.Variables'!$L83,+IF(M$18='5.Variables'!$B$90,+'5.Variables'!$L97,+IF(M$18='5.Variables'!$B$104,+'5.Variables'!$L111,0))))))</f>
        <v>31</v>
      </c>
      <c r="N89" s="711">
        <f>IF(N$18='5.Variables'!$B$16,+'5.Variables'!$L31,+IF(N$18='5.Variables'!$B$39,+'5.Variables'!$L55,+IF(N$18='5.Variables'!$B$62,+'5.Variables'!$L69,+IF(N$18='5.Variables'!$B$76,+'5.Variables'!$L83,+IF(N$18='5.Variables'!$B$90,+'5.Variables'!$L97,+IF(N$18='5.Variables'!$B$104,+'5.Variables'!$L111,0))))))</f>
        <v>174</v>
      </c>
      <c r="O89" s="711">
        <f>IF(O$18='5.Variables'!$B$16,+'5.Variables'!$L31,+IF(O$18='5.Variables'!$B$39,+'5.Variables'!$L55,+IF(O$18='5.Variables'!$B$62,+'5.Variables'!$L69,+IF(O$18='5.Variables'!$B$76,+'5.Variables'!$L83,+IF(O$18='5.Variables'!$B$90,+'5.Variables'!$L97,+IF(O$18='5.Variables'!$B$104,+'5.Variables'!$L111,0))))))</f>
        <v>10.51</v>
      </c>
      <c r="P89" s="831">
        <f>IF(P$18='5.Variables'!$B$16,+'5.Variables'!$L31,+IF(P$18='5.Variables'!$B$39,+'5.Variables'!$L55,+IF(P$18='5.Variables'!$B$62,+'5.Variables'!$L69,+IF(P$18='5.Variables'!$B$76,+'5.Variables'!$L83,+IF(P$18='5.Variables'!$B$90,+'5.Variables'!$L97,+IF(P$18='5.Variables'!$B$104,+'5.Variables'!$L111,0))))))</f>
        <v>0</v>
      </c>
      <c r="Q89" s="244"/>
      <c r="R89" s="549">
        <f t="shared" si="10"/>
        <v>7193580.1416130979</v>
      </c>
      <c r="S89" s="263"/>
      <c r="T89" s="244"/>
      <c r="U89" s="244"/>
      <c r="V89" s="244"/>
      <c r="W89" s="244"/>
      <c r="X89" s="244"/>
      <c r="Y89" s="244"/>
      <c r="Z89" s="244"/>
      <c r="AA89" s="244"/>
      <c r="AB89" s="244"/>
      <c r="AC89" s="244"/>
      <c r="AD89" s="244"/>
      <c r="AE89" s="244"/>
      <c r="AF89" s="244"/>
      <c r="AG89" s="244"/>
      <c r="AH89" s="244"/>
      <c r="AI89" s="244"/>
      <c r="AJ89" s="244"/>
      <c r="AK89" s="244"/>
      <c r="AL89" s="244"/>
      <c r="AM89" s="244"/>
    </row>
    <row r="90" spans="1:39" x14ac:dyDescent="0.2">
      <c r="A90" s="497">
        <f t="shared" si="11"/>
        <v>71</v>
      </c>
      <c r="B90" s="260" t="str">
        <f>CONCATENATE('3. Consumption by Rate Class'!B95,"-",'3. Consumption by Rate Class'!C95)</f>
        <v>2011-November</v>
      </c>
      <c r="C90" s="684">
        <v>7349600</v>
      </c>
      <c r="D90" s="690">
        <v>-213624</v>
      </c>
      <c r="E90" s="690">
        <v>-130424</v>
      </c>
      <c r="F90" s="690"/>
      <c r="G90" s="690"/>
      <c r="H90" s="691"/>
      <c r="I90" s="691"/>
      <c r="J90" s="261">
        <f t="shared" si="9"/>
        <v>7005552</v>
      </c>
      <c r="K90" s="711">
        <f>IF(K$18='5.Variables'!$B$16,+'5.Variables'!$M32,+IF(K$18='5.Variables'!$B$39,+'5.Variables'!$M55,+IF(K$18='5.Variables'!$B$62,+'5.Variables'!$M69,+IF(K$18='5.Variables'!$B$76,+'5.Variables'!$M83,+IF(K$18='5.Variables'!$B$90,+'5.Variables'!$M97,+IF(K$18='5.Variables'!$B$104,+'5.Variables'!$M111,0))))))</f>
        <v>392.9</v>
      </c>
      <c r="L90" s="711">
        <f>IF(L$18='5.Variables'!$B$16,+'5.Variables'!$M31,+IF(L$18='5.Variables'!$B$39,+'5.Variables'!$M55,+IF(L$18='5.Variables'!$B$62,+'5.Variables'!$M69,+IF(L$18='5.Variables'!$B$76,+'5.Variables'!$M83,+IF(L$18='5.Variables'!$B$90,+'5.Variables'!$M97,+IF(L$18='5.Variables'!$B$104,+'5.Variables'!$M111,0))))))</f>
        <v>0</v>
      </c>
      <c r="M90" s="711">
        <f>IF(M$18='5.Variables'!$B$16,+'5.Variables'!$M31,+IF(M$18='5.Variables'!$B$39,+'5.Variables'!$M55,+IF(M$18='5.Variables'!$B$62,+'5.Variables'!$M69,+IF(M$18='5.Variables'!$B$76,+'5.Variables'!$M83,+IF(M$18='5.Variables'!$B$90,+'5.Variables'!$M97,+IF(M$18='5.Variables'!$B$104,+'5.Variables'!$M111,0))))))</f>
        <v>30</v>
      </c>
      <c r="N90" s="711">
        <f>IF(N$18='5.Variables'!$B$16,+'5.Variables'!$M31,+IF(N$18='5.Variables'!$B$39,+'5.Variables'!$M55,+IF(N$18='5.Variables'!$B$62,+'5.Variables'!$M69,+IF(N$18='5.Variables'!$B$76,+'5.Variables'!$M83,+IF(N$18='5.Variables'!$B$90,+'5.Variables'!$M97,+IF(N$18='5.Variables'!$B$104,+'5.Variables'!$M111,0))))))</f>
        <v>169.6</v>
      </c>
      <c r="O90" s="711">
        <f>IF(O$18='5.Variables'!$B$16,+'5.Variables'!$M31,+IF(O$18='5.Variables'!$B$39,+'5.Variables'!$M55,+IF(O$18='5.Variables'!$B$62,+'5.Variables'!$M69,+IF(O$18='5.Variables'!$B$76,+'5.Variables'!$M83,+IF(O$18='5.Variables'!$B$90,+'5.Variables'!$M97,+IF(O$18='5.Variables'!$B$104,+'5.Variables'!$M111,0))))))</f>
        <v>9.2799999999999994</v>
      </c>
      <c r="P90" s="831">
        <f>IF(P$18='5.Variables'!$B$16,+'5.Variables'!$M31,+IF(P$18='5.Variables'!$B$39,+'5.Variables'!$M55,+IF(P$18='5.Variables'!$B$62,+'5.Variables'!$M69,+IF(P$18='5.Variables'!$B$76,+'5.Variables'!$M83,+IF(P$18='5.Variables'!$B$90,+'5.Variables'!$M97,+IF(P$18='5.Variables'!$B$104,+'5.Variables'!$M111,0))))))</f>
        <v>0</v>
      </c>
      <c r="Q90" s="244"/>
      <c r="R90" s="549">
        <f t="shared" si="10"/>
        <v>7295435.1130339112</v>
      </c>
      <c r="S90" s="263"/>
      <c r="T90" s="244"/>
      <c r="U90" s="244"/>
      <c r="V90" s="244"/>
      <c r="W90" s="244"/>
      <c r="X90" s="244"/>
      <c r="Y90" s="244"/>
      <c r="Z90" s="244"/>
      <c r="AA90" s="244"/>
      <c r="AB90" s="244"/>
      <c r="AC90" s="244"/>
      <c r="AD90" s="244"/>
      <c r="AE90" s="244"/>
      <c r="AF90" s="244"/>
      <c r="AG90" s="244"/>
      <c r="AH90" s="244"/>
      <c r="AI90" s="244"/>
      <c r="AJ90" s="244"/>
      <c r="AK90" s="244"/>
      <c r="AL90" s="244"/>
      <c r="AM90" s="244"/>
    </row>
    <row r="91" spans="1:39" x14ac:dyDescent="0.2">
      <c r="A91" s="497">
        <f t="shared" si="11"/>
        <v>72</v>
      </c>
      <c r="B91" s="516" t="str">
        <f>CONCATENATE('3. Consumption by Rate Class'!B96,"-",'3. Consumption by Rate Class'!C96)</f>
        <v>2011-December</v>
      </c>
      <c r="C91" s="685">
        <v>8263693</v>
      </c>
      <c r="D91" s="692">
        <v>-145759</v>
      </c>
      <c r="E91" s="692">
        <v>-133444</v>
      </c>
      <c r="F91" s="692"/>
      <c r="G91" s="692"/>
      <c r="H91" s="693"/>
      <c r="I91" s="693"/>
      <c r="J91" s="261">
        <f t="shared" si="9"/>
        <v>7984490</v>
      </c>
      <c r="K91" s="711">
        <f>IF(K$18='5.Variables'!$B$16,+'5.Variables'!$N32,+IF(K$18='5.Variables'!$B$39,+'5.Variables'!$N55,+IF(K$18='5.Variables'!$B$62,+'5.Variables'!$N69,+IF(K$18='5.Variables'!$B$76,+'5.Variables'!$N83,+IF(K$18='5.Variables'!$B$90,+'5.Variables'!$N97,+IF(K$18='5.Variables'!$B$104,+'5.Variables'!$N111,0))))))</f>
        <v>415</v>
      </c>
      <c r="L91" s="711">
        <f>IF(L$18='5.Variables'!$B$16,+'5.Variables'!$N31,+IF(L$18='5.Variables'!$B$39,+'5.Variables'!$N55,+IF(L$18='5.Variables'!$B$62,+'5.Variables'!$N69,+IF(L$18='5.Variables'!$B$76,+'5.Variables'!$N83,+IF(L$18='5.Variables'!$B$90,+'5.Variables'!$N97,+IF(L$18='5.Variables'!$B$104,+'5.Variables'!$N111,0))))))</f>
        <v>0</v>
      </c>
      <c r="M91" s="711">
        <f>IF(M$18='5.Variables'!$B$16,+'5.Variables'!$N31,+IF(M$18='5.Variables'!$B$39,+'5.Variables'!$N55,+IF(M$18='5.Variables'!$B$62,+'5.Variables'!$N69,+IF(M$18='5.Variables'!$B$76,+'5.Variables'!$N83,+IF(M$18='5.Variables'!$B$90,+'5.Variables'!$N97,+IF(M$18='5.Variables'!$B$104,+'5.Variables'!$N111,0))))))</f>
        <v>31</v>
      </c>
      <c r="N91" s="711">
        <f>IF(N$18='5.Variables'!$B$16,+'5.Variables'!$N31,+IF(N$18='5.Variables'!$B$39,+'5.Variables'!$N55,+IF(N$18='5.Variables'!$B$62,+'5.Variables'!$N69,+IF(N$18='5.Variables'!$B$76,+'5.Variables'!$N83,+IF(N$18='5.Variables'!$B$90,+'5.Variables'!$N97,+IF(N$18='5.Variables'!$B$104,+'5.Variables'!$N111,0))))))</f>
        <v>166</v>
      </c>
      <c r="O91" s="711">
        <f>IF(O$18='5.Variables'!$B$16,+'5.Variables'!$N31,+IF(O$18='5.Variables'!$B$39,+'5.Variables'!$N55,+IF(O$18='5.Variables'!$B$62,+'5.Variables'!$N69,+IF(O$18='5.Variables'!$B$76,+'5.Variables'!$N83,+IF(O$18='5.Variables'!$B$90,+'5.Variables'!$N97,+IF(O$18='5.Variables'!$B$104,+'5.Variables'!$N111,0))))))</f>
        <v>8.4700000000000006</v>
      </c>
      <c r="P91" s="831">
        <f>IF(P$18='5.Variables'!$B$16,+'5.Variables'!$N31,+IF(P$18='5.Variables'!$B$39,+'5.Variables'!$N55,+IF(P$18='5.Variables'!$B$62,+'5.Variables'!$N69,+IF(P$18='5.Variables'!$B$76,+'5.Variables'!$N83,+IF(P$18='5.Variables'!$B$90,+'5.Variables'!$N97,+IF(P$18='5.Variables'!$B$104,+'5.Variables'!$N111,0))))))</f>
        <v>0</v>
      </c>
      <c r="Q91" s="244"/>
      <c r="R91" s="549">
        <f t="shared" si="10"/>
        <v>7497221.2213120377</v>
      </c>
      <c r="S91" s="263">
        <f>SUM(R80:R91)</f>
        <v>91860693.600385413</v>
      </c>
      <c r="T91" s="244"/>
      <c r="U91" s="244"/>
      <c r="V91" s="244"/>
      <c r="W91" s="244"/>
      <c r="X91" s="244"/>
      <c r="Y91" s="244"/>
      <c r="Z91" s="244"/>
      <c r="AA91" s="244"/>
      <c r="AB91" s="244"/>
      <c r="AC91" s="244"/>
      <c r="AD91" s="244"/>
      <c r="AE91" s="244"/>
      <c r="AF91" s="244"/>
      <c r="AG91" s="244"/>
      <c r="AH91" s="244"/>
      <c r="AI91" s="244"/>
      <c r="AJ91" s="244"/>
      <c r="AK91" s="244"/>
      <c r="AL91" s="244"/>
      <c r="AM91" s="244"/>
    </row>
    <row r="92" spans="1:39" x14ac:dyDescent="0.2">
      <c r="A92" s="497">
        <f t="shared" si="11"/>
        <v>73</v>
      </c>
      <c r="B92" s="260" t="str">
        <f>CONCATENATE('3. Consumption by Rate Class'!B97,"-",'3. Consumption by Rate Class'!C97)</f>
        <v>2012-January</v>
      </c>
      <c r="C92" s="684">
        <v>9026172</v>
      </c>
      <c r="D92" s="690">
        <v>-47971</v>
      </c>
      <c r="E92" s="690">
        <v>-96480</v>
      </c>
      <c r="F92" s="694"/>
      <c r="G92" s="690"/>
      <c r="H92" s="691"/>
      <c r="I92" s="691"/>
      <c r="J92" s="261">
        <f t="shared" si="9"/>
        <v>8881721</v>
      </c>
      <c r="K92" s="711">
        <f>IF(K$18='5.Variables'!$B$16,+'5.Variables'!$C33,+IF(K$18='5.Variables'!$B$39,+'5.Variables'!$C56,+IF(K$18='5.Variables'!$B$62,+'5.Variables'!$C70,+IF(K$18='5.Variables'!$B$76,+'5.Variables'!$C84,+IF(K$18='5.Variables'!$B$90,+'5.Variables'!$C98,+IF(K$18='5.Variables'!$B$104,+'5.Variables'!$C112,0))))))</f>
        <v>831</v>
      </c>
      <c r="L92" s="711">
        <f>IF(L$18='5.Variables'!$B$16,+'5.Variables'!$C32,+IF(L$18='5.Variables'!$B$39,+'5.Variables'!$C56,+IF(L$18='5.Variables'!$B$62,+'5.Variables'!$C70,+IF(L$18='5.Variables'!$B$76,+'5.Variables'!$C84,+IF(L$18='5.Variables'!$B$90,+'5.Variables'!$C98,+IF(L$18='5.Variables'!$B$104,+'5.Variables'!$C112,0))))))</f>
        <v>0</v>
      </c>
      <c r="M92" s="711">
        <f>IF(M$18='5.Variables'!$B$16,+'5.Variables'!$C32,+IF(M$18='5.Variables'!$B$39,+'5.Variables'!$C56,+IF(M$18='5.Variables'!$B$62,+'5.Variables'!$C70,+IF(M$18='5.Variables'!$B$76,+'5.Variables'!$C84,+IF(M$18='5.Variables'!$B$90,+'5.Variables'!$C98,+IF(M$18='5.Variables'!$B$104,+'5.Variables'!$C112,0))))))</f>
        <v>31</v>
      </c>
      <c r="N92" s="711">
        <f>IF(N$18='5.Variables'!$B$16,+'5.Variables'!$C32,+IF(N$18='5.Variables'!$B$39,+'5.Variables'!$C56,+IF(N$18='5.Variables'!$B$62,+'5.Variables'!$C70,+IF(N$18='5.Variables'!$B$76,+'5.Variables'!$C84,+IF(N$18='5.Variables'!$B$90,+'5.Variables'!$C98,+IF(N$18='5.Variables'!$B$104,+'5.Variables'!$C112,0))))))</f>
        <v>164.7</v>
      </c>
      <c r="O92" s="711">
        <f>IF(O$18='5.Variables'!$B$16,+'5.Variables'!$C32,+IF(O$18='5.Variables'!$B$39,+'5.Variables'!$C56,+IF(O$18='5.Variables'!$B$62,+'5.Variables'!$C70,+IF(O$18='5.Variables'!$B$76,+'5.Variables'!$C84,+IF(O$18='5.Variables'!$B$90,+'5.Variables'!$C98,+IF(O$18='5.Variables'!$B$104,+'5.Variables'!$C112,0))))))</f>
        <v>9.09</v>
      </c>
      <c r="P92" s="831">
        <f>IF(P$18='5.Variables'!$B$16,+'5.Variables'!$C32,+IF(P$18='5.Variables'!$B$39,+'5.Variables'!$C56,+IF(P$18='5.Variables'!$B$62,+'5.Variables'!$C70,+IF(P$18='5.Variables'!$B$76,+'5.Variables'!$C84,+IF(P$18='5.Variables'!$B$90,+'5.Variables'!$C98,+IF(P$18='5.Variables'!$B$104,+'5.Variables'!$C112,0))))))</f>
        <v>0</v>
      </c>
      <c r="Q92" s="244"/>
      <c r="R92" s="549">
        <f t="shared" si="10"/>
        <v>9066402.1884253919</v>
      </c>
      <c r="S92" s="263"/>
      <c r="T92" s="244"/>
      <c r="U92" s="244"/>
      <c r="V92" s="244"/>
      <c r="W92" s="244"/>
      <c r="X92" s="244"/>
      <c r="Y92" s="244"/>
      <c r="Z92" s="244"/>
      <c r="AA92" s="244"/>
      <c r="AB92" s="244"/>
      <c r="AC92" s="244"/>
      <c r="AD92" s="244"/>
      <c r="AE92" s="244"/>
      <c r="AF92" s="244"/>
      <c r="AG92" s="244"/>
      <c r="AH92" s="244"/>
      <c r="AI92" s="244"/>
      <c r="AJ92" s="244"/>
      <c r="AK92" s="244"/>
      <c r="AL92" s="244"/>
      <c r="AM92" s="244"/>
    </row>
    <row r="93" spans="1:39" x14ac:dyDescent="0.2">
      <c r="A93" s="497">
        <f t="shared" si="11"/>
        <v>74</v>
      </c>
      <c r="B93" s="260" t="str">
        <f>CONCATENATE('3. Consumption by Rate Class'!B98,"-",'3. Consumption by Rate Class'!C98)</f>
        <v>2012-February</v>
      </c>
      <c r="C93" s="684">
        <v>7910374</v>
      </c>
      <c r="D93" s="690">
        <v>-52159</v>
      </c>
      <c r="E93" s="690">
        <v>-113934</v>
      </c>
      <c r="F93" s="694"/>
      <c r="G93" s="690"/>
      <c r="H93" s="691"/>
      <c r="I93" s="691"/>
      <c r="J93" s="261">
        <f t="shared" si="9"/>
        <v>7744281</v>
      </c>
      <c r="K93" s="711">
        <f>IF(K$18='5.Variables'!$B$16,+'5.Variables'!$D33+IF(K$18='5.Variables'!$B$39,+'5.Variables'!$D56,+IF(K$18='5.Variables'!$B$62,+'5.Variables'!$D70,+IF(K$18='5.Variables'!$B$76,+'5.Variables'!$D84,+IF(K$18='5.Variables'!$B$90,+'5.Variables'!$D98,+IF(K$18='5.Variables'!$B$104,+'5.Variables'!$D112,0))))))</f>
        <v>671.4</v>
      </c>
      <c r="L93" s="711">
        <f>IF(L$18='5.Variables'!$B$16,+'5.Variables'!$D32,+IF(L$18='5.Variables'!$B$39,+'5.Variables'!$D56,+IF(L$18='5.Variables'!$B$62,+'5.Variables'!$D70,+IF(L$18='5.Variables'!$B$76,+'5.Variables'!$D84,+IF(L$18='5.Variables'!$B$90,+'5.Variables'!$D98,+IF(L$18='5.Variables'!$B$104,+'5.Variables'!$D112,0))))))</f>
        <v>0</v>
      </c>
      <c r="M93" s="711">
        <f>IF(M$18='5.Variables'!$B$16,+'5.Variables'!$D32,+IF(M$18='5.Variables'!$B$39,+'5.Variables'!$D56,+IF(M$18='5.Variables'!$B$62,+'5.Variables'!$D70,+IF(M$18='5.Variables'!$B$76,+'5.Variables'!$D84,+IF(M$18='5.Variables'!$B$90,+'5.Variables'!$D98,+IF(M$18='5.Variables'!$B$104,+'5.Variables'!$D112,0))))))</f>
        <v>28</v>
      </c>
      <c r="N93" s="711">
        <f>IF(N$18='5.Variables'!$B$16,+'5.Variables'!$D32,+IF(N$18='5.Variables'!$B$39,+'5.Variables'!$D56,+IF(N$18='5.Variables'!$B$62,+'5.Variables'!$D70,+IF(N$18='5.Variables'!$B$76,+'5.Variables'!$D84,+IF(N$18='5.Variables'!$B$90,+'5.Variables'!$D98,+IF(N$18='5.Variables'!$B$104,+'5.Variables'!$D112,0))))))</f>
        <v>162.5</v>
      </c>
      <c r="O93" s="711">
        <f>IF(O$18='5.Variables'!$B$16,+'5.Variables'!$D32,+IF(O$18='5.Variables'!$B$39,+'5.Variables'!$D56,+IF(O$18='5.Variables'!$B$62,+'5.Variables'!$D70,+IF(O$18='5.Variables'!$B$76,+'5.Variables'!$D84,+IF(O$18='5.Variables'!$B$90,+'5.Variables'!$D98,+IF(O$18='5.Variables'!$B$104,+'5.Variables'!$D112,0))))))</f>
        <v>10.19</v>
      </c>
      <c r="P93" s="831">
        <f>IF(P$18='5.Variables'!$B$16,+'5.Variables'!$D32,+IF(P$18='5.Variables'!$B$39,+'5.Variables'!$D56,+IF(P$18='5.Variables'!$B$62,+'5.Variables'!$D70,+IF(P$18='5.Variables'!$B$76,+'5.Variables'!$D84,+IF(P$18='5.Variables'!$B$90,+'5.Variables'!$D98,+IF(P$18='5.Variables'!$B$104,+'5.Variables'!$D112,0))))))</f>
        <v>0</v>
      </c>
      <c r="Q93" s="244"/>
      <c r="R93" s="549">
        <f t="shared" si="10"/>
        <v>7837158.6493338728</v>
      </c>
      <c r="S93" s="263"/>
      <c r="T93" s="244"/>
      <c r="U93" s="244"/>
      <c r="V93" s="244"/>
      <c r="W93" s="244"/>
      <c r="X93" s="244"/>
      <c r="Y93" s="244"/>
      <c r="Z93" s="244"/>
      <c r="AA93" s="244"/>
      <c r="AB93" s="244"/>
      <c r="AC93" s="244"/>
      <c r="AD93" s="244"/>
      <c r="AE93" s="244"/>
      <c r="AF93" s="244"/>
      <c r="AG93" s="244"/>
      <c r="AH93" s="244"/>
      <c r="AI93" s="244"/>
      <c r="AJ93" s="244"/>
      <c r="AK93" s="244"/>
      <c r="AL93" s="244"/>
      <c r="AM93" s="244"/>
    </row>
    <row r="94" spans="1:39" x14ac:dyDescent="0.2">
      <c r="A94" s="497">
        <f t="shared" si="11"/>
        <v>75</v>
      </c>
      <c r="B94" s="260" t="str">
        <f>CONCATENATE('3. Consumption by Rate Class'!B99,"-",'3. Consumption by Rate Class'!C99)</f>
        <v>2012-March</v>
      </c>
      <c r="C94" s="684">
        <v>7638846</v>
      </c>
      <c r="D94" s="690">
        <v>-60887</v>
      </c>
      <c r="E94" s="690">
        <v>-92787</v>
      </c>
      <c r="F94" s="694"/>
      <c r="G94" s="690"/>
      <c r="H94" s="691"/>
      <c r="I94" s="691"/>
      <c r="J94" s="261">
        <f t="shared" si="9"/>
        <v>7485172</v>
      </c>
      <c r="K94" s="711">
        <f>IF(K$18='5.Variables'!$B$16,+'5.Variables'!$E33,+IF(K$18='5.Variables'!$B$39,+'5.Variables'!$E56,+IF(K$18='5.Variables'!$B$62,+'5.Variables'!$E70,+IF(K$18='5.Variables'!$B$76,+'5.Variables'!$E84,+IF(K$18='5.Variables'!$B$90,+'5.Variables'!$E98,+IF(K$18='5.Variables'!$B$104,+'5.Variables'!$E112,0))))))</f>
        <v>460.3</v>
      </c>
      <c r="L94" s="711">
        <f>IF(L$18='5.Variables'!$B$16,+'5.Variables'!$E32,+IF(L$18='5.Variables'!$B$39,+'5.Variables'!$E56,+IF(L$18='5.Variables'!$B$62,+'5.Variables'!$E70,+IF(L$18='5.Variables'!$B$76,+'5.Variables'!$E84,+IF(L$18='5.Variables'!$B$90,+'5.Variables'!$E98,+IF(L$18='5.Variables'!$B$104,+'5.Variables'!$E112,0))))))</f>
        <v>0</v>
      </c>
      <c r="M94" s="711">
        <f>IF(M$18='5.Variables'!$B$16,+'5.Variables'!$E32,+IF(M$18='5.Variables'!$B$39,+'5.Variables'!$E56,+IF(M$18='5.Variables'!$B$62,+'5.Variables'!$E70,+IF(M$18='5.Variables'!$B$76,+'5.Variables'!$E84,+IF(M$18='5.Variables'!$B$90,+'5.Variables'!$E98,+IF(M$18='5.Variables'!$B$104,+'5.Variables'!$E112,0))))))</f>
        <v>31</v>
      </c>
      <c r="N94" s="711">
        <f>IF(N$18='5.Variables'!$B$16,+'5.Variables'!$E32,+IF(N$18='5.Variables'!$B$39,+'5.Variables'!$E56,+IF(N$18='5.Variables'!$B$62,+'5.Variables'!$E70,+IF(N$18='5.Variables'!$B$76,+'5.Variables'!$E84,+IF(N$18='5.Variables'!$B$90,+'5.Variables'!$E98,+IF(N$18='5.Variables'!$B$104,+'5.Variables'!$E112,0))))))</f>
        <v>161.80000000000001</v>
      </c>
      <c r="O94" s="711">
        <f>IF(O$18='5.Variables'!$B$16,+'5.Variables'!$E32,+IF(O$18='5.Variables'!$B$39,+'5.Variables'!$E56,+IF(O$18='5.Variables'!$B$62,+'5.Variables'!$E70,+IF(O$18='5.Variables'!$B$76,+'5.Variables'!$E84,+IF(O$18='5.Variables'!$B$90,+'5.Variables'!$E98,+IF(O$18='5.Variables'!$B$104,+'5.Variables'!$E112,0))))))</f>
        <v>11.51</v>
      </c>
      <c r="P94" s="831">
        <f>IF(P$18='5.Variables'!$B$16,+'5.Variables'!$E32,+IF(P$18='5.Variables'!$B$39,+'5.Variables'!$E56,+IF(P$18='5.Variables'!$B$62,+'5.Variables'!$E70,+IF(P$18='5.Variables'!$B$76,+'5.Variables'!$E84,+IF(P$18='5.Variables'!$B$90,+'5.Variables'!$E98,+IF(P$18='5.Variables'!$B$104,+'5.Variables'!$E112,0))))))</f>
        <v>0</v>
      </c>
      <c r="Q94" s="244"/>
      <c r="R94" s="549">
        <f t="shared" si="10"/>
        <v>7825782.6608635262</v>
      </c>
      <c r="S94" s="263"/>
      <c r="T94" s="244"/>
      <c r="U94" s="244"/>
      <c r="V94" s="244"/>
      <c r="W94" s="244"/>
      <c r="X94" s="244"/>
      <c r="Y94" s="244"/>
      <c r="Z94" s="244"/>
      <c r="AA94" s="244"/>
      <c r="AB94" s="244"/>
      <c r="AC94" s="244"/>
      <c r="AD94" s="244"/>
      <c r="AE94" s="244"/>
      <c r="AF94" s="244"/>
      <c r="AG94" s="244"/>
      <c r="AH94" s="244"/>
      <c r="AI94" s="244"/>
      <c r="AJ94" s="244"/>
      <c r="AK94" s="244"/>
      <c r="AL94" s="244"/>
      <c r="AM94" s="244"/>
    </row>
    <row r="95" spans="1:39" x14ac:dyDescent="0.2">
      <c r="A95" s="497">
        <f t="shared" si="11"/>
        <v>76</v>
      </c>
      <c r="B95" s="260" t="str">
        <f>CONCATENATE('3. Consumption by Rate Class'!B100,"-",'3. Consumption by Rate Class'!C100)</f>
        <v>2012-April</v>
      </c>
      <c r="C95" s="684">
        <v>6887823</v>
      </c>
      <c r="D95" s="690">
        <v>-57424</v>
      </c>
      <c r="E95" s="690">
        <v>-888655</v>
      </c>
      <c r="F95" s="694"/>
      <c r="G95" s="690"/>
      <c r="H95" s="691"/>
      <c r="I95" s="691"/>
      <c r="J95" s="261">
        <f t="shared" si="9"/>
        <v>5941744</v>
      </c>
      <c r="K95" s="711">
        <f>IF(K$18='5.Variables'!$B$16,+'5.Variables'!$F33,+IF(K$18='5.Variables'!$B$39,+'5.Variables'!$F56,+IF(K$18='5.Variables'!$B$62,+'5.Variables'!$F70,+IF(K$18='5.Variables'!$B$76,+'5.Variables'!$F84,+IF(K$18='5.Variables'!$B$90,+'5.Variables'!$F98,+IF(K$18='5.Variables'!$B$104,+'5.Variables'!$F112,0))))))</f>
        <v>363.3</v>
      </c>
      <c r="L95" s="711">
        <f>IF(L$18='5.Variables'!$B$16,+'5.Variables'!$F32,+IF(L$18='5.Variables'!$B$39,+'5.Variables'!$F56,+IF(L$18='5.Variables'!$B$62,+'5.Variables'!$F70,+IF(L$18='5.Variables'!$B$76,+'5.Variables'!$F84,+IF(L$18='5.Variables'!$B$90,+'5.Variables'!$F98,+IF(L$18='5.Variables'!$B$104,+'5.Variables'!$F112,0))))))</f>
        <v>3.2</v>
      </c>
      <c r="M95" s="711">
        <f>IF(M$18='5.Variables'!$B$16,+'5.Variables'!$F32,+IF(M$18='5.Variables'!$B$39,+'5.Variables'!$F56,+IF(M$18='5.Variables'!$B$62,+'5.Variables'!$F70,+IF(M$18='5.Variables'!$B$76,+'5.Variables'!$F84,+IF(M$18='5.Variables'!$B$90,+'5.Variables'!$F98,+IF(M$18='5.Variables'!$B$104,+'5.Variables'!$F112,0))))))</f>
        <v>30</v>
      </c>
      <c r="N95" s="711">
        <f>IF(N$18='5.Variables'!$B$16,+'5.Variables'!$F32,+IF(N$18='5.Variables'!$B$39,+'5.Variables'!$F56,+IF(N$18='5.Variables'!$B$62,+'5.Variables'!$F70,+IF(N$18='5.Variables'!$B$76,+'5.Variables'!$F84,+IF(N$18='5.Variables'!$B$90,+'5.Variables'!$F98,+IF(N$18='5.Variables'!$B$104,+'5.Variables'!$F112,0))))))</f>
        <v>162.19999999999999</v>
      </c>
      <c r="O95" s="711">
        <f>IF(O$18='5.Variables'!$B$16,+'5.Variables'!$F32,+IF(O$18='5.Variables'!$B$39,+'5.Variables'!$F56,+IF(O$18='5.Variables'!$B$62,+'5.Variables'!$F70,+IF(O$18='5.Variables'!$B$76,+'5.Variables'!$F84,+IF(O$18='5.Variables'!$B$90,+'5.Variables'!$F98,+IF(O$18='5.Variables'!$B$104,+'5.Variables'!$F112,0))))))</f>
        <v>13.28</v>
      </c>
      <c r="P95" s="831">
        <f>IF(P$18='5.Variables'!$B$16,+'5.Variables'!$F32,+IF(P$18='5.Variables'!$B$39,+'5.Variables'!$F56,+IF(P$18='5.Variables'!$B$62,+'5.Variables'!$F70,+IF(P$18='5.Variables'!$B$76,+'5.Variables'!$F84,+IF(P$18='5.Variables'!$B$90,+'5.Variables'!$F98,+IF(P$18='5.Variables'!$B$104,+'5.Variables'!$F112,0))))))</f>
        <v>0</v>
      </c>
      <c r="Q95" s="244"/>
      <c r="R95" s="549">
        <f t="shared" si="10"/>
        <v>7405743.9441379346</v>
      </c>
      <c r="S95" s="263"/>
      <c r="T95" s="244"/>
      <c r="U95" s="244"/>
      <c r="V95" s="244"/>
      <c r="W95" s="244"/>
      <c r="X95" s="244"/>
      <c r="Y95" s="244"/>
      <c r="Z95" s="244"/>
      <c r="AA95" s="244"/>
      <c r="AB95" s="244"/>
      <c r="AC95" s="244"/>
      <c r="AD95" s="244"/>
      <c r="AE95" s="244"/>
      <c r="AF95" s="244"/>
      <c r="AG95" s="244"/>
      <c r="AH95" s="244"/>
      <c r="AI95" s="244"/>
      <c r="AJ95" s="244"/>
      <c r="AK95" s="244"/>
      <c r="AL95" s="244"/>
      <c r="AM95" s="244"/>
    </row>
    <row r="96" spans="1:39" x14ac:dyDescent="0.2">
      <c r="A96" s="497">
        <f t="shared" si="11"/>
        <v>77</v>
      </c>
      <c r="B96" s="260" t="str">
        <f>CONCATENATE('3. Consumption by Rate Class'!B101,"-",'3. Consumption by Rate Class'!C101)</f>
        <v>2012-May</v>
      </c>
      <c r="C96" s="684">
        <v>6951612</v>
      </c>
      <c r="D96" s="690">
        <v>-51649</v>
      </c>
      <c r="E96" s="690">
        <v>-94501</v>
      </c>
      <c r="F96" s="694"/>
      <c r="G96" s="690"/>
      <c r="H96" s="691"/>
      <c r="I96" s="691"/>
      <c r="J96" s="261">
        <f t="shared" si="9"/>
        <v>6805462</v>
      </c>
      <c r="K96" s="711">
        <f>IF(K$18='5.Variables'!$B$16,+'5.Variables'!$G33,+IF(K$18='5.Variables'!$B$39,+'5.Variables'!$G56,+IF(K$18='5.Variables'!$B$62,+'5.Variables'!$G70,+IF(K$18='5.Variables'!$B$76,+'5.Variables'!$G84,+IF(K$18='5.Variables'!$B$90,+'5.Variables'!$G98,+IF(K$18='5.Variables'!$B$104,+'5.Variables'!$G112,0))))))</f>
        <v>96</v>
      </c>
      <c r="L96" s="711">
        <f>IF(L$18='5.Variables'!$B$16,+'5.Variables'!$G32,+IF(L$18='5.Variables'!$B$39,+'5.Variables'!$G56,+IF(L$18='5.Variables'!$B$62,+'5.Variables'!$G70,+IF(L$18='5.Variables'!$B$76,+'5.Variables'!$G84,+IF(L$18='5.Variables'!$B$90,+'5.Variables'!$G98,+IF(L$18='5.Variables'!$B$104,+'5.Variables'!$G112,0))))))</f>
        <v>21</v>
      </c>
      <c r="M96" s="711">
        <f>IF(M$18='5.Variables'!$B$16,+'5.Variables'!$G32,+IF(M$18='5.Variables'!$B$39,+'5.Variables'!$G56,+IF(M$18='5.Variables'!$B$62,+'5.Variables'!$G70,+IF(M$18='5.Variables'!$B$76,+'5.Variables'!$G84,+IF(M$18='5.Variables'!$B$90,+'5.Variables'!$G98,+IF(M$18='5.Variables'!$B$104,+'5.Variables'!$G112,0))))))</f>
        <v>31</v>
      </c>
      <c r="N96" s="711">
        <f>IF(N$18='5.Variables'!$B$16,+'5.Variables'!$G32,+IF(N$18='5.Variables'!$B$39,+'5.Variables'!$G56,+IF(N$18='5.Variables'!$B$62,+'5.Variables'!$G70,+IF(N$18='5.Variables'!$B$76,+'5.Variables'!$G84,+IF(N$18='5.Variables'!$B$90,+'5.Variables'!$G98,+IF(N$18='5.Variables'!$B$104,+'5.Variables'!$G112,0))))))</f>
        <v>166.2</v>
      </c>
      <c r="O96" s="711">
        <f>IF(O$18='5.Variables'!$B$16,+'5.Variables'!$G32,+IF(O$18='5.Variables'!$B$39,+'5.Variables'!$G56,+IF(O$18='5.Variables'!$B$62,+'5.Variables'!$G70,+IF(O$18='5.Variables'!$B$76,+'5.Variables'!$G84,+IF(O$18='5.Variables'!$B$90,+'5.Variables'!$G98,+IF(O$18='5.Variables'!$B$104,+'5.Variables'!$G112,0))))))</f>
        <v>14.52</v>
      </c>
      <c r="P96" s="831">
        <f>IF(P$18='5.Variables'!$B$16,+'5.Variables'!$G32,+IF(P$18='5.Variables'!$B$39,+'5.Variables'!$G56,+IF(P$18='5.Variables'!$B$62,+'5.Variables'!$G70,+IF(P$18='5.Variables'!$B$76,+'5.Variables'!$G84,+IF(P$18='5.Variables'!$B$90,+'5.Variables'!$G98,+IF(P$18='5.Variables'!$B$104,+'5.Variables'!$G112,0))))))</f>
        <v>0</v>
      </c>
      <c r="Q96" s="244"/>
      <c r="R96" s="549">
        <f t="shared" si="10"/>
        <v>6983385.9364061253</v>
      </c>
      <c r="S96" s="263"/>
      <c r="T96" s="244"/>
      <c r="U96" s="244"/>
      <c r="V96" s="244"/>
      <c r="W96" s="244"/>
      <c r="X96" s="244"/>
      <c r="Y96" s="244"/>
      <c r="Z96" s="244"/>
      <c r="AA96" s="244"/>
      <c r="AB96" s="244"/>
      <c r="AC96" s="244"/>
      <c r="AD96" s="244"/>
      <c r="AE96" s="244"/>
      <c r="AF96" s="244"/>
      <c r="AG96" s="244"/>
      <c r="AH96" s="244"/>
      <c r="AI96" s="244"/>
      <c r="AJ96" s="244"/>
      <c r="AK96" s="244"/>
      <c r="AL96" s="244"/>
      <c r="AM96" s="244"/>
    </row>
    <row r="97" spans="1:39" x14ac:dyDescent="0.2">
      <c r="A97" s="497">
        <f t="shared" si="11"/>
        <v>78</v>
      </c>
      <c r="B97" s="260" t="str">
        <f>CONCATENATE('3. Consumption by Rate Class'!B102,"-",'3. Consumption by Rate Class'!C102)</f>
        <v>2012-June</v>
      </c>
      <c r="C97" s="684">
        <v>7315606</v>
      </c>
      <c r="D97" s="690">
        <v>-40628</v>
      </c>
      <c r="E97" s="690">
        <v>-62248</v>
      </c>
      <c r="F97" s="694"/>
      <c r="G97" s="690"/>
      <c r="H97" s="691"/>
      <c r="I97" s="691"/>
      <c r="J97" s="261">
        <f t="shared" si="9"/>
        <v>7212730</v>
      </c>
      <c r="K97" s="711">
        <f>IF(K$18='5.Variables'!$B$16,+'5.Variables'!$H33,+IF(K$18='5.Variables'!$B$39,+'5.Variables'!$H56,+IF(K$18='5.Variables'!$B$62,+'5.Variables'!$H70,+IF(K$18='5.Variables'!$B$76,+'5.Variables'!$H84,+IF(K$18='5.Variables'!$B$90,+'5.Variables'!$H98,+IF(K$18='5.Variables'!$B$104,+'5.Variables'!$H112,0))))))</f>
        <v>0</v>
      </c>
      <c r="L97" s="711">
        <f>IF(L$18='5.Variables'!$B$16,+'5.Variables'!$H32,+IF(L$18='5.Variables'!$B$39,+'5.Variables'!$H56,+IF(L$18='5.Variables'!$B$62,+'5.Variables'!$H70,+IF(L$18='5.Variables'!$B$76,+'5.Variables'!$H84,+IF(L$18='5.Variables'!$B$90,+'5.Variables'!$H98,+IF(L$18='5.Variables'!$B$104,+'5.Variables'!$H112,0))))))</f>
        <v>70.400000000000006</v>
      </c>
      <c r="M97" s="711">
        <f>IF(M$18='5.Variables'!$B$16,+'5.Variables'!$H32,+IF(M$18='5.Variables'!$B$39,+'5.Variables'!$H56,+IF(M$18='5.Variables'!$B$62,+'5.Variables'!$H70,+IF(M$18='5.Variables'!$B$76,+'5.Variables'!$H84,+IF(M$18='5.Variables'!$B$90,+'5.Variables'!$H98,+IF(M$18='5.Variables'!$B$104,+'5.Variables'!$H112,0))))))</f>
        <v>30</v>
      </c>
      <c r="N97" s="711">
        <f>IF(N$18='5.Variables'!$B$16,+'5.Variables'!$H32,+IF(N$18='5.Variables'!$B$39,+'5.Variables'!$H56,+IF(N$18='5.Variables'!$B$62,+'5.Variables'!$H70,+IF(N$18='5.Variables'!$B$76,+'5.Variables'!$H84,+IF(N$18='5.Variables'!$B$90,+'5.Variables'!$H98,+IF(N$18='5.Variables'!$B$104,+'5.Variables'!$H112,0))))))</f>
        <v>171.4</v>
      </c>
      <c r="O97" s="711">
        <f>IF(O$18='5.Variables'!$B$16,+'5.Variables'!$H32,+IF(O$18='5.Variables'!$B$39,+'5.Variables'!$H56,+IF(O$18='5.Variables'!$B$62,+'5.Variables'!$H70,+IF(O$18='5.Variables'!$B$76,+'5.Variables'!$H84,+IF(O$18='5.Variables'!$B$90,+'5.Variables'!$H98,+IF(O$18='5.Variables'!$B$104,+'5.Variables'!$H112,0))))))</f>
        <v>15.35</v>
      </c>
      <c r="P97" s="831">
        <f>IF(P$18='5.Variables'!$B$16,+'5.Variables'!$H32,+IF(P$18='5.Variables'!$B$39,+'5.Variables'!$H56,+IF(P$18='5.Variables'!$B$62,+'5.Variables'!$H70,+IF(P$18='5.Variables'!$B$76,+'5.Variables'!$H84,+IF(P$18='5.Variables'!$B$90,+'5.Variables'!$H98,+IF(P$18='5.Variables'!$B$104,+'5.Variables'!$H112,0))))))</f>
        <v>0</v>
      </c>
      <c r="Q97" s="244"/>
      <c r="R97" s="549">
        <f t="shared" si="10"/>
        <v>7071862.1470155129</v>
      </c>
      <c r="S97" s="263"/>
      <c r="T97" s="244"/>
      <c r="U97" s="244"/>
      <c r="V97" s="244"/>
      <c r="W97" s="244"/>
      <c r="X97" s="244"/>
      <c r="Y97" s="244"/>
      <c r="Z97" s="244"/>
      <c r="AA97" s="244"/>
      <c r="AB97" s="244"/>
      <c r="AC97" s="244"/>
      <c r="AD97" s="244"/>
      <c r="AE97" s="244"/>
      <c r="AF97" s="244"/>
      <c r="AG97" s="244"/>
      <c r="AH97" s="244"/>
      <c r="AI97" s="244"/>
      <c r="AJ97" s="244"/>
      <c r="AK97" s="244"/>
      <c r="AL97" s="244"/>
      <c r="AM97" s="244"/>
    </row>
    <row r="98" spans="1:39" x14ac:dyDescent="0.2">
      <c r="A98" s="497">
        <f t="shared" si="11"/>
        <v>79</v>
      </c>
      <c r="B98" s="260" t="str">
        <f>CONCATENATE('3. Consumption by Rate Class'!B103,"-",'3. Consumption by Rate Class'!C103)</f>
        <v>2012-July</v>
      </c>
      <c r="C98" s="684">
        <v>7973747</v>
      </c>
      <c r="D98" s="690">
        <v>-52611</v>
      </c>
      <c r="E98" s="690">
        <v>-60559</v>
      </c>
      <c r="F98" s="694"/>
      <c r="G98" s="690"/>
      <c r="H98" s="691"/>
      <c r="I98" s="691"/>
      <c r="J98" s="261">
        <f t="shared" si="9"/>
        <v>7860577</v>
      </c>
      <c r="K98" s="711">
        <f>IF(K$18='5.Variables'!$B$16,+'5.Variables'!$I33,+IF(K$18='5.Variables'!$B$39,+'5.Variables'!$I56,+IF(K$18='5.Variables'!$B$62,+'5.Variables'!$I70,+IF(K$18='5.Variables'!$B$76,+'5.Variables'!$I84,+IF(K$18='5.Variables'!$B$90,+'5.Variables'!$I98,+IF(K$18='5.Variables'!$B$104,+'5.Variables'!$I112,0))))))</f>
        <v>0</v>
      </c>
      <c r="L98" s="711">
        <f>IF(L$18='5.Variables'!$B$16,+'5.Variables'!$I32,+IF(L$18='5.Variables'!$B$39,+'5.Variables'!$I56,+IF(L$18='5.Variables'!$B$62,+'5.Variables'!$I70,+IF(L$18='5.Variables'!$B$76,+'5.Variables'!$I84,+IF(L$18='5.Variables'!$B$90,+'5.Variables'!$I98,+IF(L$18='5.Variables'!$B$104,+'5.Variables'!$I112,0))))))</f>
        <v>142.19999999999999</v>
      </c>
      <c r="M98" s="711">
        <f>IF(M$18='5.Variables'!$B$16,+'5.Variables'!$I32,+IF(M$18='5.Variables'!$B$39,+'5.Variables'!$I56,+IF(M$18='5.Variables'!$B$62,+'5.Variables'!$I70,+IF(M$18='5.Variables'!$B$76,+'5.Variables'!$I84,+IF(M$18='5.Variables'!$B$90,+'5.Variables'!$I98,+IF(M$18='5.Variables'!$B$104,+'5.Variables'!$I112,0))))))</f>
        <v>31</v>
      </c>
      <c r="N98" s="711">
        <f>IF(N$18='5.Variables'!$B$16,+'5.Variables'!$I32,+IF(N$18='5.Variables'!$B$39,+'5.Variables'!$I56,+IF(N$18='5.Variables'!$B$62,+'5.Variables'!$I70,+IF(N$18='5.Variables'!$B$76,+'5.Variables'!$I84,+IF(N$18='5.Variables'!$B$90,+'5.Variables'!$I98,+IF(N$18='5.Variables'!$B$104,+'5.Variables'!$I112,0))))))</f>
        <v>173.8</v>
      </c>
      <c r="O98" s="711">
        <f>IF(O$18='5.Variables'!$B$16,+'5.Variables'!$I32,+IF(O$18='5.Variables'!$B$39,+'5.Variables'!$I56,+IF(O$18='5.Variables'!$B$62,+'5.Variables'!$I70,+IF(O$18='5.Variables'!$B$76,+'5.Variables'!$I84,+IF(O$18='5.Variables'!$B$90,+'5.Variables'!$I98,+IF(O$18='5.Variables'!$B$104,+'5.Variables'!$I112,0))))))</f>
        <v>15.15</v>
      </c>
      <c r="P98" s="831">
        <f>IF(P$18='5.Variables'!$B$16,+'5.Variables'!$I32,+IF(P$18='5.Variables'!$B$39,+'5.Variables'!$I56,+IF(P$18='5.Variables'!$B$62,+'5.Variables'!$I70,+IF(P$18='5.Variables'!$B$76,+'5.Variables'!$I84,+IF(P$18='5.Variables'!$B$90,+'5.Variables'!$I98,+IF(P$18='5.Variables'!$B$104,+'5.Variables'!$I112,0))))))</f>
        <v>0</v>
      </c>
      <c r="Q98" s="244"/>
      <c r="R98" s="549">
        <f t="shared" si="10"/>
        <v>8105219.7239564862</v>
      </c>
      <c r="S98" s="263"/>
      <c r="T98" s="244"/>
      <c r="U98" s="244"/>
      <c r="V98" s="244"/>
      <c r="W98" s="244"/>
      <c r="X98" s="244"/>
      <c r="Y98" s="244"/>
      <c r="Z98" s="244"/>
      <c r="AA98" s="244"/>
      <c r="AB98" s="244"/>
      <c r="AC98" s="244"/>
      <c r="AD98" s="244"/>
      <c r="AE98" s="244"/>
      <c r="AF98" s="244"/>
      <c r="AG98" s="244"/>
      <c r="AH98" s="244"/>
      <c r="AI98" s="244"/>
      <c r="AJ98" s="244"/>
      <c r="AK98" s="244"/>
      <c r="AL98" s="244"/>
      <c r="AM98" s="244"/>
    </row>
    <row r="99" spans="1:39" x14ac:dyDescent="0.2">
      <c r="A99" s="497">
        <f t="shared" si="11"/>
        <v>80</v>
      </c>
      <c r="B99" s="260" t="str">
        <f>CONCATENATE('3. Consumption by Rate Class'!B104,"-",'3. Consumption by Rate Class'!C104)</f>
        <v>2012-August</v>
      </c>
      <c r="C99" s="684">
        <v>7623357</v>
      </c>
      <c r="D99" s="690">
        <v>-44864</v>
      </c>
      <c r="E99" s="690">
        <v>-57981</v>
      </c>
      <c r="F99" s="694"/>
      <c r="G99" s="690"/>
      <c r="H99" s="691"/>
      <c r="I99" s="691"/>
      <c r="J99" s="261">
        <f t="shared" si="9"/>
        <v>7520512</v>
      </c>
      <c r="K99" s="711">
        <f>IF(K$18='5.Variables'!$B$16,+'5.Variables'!$J33,+IF(K$18='5.Variables'!$B$39,+'5.Variables'!$J56,+IF(K$18='5.Variables'!$B$62,+'5.Variables'!$J70,+IF(K$18='5.Variables'!$B$76,+'5.Variables'!$J84,+IF(K$18='5.Variables'!$B$90,+'5.Variables'!$J98,+IF(K$18='5.Variables'!$B$104,+'5.Variables'!$J112,0))))))</f>
        <v>8.4</v>
      </c>
      <c r="L99" s="711">
        <f>IF(L$18='5.Variables'!$B$16,+'5.Variables'!$J32,+IF(L$18='5.Variables'!$B$39,+'5.Variables'!$J56,+IF(L$18='5.Variables'!$B$62,+'5.Variables'!$J70,+IF(L$18='5.Variables'!$B$76,+'5.Variables'!$J84,+IF(L$18='5.Variables'!$B$90,+'5.Variables'!$J98,+IF(L$18='5.Variables'!$B$104,+'5.Variables'!$J112,0))))))</f>
        <v>97.6</v>
      </c>
      <c r="M99" s="711">
        <f>IF(M$18='5.Variables'!$B$16,+'5.Variables'!$J32,+IF(M$18='5.Variables'!$B$39,+'5.Variables'!$J56,+IF(M$18='5.Variables'!$B$62,+'5.Variables'!$J70,+IF(M$18='5.Variables'!$B$76,+'5.Variables'!$J84,+IF(M$18='5.Variables'!$B$90,+'5.Variables'!$J98,+IF(M$18='5.Variables'!$B$104,+'5.Variables'!$J112,0))))))</f>
        <v>31</v>
      </c>
      <c r="N99" s="711">
        <f>IF(N$18='5.Variables'!$B$16,+'5.Variables'!$J32,+IF(N$18='5.Variables'!$B$39,+'5.Variables'!$J56,+IF(N$18='5.Variables'!$B$62,+'5.Variables'!$J70,+IF(N$18='5.Variables'!$B$76,+'5.Variables'!$J84,+IF(N$18='5.Variables'!$B$90,+'5.Variables'!$J98,+IF(N$18='5.Variables'!$B$104,+'5.Variables'!$J112,0))))))</f>
        <v>174.1</v>
      </c>
      <c r="O99" s="711">
        <f>IF(O$18='5.Variables'!$B$16,+'5.Variables'!$J32,+IF(O$18='5.Variables'!$B$39,+'5.Variables'!$J56,+IF(O$18='5.Variables'!$B$62,+'5.Variables'!$J70,+IF(O$18='5.Variables'!$B$76,+'5.Variables'!$J84,+IF(O$18='5.Variables'!$B$90,+'5.Variables'!$J98,+IF(O$18='5.Variables'!$B$104,+'5.Variables'!$J112,0))))))</f>
        <v>14.03</v>
      </c>
      <c r="P99" s="831">
        <f>IF(P$18='5.Variables'!$B$16,+'5.Variables'!$J32,+IF(P$18='5.Variables'!$B$39,+'5.Variables'!$J56,+IF(P$18='5.Variables'!$B$62,+'5.Variables'!$J70,+IF(P$18='5.Variables'!$B$76,+'5.Variables'!$J84,+IF(P$18='5.Variables'!$B$90,+'5.Variables'!$J98,+IF(P$18='5.Variables'!$B$104,+'5.Variables'!$J112,0))))))</f>
        <v>0</v>
      </c>
      <c r="Q99" s="244"/>
      <c r="R99" s="549">
        <f t="shared" si="10"/>
        <v>7571799.5045635942</v>
      </c>
      <c r="S99" s="263"/>
      <c r="T99" s="244"/>
      <c r="U99" s="244"/>
      <c r="V99" s="244"/>
      <c r="W99" s="244"/>
      <c r="X99" s="244"/>
      <c r="Y99" s="244"/>
      <c r="Z99" s="244"/>
      <c r="AA99" s="244"/>
      <c r="AB99" s="244"/>
      <c r="AC99" s="244"/>
      <c r="AD99" s="244"/>
      <c r="AE99" s="244"/>
      <c r="AF99" s="244"/>
      <c r="AG99" s="244"/>
      <c r="AH99" s="244"/>
      <c r="AI99" s="244"/>
      <c r="AJ99" s="244"/>
      <c r="AK99" s="244"/>
      <c r="AL99" s="244"/>
      <c r="AM99" s="244"/>
    </row>
    <row r="100" spans="1:39" x14ac:dyDescent="0.2">
      <c r="A100" s="497">
        <f t="shared" si="11"/>
        <v>81</v>
      </c>
      <c r="B100" s="260" t="str">
        <f>CONCATENATE('3. Consumption by Rate Class'!B105,"-",'3. Consumption by Rate Class'!C105)</f>
        <v>2012-September</v>
      </c>
      <c r="C100" s="684">
        <v>6780082</v>
      </c>
      <c r="D100" s="690">
        <v>-34324</v>
      </c>
      <c r="E100" s="690">
        <v>-55999</v>
      </c>
      <c r="F100" s="694"/>
      <c r="G100" s="690"/>
      <c r="H100" s="691"/>
      <c r="I100" s="691"/>
      <c r="J100" s="261">
        <f t="shared" si="9"/>
        <v>6689759</v>
      </c>
      <c r="K100" s="711">
        <f>IF(K$18='5.Variables'!$B$16,+'5.Variables'!$K33,+IF(K$18='5.Variables'!$B$39,+'5.Variables'!$K56,+IF(K$18='5.Variables'!$B$62,+'5.Variables'!$K70,+IF(K$18='5.Variables'!$B$76,+'5.Variables'!$K84,+IF(K$18='5.Variables'!$B$90,+'5.Variables'!$K98,+IF(K$18='5.Variables'!$B$104,+'5.Variables'!$K112,0))))))</f>
        <v>127.3</v>
      </c>
      <c r="L100" s="711">
        <f>IF(L$18='5.Variables'!$B$16,+'5.Variables'!$K32,+IF(L$18='5.Variables'!$B$39,+'5.Variables'!$K56,+IF(L$18='5.Variables'!$B$62,+'5.Variables'!$K70,+IF(L$18='5.Variables'!$B$76,+'5.Variables'!$K84,+IF(L$18='5.Variables'!$B$90,+'5.Variables'!$K98,+IF(L$18='5.Variables'!$B$104,+'5.Variables'!$K112,0))))))</f>
        <v>20.6</v>
      </c>
      <c r="M100" s="711">
        <f>IF(M$18='5.Variables'!$B$16,+'5.Variables'!$K32,+IF(M$18='5.Variables'!$B$39,+'5.Variables'!$K56,+IF(M$18='5.Variables'!$B$62,+'5.Variables'!$K70,+IF(M$18='5.Variables'!$B$76,+'5.Variables'!$K84,+IF(M$18='5.Variables'!$B$90,+'5.Variables'!$K98,+IF(M$18='5.Variables'!$B$104,+'5.Variables'!$K112,0))))))</f>
        <v>30</v>
      </c>
      <c r="N100" s="711">
        <f>IF(N$18='5.Variables'!$B$16,+'5.Variables'!$K32,+IF(N$18='5.Variables'!$B$39,+'5.Variables'!$K56,+IF(N$18='5.Variables'!$B$62,+'5.Variables'!$K70,+IF(N$18='5.Variables'!$B$76,+'5.Variables'!$K84,+IF(N$18='5.Variables'!$B$90,+'5.Variables'!$K98,+IF(N$18='5.Variables'!$B$104,+'5.Variables'!$K112,0))))))</f>
        <v>169.8</v>
      </c>
      <c r="O100" s="711">
        <f>IF(O$18='5.Variables'!$B$16,+'5.Variables'!$K32,+IF(O$18='5.Variables'!$B$39,+'5.Variables'!$K56,+IF(O$18='5.Variables'!$B$62,+'5.Variables'!$K70,+IF(O$18='5.Variables'!$B$76,+'5.Variables'!$K84,+IF(O$18='5.Variables'!$B$90,+'5.Variables'!$K98,+IF(O$18='5.Variables'!$B$104,+'5.Variables'!$K112,0))))))</f>
        <v>12.29</v>
      </c>
      <c r="P100" s="831">
        <f>IF(P$18='5.Variables'!$B$16,+'5.Variables'!$K32,+IF(P$18='5.Variables'!$B$39,+'5.Variables'!$K56,+IF(P$18='5.Variables'!$B$62,+'5.Variables'!$K70,+IF(P$18='5.Variables'!$B$76,+'5.Variables'!$K84,+IF(P$18='5.Variables'!$B$90,+'5.Variables'!$K98,+IF(P$18='5.Variables'!$B$104,+'5.Variables'!$K112,0))))))</f>
        <v>0</v>
      </c>
      <c r="Q100" s="244"/>
      <c r="R100" s="549">
        <f t="shared" si="10"/>
        <v>6755888.4101290526</v>
      </c>
      <c r="S100" s="263"/>
      <c r="T100" s="244"/>
      <c r="U100" s="244"/>
      <c r="V100" s="244"/>
      <c r="W100" s="244"/>
      <c r="X100" s="244"/>
      <c r="Y100" s="244"/>
      <c r="Z100" s="244"/>
      <c r="AA100" s="244"/>
      <c r="AB100" s="244"/>
      <c r="AC100" s="244"/>
      <c r="AD100" s="244"/>
      <c r="AE100" s="244"/>
      <c r="AF100" s="244"/>
      <c r="AG100" s="244"/>
      <c r="AH100" s="244"/>
      <c r="AI100" s="244"/>
      <c r="AJ100" s="244"/>
      <c r="AK100" s="244"/>
      <c r="AL100" s="244"/>
      <c r="AM100" s="244"/>
    </row>
    <row r="101" spans="1:39" x14ac:dyDescent="0.2">
      <c r="A101" s="497">
        <f t="shared" si="11"/>
        <v>82</v>
      </c>
      <c r="B101" s="260" t="str">
        <f>CONCATENATE('3. Consumption by Rate Class'!B106,"-",'3. Consumption by Rate Class'!C106)</f>
        <v>2012-October</v>
      </c>
      <c r="C101" s="684">
        <v>7048526</v>
      </c>
      <c r="D101" s="690">
        <v>-39273</v>
      </c>
      <c r="E101" s="690">
        <v>-43682</v>
      </c>
      <c r="F101" s="694"/>
      <c r="G101" s="690"/>
      <c r="H101" s="691"/>
      <c r="I101" s="691"/>
      <c r="J101" s="261">
        <f t="shared" si="9"/>
        <v>6965571</v>
      </c>
      <c r="K101" s="711">
        <f>IF(K$18='5.Variables'!$B$16,+'5.Variables'!$L33,+IF(K$18='5.Variables'!$B$39,+'5.Variables'!$L56,+IF(K$18='5.Variables'!$B$62,+'5.Variables'!$L70,+IF(K$18='5.Variables'!$B$76,+'5.Variables'!$L84,+IF(K$18='5.Variables'!$B$90,+'5.Variables'!$L98,+IF(K$18='5.Variables'!$B$104,+'5.Variables'!$L112,0))))))</f>
        <v>243.1</v>
      </c>
      <c r="L101" s="711">
        <f>IF(L$18='5.Variables'!$B$16,+'5.Variables'!$L32,+IF(L$18='5.Variables'!$B$39,+'5.Variables'!$L56,+IF(L$18='5.Variables'!$B$62,+'5.Variables'!$L70,+IF(L$18='5.Variables'!$B$76,+'5.Variables'!$L84,+IF(L$18='5.Variables'!$B$90,+'5.Variables'!$L98,+IF(L$18='5.Variables'!$B$104,+'5.Variables'!$L112,0))))))</f>
        <v>0</v>
      </c>
      <c r="M101" s="711">
        <f>IF(M$18='5.Variables'!$B$16,+'5.Variables'!$L32,+IF(M$18='5.Variables'!$B$39,+'5.Variables'!$L56,+IF(M$18='5.Variables'!$B$62,+'5.Variables'!$L70,+IF(M$18='5.Variables'!$B$76,+'5.Variables'!$L84,+IF(M$18='5.Variables'!$B$90,+'5.Variables'!$L98,+IF(M$18='5.Variables'!$B$104,+'5.Variables'!$L112,0))))))</f>
        <v>31</v>
      </c>
      <c r="N101" s="711">
        <f>IF(N$18='5.Variables'!$B$16,+'5.Variables'!$L32,+IF(N$18='5.Variables'!$B$39,+'5.Variables'!$L56,+IF(N$18='5.Variables'!$B$62,+'5.Variables'!$L70,+IF(N$18='5.Variables'!$B$76,+'5.Variables'!$L84,+IF(N$18='5.Variables'!$B$90,+'5.Variables'!$L98,+IF(N$18='5.Variables'!$B$104,+'5.Variables'!$L112,0))))))</f>
        <v>166</v>
      </c>
      <c r="O101" s="711">
        <f>IF(O$18='5.Variables'!$B$16,+'5.Variables'!$L32,+IF(O$18='5.Variables'!$B$39,+'5.Variables'!$L56,+IF(O$18='5.Variables'!$B$62,+'5.Variables'!$L70,+IF(O$18='5.Variables'!$B$76,+'5.Variables'!$L84,+IF(O$18='5.Variables'!$B$90,+'5.Variables'!$L98,+IF(O$18='5.Variables'!$B$104,+'5.Variables'!$L112,0))))))</f>
        <v>10.51</v>
      </c>
      <c r="P101" s="831">
        <f>IF(P$18='5.Variables'!$B$16,+'5.Variables'!$L32,+IF(P$18='5.Variables'!$B$39,+'5.Variables'!$L56,+IF(P$18='5.Variables'!$B$62,+'5.Variables'!$L70,+IF(P$18='5.Variables'!$B$76,+'5.Variables'!$L84,+IF(P$18='5.Variables'!$B$90,+'5.Variables'!$L98,+IF(P$18='5.Variables'!$B$104,+'5.Variables'!$L112,0))))))</f>
        <v>0</v>
      </c>
      <c r="Q101" s="244"/>
      <c r="R101" s="549">
        <f t="shared" si="10"/>
        <v>7006970.510188777</v>
      </c>
      <c r="S101" s="263"/>
      <c r="T101" s="244"/>
      <c r="U101" s="244"/>
      <c r="V101" s="244"/>
      <c r="W101" s="244"/>
      <c r="X101" s="244"/>
      <c r="Y101" s="244"/>
      <c r="Z101" s="244"/>
      <c r="AA101" s="244"/>
      <c r="AB101" s="244"/>
      <c r="AC101" s="244"/>
      <c r="AD101" s="244"/>
      <c r="AE101" s="244"/>
      <c r="AF101" s="244"/>
      <c r="AG101" s="244"/>
      <c r="AH101" s="244"/>
      <c r="AI101" s="244"/>
      <c r="AJ101" s="244"/>
      <c r="AK101" s="244"/>
      <c r="AL101" s="244"/>
      <c r="AM101" s="244"/>
    </row>
    <row r="102" spans="1:39" x14ac:dyDescent="0.2">
      <c r="A102" s="497">
        <f t="shared" si="11"/>
        <v>83</v>
      </c>
      <c r="B102" s="260" t="str">
        <f>CONCATENATE('3. Consumption by Rate Class'!B107,"-",'3. Consumption by Rate Class'!C107)</f>
        <v>2012-November</v>
      </c>
      <c r="C102" s="684">
        <v>7601279</v>
      </c>
      <c r="D102" s="690">
        <v>-45843</v>
      </c>
      <c r="E102" s="690">
        <v>-56116</v>
      </c>
      <c r="F102" s="694"/>
      <c r="G102" s="690"/>
      <c r="H102" s="691"/>
      <c r="I102" s="691"/>
      <c r="J102" s="261">
        <f t="shared" si="9"/>
        <v>7499320</v>
      </c>
      <c r="K102" s="711">
        <f>IF(K$18='5.Variables'!$B$16,+'5.Variables'!$M33,+IF(K$18='5.Variables'!$B$39,+'5.Variables'!$M56,+IF(K$18='5.Variables'!$B$62,+'5.Variables'!$M70,+IF(K$18='5.Variables'!$B$76,+'5.Variables'!$M84,+IF(K$18='5.Variables'!$B$90,+'5.Variables'!$M98,+IF(K$18='5.Variables'!$B$104,+'5.Variables'!$M112,0))))))</f>
        <v>541.70000000000005</v>
      </c>
      <c r="L102" s="711">
        <f>IF(L$18='5.Variables'!$B$16,+'5.Variables'!$M32,+IF(L$18='5.Variables'!$B$39,+'5.Variables'!$M56,+IF(L$18='5.Variables'!$B$62,+'5.Variables'!$M70,+IF(L$18='5.Variables'!$B$76,+'5.Variables'!$M84,+IF(L$18='5.Variables'!$B$90,+'5.Variables'!$M98,+IF(L$18='5.Variables'!$B$104,+'5.Variables'!$M112,0))))))</f>
        <v>0</v>
      </c>
      <c r="M102" s="711">
        <f>IF(M$18='5.Variables'!$B$16,+'5.Variables'!$M32,+IF(M$18='5.Variables'!$B$39,+'5.Variables'!$M56,+IF(M$18='5.Variables'!$B$62,+'5.Variables'!$M70,+IF(M$18='5.Variables'!$B$76,+'5.Variables'!$M84,+IF(M$18='5.Variables'!$B$90,+'5.Variables'!$M98,+IF(M$18='5.Variables'!$B$104,+'5.Variables'!$M112,0))))))</f>
        <v>30</v>
      </c>
      <c r="N102" s="711">
        <f>IF(N$18='5.Variables'!$B$16,+'5.Variables'!$M32,+IF(N$18='5.Variables'!$B$39,+'5.Variables'!$M56,+IF(N$18='5.Variables'!$B$62,+'5.Variables'!$M70,+IF(N$18='5.Variables'!$B$76,+'5.Variables'!$M84,+IF(N$18='5.Variables'!$B$90,+'5.Variables'!$M98,+IF(N$18='5.Variables'!$B$104,+'5.Variables'!$M112,0))))))</f>
        <v>162.69999999999999</v>
      </c>
      <c r="O102" s="711">
        <f>IF(O$18='5.Variables'!$B$16,+'5.Variables'!$M32,+IF(O$18='5.Variables'!$B$39,+'5.Variables'!$M56,+IF(O$18='5.Variables'!$B$62,+'5.Variables'!$M70,+IF(O$18='5.Variables'!$B$76,+'5.Variables'!$M84,+IF(O$18='5.Variables'!$B$90,+'5.Variables'!$M98,+IF(O$18='5.Variables'!$B$104,+'5.Variables'!$M112,0))))))</f>
        <v>9.2799999999999994</v>
      </c>
      <c r="P102" s="831">
        <f>IF(P$18='5.Variables'!$B$16,+'5.Variables'!$M32,+IF(P$18='5.Variables'!$B$39,+'5.Variables'!$M56,+IF(P$18='5.Variables'!$B$62,+'5.Variables'!$M70,+IF(P$18='5.Variables'!$B$76,+'5.Variables'!$M84,+IF(P$18='5.Variables'!$B$90,+'5.Variables'!$M98,+IF(P$18='5.Variables'!$B$104,+'5.Variables'!$M112,0))))))</f>
        <v>0</v>
      </c>
      <c r="Q102" s="244"/>
      <c r="R102" s="549">
        <f t="shared" si="10"/>
        <v>7750658.688352149</v>
      </c>
      <c r="S102" s="263"/>
      <c r="T102" s="244"/>
      <c r="U102" s="244"/>
      <c r="V102" s="244"/>
      <c r="W102" s="244"/>
      <c r="X102" s="244"/>
      <c r="Y102" s="244"/>
      <c r="Z102" s="244"/>
      <c r="AA102" s="244"/>
      <c r="AB102" s="244"/>
      <c r="AC102" s="244"/>
      <c r="AD102" s="244"/>
      <c r="AE102" s="244"/>
      <c r="AF102" s="244"/>
      <c r="AG102" s="244"/>
      <c r="AH102" s="244"/>
      <c r="AI102" s="244"/>
      <c r="AJ102" s="244"/>
      <c r="AK102" s="244"/>
      <c r="AL102" s="244"/>
      <c r="AM102" s="244"/>
    </row>
    <row r="103" spans="1:39" x14ac:dyDescent="0.2">
      <c r="A103" s="497">
        <f t="shared" si="11"/>
        <v>84</v>
      </c>
      <c r="B103" s="516" t="str">
        <f>CONCATENATE('3. Consumption by Rate Class'!B108,"-",'3. Consumption by Rate Class'!C108)</f>
        <v>2012-December</v>
      </c>
      <c r="C103" s="685">
        <v>8509800</v>
      </c>
      <c r="D103" s="692">
        <v>-30893</v>
      </c>
      <c r="E103" s="692">
        <v>-70934</v>
      </c>
      <c r="F103" s="692"/>
      <c r="G103" s="692"/>
      <c r="H103" s="693"/>
      <c r="I103" s="693"/>
      <c r="J103" s="261">
        <f t="shared" si="9"/>
        <v>8407973</v>
      </c>
      <c r="K103" s="711">
        <f>IF(K$18='5.Variables'!$B$16,+'5.Variables'!$N33,+IF(K$18='5.Variables'!$B$39,+'5.Variables'!$N56,+IF(K$18='5.Variables'!$B$62,+'5.Variables'!$N70,+IF(K$18='5.Variables'!$B$76,+'5.Variables'!$N84,+IF(K$18='5.Variables'!$B$90,+'5.Variables'!$N98,+IF(K$18='5.Variables'!$B$104,+'5.Variables'!$N112,0))))))</f>
        <v>680.6</v>
      </c>
      <c r="L103" s="711">
        <f>IF(L$18='5.Variables'!$B$16,+'5.Variables'!$N32,+IF(L$18='5.Variables'!$B$39,+'5.Variables'!$N56,+IF(L$18='5.Variables'!$B$62,+'5.Variables'!$N70,+IF(L$18='5.Variables'!$B$76,+'5.Variables'!$N84,+IF(L$18='5.Variables'!$B$90,+'5.Variables'!$N98,+IF(L$18='5.Variables'!$B$104,+'5.Variables'!$N112,0))))))</f>
        <v>0</v>
      </c>
      <c r="M103" s="711">
        <f>IF(M$18='5.Variables'!$B$16,+'5.Variables'!$N32,+IF(M$18='5.Variables'!$B$39,+'5.Variables'!$N56,+IF(M$18='5.Variables'!$B$62,+'5.Variables'!$N70,+IF(M$18='5.Variables'!$B$76,+'5.Variables'!$N84,+IF(M$18='5.Variables'!$B$90,+'5.Variables'!$N98,+IF(M$18='5.Variables'!$B$104,+'5.Variables'!$N112,0))))))</f>
        <v>31</v>
      </c>
      <c r="N103" s="711">
        <f>IF(N$18='5.Variables'!$B$16,+'5.Variables'!$N32,+IF(N$18='5.Variables'!$B$39,+'5.Variables'!$N56,+IF(N$18='5.Variables'!$B$62,+'5.Variables'!$N70,+IF(N$18='5.Variables'!$B$76,+'5.Variables'!$N84,+IF(N$18='5.Variables'!$B$90,+'5.Variables'!$N98,+IF(N$18='5.Variables'!$B$104,+'5.Variables'!$N112,0))))))</f>
        <v>164</v>
      </c>
      <c r="O103" s="711">
        <f>IF(O$18='5.Variables'!$B$16,+'5.Variables'!$N32,+IF(O$18='5.Variables'!$B$39,+'5.Variables'!$N56,+IF(O$18='5.Variables'!$B$62,+'5.Variables'!$N70,+IF(O$18='5.Variables'!$B$76,+'5.Variables'!$N84,+IF(O$18='5.Variables'!$B$90,+'5.Variables'!$N98,+IF(O$18='5.Variables'!$B$104,+'5.Variables'!$N112,0))))))</f>
        <v>8.4700000000000006</v>
      </c>
      <c r="P103" s="831">
        <f>IF(P$18='5.Variables'!$B$16,+'5.Variables'!$N32,+IF(P$18='5.Variables'!$B$39,+'5.Variables'!$N56,+IF(P$18='5.Variables'!$B$62,+'5.Variables'!$N70,+IF(P$18='5.Variables'!$B$76,+'5.Variables'!$N84,+IF(P$18='5.Variables'!$B$90,+'5.Variables'!$N98,+IF(P$18='5.Variables'!$B$104,+'5.Variables'!$N112,0))))))</f>
        <v>0</v>
      </c>
      <c r="Q103" s="244"/>
      <c r="R103" s="549">
        <f t="shared" si="10"/>
        <v>8454145.7321068924</v>
      </c>
      <c r="S103" s="263">
        <f>SUM(R92:R103)</f>
        <v>91835018.09547931</v>
      </c>
      <c r="T103" s="244"/>
      <c r="U103" s="244"/>
      <c r="V103" s="244"/>
      <c r="W103" s="244"/>
      <c r="X103" s="244"/>
      <c r="Y103" s="244"/>
      <c r="Z103" s="244"/>
      <c r="AA103" s="244"/>
      <c r="AB103" s="244"/>
      <c r="AC103" s="244"/>
      <c r="AD103" s="244"/>
      <c r="AE103" s="244"/>
      <c r="AF103" s="244"/>
      <c r="AG103" s="244"/>
      <c r="AH103" s="244"/>
      <c r="AI103" s="244"/>
      <c r="AJ103" s="244"/>
      <c r="AK103" s="244"/>
      <c r="AL103" s="244"/>
      <c r="AM103" s="244"/>
    </row>
    <row r="104" spans="1:39" x14ac:dyDescent="0.2">
      <c r="A104" s="497">
        <f t="shared" si="11"/>
        <v>85</v>
      </c>
      <c r="B104" s="260" t="str">
        <f>CONCATENATE('3. Consumption by Rate Class'!B109,"-",'3. Consumption by Rate Class'!C109)</f>
        <v>2013-January</v>
      </c>
      <c r="C104" s="684">
        <v>9101600</v>
      </c>
      <c r="D104" s="690">
        <v>-30771</v>
      </c>
      <c r="E104" s="690">
        <v>-66933</v>
      </c>
      <c r="F104" s="694"/>
      <c r="G104" s="690"/>
      <c r="H104" s="691"/>
      <c r="I104" s="691"/>
      <c r="J104" s="261">
        <f t="shared" si="9"/>
        <v>9003896</v>
      </c>
      <c r="K104" s="711">
        <f>IF(K$18='5.Variables'!$B$16,+'5.Variables'!$C34,+IF(K$18='5.Variables'!$B$39,+'5.Variables'!$C57,+IF(K$18='5.Variables'!$B$62,+'5.Variables'!$C71,+IF(K$18='5.Variables'!$B$76,+'5.Variables'!$C85,+IF(K$18='5.Variables'!$B$90,+'5.Variables'!$C99,+IF(K$18='5.Variables'!$B$104,+'5.Variables'!$C113,0))))))</f>
        <v>839.9</v>
      </c>
      <c r="L104" s="711">
        <f>IF(L$18='5.Variables'!$B$16,+'5.Variables'!$C33,+IF(L$18='5.Variables'!$B$39,+'5.Variables'!$C57,+IF(L$18='5.Variables'!$B$62,+'5.Variables'!$C71,+IF(L$18='5.Variables'!$B$76,+'5.Variables'!$C85,+IF(L$18='5.Variables'!$B$90,+'5.Variables'!$C99,+IF(L$18='5.Variables'!$B$104,+'5.Variables'!$C113,0))))))</f>
        <v>0</v>
      </c>
      <c r="M104" s="711">
        <f>IF(M$18='5.Variables'!$B$16,+'5.Variables'!$C33,+IF(M$18='5.Variables'!$B$39,+'5.Variables'!$C57,+IF(M$18='5.Variables'!$B$62,+'5.Variables'!$C71,+IF(M$18='5.Variables'!$B$76,+'5.Variables'!$C85,+IF(M$18='5.Variables'!$B$90,+'5.Variables'!$C99,+IF(M$18='5.Variables'!$B$104,+'5.Variables'!$C113,0))))))</f>
        <v>31</v>
      </c>
      <c r="N104" s="711">
        <f>IF(N$18='5.Variables'!$B$16,+'5.Variables'!$C33,+IF(N$18='5.Variables'!$B$39,+'5.Variables'!$C57,+IF(N$18='5.Variables'!$B$62,+'5.Variables'!$C71,+IF(N$18='5.Variables'!$B$76,+'5.Variables'!$C85,+IF(N$18='5.Variables'!$B$90,+'5.Variables'!$C99,+IF(N$18='5.Variables'!$B$104,+'5.Variables'!$C113,0))))))</f>
        <v>164.2</v>
      </c>
      <c r="O104" s="711">
        <f>IF(O$18='5.Variables'!$B$16,+'5.Variables'!$C33,+IF(O$18='5.Variables'!$B$39,+'5.Variables'!$C57,+IF(O$18='5.Variables'!$B$62,+'5.Variables'!$C71,+IF(O$18='5.Variables'!$B$76,+'5.Variables'!$C85,+IF(O$18='5.Variables'!$B$90,+'5.Variables'!$C99,+IF(O$18='5.Variables'!$B$104,+'5.Variables'!$C113,0))))))</f>
        <v>9.09</v>
      </c>
      <c r="P104" s="831">
        <f>IF(P$18='5.Variables'!$B$16,+'5.Variables'!$C33,+IF(P$18='5.Variables'!$B$39,+'5.Variables'!$C57,+IF(P$18='5.Variables'!$B$62,+'5.Variables'!$C71,+IF(P$18='5.Variables'!$B$76,+'5.Variables'!$C85,+IF(P$18='5.Variables'!$B$90,+'5.Variables'!$C99,+IF(P$18='5.Variables'!$B$104,+'5.Variables'!$C113,0))))))</f>
        <v>0</v>
      </c>
      <c r="Q104" s="244"/>
      <c r="R104" s="549">
        <f t="shared" si="10"/>
        <v>9092408.195934236</v>
      </c>
      <c r="S104" s="263"/>
      <c r="T104" s="244"/>
      <c r="U104" s="244"/>
      <c r="V104" s="244"/>
      <c r="W104" s="244"/>
      <c r="X104" s="244"/>
      <c r="Y104" s="244"/>
      <c r="Z104" s="244"/>
      <c r="AA104" s="244"/>
      <c r="AB104" s="244"/>
      <c r="AC104" s="244"/>
      <c r="AD104" s="244"/>
      <c r="AE104" s="244"/>
      <c r="AF104" s="244"/>
      <c r="AG104" s="244"/>
      <c r="AH104" s="244"/>
      <c r="AI104" s="244"/>
      <c r="AJ104" s="244"/>
      <c r="AK104" s="244"/>
      <c r="AL104" s="244"/>
      <c r="AM104" s="244"/>
    </row>
    <row r="105" spans="1:39" x14ac:dyDescent="0.2">
      <c r="A105" s="497">
        <f t="shared" si="11"/>
        <v>86</v>
      </c>
      <c r="B105" s="260" t="str">
        <f>CONCATENATE('3. Consumption by Rate Class'!B110,"-",'3. Consumption by Rate Class'!C110)</f>
        <v>2013-February</v>
      </c>
      <c r="C105" s="684">
        <v>7991165</v>
      </c>
      <c r="D105" s="690">
        <v>-32610</v>
      </c>
      <c r="E105" s="690">
        <v>-79343</v>
      </c>
      <c r="F105" s="694"/>
      <c r="G105" s="690"/>
      <c r="H105" s="691"/>
      <c r="I105" s="691"/>
      <c r="J105" s="261">
        <f t="shared" si="9"/>
        <v>7879212</v>
      </c>
      <c r="K105" s="711">
        <f>IF(K$18='5.Variables'!$B$16,+'5.Variables'!$D34,+IF(K$18='5.Variables'!$B$39,+'5.Variables'!$D57,+IF(K$18='5.Variables'!$B$62,+'5.Variables'!$D71,+IF(K$18='5.Variables'!$B$76,+'5.Variables'!$D85,+IF(K$18='5.Variables'!$B$90,+'5.Variables'!$D99,+IF(K$18='5.Variables'!$B$104,+'5.Variables'!$D113,0))))))</f>
        <v>728.5</v>
      </c>
      <c r="L105" s="711">
        <f>IF(L$18='5.Variables'!$B$16,+'5.Variables'!$D33,+IF(L$18='5.Variables'!$B$39,+'5.Variables'!$D57,+IF(L$18='5.Variables'!$B$62,+'5.Variables'!$D71,+IF(L$18='5.Variables'!$B$76,+'5.Variables'!$D85,+IF(L$18='5.Variables'!$B$90,+'5.Variables'!$D99,+IF(L$18='5.Variables'!$B$104,+'5.Variables'!$D113,0))))))</f>
        <v>0</v>
      </c>
      <c r="M105" s="711">
        <f>IF(M$18='5.Variables'!$B$16,+'5.Variables'!$D33,+IF(M$18='5.Variables'!$B$39,+'5.Variables'!$D57,+IF(M$18='5.Variables'!$B$62,+'5.Variables'!$D71,+IF(M$18='5.Variables'!$B$76,+'5.Variables'!$D85,+IF(M$18='5.Variables'!$B$90,+'5.Variables'!$D99,+IF(M$18='5.Variables'!$B$104,+'5.Variables'!$D113,0))))))</f>
        <v>29</v>
      </c>
      <c r="N105" s="711">
        <f>IF(N$18='5.Variables'!$B$16,+'5.Variables'!$D33,+IF(N$18='5.Variables'!$B$39,+'5.Variables'!$D57,+IF(N$18='5.Variables'!$B$62,+'5.Variables'!$D71,+IF(N$18='5.Variables'!$B$76,+'5.Variables'!$D85,+IF(N$18='5.Variables'!$B$90,+'5.Variables'!$D99,+IF(N$18='5.Variables'!$B$104,+'5.Variables'!$D113,0))))))</f>
        <v>165</v>
      </c>
      <c r="O105" s="711">
        <f>IF(O$18='5.Variables'!$B$16,+'5.Variables'!$D33,+IF(O$18='5.Variables'!$B$39,+'5.Variables'!$D57,+IF(O$18='5.Variables'!$B$62,+'5.Variables'!$D71,+IF(O$18='5.Variables'!$B$76,+'5.Variables'!$D85,+IF(O$18='5.Variables'!$B$90,+'5.Variables'!$D99,+IF(O$18='5.Variables'!$B$104,+'5.Variables'!$D113,0))))))</f>
        <v>10.19</v>
      </c>
      <c r="P105" s="831">
        <f>IF(P$18='5.Variables'!$B$16,+'5.Variables'!$D33,+IF(P$18='5.Variables'!$B$39,+'5.Variables'!$D57,+IF(P$18='5.Variables'!$B$62,+'5.Variables'!$D71,+IF(P$18='5.Variables'!$B$76,+'5.Variables'!$D85,+IF(P$18='5.Variables'!$B$90,+'5.Variables'!$D99,+IF(P$18='5.Variables'!$B$104,+'5.Variables'!$D113,0))))))</f>
        <v>0</v>
      </c>
      <c r="Q105" s="244"/>
      <c r="R105" s="549">
        <f t="shared" si="10"/>
        <v>8312550.7981742071</v>
      </c>
      <c r="S105" s="263"/>
      <c r="T105" s="244"/>
      <c r="U105" s="244"/>
      <c r="V105" s="244"/>
      <c r="W105" s="244"/>
      <c r="X105" s="244"/>
      <c r="Y105" s="244"/>
      <c r="Z105" s="244"/>
      <c r="AA105" s="244"/>
      <c r="AB105" s="244"/>
      <c r="AC105" s="244"/>
      <c r="AD105" s="244"/>
      <c r="AE105" s="244"/>
      <c r="AF105" s="244"/>
      <c r="AG105" s="244"/>
      <c r="AH105" s="244"/>
      <c r="AI105" s="244"/>
      <c r="AJ105" s="244"/>
      <c r="AK105" s="244"/>
      <c r="AL105" s="244"/>
      <c r="AM105" s="244"/>
    </row>
    <row r="106" spans="1:39" x14ac:dyDescent="0.2">
      <c r="A106" s="497">
        <f t="shared" si="11"/>
        <v>87</v>
      </c>
      <c r="B106" s="260" t="str">
        <f>CONCATENATE('3. Consumption by Rate Class'!B111,"-",'3. Consumption by Rate Class'!C111)</f>
        <v>2013-March</v>
      </c>
      <c r="C106" s="684">
        <v>8052530</v>
      </c>
      <c r="D106" s="690">
        <v>-27801</v>
      </c>
      <c r="E106" s="690">
        <v>-55965</v>
      </c>
      <c r="F106" s="694"/>
      <c r="G106" s="690"/>
      <c r="H106" s="691"/>
      <c r="I106" s="691"/>
      <c r="J106" s="261">
        <f t="shared" si="9"/>
        <v>7968764</v>
      </c>
      <c r="K106" s="711">
        <f>IF(K$18='5.Variables'!$B$16,+'5.Variables'!$E34,+IF(K$18='5.Variables'!$B$39,+'5.Variables'!$E57,+IF(K$18='5.Variables'!$B$62,+'5.Variables'!$E71,+IF(K$18='5.Variables'!$B$76,+'5.Variables'!$E85,+IF(K$18='5.Variables'!$B$90,+'5.Variables'!$E99,+IF(K$18='5.Variables'!$B$104,+'5.Variables'!$E113,0))))))</f>
        <v>579.6</v>
      </c>
      <c r="L106" s="711">
        <f>IF(L$18='5.Variables'!$B$16,+'5.Variables'!$E33,+IF(L$18='5.Variables'!$B$39,+'5.Variables'!$E57,+IF(L$18='5.Variables'!$B$62,+'5.Variables'!$E71,+IF(L$18='5.Variables'!$B$76,+'5.Variables'!$E85,+IF(L$18='5.Variables'!$B$90,+'5.Variables'!$E99,+IF(L$18='5.Variables'!$B$104,+'5.Variables'!$E113,0))))))</f>
        <v>0</v>
      </c>
      <c r="M106" s="711">
        <f>IF(M$18='5.Variables'!$B$16,+'5.Variables'!$E33,+IF(M$18='5.Variables'!$B$39,+'5.Variables'!$E57,+IF(M$18='5.Variables'!$B$62,+'5.Variables'!$E71,+IF(M$18='5.Variables'!$B$76,+'5.Variables'!$E85,+IF(M$18='5.Variables'!$B$90,+'5.Variables'!$E99,+IF(M$18='5.Variables'!$B$104,+'5.Variables'!$E113,0))))))</f>
        <v>31</v>
      </c>
      <c r="N106" s="711">
        <f>IF(N$18='5.Variables'!$B$16,+'5.Variables'!$E33,+IF(N$18='5.Variables'!$B$39,+'5.Variables'!$E57,+IF(N$18='5.Variables'!$B$62,+'5.Variables'!$E71,+IF(N$18='5.Variables'!$B$76,+'5.Variables'!$E85,+IF(N$18='5.Variables'!$B$90,+'5.Variables'!$E99,+IF(N$18='5.Variables'!$B$104,+'5.Variables'!$E113,0))))))</f>
        <v>165</v>
      </c>
      <c r="O106" s="711">
        <f>IF(O$18='5.Variables'!$B$16,+'5.Variables'!$E33,+IF(O$18='5.Variables'!$B$39,+'5.Variables'!$E57,+IF(O$18='5.Variables'!$B$62,+'5.Variables'!$E71,+IF(O$18='5.Variables'!$B$76,+'5.Variables'!$E85,+IF(O$18='5.Variables'!$B$90,+'5.Variables'!$E99,+IF(O$18='5.Variables'!$B$104,+'5.Variables'!$E113,0))))))</f>
        <v>11.51</v>
      </c>
      <c r="P106" s="831">
        <f>IF(P$18='5.Variables'!$B$16,+'5.Variables'!$E33,+IF(P$18='5.Variables'!$B$39,+'5.Variables'!$E57,+IF(P$18='5.Variables'!$B$62,+'5.Variables'!$E71,+IF(P$18='5.Variables'!$B$76,+'5.Variables'!$E85,+IF(P$18='5.Variables'!$B$90,+'5.Variables'!$E99,+IF(P$18='5.Variables'!$B$104,+'5.Variables'!$E113,0))))))</f>
        <v>0</v>
      </c>
      <c r="Q106" s="244"/>
      <c r="R106" s="549">
        <f t="shared" si="10"/>
        <v>8312962.6421054928</v>
      </c>
      <c r="S106" s="263"/>
      <c r="T106" s="244"/>
      <c r="U106" s="244"/>
      <c r="V106" s="244"/>
      <c r="W106" s="244"/>
      <c r="X106" s="244"/>
      <c r="Y106" s="244"/>
      <c r="Z106" s="244"/>
      <c r="AA106" s="244"/>
      <c r="AB106" s="244"/>
      <c r="AC106" s="244"/>
      <c r="AD106" s="244"/>
      <c r="AE106" s="244"/>
      <c r="AF106" s="244"/>
      <c r="AG106" s="244"/>
      <c r="AH106" s="244"/>
      <c r="AI106" s="244"/>
      <c r="AJ106" s="244"/>
      <c r="AK106" s="244"/>
      <c r="AL106" s="244"/>
      <c r="AM106" s="244"/>
    </row>
    <row r="107" spans="1:39" x14ac:dyDescent="0.2">
      <c r="A107" s="497">
        <f t="shared" si="11"/>
        <v>88</v>
      </c>
      <c r="B107" s="260" t="str">
        <f>CONCATENATE('3. Consumption by Rate Class'!B112,"-",'3. Consumption by Rate Class'!C112)</f>
        <v>2013-April</v>
      </c>
      <c r="C107" s="684">
        <v>7150699</v>
      </c>
      <c r="D107" s="690">
        <v>-28667</v>
      </c>
      <c r="E107" s="690">
        <v>-59951</v>
      </c>
      <c r="F107" s="694"/>
      <c r="G107" s="690"/>
      <c r="H107" s="691"/>
      <c r="I107" s="691"/>
      <c r="J107" s="261">
        <f t="shared" si="9"/>
        <v>7062081</v>
      </c>
      <c r="K107" s="711">
        <f>IF(K$18='5.Variables'!$B$16,+'5.Variables'!$F34,+IF(K$18='5.Variables'!$B$39,+'5.Variables'!$F57,+IF(K$18='5.Variables'!$B$62,+'5.Variables'!$F71,+IF(K$18='5.Variables'!$B$76,+'5.Variables'!$F85,+IF(K$18='5.Variables'!$B$90,+'5.Variables'!$F99,+IF(K$18='5.Variables'!$B$104,+'5.Variables'!$F113,0))))))</f>
        <v>285.5</v>
      </c>
      <c r="L107" s="711">
        <f>IF(L$18='5.Variables'!$B$16,+'5.Variables'!$F33,+IF(L$18='5.Variables'!$B$39,+'5.Variables'!$F57,+IF(L$18='5.Variables'!$B$62,+'5.Variables'!$F71,+IF(L$18='5.Variables'!$B$76,+'5.Variables'!$F85,+IF(L$18='5.Variables'!$B$90,+'5.Variables'!$F99,+IF(L$18='5.Variables'!$B$104,+'5.Variables'!$F113,0))))))</f>
        <v>0</v>
      </c>
      <c r="M107" s="711">
        <f>IF(M$18='5.Variables'!$B$16,+'5.Variables'!$F33,+IF(M$18='5.Variables'!$B$39,+'5.Variables'!$F57,+IF(M$18='5.Variables'!$B$62,+'5.Variables'!$F71,+IF(M$18='5.Variables'!$B$76,+'5.Variables'!$F85,+IF(M$18='5.Variables'!$B$90,+'5.Variables'!$F99,+IF(M$18='5.Variables'!$B$104,+'5.Variables'!$F113,0))))))</f>
        <v>30</v>
      </c>
      <c r="N107" s="711">
        <f>IF(N$18='5.Variables'!$B$16,+'5.Variables'!$F33,+IF(N$18='5.Variables'!$B$39,+'5.Variables'!$F57,+IF(N$18='5.Variables'!$B$62,+'5.Variables'!$F71,+IF(N$18='5.Variables'!$B$76,+'5.Variables'!$F85,+IF(N$18='5.Variables'!$B$90,+'5.Variables'!$F99,+IF(N$18='5.Variables'!$B$104,+'5.Variables'!$F113,0))))))</f>
        <v>166.8</v>
      </c>
      <c r="O107" s="711">
        <f>IF(O$18='5.Variables'!$B$16,+'5.Variables'!$F33,+IF(O$18='5.Variables'!$B$39,+'5.Variables'!$F57,+IF(O$18='5.Variables'!$B$62,+'5.Variables'!$F71,+IF(O$18='5.Variables'!$B$76,+'5.Variables'!$F85,+IF(O$18='5.Variables'!$B$90,+'5.Variables'!$F99,+IF(O$18='5.Variables'!$B$104,+'5.Variables'!$F113,0))))))</f>
        <v>13.28</v>
      </c>
      <c r="P107" s="831">
        <f>IF(P$18='5.Variables'!$B$16,+'5.Variables'!$F33,+IF(P$18='5.Variables'!$B$39,+'5.Variables'!$F57,+IF(P$18='5.Variables'!$B$62,+'5.Variables'!$F71,+IF(P$18='5.Variables'!$B$76,+'5.Variables'!$F85,+IF(P$18='5.Variables'!$B$90,+'5.Variables'!$F99,+IF(P$18='5.Variables'!$B$104,+'5.Variables'!$F113,0))))))</f>
        <v>0</v>
      </c>
      <c r="Q107" s="244"/>
      <c r="R107" s="549">
        <f t="shared" si="10"/>
        <v>7146608.3336933888</v>
      </c>
      <c r="S107" s="263"/>
      <c r="T107" s="244"/>
      <c r="U107" s="244"/>
      <c r="V107" s="244"/>
      <c r="W107" s="244"/>
      <c r="X107" s="244"/>
      <c r="Y107" s="244"/>
      <c r="Z107" s="244"/>
      <c r="AA107" s="244"/>
      <c r="AB107" s="244"/>
      <c r="AC107" s="244"/>
      <c r="AD107" s="244"/>
      <c r="AE107" s="244"/>
      <c r="AF107" s="244"/>
      <c r="AG107" s="244"/>
      <c r="AH107" s="244"/>
      <c r="AI107" s="244"/>
      <c r="AJ107" s="244"/>
      <c r="AK107" s="244"/>
      <c r="AL107" s="244"/>
      <c r="AM107" s="244"/>
    </row>
    <row r="108" spans="1:39" x14ac:dyDescent="0.2">
      <c r="A108" s="497">
        <f t="shared" si="11"/>
        <v>89</v>
      </c>
      <c r="B108" s="260" t="str">
        <f>CONCATENATE('3. Consumption by Rate Class'!B113,"-",'3. Consumption by Rate Class'!C113)</f>
        <v>2013-May</v>
      </c>
      <c r="C108" s="684">
        <v>6854461</v>
      </c>
      <c r="D108" s="690">
        <v>-24766</v>
      </c>
      <c r="E108" s="690">
        <v>-49920</v>
      </c>
      <c r="F108" s="694"/>
      <c r="G108" s="690"/>
      <c r="H108" s="691"/>
      <c r="I108" s="691"/>
      <c r="J108" s="261">
        <f t="shared" si="9"/>
        <v>6779775</v>
      </c>
      <c r="K108" s="711">
        <f>IF(K$18='5.Variables'!$B$16,+'5.Variables'!$G34,+IF(K$18='5.Variables'!$B$39,+'5.Variables'!$G57,+IF(K$18='5.Variables'!$B$62,+'5.Variables'!$G71,+IF(K$18='5.Variables'!$B$76,+'5.Variables'!$G85,+IF(K$18='5.Variables'!$B$90,+'5.Variables'!$G99,+IF(K$18='5.Variables'!$B$104,+'5.Variables'!$G113,0))))))</f>
        <v>105.7</v>
      </c>
      <c r="L108" s="711">
        <f>IF(L$18='5.Variables'!$B$16,+'5.Variables'!$G33,+IF(L$18='5.Variables'!$B$39,+'5.Variables'!$G57,+IF(L$18='5.Variables'!$B$62,+'5.Variables'!$G71,+IF(L$18='5.Variables'!$B$76,+'5.Variables'!$G85,+IF(L$18='5.Variables'!$B$90,+'5.Variables'!$G99,+IF(L$18='5.Variables'!$B$104,+'5.Variables'!$G113,0))))))</f>
        <v>15.3</v>
      </c>
      <c r="M108" s="711">
        <f>IF(M$18='5.Variables'!$B$16,+'5.Variables'!$G33,+IF(M$18='5.Variables'!$B$39,+'5.Variables'!$G57,+IF(M$18='5.Variables'!$B$62,+'5.Variables'!$G71,+IF(M$18='5.Variables'!$B$76,+'5.Variables'!$G85,+IF(M$18='5.Variables'!$B$90,+'5.Variables'!$G99,+IF(M$18='5.Variables'!$B$104,+'5.Variables'!$G113,0))))))</f>
        <v>31</v>
      </c>
      <c r="N108" s="711">
        <f>IF(N$18='5.Variables'!$B$16,+'5.Variables'!$G33,+IF(N$18='5.Variables'!$B$39,+'5.Variables'!$G57,+IF(N$18='5.Variables'!$B$62,+'5.Variables'!$G71,+IF(N$18='5.Variables'!$B$76,+'5.Variables'!$G85,+IF(N$18='5.Variables'!$B$90,+'5.Variables'!$G99,+IF(N$18='5.Variables'!$B$104,+'5.Variables'!$G113,0))))))</f>
        <v>170.2</v>
      </c>
      <c r="O108" s="711">
        <f>IF(O$18='5.Variables'!$B$16,+'5.Variables'!$G33,+IF(O$18='5.Variables'!$B$39,+'5.Variables'!$G57,+IF(O$18='5.Variables'!$B$62,+'5.Variables'!$G71,+IF(O$18='5.Variables'!$B$76,+'5.Variables'!$G85,+IF(O$18='5.Variables'!$B$90,+'5.Variables'!$G99,+IF(O$18='5.Variables'!$B$104,+'5.Variables'!$G113,0))))))</f>
        <v>14.52</v>
      </c>
      <c r="P108" s="831">
        <f>IF(P$18='5.Variables'!$B$16,+'5.Variables'!$G33,+IF(P$18='5.Variables'!$B$39,+'5.Variables'!$G57,+IF(P$18='5.Variables'!$B$62,+'5.Variables'!$G71,+IF(P$18='5.Variables'!$B$76,+'5.Variables'!$G85,+IF(P$18='5.Variables'!$B$90,+'5.Variables'!$G99,+IF(P$18='5.Variables'!$B$104,+'5.Variables'!$G113,0))))))</f>
        <v>0</v>
      </c>
      <c r="Q108" s="244"/>
      <c r="R108" s="549">
        <f t="shared" si="10"/>
        <v>7012974.6906714188</v>
      </c>
      <c r="S108" s="263"/>
      <c r="T108" s="244"/>
      <c r="U108" s="244"/>
      <c r="V108" s="244"/>
      <c r="W108" s="244"/>
      <c r="X108" s="244"/>
      <c r="Y108" s="244"/>
      <c r="Z108" s="244"/>
      <c r="AA108" s="244"/>
      <c r="AB108" s="244"/>
      <c r="AC108" s="244"/>
      <c r="AD108" s="244"/>
      <c r="AE108" s="244"/>
      <c r="AF108" s="244"/>
      <c r="AG108" s="244"/>
      <c r="AH108" s="244"/>
      <c r="AI108" s="244"/>
      <c r="AJ108" s="244"/>
      <c r="AK108" s="244"/>
      <c r="AL108" s="244"/>
      <c r="AM108" s="244"/>
    </row>
    <row r="109" spans="1:39" x14ac:dyDescent="0.2">
      <c r="A109" s="497">
        <f t="shared" si="11"/>
        <v>90</v>
      </c>
      <c r="B109" s="260" t="str">
        <f>CONCATENATE('3. Consumption by Rate Class'!B114,"-",'3. Consumption by Rate Class'!C114)</f>
        <v>2013-June</v>
      </c>
      <c r="C109" s="684">
        <v>6905812</v>
      </c>
      <c r="D109" s="690">
        <v>-22468</v>
      </c>
      <c r="E109" s="690">
        <v>-44486</v>
      </c>
      <c r="F109" s="694"/>
      <c r="G109" s="690"/>
      <c r="H109" s="691"/>
      <c r="I109" s="691"/>
      <c r="J109" s="261">
        <f t="shared" si="9"/>
        <v>6838858</v>
      </c>
      <c r="K109" s="711">
        <f>IF(K$18='5.Variables'!$B$16,+'5.Variables'!$H34,+IF(K$18='5.Variables'!$B$39,+'5.Variables'!$H57,+IF(K$18='5.Variables'!$B$62,+'5.Variables'!$H71,+IF(K$18='5.Variables'!$B$76,+'5.Variables'!$H85,+IF(K$18='5.Variables'!$B$90,+'5.Variables'!$H99,+IF(K$18='5.Variables'!$B$104,+'5.Variables'!$H113,0))))))</f>
        <v>54.1</v>
      </c>
      <c r="L109" s="711">
        <f>IF(L$18='5.Variables'!$B$16,+'5.Variables'!$H33,+IF(L$18='5.Variables'!$B$39,+'5.Variables'!$H57,+IF(L$18='5.Variables'!$B$62,+'5.Variables'!$H71,+IF(L$18='5.Variables'!$B$76,+'5.Variables'!$H85,+IF(L$18='5.Variables'!$B$90,+'5.Variables'!$H99,+IF(L$18='5.Variables'!$B$104,+'5.Variables'!$H113,0))))))</f>
        <v>39.4</v>
      </c>
      <c r="M109" s="711">
        <f>IF(M$18='5.Variables'!$B$16,+'5.Variables'!$H33,+IF(M$18='5.Variables'!$B$39,+'5.Variables'!$H57,+IF(M$18='5.Variables'!$B$62,+'5.Variables'!$H71,+IF(M$18='5.Variables'!$B$76,+'5.Variables'!$H85,+IF(M$18='5.Variables'!$B$90,+'5.Variables'!$H99,+IF(M$18='5.Variables'!$B$104,+'5.Variables'!$H113,0))))))</f>
        <v>30</v>
      </c>
      <c r="N109" s="711">
        <f>IF(N$18='5.Variables'!$B$16,+'5.Variables'!$H33,+IF(N$18='5.Variables'!$B$39,+'5.Variables'!$H57,+IF(N$18='5.Variables'!$B$62,+'5.Variables'!$H71,+IF(N$18='5.Variables'!$B$76,+'5.Variables'!$H85,+IF(N$18='5.Variables'!$B$90,+'5.Variables'!$H99,+IF(N$18='5.Variables'!$B$104,+'5.Variables'!$H113,0))))))</f>
        <v>171.4</v>
      </c>
      <c r="O109" s="711">
        <f>IF(O$18='5.Variables'!$B$16,+'5.Variables'!$H33,+IF(O$18='5.Variables'!$B$39,+'5.Variables'!$H57,+IF(O$18='5.Variables'!$B$62,+'5.Variables'!$H71,+IF(O$18='5.Variables'!$B$76,+'5.Variables'!$H85,+IF(O$18='5.Variables'!$B$90,+'5.Variables'!$H99,+IF(O$18='5.Variables'!$B$104,+'5.Variables'!$H113,0))))))</f>
        <v>15.35</v>
      </c>
      <c r="P109" s="831">
        <f>IF(P$18='5.Variables'!$B$16,+'5.Variables'!$H33,+IF(P$18='5.Variables'!$B$39,+'5.Variables'!$H57,+IF(P$18='5.Variables'!$B$62,+'5.Variables'!$H71,+IF(P$18='5.Variables'!$B$76,+'5.Variables'!$H85,+IF(P$18='5.Variables'!$B$90,+'5.Variables'!$H99,+IF(P$18='5.Variables'!$B$104,+'5.Variables'!$H113,0))))))</f>
        <v>0</v>
      </c>
      <c r="Q109" s="244"/>
      <c r="R109" s="549">
        <f t="shared" si="10"/>
        <v>6933319.2726989221</v>
      </c>
      <c r="S109" s="263"/>
      <c r="T109" s="244"/>
      <c r="U109" s="244"/>
      <c r="V109" s="244"/>
      <c r="W109" s="244"/>
      <c r="X109" s="244"/>
      <c r="Y109" s="244"/>
      <c r="Z109" s="244"/>
      <c r="AA109" s="244"/>
      <c r="AB109" s="244"/>
      <c r="AC109" s="244"/>
      <c r="AD109" s="244"/>
      <c r="AE109" s="244"/>
      <c r="AF109" s="244"/>
      <c r="AG109" s="244"/>
      <c r="AH109" s="244"/>
      <c r="AI109" s="244"/>
      <c r="AJ109" s="244"/>
      <c r="AK109" s="244"/>
      <c r="AL109" s="244"/>
      <c r="AM109" s="244"/>
    </row>
    <row r="110" spans="1:39" x14ac:dyDescent="0.2">
      <c r="A110" s="497">
        <f t="shared" si="11"/>
        <v>91</v>
      </c>
      <c r="B110" s="260" t="str">
        <f>CONCATENATE('3. Consumption by Rate Class'!B115,"-",'3. Consumption by Rate Class'!C115)</f>
        <v>2013-July</v>
      </c>
      <c r="C110" s="684">
        <v>7879017</v>
      </c>
      <c r="D110" s="690">
        <v>-25409</v>
      </c>
      <c r="E110" s="690">
        <v>-41307</v>
      </c>
      <c r="F110" s="694"/>
      <c r="G110" s="690"/>
      <c r="H110" s="691"/>
      <c r="I110" s="691"/>
      <c r="J110" s="261">
        <f t="shared" si="9"/>
        <v>7812301</v>
      </c>
      <c r="K110" s="711">
        <f>IF(K$18='5.Variables'!$B$16,+'5.Variables'!$I34,+IF(K$18='5.Variables'!$B$39,+'5.Variables'!$I57,+IF(K$18='5.Variables'!$B$62,+'5.Variables'!$I71,+IF(K$18='5.Variables'!$B$76,+'5.Variables'!$I85,+IF(K$18='5.Variables'!$B$90,+'5.Variables'!$I99,+IF(K$18='5.Variables'!$B$104,+'5.Variables'!$I113,0))))))</f>
        <v>7.7</v>
      </c>
      <c r="L110" s="711">
        <f>IF(L$18='5.Variables'!$B$16,+'5.Variables'!$I33,+IF(L$18='5.Variables'!$B$39,+'5.Variables'!$I57,+IF(L$18='5.Variables'!$B$62,+'5.Variables'!$I71,+IF(L$18='5.Variables'!$B$76,+'5.Variables'!$I85,+IF(L$18='5.Variables'!$B$90,+'5.Variables'!$I99,+IF(L$18='5.Variables'!$B$104,+'5.Variables'!$I113,0))))))</f>
        <v>111.1</v>
      </c>
      <c r="M110" s="711">
        <f>IF(M$18='5.Variables'!$B$16,+'5.Variables'!$I33,+IF(M$18='5.Variables'!$B$39,+'5.Variables'!$I57,+IF(M$18='5.Variables'!$B$62,+'5.Variables'!$I71,+IF(M$18='5.Variables'!$B$76,+'5.Variables'!$I85,+IF(M$18='5.Variables'!$B$90,+'5.Variables'!$I99,+IF(M$18='5.Variables'!$B$104,+'5.Variables'!$I113,0))))))</f>
        <v>31</v>
      </c>
      <c r="N110" s="711">
        <f>IF(N$18='5.Variables'!$B$16,+'5.Variables'!$I33,+IF(N$18='5.Variables'!$B$39,+'5.Variables'!$I57,+IF(N$18='5.Variables'!$B$62,+'5.Variables'!$I71,+IF(N$18='5.Variables'!$B$76,+'5.Variables'!$I85,+IF(N$18='5.Variables'!$B$90,+'5.Variables'!$I99,+IF(N$18='5.Variables'!$B$104,+'5.Variables'!$I113,0))))))</f>
        <v>175.5</v>
      </c>
      <c r="O110" s="711">
        <f>IF(O$18='5.Variables'!$B$16,+'5.Variables'!$I33,+IF(O$18='5.Variables'!$B$39,+'5.Variables'!$I57,+IF(O$18='5.Variables'!$B$62,+'5.Variables'!$I71,+IF(O$18='5.Variables'!$B$76,+'5.Variables'!$I85,+IF(O$18='5.Variables'!$B$90,+'5.Variables'!$I99,+IF(O$18='5.Variables'!$B$104,+'5.Variables'!$I113,0))))))</f>
        <v>15.15</v>
      </c>
      <c r="P110" s="831">
        <f>IF(P$18='5.Variables'!$B$16,+'5.Variables'!$I33,+IF(P$18='5.Variables'!$B$39,+'5.Variables'!$I57,+IF(P$18='5.Variables'!$B$62,+'5.Variables'!$I71,+IF(P$18='5.Variables'!$B$76,+'5.Variables'!$I85,+IF(P$18='5.Variables'!$B$90,+'5.Variables'!$I99,+IF(P$18='5.Variables'!$B$104,+'5.Variables'!$I113,0))))))</f>
        <v>0</v>
      </c>
      <c r="Q110" s="244"/>
      <c r="R110" s="549">
        <f t="shared" si="10"/>
        <v>7817310.995743298</v>
      </c>
      <c r="S110" s="263"/>
      <c r="T110" s="244"/>
      <c r="U110" s="244"/>
      <c r="V110" s="244"/>
      <c r="W110" s="244"/>
      <c r="X110" s="244"/>
      <c r="Y110" s="244"/>
      <c r="Z110" s="244"/>
      <c r="AA110" s="244"/>
      <c r="AB110" s="244"/>
      <c r="AC110" s="244"/>
      <c r="AD110" s="244"/>
      <c r="AE110" s="244"/>
      <c r="AF110" s="244"/>
      <c r="AG110" s="244"/>
      <c r="AH110" s="244"/>
      <c r="AI110" s="244"/>
      <c r="AJ110" s="244"/>
      <c r="AK110" s="244"/>
      <c r="AL110" s="244"/>
      <c r="AM110" s="244"/>
    </row>
    <row r="111" spans="1:39" x14ac:dyDescent="0.2">
      <c r="A111" s="497">
        <f t="shared" si="11"/>
        <v>92</v>
      </c>
      <c r="B111" s="260" t="str">
        <f>CONCATENATE('3. Consumption by Rate Class'!B116,"-",'3. Consumption by Rate Class'!C116)</f>
        <v>2013-August</v>
      </c>
      <c r="C111" s="684">
        <v>7318263</v>
      </c>
      <c r="D111" s="690">
        <v>-29150</v>
      </c>
      <c r="E111" s="690">
        <v>-47596</v>
      </c>
      <c r="F111" s="694"/>
      <c r="G111" s="690"/>
      <c r="H111" s="691"/>
      <c r="I111" s="691"/>
      <c r="J111" s="261">
        <f t="shared" si="9"/>
        <v>7241517</v>
      </c>
      <c r="K111" s="711">
        <f>IF(K$18='5.Variables'!$B$16,+'5.Variables'!$J34,+IF(K$18='5.Variables'!$B$39,+'5.Variables'!$J57,+IF(K$18='5.Variables'!$B$62,+'5.Variables'!$J71,+IF(K$18='5.Variables'!$B$76,+'5.Variables'!$J85,+IF(K$18='5.Variables'!$B$90,+'5.Variables'!$J99,+IF(K$18='5.Variables'!$B$104,+'5.Variables'!$J113,0))))))</f>
        <v>13.4</v>
      </c>
      <c r="L111" s="711">
        <f>IF(L$18='5.Variables'!$B$16,+'5.Variables'!$J33,+IF(L$18='5.Variables'!$B$39,+'5.Variables'!$J57,+IF(L$18='5.Variables'!$B$62,+'5.Variables'!$J71,+IF(L$18='5.Variables'!$B$76,+'5.Variables'!$J85,+IF(L$18='5.Variables'!$B$90,+'5.Variables'!$J99,+IF(L$18='5.Variables'!$B$104,+'5.Variables'!$J113,0))))))</f>
        <v>57.2</v>
      </c>
      <c r="M111" s="711">
        <f>IF(M$18='5.Variables'!$B$16,+'5.Variables'!$J33,+IF(M$18='5.Variables'!$B$39,+'5.Variables'!$J57,+IF(M$18='5.Variables'!$B$62,+'5.Variables'!$J71,+IF(M$18='5.Variables'!$B$76,+'5.Variables'!$J85,+IF(M$18='5.Variables'!$B$90,+'5.Variables'!$J99,+IF(M$18='5.Variables'!$B$104,+'5.Variables'!$J113,0))))))</f>
        <v>31</v>
      </c>
      <c r="N111" s="711">
        <f>IF(N$18='5.Variables'!$B$16,+'5.Variables'!$J33,+IF(N$18='5.Variables'!$B$39,+'5.Variables'!$J57,+IF(N$18='5.Variables'!$B$62,+'5.Variables'!$J71,+IF(N$18='5.Variables'!$B$76,+'5.Variables'!$J85,+IF(N$18='5.Variables'!$B$90,+'5.Variables'!$J99,+IF(N$18='5.Variables'!$B$104,+'5.Variables'!$J113,0))))))</f>
        <v>177.9</v>
      </c>
      <c r="O111" s="711">
        <f>IF(O$18='5.Variables'!$B$16,+'5.Variables'!$J33,+IF(O$18='5.Variables'!$B$39,+'5.Variables'!$J57,+IF(O$18='5.Variables'!$B$62,+'5.Variables'!$J71,+IF(O$18='5.Variables'!$B$76,+'5.Variables'!$J85,+IF(O$18='5.Variables'!$B$90,+'5.Variables'!$J99,+IF(O$18='5.Variables'!$B$104,+'5.Variables'!$J113,0))))))</f>
        <v>14.03</v>
      </c>
      <c r="P111" s="831">
        <f>IF(P$18='5.Variables'!$B$16,+'5.Variables'!$J33,+IF(P$18='5.Variables'!$B$39,+'5.Variables'!$J57,+IF(P$18='5.Variables'!$B$62,+'5.Variables'!$J71,+IF(P$18='5.Variables'!$B$76,+'5.Variables'!$J85,+IF(P$18='5.Variables'!$B$90,+'5.Variables'!$J99,+IF(P$18='5.Variables'!$B$104,+'5.Variables'!$J113,0))))))</f>
        <v>0</v>
      </c>
      <c r="Q111" s="244"/>
      <c r="R111" s="549">
        <f t="shared" si="10"/>
        <v>7201520.1341270451</v>
      </c>
      <c r="S111" s="263"/>
      <c r="T111" s="244"/>
      <c r="U111" s="244"/>
      <c r="V111" s="244"/>
      <c r="W111" s="244"/>
      <c r="X111" s="244"/>
      <c r="Y111" s="244"/>
      <c r="Z111" s="244"/>
      <c r="AA111" s="244"/>
      <c r="AB111" s="244"/>
      <c r="AC111" s="244"/>
      <c r="AD111" s="244"/>
      <c r="AE111" s="244"/>
      <c r="AF111" s="244"/>
      <c r="AG111" s="244"/>
      <c r="AH111" s="244"/>
      <c r="AI111" s="244"/>
      <c r="AJ111" s="244"/>
      <c r="AK111" s="244"/>
      <c r="AL111" s="244"/>
      <c r="AM111" s="244"/>
    </row>
    <row r="112" spans="1:39" x14ac:dyDescent="0.2">
      <c r="A112" s="497">
        <f t="shared" si="11"/>
        <v>93</v>
      </c>
      <c r="B112" s="260" t="str">
        <f>CONCATENATE('3. Consumption by Rate Class'!B117,"-",'3. Consumption by Rate Class'!C117)</f>
        <v>2013-September</v>
      </c>
      <c r="C112" s="684">
        <v>6702828</v>
      </c>
      <c r="D112" s="690">
        <v>-22450</v>
      </c>
      <c r="E112" s="690">
        <v>-44959</v>
      </c>
      <c r="F112" s="694"/>
      <c r="G112" s="690"/>
      <c r="H112" s="691"/>
      <c r="I112" s="691"/>
      <c r="J112" s="261">
        <f t="shared" si="9"/>
        <v>6635419</v>
      </c>
      <c r="K112" s="711">
        <f>IF(K$18='5.Variables'!$B$16,+'5.Variables'!$K34,+IF(K$18='5.Variables'!$B$39,+'5.Variables'!$K57,+IF(K$18='5.Variables'!$B$62,+'5.Variables'!$K71,+IF(K$18='5.Variables'!$B$76,+'5.Variables'!$K85,+IF(K$18='5.Variables'!$B$90,+'5.Variables'!$K99,+IF(K$18='5.Variables'!$B$104,+'5.Variables'!$K113,0))))))</f>
        <v>133.19999999999999</v>
      </c>
      <c r="L112" s="711">
        <f>IF(L$18='5.Variables'!$B$16,+'5.Variables'!$K33,+IF(L$18='5.Variables'!$B$39,+'5.Variables'!$K57,+IF(L$18='5.Variables'!$B$62,+'5.Variables'!$K71,+IF(L$18='5.Variables'!$B$76,+'5.Variables'!$K85,+IF(L$18='5.Variables'!$B$90,+'5.Variables'!$K99,+IF(L$18='5.Variables'!$B$104,+'5.Variables'!$K113,0))))))</f>
        <v>10.1</v>
      </c>
      <c r="M112" s="711">
        <f>IF(M$18='5.Variables'!$B$16,+'5.Variables'!$K33,+IF(M$18='5.Variables'!$B$39,+'5.Variables'!$K57,+IF(M$18='5.Variables'!$B$62,+'5.Variables'!$K71,+IF(M$18='5.Variables'!$B$76,+'5.Variables'!$K85,+IF(M$18='5.Variables'!$B$90,+'5.Variables'!$K99,+IF(M$18='5.Variables'!$B$104,+'5.Variables'!$K113,0))))))</f>
        <v>30</v>
      </c>
      <c r="N112" s="711">
        <f>IF(N$18='5.Variables'!$B$16,+'5.Variables'!$K33,+IF(N$18='5.Variables'!$B$39,+'5.Variables'!$K57,+IF(N$18='5.Variables'!$B$62,+'5.Variables'!$K71,+IF(N$18='5.Variables'!$B$76,+'5.Variables'!$K85,+IF(N$18='5.Variables'!$B$90,+'5.Variables'!$K99,+IF(N$18='5.Variables'!$B$104,+'5.Variables'!$K113,0))))))</f>
        <v>177.6</v>
      </c>
      <c r="O112" s="711">
        <f>IF(O$18='5.Variables'!$B$16,+'5.Variables'!$K33,+IF(O$18='5.Variables'!$B$39,+'5.Variables'!$K57,+IF(O$18='5.Variables'!$B$62,+'5.Variables'!$K71,+IF(O$18='5.Variables'!$B$76,+'5.Variables'!$K85,+IF(O$18='5.Variables'!$B$90,+'5.Variables'!$K99,+IF(O$18='5.Variables'!$B$104,+'5.Variables'!$K113,0))))))</f>
        <v>12.29</v>
      </c>
      <c r="P112" s="831">
        <f>IF(P$18='5.Variables'!$B$16,+'5.Variables'!$K33,+IF(P$18='5.Variables'!$B$39,+'5.Variables'!$K57,+IF(P$18='5.Variables'!$B$62,+'5.Variables'!$K71,+IF(P$18='5.Variables'!$B$76,+'5.Variables'!$K85,+IF(P$18='5.Variables'!$B$90,+'5.Variables'!$K99,+IF(P$18='5.Variables'!$B$104,+'5.Variables'!$K113,0))))))</f>
        <v>0</v>
      </c>
      <c r="Q112" s="244"/>
      <c r="R112" s="549">
        <f t="shared" si="10"/>
        <v>6772051.9333233787</v>
      </c>
      <c r="S112" s="263"/>
      <c r="T112" s="244"/>
      <c r="U112" s="244"/>
      <c r="V112" s="244"/>
      <c r="W112" s="244"/>
      <c r="X112" s="244"/>
      <c r="Y112" s="244"/>
      <c r="Z112" s="244"/>
      <c r="AA112" s="244"/>
      <c r="AB112" s="244"/>
      <c r="AC112" s="244"/>
      <c r="AD112" s="244"/>
      <c r="AE112" s="244"/>
      <c r="AF112" s="244"/>
      <c r="AG112" s="244"/>
      <c r="AH112" s="244"/>
      <c r="AI112" s="244"/>
      <c r="AJ112" s="244"/>
      <c r="AK112" s="244"/>
      <c r="AL112" s="244"/>
      <c r="AM112" s="244"/>
    </row>
    <row r="113" spans="1:39" x14ac:dyDescent="0.2">
      <c r="A113" s="497">
        <f t="shared" si="11"/>
        <v>94</v>
      </c>
      <c r="B113" s="260" t="str">
        <f>CONCATENATE('3. Consumption by Rate Class'!B118,"-",'3. Consumption by Rate Class'!C118)</f>
        <v>2013-October</v>
      </c>
      <c r="C113" s="684">
        <v>7083341</v>
      </c>
      <c r="D113" s="690">
        <v>-18395</v>
      </c>
      <c r="E113" s="690">
        <v>-42504</v>
      </c>
      <c r="F113" s="694"/>
      <c r="G113" s="690"/>
      <c r="H113" s="691"/>
      <c r="I113" s="691"/>
      <c r="J113" s="261">
        <f t="shared" si="9"/>
        <v>7022442</v>
      </c>
      <c r="K113" s="711">
        <f>IF(K$18='5.Variables'!$B$16,+'5.Variables'!$L34,+IF(K$18='5.Variables'!$B$39,+'5.Variables'!$L57,+IF(K$18='5.Variables'!$B$62,+'5.Variables'!$L71,+IF(K$18='5.Variables'!$B$76,+'5.Variables'!$L85,+IF(K$18='5.Variables'!$B$90,+'5.Variables'!$L99,+IF(K$18='5.Variables'!$B$104,+'5.Variables'!$L113,0))))))</f>
        <v>235.8</v>
      </c>
      <c r="L113" s="711">
        <f>IF(L$18='5.Variables'!$B$16,+'5.Variables'!$L33,+IF(L$18='5.Variables'!$B$39,+'5.Variables'!$L57,+IF(L$18='5.Variables'!$B$62,+'5.Variables'!$L71,+IF(L$18='5.Variables'!$B$76,+'5.Variables'!$L85,+IF(L$18='5.Variables'!$B$90,+'5.Variables'!$L99,+IF(L$18='5.Variables'!$B$104,+'5.Variables'!$L113,0))))))</f>
        <v>0.7</v>
      </c>
      <c r="M113" s="711">
        <f>IF(M$18='5.Variables'!$B$16,+'5.Variables'!$L33,+IF(M$18='5.Variables'!$B$39,+'5.Variables'!$L57,+IF(M$18='5.Variables'!$B$62,+'5.Variables'!$L71,+IF(M$18='5.Variables'!$B$76,+'5.Variables'!$L85,+IF(M$18='5.Variables'!$B$90,+'5.Variables'!$L99,+IF(M$18='5.Variables'!$B$104,+'5.Variables'!$L113,0))))))</f>
        <v>31</v>
      </c>
      <c r="N113" s="711">
        <f>IF(N$18='5.Variables'!$B$16,+'5.Variables'!$L33,+IF(N$18='5.Variables'!$B$39,+'5.Variables'!$L57,+IF(N$18='5.Variables'!$B$62,+'5.Variables'!$L71,+IF(N$18='5.Variables'!$B$76,+'5.Variables'!$L85,+IF(N$18='5.Variables'!$B$90,+'5.Variables'!$L99,+IF(N$18='5.Variables'!$B$104,+'5.Variables'!$L113,0))))))</f>
        <v>173</v>
      </c>
      <c r="O113" s="711">
        <f>IF(O$18='5.Variables'!$B$16,+'5.Variables'!$L33,+IF(O$18='5.Variables'!$B$39,+'5.Variables'!$L57,+IF(O$18='5.Variables'!$B$62,+'5.Variables'!$L71,+IF(O$18='5.Variables'!$B$76,+'5.Variables'!$L85,+IF(O$18='5.Variables'!$B$90,+'5.Variables'!$L99,+IF(O$18='5.Variables'!$B$104,+'5.Variables'!$L113,0))))))</f>
        <v>10.51</v>
      </c>
      <c r="P113" s="831">
        <f>IF(P$18='5.Variables'!$B$16,+'5.Variables'!$L33,+IF(P$18='5.Variables'!$B$39,+'5.Variables'!$L57,+IF(P$18='5.Variables'!$B$62,+'5.Variables'!$L71,+IF(P$18='5.Variables'!$B$76,+'5.Variables'!$L85,+IF(P$18='5.Variables'!$B$90,+'5.Variables'!$L99,+IF(P$18='5.Variables'!$B$104,+'5.Variables'!$L113,0))))))</f>
        <v>0</v>
      </c>
      <c r="Q113" s="244"/>
      <c r="R113" s="549">
        <f t="shared" si="10"/>
        <v>7085524.0996171767</v>
      </c>
      <c r="S113" s="263"/>
      <c r="T113" s="244"/>
      <c r="U113" s="244"/>
      <c r="V113" s="244"/>
      <c r="W113" s="244"/>
      <c r="X113" s="80"/>
      <c r="Y113" s="244"/>
      <c r="Z113" s="244"/>
      <c r="AA113" s="244"/>
      <c r="AB113" s="244"/>
      <c r="AC113" s="244"/>
      <c r="AD113" s="244"/>
      <c r="AE113" s="244"/>
      <c r="AF113" s="244"/>
      <c r="AG113" s="244"/>
      <c r="AH113" s="244"/>
      <c r="AI113" s="244"/>
      <c r="AJ113" s="244"/>
      <c r="AK113" s="244"/>
      <c r="AL113" s="244"/>
      <c r="AM113" s="244"/>
    </row>
    <row r="114" spans="1:39" x14ac:dyDescent="0.2">
      <c r="A114" s="497">
        <f t="shared" si="11"/>
        <v>95</v>
      </c>
      <c r="B114" s="260" t="str">
        <f>CONCATENATE('3. Consumption by Rate Class'!B119,"-",'3. Consumption by Rate Class'!C119)</f>
        <v>2013-November</v>
      </c>
      <c r="C114" s="684">
        <v>7744935</v>
      </c>
      <c r="D114" s="690">
        <v>-22803</v>
      </c>
      <c r="E114" s="690">
        <v>-43552</v>
      </c>
      <c r="F114" s="694"/>
      <c r="G114" s="690"/>
      <c r="H114" s="691"/>
      <c r="I114" s="691"/>
      <c r="J114" s="261">
        <f t="shared" si="9"/>
        <v>7678580</v>
      </c>
      <c r="K114" s="711">
        <f>IF(K$18='5.Variables'!$B$16,+'5.Variables'!$M34,+IF(K$18='5.Variables'!$B$39,+'5.Variables'!$M57,+IF(K$18='5.Variables'!$B$62,+'5.Variables'!$M71,+IF(K$18='5.Variables'!$B$76,+'5.Variables'!$M85,+IF(K$18='5.Variables'!$B$90,+'5.Variables'!$M99,+IF(K$18='5.Variables'!$B$104,+'5.Variables'!$M113,0))))))</f>
        <v>560.79999999999995</v>
      </c>
      <c r="L114" s="711">
        <f>IF(L$18='5.Variables'!$B$16,+'5.Variables'!$M33,+IF(L$18='5.Variables'!$B$39,+'5.Variables'!$M57,+IF(L$18='5.Variables'!$B$62,+'5.Variables'!$M71,+IF(L$18='5.Variables'!$B$76,+'5.Variables'!$M85,+IF(L$18='5.Variables'!$B$90,+'5.Variables'!$M99,+IF(L$18='5.Variables'!$B$104,+'5.Variables'!$M113,0))))))</f>
        <v>0</v>
      </c>
      <c r="M114" s="711">
        <f>IF(M$18='5.Variables'!$B$16,+'5.Variables'!$M33,+IF(M$18='5.Variables'!$B$39,+'5.Variables'!$M57,+IF(M$18='5.Variables'!$B$62,+'5.Variables'!$M71,+IF(M$18='5.Variables'!$B$76,+'5.Variables'!$M85,+IF(M$18='5.Variables'!$B$90,+'5.Variables'!$M99,+IF(M$18='5.Variables'!$B$104,+'5.Variables'!$M113,0))))))</f>
        <v>30</v>
      </c>
      <c r="N114" s="711">
        <f>IF(N$18='5.Variables'!$B$16,+'5.Variables'!$M33,+IF(N$18='5.Variables'!$B$39,+'5.Variables'!$M57,+IF(N$18='5.Variables'!$B$62,+'5.Variables'!$M71,+IF(N$18='5.Variables'!$B$76,+'5.Variables'!$M85,+IF(N$18='5.Variables'!$B$90,+'5.Variables'!$M99,+IF(N$18='5.Variables'!$B$104,+'5.Variables'!$M113,0))))))</f>
        <v>165.7</v>
      </c>
      <c r="O114" s="711">
        <f>IF(O$18='5.Variables'!$B$16,+'5.Variables'!$M33,+IF(O$18='5.Variables'!$B$39,+'5.Variables'!$M57,+IF(O$18='5.Variables'!$B$62,+'5.Variables'!$M71,+IF(O$18='5.Variables'!$B$76,+'5.Variables'!$M85,+IF(O$18='5.Variables'!$B$90,+'5.Variables'!$M99,+IF(O$18='5.Variables'!$B$104,+'5.Variables'!$M113,0))))))</f>
        <v>9.2799999999999994</v>
      </c>
      <c r="P114" s="831">
        <f>IF(P$18='5.Variables'!$B$16,+'5.Variables'!$M33,+IF(P$18='5.Variables'!$B$39,+'5.Variables'!$M57,+IF(P$18='5.Variables'!$B$62,+'5.Variables'!$M71,+IF(P$18='5.Variables'!$B$76,+'5.Variables'!$M85,+IF(P$18='5.Variables'!$B$90,+'5.Variables'!$M99,+IF(P$18='5.Variables'!$B$104,+'5.Variables'!$M113,0))))))</f>
        <v>0</v>
      </c>
      <c r="Q114" s="244"/>
      <c r="R114" s="549">
        <f t="shared" si="10"/>
        <v>7863471.7078863289</v>
      </c>
      <c r="S114" s="263"/>
      <c r="T114" s="244"/>
      <c r="U114" s="244"/>
      <c r="V114" s="244"/>
      <c r="W114" s="244"/>
      <c r="X114" s="244"/>
      <c r="Y114" s="244"/>
      <c r="Z114" s="244"/>
      <c r="AA114" s="244"/>
      <c r="AB114" s="244"/>
      <c r="AC114" s="244"/>
      <c r="AD114" s="244"/>
      <c r="AE114" s="244"/>
      <c r="AF114" s="244"/>
      <c r="AG114" s="244"/>
      <c r="AH114" s="244"/>
      <c r="AI114" s="244"/>
      <c r="AJ114" s="244"/>
      <c r="AK114" s="244"/>
      <c r="AL114" s="244"/>
      <c r="AM114" s="244"/>
    </row>
    <row r="115" spans="1:39" x14ac:dyDescent="0.2">
      <c r="A115" s="497">
        <f t="shared" si="11"/>
        <v>96</v>
      </c>
      <c r="B115" s="516" t="str">
        <f>CONCATENATE('3. Consumption by Rate Class'!B120,"-",'3. Consumption by Rate Class'!C120)</f>
        <v>2013-December</v>
      </c>
      <c r="C115" s="685">
        <v>9122002</v>
      </c>
      <c r="D115" s="692">
        <v>-30250</v>
      </c>
      <c r="E115" s="692">
        <v>-41765</v>
      </c>
      <c r="F115" s="692"/>
      <c r="G115" s="692"/>
      <c r="H115" s="693"/>
      <c r="I115" s="693"/>
      <c r="J115" s="261">
        <f t="shared" si="9"/>
        <v>9049987</v>
      </c>
      <c r="K115" s="711">
        <f>IF(K$18='5.Variables'!$B$16,+'5.Variables'!$N34,+IF(K$18='5.Variables'!$B$39,+'5.Variables'!$N57,+IF(K$18='5.Variables'!$B$62,+'5.Variables'!$N71,+IF(K$18='5.Variables'!$B$76,+'5.Variables'!$N85,+IF(K$18='5.Variables'!$B$90,+'5.Variables'!$N99,+IF(K$18='5.Variables'!$B$104,+'5.Variables'!$N113,0))))))</f>
        <v>858.2</v>
      </c>
      <c r="L115" s="711">
        <f>IF(L$18='5.Variables'!$B$16,+'5.Variables'!$N33,+IF(L$18='5.Variables'!$B$39,+'5.Variables'!$N57,+IF(L$18='5.Variables'!$B$62,+'5.Variables'!$N71,+IF(L$18='5.Variables'!$B$76,+'5.Variables'!$N85,+IF(L$18='5.Variables'!$B$90,+'5.Variables'!$N99,+IF(L$18='5.Variables'!$B$104,+'5.Variables'!$N113,0))))))</f>
        <v>0</v>
      </c>
      <c r="M115" s="711">
        <f>IF(M$18='5.Variables'!$B$16,+'5.Variables'!$N33,+IF(M$18='5.Variables'!$B$39,+'5.Variables'!$N57,+IF(M$18='5.Variables'!$B$62,+'5.Variables'!$N71,+IF(M$18='5.Variables'!$B$76,+'5.Variables'!$N85,+IF(M$18='5.Variables'!$B$90,+'5.Variables'!$N99,+IF(M$18='5.Variables'!$B$104,+'5.Variables'!$N113,0))))))</f>
        <v>31</v>
      </c>
      <c r="N115" s="711">
        <f>IF(N$18='5.Variables'!$B$16,+'5.Variables'!$N33,+IF(N$18='5.Variables'!$B$39,+'5.Variables'!$N57,+IF(N$18='5.Variables'!$B$62,+'5.Variables'!$N71,+IF(N$18='5.Variables'!$B$76,+'5.Variables'!$N85,+IF(N$18='5.Variables'!$B$90,+'5.Variables'!$N99,+IF(N$18='5.Variables'!$B$104,+'5.Variables'!$N113,0))))))</f>
        <v>160.5</v>
      </c>
      <c r="O115" s="711">
        <f>IF(O$18='5.Variables'!$B$16,+'5.Variables'!$N33,+IF(O$18='5.Variables'!$B$39,+'5.Variables'!$N57,+IF(O$18='5.Variables'!$B$62,+'5.Variables'!$N71,+IF(O$18='5.Variables'!$B$76,+'5.Variables'!$N85,+IF(O$18='5.Variables'!$B$90,+'5.Variables'!$N99,+IF(O$18='5.Variables'!$B$104,+'5.Variables'!$N113,0))))))</f>
        <v>8.4700000000000006</v>
      </c>
      <c r="P115" s="831">
        <f>IF(P$18='5.Variables'!$B$16,+'5.Variables'!$N33,+IF(P$18='5.Variables'!$B$39,+'5.Variables'!$N57,+IF(P$18='5.Variables'!$B$62,+'5.Variables'!$N71,+IF(P$18='5.Variables'!$B$76,+'5.Variables'!$N85,+IF(P$18='5.Variables'!$B$90,+'5.Variables'!$N99,+IF(P$18='5.Variables'!$B$104,+'5.Variables'!$N113,0))))))</f>
        <v>0</v>
      </c>
      <c r="Q115" s="244"/>
      <c r="R115" s="549">
        <f t="shared" si="10"/>
        <v>9063750.5039364751</v>
      </c>
      <c r="S115" s="263">
        <f>SUM(R104:R115)</f>
        <v>92614453.307911366</v>
      </c>
      <c r="T115" s="244"/>
      <c r="U115" s="244"/>
      <c r="V115" s="244"/>
      <c r="W115" s="244"/>
      <c r="X115" s="244"/>
      <c r="Y115" s="244"/>
      <c r="Z115" s="244"/>
      <c r="AA115" s="244"/>
      <c r="AB115" s="244"/>
      <c r="AC115" s="244"/>
      <c r="AD115" s="244"/>
      <c r="AE115" s="244"/>
      <c r="AF115" s="244"/>
      <c r="AG115" s="244"/>
      <c r="AH115" s="244"/>
      <c r="AI115" s="244"/>
      <c r="AJ115" s="244"/>
      <c r="AK115" s="244"/>
      <c r="AL115" s="244"/>
      <c r="AM115" s="244"/>
    </row>
    <row r="116" spans="1:39" x14ac:dyDescent="0.2">
      <c r="A116" s="497">
        <f t="shared" si="11"/>
        <v>97</v>
      </c>
      <c r="B116" s="260" t="str">
        <f>CONCATENATE('3. Consumption by Rate Class'!B121,"-",'3. Consumption by Rate Class'!C121)</f>
        <v>2014-January</v>
      </c>
      <c r="C116" s="684">
        <v>9438027</v>
      </c>
      <c r="D116" s="690">
        <v>-37973</v>
      </c>
      <c r="E116" s="690">
        <v>-39510</v>
      </c>
      <c r="F116" s="694"/>
      <c r="G116" s="690"/>
      <c r="H116" s="691"/>
      <c r="I116" s="691"/>
      <c r="J116" s="261">
        <f t="shared" si="9"/>
        <v>9360544</v>
      </c>
      <c r="K116" s="711">
        <f>IF(K$18='5.Variables'!$B$16,+'5.Variables'!$C35,+IF(K$18='5.Variables'!$B$39,+'5.Variables'!$C58,+IF(K$18='5.Variables'!$B$62,+'5.Variables'!$C72,+IF(K$18='5.Variables'!$B$76,+'5.Variables'!$C86,+IF(K$18='5.Variables'!$B$90,+'5.Variables'!$C100,+IF(K$18='5.Variables'!$B$104,+'5.Variables'!$C114,0))))))</f>
        <v>918.3</v>
      </c>
      <c r="L116" s="711">
        <f>IF(L$18='5.Variables'!$B$16,+'5.Variables'!$C34,+IF(L$18='5.Variables'!$B$39,+'5.Variables'!$C58,+IF(L$18='5.Variables'!$B$62,+'5.Variables'!$C72,+IF(L$18='5.Variables'!$B$76,+'5.Variables'!$C86,+IF(L$18='5.Variables'!$B$90,+'5.Variables'!$C100,+IF(L$18='5.Variables'!$B$104,+'5.Variables'!$C114,0))))))</f>
        <v>0</v>
      </c>
      <c r="M116" s="711">
        <f>IF(M$18='5.Variables'!$B$16,+'5.Variables'!$C34,+IF(M$18='5.Variables'!$B$39,+'5.Variables'!$C58,+IF(M$18='5.Variables'!$B$62,+'5.Variables'!$C72,+IF(M$18='5.Variables'!$B$76,+'5.Variables'!$C86,+IF(M$18='5.Variables'!$B$90,+'5.Variables'!$C100,+IF(M$18='5.Variables'!$B$104,+'5.Variables'!$C114,0))))))</f>
        <v>31</v>
      </c>
      <c r="N116" s="711">
        <f>IF(N$18='5.Variables'!$B$16,+'5.Variables'!$C34,+IF(N$18='5.Variables'!$B$39,+'5.Variables'!$C58,+IF(N$18='5.Variables'!$B$62,+'5.Variables'!$C72,+IF(N$18='5.Variables'!$B$76,+'5.Variables'!$C86,+IF(N$18='5.Variables'!$B$90,+'5.Variables'!$C100,+IF(N$18='5.Variables'!$B$104,+'5.Variables'!$C114,0))))))</f>
        <v>157.69999999999999</v>
      </c>
      <c r="O116" s="711">
        <f>IF(O$18='5.Variables'!$B$16,+'5.Variables'!$C34,+IF(O$18='5.Variables'!$B$39,+'5.Variables'!$C58,+IF(O$18='5.Variables'!$B$62,+'5.Variables'!$C72,+IF(O$18='5.Variables'!$B$76,+'5.Variables'!$C86,+IF(O$18='5.Variables'!$B$90,+'5.Variables'!$C100,+IF(O$18='5.Variables'!$B$104,+'5.Variables'!$C114,0))))))</f>
        <v>9.09</v>
      </c>
      <c r="P116" s="831">
        <f>IF(P$18='5.Variables'!$B$16,+'5.Variables'!$C34,+IF(P$18='5.Variables'!$B$39,+'5.Variables'!$C58,+IF(P$18='5.Variables'!$B$62,+'5.Variables'!$C72,+IF(P$18='5.Variables'!$B$76,+'5.Variables'!$C86,+IF(P$18='5.Variables'!$B$90,+'5.Variables'!$C100,+IF(P$18='5.Variables'!$B$104,+'5.Variables'!$C114,0))))))</f>
        <v>0</v>
      </c>
      <c r="Q116" s="244"/>
      <c r="R116" s="549">
        <f t="shared" si="10"/>
        <v>9292168.0851477459</v>
      </c>
      <c r="S116" s="263"/>
      <c r="T116" s="244"/>
      <c r="U116" s="244"/>
      <c r="V116" s="244"/>
      <c r="W116" s="244"/>
      <c r="X116" s="244"/>
      <c r="Y116" s="244"/>
      <c r="Z116" s="244"/>
      <c r="AA116" s="244"/>
      <c r="AB116" s="244"/>
      <c r="AC116" s="244"/>
      <c r="AD116" s="244"/>
      <c r="AE116" s="244"/>
      <c r="AF116" s="244"/>
      <c r="AG116" s="244"/>
      <c r="AH116" s="244"/>
      <c r="AI116" s="244"/>
      <c r="AJ116" s="244"/>
      <c r="AK116" s="244"/>
      <c r="AL116" s="244"/>
      <c r="AM116" s="244"/>
    </row>
    <row r="117" spans="1:39" x14ac:dyDescent="0.2">
      <c r="A117" s="497">
        <f t="shared" si="11"/>
        <v>98</v>
      </c>
      <c r="B117" s="260" t="str">
        <f>CONCATENATE('3. Consumption by Rate Class'!B122,"-",'3. Consumption by Rate Class'!C122)</f>
        <v>2014-February</v>
      </c>
      <c r="C117" s="684">
        <v>8139359</v>
      </c>
      <c r="D117" s="690">
        <v>-42127</v>
      </c>
      <c r="E117" s="690">
        <v>-44238</v>
      </c>
      <c r="F117" s="694"/>
      <c r="G117" s="690"/>
      <c r="H117" s="691"/>
      <c r="I117" s="691"/>
      <c r="J117" s="261">
        <f t="shared" si="9"/>
        <v>8052994</v>
      </c>
      <c r="K117" s="711">
        <f>IF(K$18='5.Variables'!$B$16,+'5.Variables'!$D35,+IF(K$18='5.Variables'!$B$39,+'5.Variables'!$D58,+IF(K$18='5.Variables'!$B$62,+'5.Variables'!$D72,+IF(K$18='5.Variables'!$B$76,+'5.Variables'!$D86,+IF(K$18='5.Variables'!$B$90,+'5.Variables'!$D100,+IF(K$18='5.Variables'!$B$104,+'5.Variables'!$D114,0))))))</f>
        <v>793.2</v>
      </c>
      <c r="L117" s="711">
        <f>IF(L$18='5.Variables'!$B$16,+'5.Variables'!$D34,+IF(L$18='5.Variables'!$B$39,+'5.Variables'!$D58,+IF(L$18='5.Variables'!$B$62,+'5.Variables'!$D72,+IF(L$18='5.Variables'!$B$76,+'5.Variables'!$D86,+IF(L$18='5.Variables'!$B$90,+'5.Variables'!$D100,+IF(L$18='5.Variables'!$B$104,+'5.Variables'!$D114,0))))))</f>
        <v>0</v>
      </c>
      <c r="M117" s="711">
        <f>IF(M$18='5.Variables'!$B$16,+'5.Variables'!$D34,+IF(M$18='5.Variables'!$B$39,+'5.Variables'!$D58,+IF(M$18='5.Variables'!$B$62,+'5.Variables'!$D72,+IF(M$18='5.Variables'!$B$76,+'5.Variables'!$D86,+IF(M$18='5.Variables'!$B$90,+'5.Variables'!$D100,+IF(M$18='5.Variables'!$B$104,+'5.Variables'!$D114,0))))))</f>
        <v>28</v>
      </c>
      <c r="N117" s="711">
        <f>IF(N$18='5.Variables'!$B$16,+'5.Variables'!$D34,+IF(N$18='5.Variables'!$B$39,+'5.Variables'!$D58,+IF(N$18='5.Variables'!$B$62,+'5.Variables'!$D72,+IF(N$18='5.Variables'!$B$76,+'5.Variables'!$D86,+IF(N$18='5.Variables'!$B$90,+'5.Variables'!$D100,+IF(N$18='5.Variables'!$B$104,+'5.Variables'!$D114,0))))))</f>
        <v>156.1</v>
      </c>
      <c r="O117" s="711">
        <f>IF(O$18='5.Variables'!$B$16,+'5.Variables'!$D34,+IF(O$18='5.Variables'!$B$39,+'5.Variables'!$D58,+IF(O$18='5.Variables'!$B$62,+'5.Variables'!$D72,+IF(O$18='5.Variables'!$B$76,+'5.Variables'!$D86,+IF(O$18='5.Variables'!$B$90,+'5.Variables'!$D100,+IF(O$18='5.Variables'!$B$104,+'5.Variables'!$D114,0))))))</f>
        <v>10.19</v>
      </c>
      <c r="P117" s="831">
        <f>IF(P$18='5.Variables'!$B$16,+'5.Variables'!$D34,+IF(P$18='5.Variables'!$B$39,+'5.Variables'!$D58,+IF(P$18='5.Variables'!$B$62,+'5.Variables'!$D72,+IF(P$18='5.Variables'!$B$76,+'5.Variables'!$D86,+IF(P$18='5.Variables'!$B$90,+'5.Variables'!$D100,+IF(P$18='5.Variables'!$B$104,+'5.Variables'!$D114,0))))))</f>
        <v>0</v>
      </c>
      <c r="Q117" s="244"/>
      <c r="R117" s="549">
        <f t="shared" si="10"/>
        <v>8199256.657570458</v>
      </c>
      <c r="S117" s="263"/>
      <c r="T117" s="244"/>
      <c r="U117" s="244"/>
      <c r="V117" s="244"/>
      <c r="W117" s="244"/>
      <c r="X117" s="244"/>
      <c r="Y117" s="244"/>
      <c r="Z117" s="244"/>
      <c r="AA117" s="244"/>
      <c r="AB117" s="244"/>
      <c r="AC117" s="244"/>
      <c r="AD117" s="244"/>
      <c r="AE117" s="244"/>
      <c r="AF117" s="244"/>
      <c r="AG117" s="244"/>
      <c r="AH117" s="244"/>
      <c r="AI117" s="244"/>
      <c r="AJ117" s="244"/>
      <c r="AK117" s="244"/>
      <c r="AL117" s="244"/>
      <c r="AM117" s="244"/>
    </row>
    <row r="118" spans="1:39" x14ac:dyDescent="0.2">
      <c r="A118" s="497">
        <f t="shared" si="11"/>
        <v>99</v>
      </c>
      <c r="B118" s="260" t="str">
        <f>CONCATENATE('3. Consumption by Rate Class'!B123,"-",'3. Consumption by Rate Class'!C123)</f>
        <v>2014-March</v>
      </c>
      <c r="C118" s="684">
        <v>8549683</v>
      </c>
      <c r="D118" s="690">
        <v>-39758</v>
      </c>
      <c r="E118" s="690">
        <v>-41926</v>
      </c>
      <c r="F118" s="694"/>
      <c r="G118" s="690"/>
      <c r="H118" s="691"/>
      <c r="I118" s="691"/>
      <c r="J118" s="261">
        <f t="shared" si="9"/>
        <v>8467999</v>
      </c>
      <c r="K118" s="711">
        <f>IF(K$18='5.Variables'!$B$16,+'5.Variables'!$E35,+IF(K$18='5.Variables'!$B$39,+'5.Variables'!$E58,+IF(K$18='5.Variables'!$B$62,+'5.Variables'!$E72,+IF(K$18='5.Variables'!$B$76,+'5.Variables'!$E86,+IF(K$18='5.Variables'!$B$90,+'5.Variables'!$E100,+IF(K$18='5.Variables'!$B$104,+'5.Variables'!$E114,0))))))</f>
        <v>783.6</v>
      </c>
      <c r="L118" s="711">
        <f>IF(L$18='5.Variables'!$B$16,+'5.Variables'!$E34,+IF(L$18='5.Variables'!$B$39,+'5.Variables'!$E58,+IF(L$18='5.Variables'!$B$62,+'5.Variables'!$E72,+IF(L$18='5.Variables'!$B$76,+'5.Variables'!$E86,+IF(L$18='5.Variables'!$B$90,+'5.Variables'!$E100,+IF(L$18='5.Variables'!$B$104,+'5.Variables'!$E114,0))))))</f>
        <v>0</v>
      </c>
      <c r="M118" s="711">
        <f>IF(M$18='5.Variables'!$B$16,+'5.Variables'!$E34,+IF(M$18='5.Variables'!$B$39,+'5.Variables'!$E58,+IF(M$18='5.Variables'!$B$62,+'5.Variables'!$E72,+IF(M$18='5.Variables'!$B$76,+'5.Variables'!$E86,+IF(M$18='5.Variables'!$B$90,+'5.Variables'!$E100,+IF(M$18='5.Variables'!$B$104,+'5.Variables'!$E114,0))))))</f>
        <v>31</v>
      </c>
      <c r="N118" s="711">
        <f>IF(N$18='5.Variables'!$B$16,+'5.Variables'!$E34,+IF(N$18='5.Variables'!$B$39,+'5.Variables'!$E58,+IF(N$18='5.Variables'!$B$62,+'5.Variables'!$E72,+IF(N$18='5.Variables'!$B$76,+'5.Variables'!$E86,+IF(N$18='5.Variables'!$B$90,+'5.Variables'!$E100,+IF(N$18='5.Variables'!$B$104,+'5.Variables'!$E114,0))))))</f>
        <v>156.4</v>
      </c>
      <c r="O118" s="711">
        <f>IF(O$18='5.Variables'!$B$16,+'5.Variables'!$E34,+IF(O$18='5.Variables'!$B$39,+'5.Variables'!$E58,+IF(O$18='5.Variables'!$B$62,+'5.Variables'!$E72,+IF(O$18='5.Variables'!$B$76,+'5.Variables'!$E86,+IF(O$18='5.Variables'!$B$90,+'5.Variables'!$E100,+IF(O$18='5.Variables'!$B$104,+'5.Variables'!$E114,0))))))</f>
        <v>11.51</v>
      </c>
      <c r="P118" s="831">
        <f>IF(P$18='5.Variables'!$B$16,+'5.Variables'!$E34,+IF(P$18='5.Variables'!$B$39,+'5.Variables'!$E58,+IF(P$18='5.Variables'!$B$62,+'5.Variables'!$E72,+IF(P$18='5.Variables'!$B$76,+'5.Variables'!$E86,+IF(P$18='5.Variables'!$B$90,+'5.Variables'!$E100,+IF(P$18='5.Variables'!$B$104,+'5.Variables'!$E114,0))))))</f>
        <v>0</v>
      </c>
      <c r="Q118" s="244"/>
      <c r="R118" s="549">
        <f t="shared" si="10"/>
        <v>8949090.7211718</v>
      </c>
      <c r="S118" s="263"/>
      <c r="T118" s="244"/>
      <c r="U118" s="244"/>
      <c r="V118" s="244"/>
      <c r="W118" s="244"/>
      <c r="X118" s="244"/>
      <c r="Y118" s="244"/>
      <c r="Z118" s="244"/>
      <c r="AA118" s="244"/>
      <c r="AB118" s="244"/>
      <c r="AC118" s="244"/>
      <c r="AD118" s="244"/>
      <c r="AE118" s="244"/>
      <c r="AF118" s="244"/>
      <c r="AG118" s="244"/>
      <c r="AH118" s="244"/>
      <c r="AI118" s="244"/>
      <c r="AJ118" s="244"/>
      <c r="AK118" s="244"/>
      <c r="AL118" s="244"/>
      <c r="AM118" s="244"/>
    </row>
    <row r="119" spans="1:39" x14ac:dyDescent="0.2">
      <c r="A119" s="497">
        <f t="shared" si="11"/>
        <v>100</v>
      </c>
      <c r="B119" s="260" t="str">
        <f>CONCATENATE('3. Consumption by Rate Class'!B124,"-",'3. Consumption by Rate Class'!C124)</f>
        <v>2014-April</v>
      </c>
      <c r="C119" s="684">
        <v>6965454</v>
      </c>
      <c r="D119" s="690">
        <v>-38688</v>
      </c>
      <c r="E119" s="690">
        <v>-43293</v>
      </c>
      <c r="F119" s="694"/>
      <c r="G119" s="690"/>
      <c r="H119" s="691"/>
      <c r="I119" s="691"/>
      <c r="J119" s="261">
        <f>SUM(C119:I119)</f>
        <v>6883473</v>
      </c>
      <c r="K119" s="711">
        <f>IF(K$18='5.Variables'!$B$16,+'5.Variables'!$F35,+IF(K$18='5.Variables'!$B$39,+'5.Variables'!$F58,+IF(K$18='5.Variables'!$B$62,+'5.Variables'!$F72,+IF(K$18='5.Variables'!$B$76,+'5.Variables'!$F86,+IF(K$18='5.Variables'!$B$90,+'5.Variables'!$F100,+IF(K$18='5.Variables'!$B$104,+'5.Variables'!$F114,0))))))</f>
        <v>384.2</v>
      </c>
      <c r="L119" s="711">
        <f>IF(L$18='5.Variables'!$B$16,+'5.Variables'!$F34,+IF(L$18='5.Variables'!$B$39,+'5.Variables'!$F58,+IF(L$18='5.Variables'!$B$62,+'5.Variables'!$F72,+IF(L$18='5.Variables'!$B$76,+'5.Variables'!$F86,+IF(L$18='5.Variables'!$B$90,+'5.Variables'!$F100,+IF(L$18='5.Variables'!$B$104,+'5.Variables'!$F114,0))))))</f>
        <v>0</v>
      </c>
      <c r="M119" s="711">
        <f>IF(M$18='5.Variables'!$B$16,+'5.Variables'!$F34,+IF(M$18='5.Variables'!$B$39,+'5.Variables'!$F58,+IF(M$18='5.Variables'!$B$62,+'5.Variables'!$F72,+IF(M$18='5.Variables'!$B$76,+'5.Variables'!$F86,+IF(M$18='5.Variables'!$B$90,+'5.Variables'!$F100,+IF(M$18='5.Variables'!$B$104,+'5.Variables'!$F114,0))))))</f>
        <v>30</v>
      </c>
      <c r="N119" s="711">
        <f>IF(N$18='5.Variables'!$B$16,+'5.Variables'!$F34,+IF(N$18='5.Variables'!$B$39,+'5.Variables'!$F58,+IF(N$18='5.Variables'!$B$62,+'5.Variables'!$F72,+IF(N$18='5.Variables'!$B$76,+'5.Variables'!$F86,+IF(N$18='5.Variables'!$B$90,+'5.Variables'!$F100,+IF(N$18='5.Variables'!$B$104,+'5.Variables'!$F114,0))))))</f>
        <v>158.5</v>
      </c>
      <c r="O119" s="711">
        <f>IF(O$18='5.Variables'!$B$16,+'5.Variables'!$F34,+IF(O$18='5.Variables'!$B$39,+'5.Variables'!$F58,+IF(O$18='5.Variables'!$B$62,+'5.Variables'!$F72,+IF(O$18='5.Variables'!$B$76,+'5.Variables'!$F86,+IF(O$18='5.Variables'!$B$90,+'5.Variables'!$F100,+IF(O$18='5.Variables'!$B$104,+'5.Variables'!$F114,0))))))</f>
        <v>13.28</v>
      </c>
      <c r="P119" s="831">
        <f>IF(P$18='5.Variables'!$B$16,+'5.Variables'!$F34,+IF(P$18='5.Variables'!$B$39,+'5.Variables'!$F58,+IF(P$18='5.Variables'!$B$62,+'5.Variables'!$F72,+IF(P$18='5.Variables'!$B$76,+'5.Variables'!$F86,+IF(P$18='5.Variables'!$B$90,+'5.Variables'!$F100,+IF(P$18='5.Variables'!$B$104,+'5.Variables'!$F114,0))))))</f>
        <v>0</v>
      </c>
      <c r="Q119" s="244"/>
      <c r="R119" s="549">
        <f t="shared" si="10"/>
        <v>7396454.8427903969</v>
      </c>
      <c r="S119" s="263"/>
      <c r="T119" s="244"/>
      <c r="U119" s="244"/>
      <c r="V119" s="244"/>
      <c r="W119" s="244"/>
      <c r="X119" s="244"/>
      <c r="Y119" s="244"/>
      <c r="Z119" s="244"/>
      <c r="AA119" s="244"/>
      <c r="AB119" s="244"/>
      <c r="AC119" s="244"/>
      <c r="AD119" s="244"/>
      <c r="AE119" s="244"/>
      <c r="AF119" s="244"/>
      <c r="AG119" s="244"/>
      <c r="AH119" s="244"/>
      <c r="AI119" s="244"/>
      <c r="AJ119" s="244"/>
      <c r="AK119" s="244"/>
      <c r="AL119" s="244"/>
      <c r="AM119" s="244"/>
    </row>
    <row r="120" spans="1:39" x14ac:dyDescent="0.2">
      <c r="A120" s="497">
        <f t="shared" si="11"/>
        <v>101</v>
      </c>
      <c r="B120" s="260" t="str">
        <f>CONCATENATE('3. Consumption by Rate Class'!B125,"-",'3. Consumption by Rate Class'!C125)</f>
        <v>2014-May</v>
      </c>
      <c r="C120" s="684">
        <v>6623820</v>
      </c>
      <c r="D120" s="690">
        <v>-34071</v>
      </c>
      <c r="E120" s="690">
        <v>-40874</v>
      </c>
      <c r="F120" s="690"/>
      <c r="G120" s="690"/>
      <c r="H120" s="691"/>
      <c r="I120" s="691"/>
      <c r="J120" s="261">
        <f t="shared" si="9"/>
        <v>6548875</v>
      </c>
      <c r="K120" s="711">
        <f>IF(K$18='5.Variables'!$B$16,+'5.Variables'!$G35,+IF(K$18='5.Variables'!$B$39,+'5.Variables'!$G58,+IF(K$18='5.Variables'!$B$62,+'5.Variables'!$G72,+IF(K$18='5.Variables'!$B$76,+'5.Variables'!$G86,+IF(K$18='5.Variables'!$B$90,+'5.Variables'!$G100,+IF(K$18='5.Variables'!$B$104,+'5.Variables'!$G114,0))))))</f>
        <v>127.3</v>
      </c>
      <c r="L120" s="711">
        <f>IF(L$18='5.Variables'!$B$16,+'5.Variables'!$G34,+IF(L$18='5.Variables'!$B$39,+'5.Variables'!$G58,+IF(L$18='5.Variables'!$B$62,+'5.Variables'!$G72,+IF(L$18='5.Variables'!$B$76,+'5.Variables'!$G86,+IF(L$18='5.Variables'!$B$90,+'5.Variables'!$G100,+IF(L$18='5.Variables'!$B$104,+'5.Variables'!$G114,0))))))</f>
        <v>8.8000000000000007</v>
      </c>
      <c r="M120" s="711">
        <f>IF(M$18='5.Variables'!$B$16,+'5.Variables'!$G34,+IF(M$18='5.Variables'!$B$39,+'5.Variables'!$G58,+IF(M$18='5.Variables'!$B$62,+'5.Variables'!$G72,+IF(M$18='5.Variables'!$B$76,+'5.Variables'!$G86,+IF(M$18='5.Variables'!$B$90,+'5.Variables'!$G100,+IF(M$18='5.Variables'!$B$104,+'5.Variables'!$G114,0))))))</f>
        <v>31</v>
      </c>
      <c r="N120" s="711">
        <f>IF(N$18='5.Variables'!$B$16,+'5.Variables'!$G34,+IF(N$18='5.Variables'!$B$39,+'5.Variables'!$G58,+IF(N$18='5.Variables'!$B$62,+'5.Variables'!$G72,+IF(N$18='5.Variables'!$B$76,+'5.Variables'!$G86,+IF(N$18='5.Variables'!$B$90,+'5.Variables'!$G100,+IF(N$18='5.Variables'!$B$104,+'5.Variables'!$G114,0))))))</f>
        <v>163.6</v>
      </c>
      <c r="O120" s="711">
        <f>IF(O$18='5.Variables'!$B$16,+'5.Variables'!$G34,+IF(O$18='5.Variables'!$B$39,+'5.Variables'!$G58,+IF(O$18='5.Variables'!$B$62,+'5.Variables'!$G72,+IF(O$18='5.Variables'!$B$76,+'5.Variables'!$G86,+IF(O$18='5.Variables'!$B$90,+'5.Variables'!$G100,+IF(O$18='5.Variables'!$B$104,+'5.Variables'!$G114,0))))))</f>
        <v>14.52</v>
      </c>
      <c r="P120" s="831">
        <f>IF(P$18='5.Variables'!$B$16,+'5.Variables'!$G34,+IF(P$18='5.Variables'!$B$39,+'5.Variables'!$G58,+IF(P$18='5.Variables'!$B$62,+'5.Variables'!$G72,+IF(P$18='5.Variables'!$B$76,+'5.Variables'!$G86,+IF(P$18='5.Variables'!$B$90,+'5.Variables'!$G100,+IF(P$18='5.Variables'!$B$104,+'5.Variables'!$G114,0))))))</f>
        <v>0</v>
      </c>
      <c r="Q120" s="244"/>
      <c r="R120" s="549">
        <f t="shared" si="10"/>
        <v>6929591.5645266706</v>
      </c>
      <c r="S120" s="263"/>
      <c r="T120" s="244"/>
      <c r="U120" s="244"/>
      <c r="V120" s="244"/>
      <c r="W120" s="244"/>
      <c r="X120" s="244"/>
      <c r="Y120" s="244"/>
      <c r="Z120" s="244"/>
      <c r="AA120" s="244"/>
      <c r="AB120" s="244"/>
      <c r="AC120" s="244"/>
      <c r="AD120" s="244"/>
      <c r="AE120" s="244"/>
      <c r="AF120" s="244"/>
      <c r="AG120" s="244"/>
      <c r="AH120" s="244"/>
      <c r="AI120" s="244"/>
      <c r="AJ120" s="244"/>
      <c r="AK120" s="244"/>
      <c r="AL120" s="244"/>
      <c r="AM120" s="244"/>
    </row>
    <row r="121" spans="1:39" x14ac:dyDescent="0.2">
      <c r="A121" s="497">
        <f t="shared" si="11"/>
        <v>102</v>
      </c>
      <c r="B121" s="260" t="str">
        <f>CONCATENATE('3. Consumption by Rate Class'!B126,"-",'3. Consumption by Rate Class'!C126)</f>
        <v>2014-June</v>
      </c>
      <c r="C121" s="684">
        <v>6925619</v>
      </c>
      <c r="D121" s="690">
        <v>-26918</v>
      </c>
      <c r="E121" s="690">
        <v>-46209</v>
      </c>
      <c r="F121" s="690"/>
      <c r="G121" s="690"/>
      <c r="H121" s="691"/>
      <c r="I121" s="691"/>
      <c r="J121" s="261">
        <f t="shared" si="9"/>
        <v>6852492</v>
      </c>
      <c r="K121" s="711">
        <f>IF(K$18='5.Variables'!$B$16,+'5.Variables'!$H35,+IF(K$18='5.Variables'!$B$39,+'5.Variables'!$H58,+IF(K$18='5.Variables'!$B$62,+'5.Variables'!$H72,+IF(K$18='5.Variables'!$B$76,+'5.Variables'!$H86,+IF(K$18='5.Variables'!$B$90,+'5.Variables'!$H100,+IF(K$18='5.Variables'!$B$104,+'5.Variables'!$H114,0))))))</f>
        <v>20.3</v>
      </c>
      <c r="L121" s="711">
        <f>IF(L$18='5.Variables'!$B$16,+'5.Variables'!$H34,+IF(L$18='5.Variables'!$B$39,+'5.Variables'!$H58,+IF(L$18='5.Variables'!$B$62,+'5.Variables'!$H72,+IF(L$18='5.Variables'!$B$76,+'5.Variables'!$H86,+IF(L$18='5.Variables'!$B$90,+'5.Variables'!$H100,+IF(L$18='5.Variables'!$B$104,+'5.Variables'!$H114,0))))))</f>
        <v>54.9</v>
      </c>
      <c r="M121" s="711">
        <f>IF(M$18='5.Variables'!$B$16,+'5.Variables'!$H34,+IF(M$18='5.Variables'!$B$39,+'5.Variables'!$H58,+IF(M$18='5.Variables'!$B$62,+'5.Variables'!$H72,+IF(M$18='5.Variables'!$B$76,+'5.Variables'!$H86,+IF(M$18='5.Variables'!$B$90,+'5.Variables'!$H100,+IF(M$18='5.Variables'!$B$104,+'5.Variables'!$H114,0))))))</f>
        <v>30</v>
      </c>
      <c r="N121" s="711">
        <f>IF(N$18='5.Variables'!$B$16,+'5.Variables'!$H34,+IF(N$18='5.Variables'!$B$39,+'5.Variables'!$H58,+IF(N$18='5.Variables'!$B$62,+'5.Variables'!$H72,+IF(N$18='5.Variables'!$B$76,+'5.Variables'!$H86,+IF(N$18='5.Variables'!$B$90,+'5.Variables'!$H100,+IF(N$18='5.Variables'!$B$104,+'5.Variables'!$H114,0))))))</f>
        <v>170.4</v>
      </c>
      <c r="O121" s="711">
        <f>IF(O$18='5.Variables'!$B$16,+'5.Variables'!$H34,+IF(O$18='5.Variables'!$B$39,+'5.Variables'!$H58,+IF(O$18='5.Variables'!$B$62,+'5.Variables'!$H72,+IF(O$18='5.Variables'!$B$76,+'5.Variables'!$H86,+IF(O$18='5.Variables'!$B$90,+'5.Variables'!$H100,+IF(O$18='5.Variables'!$B$104,+'5.Variables'!$H114,0))))))</f>
        <v>15.35</v>
      </c>
      <c r="P121" s="831">
        <f>IF(P$18='5.Variables'!$B$16,+'5.Variables'!$H34,+IF(P$18='5.Variables'!$B$39,+'5.Variables'!$H58,+IF(P$18='5.Variables'!$B$62,+'5.Variables'!$H72,+IF(P$18='5.Variables'!$B$76,+'5.Variables'!$H86,+IF(P$18='5.Variables'!$B$90,+'5.Variables'!$H100,+IF(P$18='5.Variables'!$B$104,+'5.Variables'!$H114,0))))))</f>
        <v>0</v>
      </c>
      <c r="Q121" s="244"/>
      <c r="R121" s="549">
        <f t="shared" si="10"/>
        <v>6963564.8692112248</v>
      </c>
      <c r="S121" s="263"/>
      <c r="T121" s="244"/>
      <c r="U121" s="244"/>
      <c r="V121" s="244"/>
      <c r="W121" s="244"/>
      <c r="X121" s="244"/>
      <c r="Y121" s="244"/>
      <c r="Z121" s="244"/>
      <c r="AA121" s="244"/>
      <c r="AB121" s="244"/>
      <c r="AC121" s="244"/>
      <c r="AD121" s="244"/>
      <c r="AE121" s="244"/>
      <c r="AF121" s="244"/>
      <c r="AG121" s="244"/>
      <c r="AH121" s="244"/>
      <c r="AI121" s="244"/>
      <c r="AJ121" s="244"/>
      <c r="AK121" s="244"/>
      <c r="AL121" s="244"/>
      <c r="AM121" s="244"/>
    </row>
    <row r="122" spans="1:39" x14ac:dyDescent="0.2">
      <c r="A122" s="497">
        <f t="shared" si="11"/>
        <v>103</v>
      </c>
      <c r="B122" s="260" t="str">
        <f>CONCATENATE('3. Consumption by Rate Class'!B127,"-",'3. Consumption by Rate Class'!C127)</f>
        <v>2014-July</v>
      </c>
      <c r="C122" s="686">
        <v>7189425</v>
      </c>
      <c r="D122" s="690">
        <v>-22187</v>
      </c>
      <c r="E122" s="690">
        <v>-40841</v>
      </c>
      <c r="F122" s="690"/>
      <c r="G122" s="690"/>
      <c r="H122" s="691"/>
      <c r="I122" s="691"/>
      <c r="J122" s="261">
        <f t="shared" si="9"/>
        <v>7126397</v>
      </c>
      <c r="K122" s="711">
        <f>IF(K$18='5.Variables'!$B$16,+'5.Variables'!$I35,+IF(K$18='5.Variables'!$B$39,+'5.Variables'!$I58,+IF(K$18='5.Variables'!$B$62,+'5.Variables'!$I72,+IF(K$18='5.Variables'!$B$76,+'5.Variables'!$I86,+IF(K$18='5.Variables'!$B$90,+'5.Variables'!$I100,+IF(K$18='5.Variables'!$B$104,+'5.Variables'!$I114,0))))))</f>
        <v>7.7</v>
      </c>
      <c r="L122" s="711">
        <f>IF(L$18='5.Variables'!$B$16,+'5.Variables'!$I34,+IF(L$18='5.Variables'!$B$39,+'5.Variables'!$I58,+IF(L$18='5.Variables'!$B$62,+'5.Variables'!$I72,+IF(L$18='5.Variables'!$B$76,+'5.Variables'!$I86,+IF(L$18='5.Variables'!$B$90,+'5.Variables'!$I100,+IF(L$18='5.Variables'!$B$104,+'5.Variables'!$I114,0))))))</f>
        <v>62.800000000000011</v>
      </c>
      <c r="M122" s="711">
        <f>IF(M$18='5.Variables'!$B$16,+'5.Variables'!$I34,+IF(M$18='5.Variables'!$B$39,+'5.Variables'!$I58,+IF(M$18='5.Variables'!$B$62,+'5.Variables'!$I72,+IF(M$18='5.Variables'!$B$76,+'5.Variables'!$I86,+IF(M$18='5.Variables'!$B$90,+'5.Variables'!$I100,+IF(M$18='5.Variables'!$B$104,+'5.Variables'!$I114,0))))))</f>
        <v>31</v>
      </c>
      <c r="N122" s="711">
        <f>IF(N$18='5.Variables'!$B$16,+'5.Variables'!$I34,+IF(N$18='5.Variables'!$B$39,+'5.Variables'!$I58,+IF(N$18='5.Variables'!$B$62,+'5.Variables'!$I72,+IF(N$18='5.Variables'!$B$76,+'5.Variables'!$I86,+IF(N$18='5.Variables'!$B$90,+'5.Variables'!$I100,+IF(N$18='5.Variables'!$B$104,+'5.Variables'!$I114,0))))))</f>
        <v>175.7</v>
      </c>
      <c r="O122" s="711">
        <f>IF(O$18='5.Variables'!$B$16,+'5.Variables'!$I34,+IF(O$18='5.Variables'!$B$39,+'5.Variables'!$I58,+IF(O$18='5.Variables'!$B$62,+'5.Variables'!$I72,+IF(O$18='5.Variables'!$B$76,+'5.Variables'!$I86,+IF(O$18='5.Variables'!$B$90,+'5.Variables'!$I100,+IF(O$18='5.Variables'!$B$104,+'5.Variables'!$I114,0))))))</f>
        <v>15.15</v>
      </c>
      <c r="P122" s="831">
        <f>IF(P$18='5.Variables'!$B$16,+'5.Variables'!$I34,+IF(P$18='5.Variables'!$B$39,+'5.Variables'!$I58,+IF(P$18='5.Variables'!$B$62,+'5.Variables'!$I72,+IF(P$18='5.Variables'!$B$76,+'5.Variables'!$I86,+IF(P$18='5.Variables'!$B$90,+'5.Variables'!$I100,+IF(P$18='5.Variables'!$B$104,+'5.Variables'!$I114,0))))))</f>
        <v>0</v>
      </c>
      <c r="Q122" s="244"/>
      <c r="R122" s="549">
        <f t="shared" si="10"/>
        <v>7291677.0027025435</v>
      </c>
      <c r="S122" s="263"/>
      <c r="T122" s="244"/>
      <c r="U122" s="244"/>
      <c r="V122" s="244"/>
      <c r="W122" s="244"/>
      <c r="X122" s="244"/>
      <c r="Y122" s="244"/>
      <c r="Z122" s="244"/>
      <c r="AA122" s="244"/>
      <c r="AB122" s="244"/>
      <c r="AC122" s="244"/>
      <c r="AD122" s="244"/>
      <c r="AE122" s="244"/>
      <c r="AF122" s="244"/>
      <c r="AG122" s="244"/>
      <c r="AH122" s="244"/>
      <c r="AI122" s="244"/>
      <c r="AJ122" s="244"/>
      <c r="AK122" s="244"/>
      <c r="AL122" s="244"/>
      <c r="AM122" s="244"/>
    </row>
    <row r="123" spans="1:39" x14ac:dyDescent="0.2">
      <c r="A123" s="497">
        <f t="shared" si="11"/>
        <v>104</v>
      </c>
      <c r="B123" s="260" t="str">
        <f>CONCATENATE('3. Consumption by Rate Class'!B128,"-",'3. Consumption by Rate Class'!C128)</f>
        <v>2014-August</v>
      </c>
      <c r="C123" s="686">
        <v>7010898</v>
      </c>
      <c r="D123" s="690">
        <v>-16168</v>
      </c>
      <c r="E123" s="690">
        <v>-38487</v>
      </c>
      <c r="F123" s="690"/>
      <c r="G123" s="690"/>
      <c r="H123" s="691"/>
      <c r="I123" s="691"/>
      <c r="J123" s="261">
        <f t="shared" si="9"/>
        <v>6956243</v>
      </c>
      <c r="K123" s="711">
        <f>IF(K$18='5.Variables'!$B$16,+'5.Variables'!$J35,+IF(K$18='5.Variables'!$B$39,+'5.Variables'!$J58,+IF(K$18='5.Variables'!$B$62,+'5.Variables'!$J72,+IF(K$18='5.Variables'!$B$76,+'5.Variables'!$J86,+IF(K$18='5.Variables'!$B$90,+'5.Variables'!$J100,+IF(K$18='5.Variables'!$B$104,+'5.Variables'!$J114,0))))))</f>
        <v>21.4</v>
      </c>
      <c r="L123" s="711">
        <f>IF(L$18='5.Variables'!$B$16,+'5.Variables'!$J34,+IF(L$18='5.Variables'!$B$39,+'5.Variables'!$J58,+IF(L$18='5.Variables'!$B$62,+'5.Variables'!$J72,+IF(L$18='5.Variables'!$B$76,+'5.Variables'!$J86,+IF(L$18='5.Variables'!$B$90,+'5.Variables'!$J100,+IF(L$18='5.Variables'!$B$104,+'5.Variables'!$J114,0))))))</f>
        <v>55.800000000000004</v>
      </c>
      <c r="M123" s="711">
        <f>IF(M$18='5.Variables'!$B$16,+'5.Variables'!$J34,+IF(M$18='5.Variables'!$B$39,+'5.Variables'!$J58,+IF(M$18='5.Variables'!$B$62,+'5.Variables'!$J72,+IF(M$18='5.Variables'!$B$76,+'5.Variables'!$J86,+IF(M$18='5.Variables'!$B$90,+'5.Variables'!$J100,+IF(M$18='5.Variables'!$B$104,+'5.Variables'!$J114,0))))))</f>
        <v>31</v>
      </c>
      <c r="N123" s="711">
        <f>IF(N$18='5.Variables'!$B$16,+'5.Variables'!$J34,+IF(N$18='5.Variables'!$B$39,+'5.Variables'!$J58,+IF(N$18='5.Variables'!$B$62,+'5.Variables'!$J72,+IF(N$18='5.Variables'!$B$76,+'5.Variables'!$J86,+IF(N$18='5.Variables'!$B$90,+'5.Variables'!$J100,+IF(N$18='5.Variables'!$B$104,+'5.Variables'!$J114,0))))))</f>
        <v>179.7</v>
      </c>
      <c r="O123" s="711">
        <f>IF(O$18='5.Variables'!$B$16,+'5.Variables'!$J34,+IF(O$18='5.Variables'!$B$39,+'5.Variables'!$J58,+IF(O$18='5.Variables'!$B$62,+'5.Variables'!$J72,+IF(O$18='5.Variables'!$B$76,+'5.Variables'!$J86,+IF(O$18='5.Variables'!$B$90,+'5.Variables'!$J100,+IF(O$18='5.Variables'!$B$104,+'5.Variables'!$J114,0))))))</f>
        <v>14.03</v>
      </c>
      <c r="P123" s="831">
        <f>IF(P$18='5.Variables'!$B$16,+'5.Variables'!$J34,+IF(P$18='5.Variables'!$B$39,+'5.Variables'!$J58,+IF(P$18='5.Variables'!$B$62,+'5.Variables'!$J72,+IF(P$18='5.Variables'!$B$76,+'5.Variables'!$J86,+IF(P$18='5.Variables'!$B$90,+'5.Variables'!$J100,+IF(P$18='5.Variables'!$B$104,+'5.Variables'!$J114,0))))))</f>
        <v>0</v>
      </c>
      <c r="Q123" s="244"/>
      <c r="R123" s="549">
        <f t="shared" si="10"/>
        <v>7241060.4572768761</v>
      </c>
      <c r="S123" s="263"/>
      <c r="T123" s="244"/>
      <c r="U123" s="244"/>
      <c r="V123" s="244"/>
      <c r="W123" s="244"/>
      <c r="X123" s="244"/>
      <c r="Y123" s="244"/>
      <c r="Z123" s="244"/>
      <c r="AA123" s="244"/>
      <c r="AB123" s="244"/>
      <c r="AC123" s="244"/>
      <c r="AD123" s="244"/>
      <c r="AE123" s="244"/>
      <c r="AF123" s="244"/>
      <c r="AG123" s="244"/>
      <c r="AH123" s="244"/>
      <c r="AI123" s="244"/>
      <c r="AJ123" s="244"/>
      <c r="AK123" s="244"/>
      <c r="AL123" s="244"/>
      <c r="AM123" s="244"/>
    </row>
    <row r="124" spans="1:39" x14ac:dyDescent="0.2">
      <c r="A124" s="497">
        <f t="shared" si="11"/>
        <v>105</v>
      </c>
      <c r="B124" s="260" t="str">
        <f>CONCATENATE('3. Consumption by Rate Class'!B129,"-",'3. Consumption by Rate Class'!C129)</f>
        <v>2014-September</v>
      </c>
      <c r="C124" s="686">
        <v>6707937</v>
      </c>
      <c r="D124" s="690">
        <v>-9545</v>
      </c>
      <c r="E124" s="690">
        <v>-32856</v>
      </c>
      <c r="F124" s="690"/>
      <c r="G124" s="690"/>
      <c r="H124" s="691"/>
      <c r="I124" s="691"/>
      <c r="J124" s="261">
        <f t="shared" si="9"/>
        <v>6665536</v>
      </c>
      <c r="K124" s="711">
        <f>IF(K$18='5.Variables'!$B$16,+'5.Variables'!$K35,+IF(K$18='5.Variables'!$B$39,+'5.Variables'!$K58,+IF(K$18='5.Variables'!$B$62,+'5.Variables'!$K72,+IF(K$18='5.Variables'!$B$76,+'5.Variables'!$K86,+IF(K$18='5.Variables'!$B$90,+'5.Variables'!$K100,+IF(K$18='5.Variables'!$B$104,+'5.Variables'!$K114,0))))))</f>
        <v>110.3</v>
      </c>
      <c r="L124" s="711">
        <f>IF(L$18='5.Variables'!$B$16,+'5.Variables'!$K34,+IF(L$18='5.Variables'!$B$39,+'5.Variables'!$K58,+IF(L$18='5.Variables'!$B$62,+'5.Variables'!$K72,+IF(L$18='5.Variables'!$B$76,+'5.Variables'!$K86,+IF(L$18='5.Variables'!$B$90,+'5.Variables'!$K100,+IF(L$18='5.Variables'!$B$104,+'5.Variables'!$K114,0))))))</f>
        <v>21.600000000000005</v>
      </c>
      <c r="M124" s="711">
        <f>IF(M$18='5.Variables'!$B$16,+'5.Variables'!$K34,+IF(M$18='5.Variables'!$B$39,+'5.Variables'!$K58,+IF(M$18='5.Variables'!$B$62,+'5.Variables'!$K72,+IF(M$18='5.Variables'!$B$76,+'5.Variables'!$K86,+IF(M$18='5.Variables'!$B$90,+'5.Variables'!$K100,+IF(M$18='5.Variables'!$B$104,+'5.Variables'!$K114,0))))))</f>
        <v>30</v>
      </c>
      <c r="N124" s="711">
        <f>IF(N$18='5.Variables'!$B$16,+'5.Variables'!$K34,+IF(N$18='5.Variables'!$B$39,+'5.Variables'!$K58,+IF(N$18='5.Variables'!$B$62,+'5.Variables'!$K72,+IF(N$18='5.Variables'!$B$76,+'5.Variables'!$K86,+IF(N$18='5.Variables'!$B$90,+'5.Variables'!$K100,+IF(N$18='5.Variables'!$B$104,+'5.Variables'!$K114,0))))))</f>
        <v>177.1</v>
      </c>
      <c r="O124" s="711">
        <f>IF(O$18='5.Variables'!$B$16,+'5.Variables'!$K34,+IF(O$18='5.Variables'!$B$39,+'5.Variables'!$K58,+IF(O$18='5.Variables'!$B$62,+'5.Variables'!$K72,+IF(O$18='5.Variables'!$B$76,+'5.Variables'!$K86,+IF(O$18='5.Variables'!$B$90,+'5.Variables'!$K100,+IF(O$18='5.Variables'!$B$104,+'5.Variables'!$K114,0))))))</f>
        <v>12.29</v>
      </c>
      <c r="P124" s="831">
        <f>IF(P$18='5.Variables'!$B$16,+'5.Variables'!$K34,+IF(P$18='5.Variables'!$B$39,+'5.Variables'!$K58,+IF(P$18='5.Variables'!$B$62,+'5.Variables'!$K72,+IF(P$18='5.Variables'!$B$76,+'5.Variables'!$K86,+IF(P$18='5.Variables'!$B$90,+'5.Variables'!$K100,+IF(P$18='5.Variables'!$B$104,+'5.Variables'!$K114,0))))))</f>
        <v>0</v>
      </c>
      <c r="Q124" s="244"/>
      <c r="R124" s="549">
        <f t="shared" si="10"/>
        <v>6805952.5611322485</v>
      </c>
      <c r="S124" s="263"/>
      <c r="T124" s="244"/>
      <c r="U124" s="244"/>
      <c r="V124" s="244"/>
      <c r="W124" s="244"/>
      <c r="X124" s="244"/>
      <c r="Y124" s="244"/>
      <c r="Z124" s="244"/>
      <c r="AA124" s="244"/>
      <c r="AB124" s="244"/>
      <c r="AC124" s="244"/>
      <c r="AD124" s="244"/>
      <c r="AE124" s="244"/>
      <c r="AF124" s="244"/>
      <c r="AG124" s="244"/>
      <c r="AH124" s="244"/>
      <c r="AI124" s="244"/>
      <c r="AJ124" s="244"/>
      <c r="AK124" s="244"/>
      <c r="AL124" s="244"/>
      <c r="AM124" s="244"/>
    </row>
    <row r="125" spans="1:39" x14ac:dyDescent="0.2">
      <c r="A125" s="497">
        <f t="shared" si="11"/>
        <v>106</v>
      </c>
      <c r="B125" s="260" t="str">
        <f>CONCATENATE('3. Consumption by Rate Class'!B130,"-",'3. Consumption by Rate Class'!C130)</f>
        <v>2014-October</v>
      </c>
      <c r="C125" s="686">
        <v>6979096</v>
      </c>
      <c r="D125" s="690">
        <v>0</v>
      </c>
      <c r="E125" s="690">
        <v>-33960</v>
      </c>
      <c r="F125" s="690"/>
      <c r="G125" s="690"/>
      <c r="H125" s="691"/>
      <c r="I125" s="691"/>
      <c r="J125" s="261">
        <f t="shared" si="9"/>
        <v>6945136</v>
      </c>
      <c r="K125" s="711">
        <f>IF(K$18='5.Variables'!$B$16,+'5.Variables'!$L35,+IF(K$18='5.Variables'!$B$39,+'5.Variables'!$L58,+IF(K$18='5.Variables'!$B$62,+'5.Variables'!$L72,+IF(K$18='5.Variables'!$B$76,+'5.Variables'!$L86,+IF(K$18='5.Variables'!$B$90,+'5.Variables'!$L100,+IF(K$18='5.Variables'!$B$104,+'5.Variables'!$L114,0))))))</f>
        <v>257.89999999999998</v>
      </c>
      <c r="L125" s="711">
        <f>IF(L$18='5.Variables'!$B$16,+'5.Variables'!$L34,+IF(L$18='5.Variables'!$B$39,+'5.Variables'!$L58,+IF(L$18='5.Variables'!$B$62,+'5.Variables'!$L72,+IF(L$18='5.Variables'!$B$76,+'5.Variables'!$L86,+IF(L$18='5.Variables'!$B$90,+'5.Variables'!$L100,+IF(L$18='5.Variables'!$B$104,+'5.Variables'!$L114,0))))))</f>
        <v>3.1</v>
      </c>
      <c r="M125" s="711">
        <f>IF(M$18='5.Variables'!$B$16,+'5.Variables'!$L34,+IF(M$18='5.Variables'!$B$39,+'5.Variables'!$L58,+IF(M$18='5.Variables'!$B$62,+'5.Variables'!$L72,+IF(M$18='5.Variables'!$B$76,+'5.Variables'!$L86,+IF(M$18='5.Variables'!$B$90,+'5.Variables'!$L100,+IF(M$18='5.Variables'!$B$104,+'5.Variables'!$L114,0))))))</f>
        <v>31</v>
      </c>
      <c r="N125" s="711">
        <f>IF(N$18='5.Variables'!$B$16,+'5.Variables'!$L34,+IF(N$18='5.Variables'!$B$39,+'5.Variables'!$L58,+IF(N$18='5.Variables'!$B$62,+'5.Variables'!$L72,+IF(N$18='5.Variables'!$B$76,+'5.Variables'!$L86,+IF(N$18='5.Variables'!$B$90,+'5.Variables'!$L100,+IF(N$18='5.Variables'!$B$104,+'5.Variables'!$L114,0))))))</f>
        <v>172.2</v>
      </c>
      <c r="O125" s="711">
        <f>IF(O$18='5.Variables'!$B$16,+'5.Variables'!$L34,+IF(O$18='5.Variables'!$B$39,+'5.Variables'!$L58,+IF(O$18='5.Variables'!$B$62,+'5.Variables'!$L72,+IF(O$18='5.Variables'!$B$76,+'5.Variables'!$L86,+IF(O$18='5.Variables'!$B$90,+'5.Variables'!$L100,+IF(O$18='5.Variables'!$B$104,+'5.Variables'!$L114,0))))))</f>
        <v>10.51</v>
      </c>
      <c r="P125" s="831">
        <f>IF(P$18='5.Variables'!$B$16,+'5.Variables'!$L34,+IF(P$18='5.Variables'!$B$39,+'5.Variables'!$L58,+IF(P$18='5.Variables'!$B$62,+'5.Variables'!$L72,+IF(P$18='5.Variables'!$B$76,+'5.Variables'!$L86,+IF(P$18='5.Variables'!$B$90,+'5.Variables'!$L100,+IF(P$18='5.Variables'!$B$104,+'5.Variables'!$L114,0))))))</f>
        <v>0</v>
      </c>
      <c r="Q125" s="244"/>
      <c r="R125" s="549">
        <f t="shared" si="10"/>
        <v>7182538.1991750011</v>
      </c>
      <c r="S125" s="263"/>
      <c r="T125" s="244"/>
      <c r="U125" s="244"/>
      <c r="V125" s="244"/>
      <c r="W125" s="244"/>
      <c r="X125" s="244"/>
      <c r="Y125" s="244"/>
      <c r="Z125" s="244"/>
      <c r="AA125" s="244"/>
      <c r="AB125" s="244"/>
      <c r="AC125" s="244"/>
      <c r="AD125" s="244"/>
      <c r="AE125" s="244"/>
      <c r="AF125" s="244"/>
      <c r="AG125" s="244"/>
      <c r="AH125" s="244"/>
      <c r="AI125" s="244"/>
      <c r="AJ125" s="244"/>
      <c r="AK125" s="244"/>
      <c r="AL125" s="244"/>
      <c r="AM125" s="244"/>
    </row>
    <row r="126" spans="1:39" x14ac:dyDescent="0.2">
      <c r="A126" s="497">
        <f t="shared" si="11"/>
        <v>107</v>
      </c>
      <c r="B126" s="260" t="str">
        <f>CONCATENATE('3. Consumption by Rate Class'!B131,"-",'3. Consumption by Rate Class'!C131)</f>
        <v>2014-November</v>
      </c>
      <c r="C126" s="686">
        <v>7414780</v>
      </c>
      <c r="D126" s="690">
        <v>0</v>
      </c>
      <c r="E126" s="690">
        <v>-31831</v>
      </c>
      <c r="F126" s="690"/>
      <c r="G126" s="690"/>
      <c r="H126" s="691"/>
      <c r="I126" s="691"/>
      <c r="J126" s="261">
        <f t="shared" si="9"/>
        <v>7382949</v>
      </c>
      <c r="K126" s="711">
        <f>IF(K$18='5.Variables'!$B$16,+'5.Variables'!$M35,+IF(K$18='5.Variables'!$B$39,+'5.Variables'!$M58,+IF(K$18='5.Variables'!$B$62,+'5.Variables'!$M72,+IF(K$18='5.Variables'!$B$76,+'5.Variables'!$M86,+IF(K$18='5.Variables'!$B$90,+'5.Variables'!$M100,+IF(K$18='5.Variables'!$B$104,+'5.Variables'!$M114,0))))))</f>
        <v>510.6</v>
      </c>
      <c r="L126" s="711">
        <f>IF(L$18='5.Variables'!$B$16,+'5.Variables'!$M34,+IF(L$18='5.Variables'!$B$39,+'5.Variables'!$M58,+IF(L$18='5.Variables'!$B$62,+'5.Variables'!$M72,+IF(L$18='5.Variables'!$B$76,+'5.Variables'!$M86,+IF(L$18='5.Variables'!$B$90,+'5.Variables'!$M100,+IF(L$18='5.Variables'!$B$104,+'5.Variables'!$M114,0))))))</f>
        <v>0</v>
      </c>
      <c r="M126" s="711">
        <f>IF(M$18='5.Variables'!$B$16,+'5.Variables'!$M34,+IF(M$18='5.Variables'!$B$39,+'5.Variables'!$M58,+IF(M$18='5.Variables'!$B$62,+'5.Variables'!$M72,+IF(M$18='5.Variables'!$B$76,+'5.Variables'!$M86,+IF(M$18='5.Variables'!$B$90,+'5.Variables'!$M100,+IF(M$18='5.Variables'!$B$104,+'5.Variables'!$M114,0))))))</f>
        <v>30</v>
      </c>
      <c r="N126" s="711">
        <f>IF(N$18='5.Variables'!$B$16,+'5.Variables'!$M34,+IF(N$18='5.Variables'!$B$39,+'5.Variables'!$M58,+IF(N$18='5.Variables'!$B$62,+'5.Variables'!$M72,+IF(N$18='5.Variables'!$B$76,+'5.Variables'!$M86,+IF(N$18='5.Variables'!$B$90,+'5.Variables'!$M100,+IF(N$18='5.Variables'!$B$104,+'5.Variables'!$M114,0))))))</f>
        <v>165.4</v>
      </c>
      <c r="O126" s="711">
        <f>IF(O$18='5.Variables'!$B$16,+'5.Variables'!$M34,+IF(O$18='5.Variables'!$B$39,+'5.Variables'!$M58,+IF(O$18='5.Variables'!$B$62,+'5.Variables'!$M72,+IF(O$18='5.Variables'!$B$76,+'5.Variables'!$M86,+IF(O$18='5.Variables'!$B$90,+'5.Variables'!$M100,+IF(O$18='5.Variables'!$B$104,+'5.Variables'!$M114,0))))))</f>
        <v>9.2799999999999994</v>
      </c>
      <c r="P126" s="831">
        <f>IF(P$18='5.Variables'!$B$16,+'5.Variables'!$M34,+IF(P$18='5.Variables'!$B$39,+'5.Variables'!$M58,+IF(P$18='5.Variables'!$B$62,+'5.Variables'!$M72,+IF(P$18='5.Variables'!$B$76,+'5.Variables'!$M86,+IF(P$18='5.Variables'!$B$90,+'5.Variables'!$M100,+IF(P$18='5.Variables'!$B$104,+'5.Variables'!$M114,0))))))</f>
        <v>0</v>
      </c>
      <c r="Q126" s="244"/>
      <c r="R126" s="549">
        <f t="shared" si="10"/>
        <v>7673118.3876030166</v>
      </c>
      <c r="S126" s="263"/>
      <c r="T126" s="244"/>
      <c r="U126" s="244"/>
      <c r="V126" s="244"/>
      <c r="W126" s="244"/>
      <c r="X126" s="244"/>
      <c r="Y126" s="244"/>
      <c r="Z126" s="244"/>
      <c r="AA126" s="244"/>
      <c r="AB126" s="244"/>
      <c r="AC126" s="244"/>
      <c r="AD126" s="244"/>
      <c r="AE126" s="244"/>
      <c r="AF126" s="244"/>
      <c r="AG126" s="244"/>
      <c r="AH126" s="244"/>
      <c r="AI126" s="244"/>
      <c r="AJ126" s="244"/>
      <c r="AK126" s="244"/>
      <c r="AL126" s="244"/>
      <c r="AM126" s="244"/>
    </row>
    <row r="127" spans="1:39" x14ac:dyDescent="0.2">
      <c r="A127" s="497">
        <f t="shared" si="11"/>
        <v>108</v>
      </c>
      <c r="B127" s="516" t="str">
        <f>CONCATENATE('3. Consumption by Rate Class'!B132,"-",'3. Consumption by Rate Class'!C132)</f>
        <v>2014-December</v>
      </c>
      <c r="C127" s="685">
        <v>8362346</v>
      </c>
      <c r="D127" s="692">
        <v>0</v>
      </c>
      <c r="E127" s="692">
        <v>-30674</v>
      </c>
      <c r="F127" s="692"/>
      <c r="G127" s="692"/>
      <c r="H127" s="693"/>
      <c r="I127" s="693"/>
      <c r="J127" s="261">
        <f t="shared" si="9"/>
        <v>8331672</v>
      </c>
      <c r="K127" s="711">
        <f>IF(K$18='5.Variables'!$B$16,+'5.Variables'!$N35,+IF(K$18='5.Variables'!$B$39,+'5.Variables'!$N58,+IF(K$18='5.Variables'!$B$62,+'5.Variables'!$N72,+IF(K$18='5.Variables'!$B$76,+'5.Variables'!$N86,+IF(K$18='5.Variables'!$B$90,+'5.Variables'!$N100,+IF(K$18='5.Variables'!$B$104,+'5.Variables'!$N114,0))))))</f>
        <v>696.4</v>
      </c>
      <c r="L127" s="711">
        <f>IF(L$18='5.Variables'!$B$16,+'5.Variables'!$N34,+IF(L$18='5.Variables'!$B$39,+'5.Variables'!$N58,+IF(L$18='5.Variables'!$B$62,+'5.Variables'!$N72,+IF(L$18='5.Variables'!$B$76,+'5.Variables'!$N86,+IF(L$18='5.Variables'!$B$90,+'5.Variables'!$N100,+IF(L$18='5.Variables'!$B$104,+'5.Variables'!$N114,0))))))</f>
        <v>0</v>
      </c>
      <c r="M127" s="711">
        <f>IF(M$18='5.Variables'!$B$16,+'5.Variables'!$N34,+IF(M$18='5.Variables'!$B$39,+'5.Variables'!$N58,+IF(M$18='5.Variables'!$B$62,+'5.Variables'!$N72,+IF(M$18='5.Variables'!$B$76,+'5.Variables'!$N86,+IF(M$18='5.Variables'!$B$90,+'5.Variables'!$N100,+IF(M$18='5.Variables'!$B$104,+'5.Variables'!$N114,0))))))</f>
        <v>31</v>
      </c>
      <c r="N127" s="711">
        <f>IF(N$18='5.Variables'!$B$16,+'5.Variables'!$N34,+IF(N$18='5.Variables'!$B$39,+'5.Variables'!$N58,+IF(N$18='5.Variables'!$B$62,+'5.Variables'!$N72,+IF(N$18='5.Variables'!$B$76,+'5.Variables'!$N86,+IF(N$18='5.Variables'!$B$90,+'5.Variables'!$N100,+IF(N$18='5.Variables'!$B$104,+'5.Variables'!$N114,0))))))</f>
        <v>162.1</v>
      </c>
      <c r="O127" s="711">
        <f>IF(O$18='5.Variables'!$B$16,+'5.Variables'!$N34,+IF(O$18='5.Variables'!$B$39,+'5.Variables'!$N58,+IF(O$18='5.Variables'!$B$62,+'5.Variables'!$N72,+IF(O$18='5.Variables'!$B$76,+'5.Variables'!$N86,+IF(O$18='5.Variables'!$B$90,+'5.Variables'!$N100,+IF(O$18='5.Variables'!$B$104,+'5.Variables'!$N114,0))))))</f>
        <v>8.4700000000000006</v>
      </c>
      <c r="P127" s="831">
        <f>IF(P$18='5.Variables'!$B$16,+'5.Variables'!$N34,+IF(P$18='5.Variables'!$B$39,+'5.Variables'!$N58,+IF(P$18='5.Variables'!$B$62,+'5.Variables'!$N72,+IF(P$18='5.Variables'!$B$76,+'5.Variables'!$N86,+IF(P$18='5.Variables'!$B$90,+'5.Variables'!$N100,+IF(P$18='5.Variables'!$B$104,+'5.Variables'!$N114,0))))))</f>
        <v>0</v>
      </c>
      <c r="Q127" s="244"/>
      <c r="R127" s="549">
        <f t="shared" si="10"/>
        <v>8486145.6621044651</v>
      </c>
      <c r="S127" s="263">
        <f>SUM(R116:R127)</f>
        <v>92410619.010412455</v>
      </c>
      <c r="T127" s="244"/>
      <c r="U127" s="244"/>
      <c r="V127" s="244"/>
      <c r="W127" s="244"/>
      <c r="X127" s="244"/>
      <c r="Y127" s="244"/>
      <c r="Z127" s="244"/>
      <c r="AA127" s="244"/>
      <c r="AB127" s="244"/>
      <c r="AC127" s="244"/>
      <c r="AD127" s="244"/>
      <c r="AE127" s="244"/>
      <c r="AF127" s="244"/>
      <c r="AG127" s="244"/>
      <c r="AH127" s="244"/>
      <c r="AI127" s="244"/>
      <c r="AJ127" s="244"/>
      <c r="AK127" s="244"/>
      <c r="AL127" s="244"/>
      <c r="AM127" s="244"/>
    </row>
    <row r="128" spans="1:39" x14ac:dyDescent="0.2">
      <c r="A128" s="497">
        <f t="shared" si="11"/>
        <v>109</v>
      </c>
      <c r="B128" s="260" t="str">
        <f>CONCATENATE('3. Consumption by Rate Class'!B133,"-",'3. Consumption by Rate Class'!C133)</f>
        <v>2015-January</v>
      </c>
      <c r="C128" s="686">
        <v>9446128</v>
      </c>
      <c r="D128" s="690">
        <v>0</v>
      </c>
      <c r="E128" s="690">
        <v>-34207</v>
      </c>
      <c r="F128" s="690"/>
      <c r="G128" s="690"/>
      <c r="H128" s="691"/>
      <c r="I128" s="691"/>
      <c r="J128" s="261">
        <f t="shared" si="9"/>
        <v>9411921</v>
      </c>
      <c r="K128" s="711">
        <f>IF(K$18='5.Variables'!$B$16,+'5.Variables'!$C36,+IF(K$18='5.Variables'!$B$39,+'5.Variables'!$C59,+IF(K$18='5.Variables'!$B$62,+'5.Variables'!$C73,+IF(K$18='5.Variables'!$B$76,+'5.Variables'!$C87,+IF(K$18='5.Variables'!$B$90,+'5.Variables'!$C101,+IF(K$18='5.Variables'!$B$104,+'5.Variables'!$C115,0))))))</f>
        <v>894.29999999999984</v>
      </c>
      <c r="L128" s="711">
        <f>IF(L$18='5.Variables'!$B$16,+'5.Variables'!$C35,+IF(L$18='5.Variables'!$B$39,+'5.Variables'!$C59,+IF(L$18='5.Variables'!$B$62,+'5.Variables'!$C73,+IF(L$18='5.Variables'!$B$76,+'5.Variables'!$C87,+IF(L$18='5.Variables'!$B$90,+'5.Variables'!$C101,+IF(L$18='5.Variables'!$B$104,+'5.Variables'!$C115,0))))))</f>
        <v>0</v>
      </c>
      <c r="M128" s="711">
        <f>IF(M$18='5.Variables'!$B$16,+'5.Variables'!$C35,+IF(M$18='5.Variables'!$B$39,+'5.Variables'!$C59,+IF(M$18='5.Variables'!$B$62,+'5.Variables'!$C73,+IF(M$18='5.Variables'!$B$76,+'5.Variables'!$C87,+IF(M$18='5.Variables'!$B$90,+'5.Variables'!$C101,+IF(M$18='5.Variables'!$B$104,+'5.Variables'!$C115,0))))))</f>
        <v>31</v>
      </c>
      <c r="N128" s="711">
        <f>IF(N$18='5.Variables'!$B$16,+'5.Variables'!$C35,+IF(N$18='5.Variables'!$B$39,+'5.Variables'!$C59,+IF(N$18='5.Variables'!$B$62,+'5.Variables'!$C73,+IF(N$18='5.Variables'!$B$76,+'5.Variables'!$C87,+IF(N$18='5.Variables'!$B$90,+'5.Variables'!$C101,+IF(N$18='5.Variables'!$B$104,+'5.Variables'!$C115,0))))))</f>
        <v>157.6</v>
      </c>
      <c r="O128" s="711">
        <f>IF(O$18='5.Variables'!$B$16,+'5.Variables'!$C35,+IF(O$18='5.Variables'!$B$39,+'5.Variables'!$C59,+IF(O$18='5.Variables'!$B$62,+'5.Variables'!$C73,+IF(O$18='5.Variables'!$B$76,+'5.Variables'!$C87,+IF(O$18='5.Variables'!$B$90,+'5.Variables'!$C101,+IF(O$18='5.Variables'!$B$104,+'5.Variables'!$C115,0))))))</f>
        <v>9.09</v>
      </c>
      <c r="P128" s="831">
        <f>IF(P$18='5.Variables'!$B$16,+'5.Variables'!$C35,+IF(P$18='5.Variables'!$B$39,+'5.Variables'!$C59,+IF(P$18='5.Variables'!$B$62,+'5.Variables'!$C73,+IF(P$18='5.Variables'!$B$76,+'5.Variables'!$C87,+IF(P$18='5.Variables'!$B$90,+'5.Variables'!$C101,+IF(P$18='5.Variables'!$B$104,+'5.Variables'!$C115,0))))))</f>
        <v>0</v>
      </c>
      <c r="Q128" s="244"/>
      <c r="R128" s="549">
        <f t="shared" si="10"/>
        <v>9201770.267545253</v>
      </c>
      <c r="S128" s="263"/>
      <c r="T128" s="244"/>
      <c r="U128" s="244"/>
      <c r="V128" s="244"/>
      <c r="W128" s="244"/>
      <c r="X128" s="244"/>
      <c r="Y128" s="244"/>
      <c r="Z128" s="244"/>
      <c r="AA128" s="244"/>
      <c r="AB128" s="244"/>
      <c r="AC128" s="244"/>
      <c r="AD128" s="244"/>
      <c r="AE128" s="244"/>
      <c r="AF128" s="244"/>
      <c r="AG128" s="244"/>
      <c r="AH128" s="244"/>
      <c r="AI128" s="244"/>
      <c r="AJ128" s="244"/>
      <c r="AK128" s="244"/>
      <c r="AL128" s="244"/>
      <c r="AM128" s="244"/>
    </row>
    <row r="129" spans="1:39" x14ac:dyDescent="0.2">
      <c r="A129" s="497">
        <f t="shared" si="11"/>
        <v>110</v>
      </c>
      <c r="B129" s="260" t="str">
        <f>CONCATENATE('3. Consumption by Rate Class'!B134,"-",'3. Consumption by Rate Class'!C134)</f>
        <v>2015-February</v>
      </c>
      <c r="C129" s="686">
        <v>8809615</v>
      </c>
      <c r="D129" s="690">
        <v>0</v>
      </c>
      <c r="E129" s="690">
        <v>-34207</v>
      </c>
      <c r="F129" s="690"/>
      <c r="G129" s="690"/>
      <c r="H129" s="691"/>
      <c r="I129" s="691"/>
      <c r="J129" s="261">
        <f t="shared" si="9"/>
        <v>8775408</v>
      </c>
      <c r="K129" s="711">
        <f>IF(K$18='5.Variables'!$B$16,+'5.Variables'!$D36,+IF(K$18='5.Variables'!$B$39,+'5.Variables'!$D59,+IF(K$18='5.Variables'!$B$62,+'5.Variables'!$D73,+IF(K$18='5.Variables'!$B$76,+'5.Variables'!$D87,+IF(K$18='5.Variables'!$B$90,+'5.Variables'!$D101,+IF(K$18='5.Variables'!$B$104,+'5.Variables'!$D115,0))))))</f>
        <v>957.39999999999975</v>
      </c>
      <c r="L129" s="711">
        <f>IF(L$18='5.Variables'!$B$16,+'5.Variables'!$D35,+IF(L$18='5.Variables'!$B$39,+'5.Variables'!$D59,+IF(L$18='5.Variables'!$B$62,+'5.Variables'!$D73,+IF(L$18='5.Variables'!$B$76,+'5.Variables'!$D87,+IF(L$18='5.Variables'!$B$90,+'5.Variables'!$D101,+IF(L$18='5.Variables'!$B$104,+'5.Variables'!$D115,0))))))</f>
        <v>0</v>
      </c>
      <c r="M129" s="711">
        <f>IF(M$18='5.Variables'!$B$16,+'5.Variables'!$D35,+IF(M$18='5.Variables'!$B$39,+'5.Variables'!$D59,+IF(M$18='5.Variables'!$B$62,+'5.Variables'!$D73,+IF(M$18='5.Variables'!$B$76,+'5.Variables'!$D87,+IF(M$18='5.Variables'!$B$90,+'5.Variables'!$D101,+IF(M$18='5.Variables'!$B$104,+'5.Variables'!$D115,0))))))</f>
        <v>28</v>
      </c>
      <c r="N129" s="711">
        <f>IF(N$18='5.Variables'!$B$16,+'5.Variables'!$D35,+IF(N$18='5.Variables'!$B$39,+'5.Variables'!$D59,+IF(N$18='5.Variables'!$B$62,+'5.Variables'!$D73,+IF(N$18='5.Variables'!$B$76,+'5.Variables'!$D87,+IF(N$18='5.Variables'!$B$90,+'5.Variables'!$D101,+IF(N$18='5.Variables'!$B$104,+'5.Variables'!$D115,0))))))</f>
        <v>155.1</v>
      </c>
      <c r="O129" s="711">
        <f>IF(O$18='5.Variables'!$B$16,+'5.Variables'!$D35,+IF(O$18='5.Variables'!$B$39,+'5.Variables'!$D59,+IF(O$18='5.Variables'!$B$62,+'5.Variables'!$D73,+IF(O$18='5.Variables'!$B$76,+'5.Variables'!$D87,+IF(O$18='5.Variables'!$B$90,+'5.Variables'!$D101,+IF(O$18='5.Variables'!$B$104,+'5.Variables'!$D115,0))))))</f>
        <v>10.19</v>
      </c>
      <c r="P129" s="831">
        <f>IF(P$18='5.Variables'!$B$16,+'5.Variables'!$D35,+IF(P$18='5.Variables'!$B$39,+'5.Variables'!$D59,+IF(P$18='5.Variables'!$B$62,+'5.Variables'!$D73,+IF(P$18='5.Variables'!$B$76,+'5.Variables'!$D87,+IF(P$18='5.Variables'!$B$90,+'5.Variables'!$D101,+IF(P$18='5.Variables'!$B$104,+'5.Variables'!$D115,0))))))</f>
        <v>0</v>
      </c>
      <c r="Q129" s="244"/>
      <c r="R129" s="549">
        <f t="shared" si="10"/>
        <v>8794158.3699063528</v>
      </c>
      <c r="S129" s="263"/>
      <c r="T129" s="244"/>
      <c r="U129" s="244"/>
      <c r="V129" s="244"/>
      <c r="W129" s="244"/>
      <c r="X129" s="244"/>
      <c r="Y129" s="244"/>
      <c r="Z129" s="244"/>
      <c r="AA129" s="244"/>
      <c r="AB129" s="244"/>
      <c r="AC129" s="244"/>
      <c r="AD129" s="244"/>
      <c r="AE129" s="244"/>
      <c r="AF129" s="244"/>
      <c r="AG129" s="244"/>
      <c r="AH129" s="244"/>
      <c r="AI129" s="244"/>
      <c r="AJ129" s="244"/>
      <c r="AK129" s="244"/>
      <c r="AL129" s="244"/>
      <c r="AM129" s="244"/>
    </row>
    <row r="130" spans="1:39" x14ac:dyDescent="0.2">
      <c r="A130" s="497">
        <f t="shared" si="11"/>
        <v>111</v>
      </c>
      <c r="B130" s="260" t="str">
        <f>CONCATENATE('3. Consumption by Rate Class'!B135,"-",'3. Consumption by Rate Class'!C135)</f>
        <v>2015-March</v>
      </c>
      <c r="C130" s="686">
        <v>8471059</v>
      </c>
      <c r="D130" s="690">
        <v>0</v>
      </c>
      <c r="E130" s="690">
        <v>-34207</v>
      </c>
      <c r="F130" s="690"/>
      <c r="G130" s="690"/>
      <c r="H130" s="691"/>
      <c r="I130" s="691"/>
      <c r="J130" s="261">
        <f t="shared" si="9"/>
        <v>8436852</v>
      </c>
      <c r="K130" s="711">
        <f>IF(K$18='5.Variables'!$B$16,+'5.Variables'!$E36,+IF(K$18='5.Variables'!$B$39,+'5.Variables'!$E59,+IF(K$18='5.Variables'!$B$62,+'5.Variables'!$E73,+IF(K$18='5.Variables'!$B$76,+'5.Variables'!$E87,+IF(K$18='5.Variables'!$B$90,+'5.Variables'!$E101,+IF(K$18='5.Variables'!$B$104,+'5.Variables'!$E115,0))))))</f>
        <v>726.4</v>
      </c>
      <c r="L130" s="711">
        <f>IF(L$18='5.Variables'!$B$16,+'5.Variables'!$E35,+IF(L$18='5.Variables'!$B$39,+'5.Variables'!$E59,+IF(L$18='5.Variables'!$B$62,+'5.Variables'!$E73,+IF(L$18='5.Variables'!$B$76,+'5.Variables'!$E87,+IF(L$18='5.Variables'!$B$90,+'5.Variables'!$E101,+IF(L$18='5.Variables'!$B$104,+'5.Variables'!$E115,0))))))</f>
        <v>0</v>
      </c>
      <c r="M130" s="711">
        <f>IF(M$18='5.Variables'!$B$16,+'5.Variables'!$E35,+IF(M$18='5.Variables'!$B$39,+'5.Variables'!$E59,+IF(M$18='5.Variables'!$B$62,+'5.Variables'!$E73,+IF(M$18='5.Variables'!$B$76,+'5.Variables'!$E87,+IF(M$18='5.Variables'!$B$90,+'5.Variables'!$E101,+IF(M$18='5.Variables'!$B$104,+'5.Variables'!$E115,0))))))</f>
        <v>31</v>
      </c>
      <c r="N130" s="711">
        <f>IF(N$18='5.Variables'!$B$16,+'5.Variables'!$E35,+IF(N$18='5.Variables'!$B$39,+'5.Variables'!$E59,+IF(N$18='5.Variables'!$B$62,+'5.Variables'!$E73,+IF(N$18='5.Variables'!$B$76,+'5.Variables'!$E87,+IF(N$18='5.Variables'!$B$90,+'5.Variables'!$E101,+IF(N$18='5.Variables'!$B$104,+'5.Variables'!$E115,0))))))</f>
        <v>151.80000000000001</v>
      </c>
      <c r="O130" s="711">
        <f>IF(O$18='5.Variables'!$B$16,+'5.Variables'!$E35,+IF(O$18='5.Variables'!$B$39,+'5.Variables'!$E59,+IF(O$18='5.Variables'!$B$62,+'5.Variables'!$E73,+IF(O$18='5.Variables'!$B$76,+'5.Variables'!$E87,+IF(O$18='5.Variables'!$B$90,+'5.Variables'!$E101,+IF(O$18='5.Variables'!$B$104,+'5.Variables'!$E115,0))))))</f>
        <v>11.51</v>
      </c>
      <c r="P130" s="831">
        <f>IF(P$18='5.Variables'!$B$16,+'5.Variables'!$E35,+IF(P$18='5.Variables'!$B$39,+'5.Variables'!$E59,+IF(P$18='5.Variables'!$B$62,+'5.Variables'!$E73,+IF(P$18='5.Variables'!$B$76,+'5.Variables'!$E87,+IF(P$18='5.Variables'!$B$90,+'5.Variables'!$E101,+IF(P$18='5.Variables'!$B$104,+'5.Variables'!$E115,0))))))</f>
        <v>0</v>
      </c>
      <c r="Q130" s="244"/>
      <c r="R130" s="549">
        <f t="shared" si="10"/>
        <v>8672600.7778008413</v>
      </c>
      <c r="S130" s="263"/>
      <c r="T130" s="244"/>
      <c r="U130" s="244"/>
      <c r="V130" s="244"/>
      <c r="W130" s="244"/>
      <c r="X130" s="244"/>
      <c r="Y130" s="244"/>
      <c r="Z130" s="244"/>
      <c r="AA130" s="244"/>
      <c r="AB130" s="244"/>
      <c r="AC130" s="244"/>
      <c r="AD130" s="244"/>
      <c r="AE130" s="244"/>
      <c r="AF130" s="244"/>
      <c r="AG130" s="244"/>
      <c r="AH130" s="244"/>
      <c r="AI130" s="244"/>
      <c r="AJ130" s="244"/>
      <c r="AK130" s="244"/>
      <c r="AL130" s="244"/>
      <c r="AM130" s="244"/>
    </row>
    <row r="131" spans="1:39" x14ac:dyDescent="0.2">
      <c r="A131" s="497">
        <f t="shared" si="11"/>
        <v>112</v>
      </c>
      <c r="B131" s="260" t="str">
        <f>CONCATENATE('3. Consumption by Rate Class'!B136,"-",'3. Consumption by Rate Class'!C136)</f>
        <v>2015-April</v>
      </c>
      <c r="C131" s="686">
        <v>6789448</v>
      </c>
      <c r="D131" s="690">
        <v>0</v>
      </c>
      <c r="E131" s="690">
        <v>-34207</v>
      </c>
      <c r="F131" s="690"/>
      <c r="G131" s="690"/>
      <c r="H131" s="691"/>
      <c r="I131" s="691"/>
      <c r="J131" s="261">
        <f t="shared" si="9"/>
        <v>6755241</v>
      </c>
      <c r="K131" s="711">
        <f>IF(K$18='5.Variables'!$B$16,+'5.Variables'!$F36,+IF(K$18='5.Variables'!$B$39,+'5.Variables'!$F59,+IF(K$18='5.Variables'!$B$62,+'5.Variables'!$F73,+IF(K$18='5.Variables'!$B$76,+'5.Variables'!$F87,+IF(K$18='5.Variables'!$B$90,+'5.Variables'!$F101,+IF(K$18='5.Variables'!$B$104,+'5.Variables'!$F115,0))))))</f>
        <v>345.19999999999993</v>
      </c>
      <c r="L131" s="711">
        <f>IF(L$18='5.Variables'!$B$16,+'5.Variables'!$F35,+IF(L$18='5.Variables'!$B$39,+'5.Variables'!$F59,+IF(L$18='5.Variables'!$B$62,+'5.Variables'!$F73,+IF(L$18='5.Variables'!$B$76,+'5.Variables'!$F87,+IF(L$18='5.Variables'!$B$90,+'5.Variables'!$F101,+IF(L$18='5.Variables'!$B$104,+'5.Variables'!$F115,0))))))</f>
        <v>0</v>
      </c>
      <c r="M131" s="711">
        <f>IF(M$18='5.Variables'!$B$16,+'5.Variables'!$F35,+IF(M$18='5.Variables'!$B$39,+'5.Variables'!$F59,+IF(M$18='5.Variables'!$B$62,+'5.Variables'!$F73,+IF(M$18='5.Variables'!$B$76,+'5.Variables'!$F87,+IF(M$18='5.Variables'!$B$90,+'5.Variables'!$F101,+IF(M$18='5.Variables'!$B$104,+'5.Variables'!$F115,0))))))</f>
        <v>30</v>
      </c>
      <c r="N131" s="711">
        <f>IF(N$18='5.Variables'!$B$16,+'5.Variables'!$F35,+IF(N$18='5.Variables'!$B$39,+'5.Variables'!$F59,+IF(N$18='5.Variables'!$B$62,+'5.Variables'!$F73,+IF(N$18='5.Variables'!$B$76,+'5.Variables'!$F87,+IF(N$18='5.Variables'!$B$90,+'5.Variables'!$F101,+IF(N$18='5.Variables'!$B$104,+'5.Variables'!$F115,0))))))</f>
        <v>153.1</v>
      </c>
      <c r="O131" s="711">
        <f>IF(O$18='5.Variables'!$B$16,+'5.Variables'!$F35,+IF(O$18='5.Variables'!$B$39,+'5.Variables'!$F59,+IF(O$18='5.Variables'!$B$62,+'5.Variables'!$F73,+IF(O$18='5.Variables'!$B$76,+'5.Variables'!$F87,+IF(O$18='5.Variables'!$B$90,+'5.Variables'!$F101,+IF(O$18='5.Variables'!$B$104,+'5.Variables'!$F115,0))))))</f>
        <v>13.28</v>
      </c>
      <c r="P131" s="831">
        <f>IF(P$18='5.Variables'!$B$16,+'5.Variables'!$F35,+IF(P$18='5.Variables'!$B$39,+'5.Variables'!$F59,+IF(P$18='5.Variables'!$B$62,+'5.Variables'!$F73,+IF(P$18='5.Variables'!$B$76,+'5.Variables'!$F87,+IF(P$18='5.Variables'!$B$90,+'5.Variables'!$F101,+IF(P$18='5.Variables'!$B$104,+'5.Variables'!$F115,0))))))</f>
        <v>0</v>
      </c>
      <c r="Q131" s="244"/>
      <c r="R131" s="549">
        <f t="shared" si="10"/>
        <v>7176259.2327544857</v>
      </c>
      <c r="S131" s="263"/>
      <c r="T131" s="244"/>
      <c r="U131" s="244"/>
      <c r="V131" s="244"/>
      <c r="W131" s="244"/>
      <c r="X131" s="244"/>
      <c r="Y131" s="244"/>
      <c r="Z131" s="244"/>
      <c r="AA131" s="244"/>
      <c r="AB131" s="244"/>
      <c r="AC131" s="244"/>
      <c r="AD131" s="244"/>
      <c r="AE131" s="244"/>
      <c r="AF131" s="244"/>
      <c r="AG131" s="244"/>
      <c r="AH131" s="244"/>
      <c r="AI131" s="244"/>
      <c r="AJ131" s="244"/>
      <c r="AK131" s="244"/>
      <c r="AL131" s="244"/>
      <c r="AM131" s="244"/>
    </row>
    <row r="132" spans="1:39" x14ac:dyDescent="0.2">
      <c r="A132" s="497">
        <f t="shared" si="11"/>
        <v>113</v>
      </c>
      <c r="B132" s="260" t="str">
        <f>CONCATENATE('3. Consumption by Rate Class'!B137,"-",'3. Consumption by Rate Class'!C137)</f>
        <v>2015-May</v>
      </c>
      <c r="C132" s="686">
        <v>6763079</v>
      </c>
      <c r="D132" s="690">
        <v>0</v>
      </c>
      <c r="E132" s="690">
        <v>-34207</v>
      </c>
      <c r="F132" s="690"/>
      <c r="G132" s="690"/>
      <c r="H132" s="691"/>
      <c r="I132" s="691"/>
      <c r="J132" s="261">
        <f t="shared" si="9"/>
        <v>6728872</v>
      </c>
      <c r="K132" s="711">
        <f>IF(K$18='5.Variables'!$B$16,+'5.Variables'!$G36,+IF(K$18='5.Variables'!$B$39,+'5.Variables'!$G59,+IF(K$18='5.Variables'!$B$62,+'5.Variables'!$G73,+IF(K$18='5.Variables'!$B$76,+'5.Variables'!$G87,+IF(K$18='5.Variables'!$B$90,+'5.Variables'!$G101,+IF(K$18='5.Variables'!$B$104,+'5.Variables'!$G115,0))))))</f>
        <v>90.9</v>
      </c>
      <c r="L132" s="711">
        <f>IF(L$18='5.Variables'!$B$16,+'5.Variables'!$G35,+IF(L$18='5.Variables'!$B$39,+'5.Variables'!$G59,+IF(L$18='5.Variables'!$B$62,+'5.Variables'!$G73,+IF(L$18='5.Variables'!$B$76,+'5.Variables'!$G87,+IF(L$18='5.Variables'!$B$90,+'5.Variables'!$G101,+IF(L$18='5.Variables'!$B$104,+'5.Variables'!$G115,0))))))</f>
        <v>23.500000000000004</v>
      </c>
      <c r="M132" s="711">
        <f>IF(M$18='5.Variables'!$B$16,+'5.Variables'!$G35,+IF(M$18='5.Variables'!$B$39,+'5.Variables'!$G59,+IF(M$18='5.Variables'!$B$62,+'5.Variables'!$G73,+IF(M$18='5.Variables'!$B$76,+'5.Variables'!$G87,+IF(M$18='5.Variables'!$B$90,+'5.Variables'!$G101,+IF(M$18='5.Variables'!$B$104,+'5.Variables'!$G115,0))))))</f>
        <v>31</v>
      </c>
      <c r="N132" s="711">
        <f>IF(N$18='5.Variables'!$B$16,+'5.Variables'!$G35,+IF(N$18='5.Variables'!$B$39,+'5.Variables'!$G59,+IF(N$18='5.Variables'!$B$62,+'5.Variables'!$G73,+IF(N$18='5.Variables'!$B$76,+'5.Variables'!$G87,+IF(N$18='5.Variables'!$B$90,+'5.Variables'!$G101,+IF(N$18='5.Variables'!$B$104,+'5.Variables'!$G115,0))))))</f>
        <v>156.30000000000001</v>
      </c>
      <c r="O132" s="711">
        <f>IF(O$18='5.Variables'!$B$16,+'5.Variables'!$G35,+IF(O$18='5.Variables'!$B$39,+'5.Variables'!$G59,+IF(O$18='5.Variables'!$B$62,+'5.Variables'!$G73,+IF(O$18='5.Variables'!$B$76,+'5.Variables'!$G87,+IF(O$18='5.Variables'!$B$90,+'5.Variables'!$G101,+IF(O$18='5.Variables'!$B$104,+'5.Variables'!$G115,0))))))</f>
        <v>14.52</v>
      </c>
      <c r="P132" s="831">
        <f>IF(P$18='5.Variables'!$B$16,+'5.Variables'!$G35,+IF(P$18='5.Variables'!$B$39,+'5.Variables'!$G59,+IF(P$18='5.Variables'!$B$62,+'5.Variables'!$G73,+IF(P$18='5.Variables'!$B$76,+'5.Variables'!$G87,+IF(P$18='5.Variables'!$B$90,+'5.Variables'!$G101,+IF(P$18='5.Variables'!$B$104,+'5.Variables'!$G115,0))))))</f>
        <v>0</v>
      </c>
      <c r="Q132" s="244"/>
      <c r="R132" s="549">
        <f t="shared" si="10"/>
        <v>6853274.2500803666</v>
      </c>
      <c r="S132" s="263"/>
      <c r="T132" s="244"/>
      <c r="U132" s="244"/>
      <c r="V132" s="244"/>
      <c r="W132" s="244"/>
      <c r="X132" s="244"/>
      <c r="Y132" s="244"/>
      <c r="Z132" s="244"/>
      <c r="AA132" s="244"/>
      <c r="AB132" s="244"/>
      <c r="AC132" s="244"/>
      <c r="AD132" s="244"/>
      <c r="AE132" s="244"/>
      <c r="AF132" s="244"/>
      <c r="AG132" s="244"/>
      <c r="AH132" s="244"/>
      <c r="AI132" s="244"/>
      <c r="AJ132" s="244"/>
      <c r="AK132" s="244"/>
      <c r="AL132" s="244"/>
      <c r="AM132" s="244"/>
    </row>
    <row r="133" spans="1:39" x14ac:dyDescent="0.2">
      <c r="A133" s="497">
        <f t="shared" si="11"/>
        <v>114</v>
      </c>
      <c r="B133" s="260" t="str">
        <f>CONCATENATE('3. Consumption by Rate Class'!B138,"-",'3. Consumption by Rate Class'!C138)</f>
        <v>2015-June</v>
      </c>
      <c r="C133" s="686">
        <v>6744783</v>
      </c>
      <c r="D133" s="690">
        <v>0</v>
      </c>
      <c r="E133" s="690">
        <v>-34207</v>
      </c>
      <c r="F133" s="690"/>
      <c r="G133" s="690"/>
      <c r="H133" s="691"/>
      <c r="I133" s="691"/>
      <c r="J133" s="261">
        <f t="shared" si="9"/>
        <v>6710576</v>
      </c>
      <c r="K133" s="711">
        <f>IF(K$18='5.Variables'!$B$16,+'5.Variables'!$H36,+IF(K$18='5.Variables'!$B$39,+'5.Variables'!$H59,+IF(K$18='5.Variables'!$B$62,+'5.Variables'!$H73,+IF(K$18='5.Variables'!$B$76,+'5.Variables'!$H87,+IF(K$18='5.Variables'!$B$90,+'5.Variables'!$H101,+IF(K$18='5.Variables'!$B$104,+'5.Variables'!$H115,0))))))</f>
        <v>40.300000000000004</v>
      </c>
      <c r="L133" s="711">
        <f>IF(L$18='5.Variables'!$B$16,+'5.Variables'!$H35,+IF(L$18='5.Variables'!$B$39,+'5.Variables'!$H59,+IF(L$18='5.Variables'!$B$62,+'5.Variables'!$H73,+IF(L$18='5.Variables'!$B$76,+'5.Variables'!$H87,+IF(L$18='5.Variables'!$B$90,+'5.Variables'!$H101,+IF(L$18='5.Variables'!$B$104,+'5.Variables'!$H115,0))))))</f>
        <v>22.5</v>
      </c>
      <c r="M133" s="711">
        <f>IF(M$18='5.Variables'!$B$16,+'5.Variables'!$H35,+IF(M$18='5.Variables'!$B$39,+'5.Variables'!$H59,+IF(M$18='5.Variables'!$B$62,+'5.Variables'!$H73,+IF(M$18='5.Variables'!$B$76,+'5.Variables'!$H87,+IF(M$18='5.Variables'!$B$90,+'5.Variables'!$H101,+IF(M$18='5.Variables'!$B$104,+'5.Variables'!$H115,0))))))</f>
        <v>30</v>
      </c>
      <c r="N133" s="711">
        <f>IF(N$18='5.Variables'!$B$16,+'5.Variables'!$H35,+IF(N$18='5.Variables'!$B$39,+'5.Variables'!$H59,+IF(N$18='5.Variables'!$B$62,+'5.Variables'!$H73,+IF(N$18='5.Variables'!$B$76,+'5.Variables'!$H87,+IF(N$18='5.Variables'!$B$90,+'5.Variables'!$H101,+IF(N$18='5.Variables'!$B$104,+'5.Variables'!$H115,0))))))</f>
        <v>161.69999999999999</v>
      </c>
      <c r="O133" s="711">
        <f>IF(O$18='5.Variables'!$B$16,+'5.Variables'!$H35,+IF(O$18='5.Variables'!$B$39,+'5.Variables'!$H59,+IF(O$18='5.Variables'!$B$62,+'5.Variables'!$H73,+IF(O$18='5.Variables'!$B$76,+'5.Variables'!$H87,+IF(O$18='5.Variables'!$B$90,+'5.Variables'!$H101,+IF(O$18='5.Variables'!$B$104,+'5.Variables'!$H115,0))))))</f>
        <v>15.35</v>
      </c>
      <c r="P133" s="831">
        <f>IF(P$18='5.Variables'!$B$16,+'5.Variables'!$H35,+IF(P$18='5.Variables'!$B$39,+'5.Variables'!$H59,+IF(P$18='5.Variables'!$B$62,+'5.Variables'!$H73,+IF(P$18='5.Variables'!$B$76,+'5.Variables'!$H87,+IF(P$18='5.Variables'!$B$90,+'5.Variables'!$H101,+IF(P$18='5.Variables'!$B$104,+'5.Variables'!$H115,0))))))</f>
        <v>0</v>
      </c>
      <c r="Q133" s="244"/>
      <c r="R133" s="549">
        <f t="shared" si="10"/>
        <v>6561496.2579304734</v>
      </c>
      <c r="S133" s="263"/>
      <c r="T133" s="244"/>
      <c r="U133" s="244"/>
      <c r="V133" s="244"/>
      <c r="W133" s="244"/>
      <c r="X133" s="244"/>
      <c r="Y133" s="244"/>
      <c r="Z133" s="244"/>
      <c r="AA133" s="244"/>
      <c r="AB133" s="244"/>
      <c r="AC133" s="244"/>
      <c r="AD133" s="244"/>
      <c r="AE133" s="244"/>
      <c r="AF133" s="244"/>
      <c r="AG133" s="244"/>
      <c r="AH133" s="244"/>
      <c r="AI133" s="244"/>
      <c r="AJ133" s="244"/>
      <c r="AK133" s="244"/>
      <c r="AL133" s="244"/>
      <c r="AM133" s="244"/>
    </row>
    <row r="134" spans="1:39" x14ac:dyDescent="0.2">
      <c r="A134" s="497">
        <f t="shared" si="11"/>
        <v>115</v>
      </c>
      <c r="B134" s="260" t="str">
        <f>CONCATENATE('3. Consumption by Rate Class'!B139,"-",'3. Consumption by Rate Class'!C139)</f>
        <v>2015-July</v>
      </c>
      <c r="C134" s="686">
        <v>7818096</v>
      </c>
      <c r="D134" s="690">
        <v>0</v>
      </c>
      <c r="E134" s="690">
        <v>-34207</v>
      </c>
      <c r="F134" s="690"/>
      <c r="G134" s="690"/>
      <c r="H134" s="691"/>
      <c r="I134" s="691"/>
      <c r="J134" s="261">
        <f t="shared" si="9"/>
        <v>7783889</v>
      </c>
      <c r="K134" s="711">
        <f>IF(K$18='5.Variables'!$B$16,+'5.Variables'!$I35,+IF(K$18='5.Variables'!$B$39,+'5.Variables'!$I59,+IF(K$18='5.Variables'!$B$62,+'5.Variables'!$I73,+IF(K$18='5.Variables'!$B$76,+'5.Variables'!$I87,+IF(K$18='5.Variables'!$B$90,+'5.Variables'!$I101,+IF(K$18='5.Variables'!$B$104,+'5.Variables'!$I115,0))))))</f>
        <v>7.7</v>
      </c>
      <c r="L134" s="711">
        <f>IF(L$18='5.Variables'!$B$16,+'5.Variables'!$I35,+IF(L$18='5.Variables'!$B$39,+'5.Variables'!$I59,+IF(L$18='5.Variables'!$B$62,+'5.Variables'!$I73,+IF(L$18='5.Variables'!$B$76,+'5.Variables'!$I87,+IF(L$18='5.Variables'!$B$90,+'5.Variables'!$I101,+IF(L$18='5.Variables'!$B$104,+'5.Variables'!$I115,0))))))</f>
        <v>103.80000000000001</v>
      </c>
      <c r="M134" s="711">
        <f>IF(M$18='5.Variables'!$B$16,+'5.Variables'!$I35,+IF(M$18='5.Variables'!$B$39,+'5.Variables'!$I59,+IF(M$18='5.Variables'!$B$62,+'5.Variables'!$I73,+IF(M$18='5.Variables'!$B$76,+'5.Variables'!$I87,+IF(M$18='5.Variables'!$B$90,+'5.Variables'!$I101,+IF(M$18='5.Variables'!$B$104,+'5.Variables'!$I115,0))))))</f>
        <v>31</v>
      </c>
      <c r="N134" s="711">
        <f>IF(N$18='5.Variables'!$B$16,+'5.Variables'!$I35,+IF(N$18='5.Variables'!$B$39,+'5.Variables'!$I59,+IF(N$18='5.Variables'!$B$62,+'5.Variables'!$I73,+IF(N$18='5.Variables'!$B$76,+'5.Variables'!$I87,+IF(N$18='5.Variables'!$B$90,+'5.Variables'!$I101,+IF(N$18='5.Variables'!$B$104,+'5.Variables'!$I115,0))))))</f>
        <v>164.3</v>
      </c>
      <c r="O134" s="711">
        <f>IF(O$18='5.Variables'!$B$16,+'5.Variables'!$I35,+IF(O$18='5.Variables'!$B$39,+'5.Variables'!$I59,+IF(O$18='5.Variables'!$B$62,+'5.Variables'!$I73,+IF(O$18='5.Variables'!$B$76,+'5.Variables'!$I87,+IF(O$18='5.Variables'!$B$90,+'5.Variables'!$I101,+IF(O$18='5.Variables'!$B$104,+'5.Variables'!$I115,0))))))</f>
        <v>15.15</v>
      </c>
      <c r="P134" s="831">
        <f>IF(P$18='5.Variables'!$B$16,+'5.Variables'!$I35,+IF(P$18='5.Variables'!$B$39,+'5.Variables'!$I59,+IF(P$18='5.Variables'!$B$62,+'5.Variables'!$I73,+IF(P$18='5.Variables'!$B$76,+'5.Variables'!$I87,+IF(P$18='5.Variables'!$B$90,+'5.Variables'!$I101,+IF(P$18='5.Variables'!$B$104,+'5.Variables'!$I115,0))))))</f>
        <v>0</v>
      </c>
      <c r="Q134" s="244"/>
      <c r="R134" s="549">
        <f t="shared" si="10"/>
        <v>7580699.5740374997</v>
      </c>
      <c r="S134" s="263"/>
      <c r="T134" s="244"/>
      <c r="U134" s="244"/>
      <c r="V134" s="244"/>
      <c r="W134" s="244"/>
      <c r="X134" s="244"/>
      <c r="Y134" s="244"/>
      <c r="Z134" s="244"/>
      <c r="AA134" s="244"/>
      <c r="AB134" s="244"/>
      <c r="AC134" s="244"/>
      <c r="AD134" s="244"/>
      <c r="AE134" s="244"/>
      <c r="AF134" s="244"/>
      <c r="AG134" s="244"/>
      <c r="AH134" s="244"/>
      <c r="AI134" s="244"/>
      <c r="AJ134" s="244"/>
      <c r="AK134" s="244"/>
      <c r="AL134" s="244"/>
      <c r="AM134" s="244"/>
    </row>
    <row r="135" spans="1:39" x14ac:dyDescent="0.2">
      <c r="A135" s="497">
        <f t="shared" si="11"/>
        <v>116</v>
      </c>
      <c r="B135" s="260" t="str">
        <f>CONCATENATE('3. Consumption by Rate Class'!B140,"-",'3. Consumption by Rate Class'!C140)</f>
        <v>2015-August</v>
      </c>
      <c r="C135" s="686">
        <v>7422834</v>
      </c>
      <c r="D135" s="690">
        <v>0</v>
      </c>
      <c r="E135" s="690">
        <v>-34207</v>
      </c>
      <c r="F135" s="690"/>
      <c r="G135" s="690"/>
      <c r="H135" s="691"/>
      <c r="I135" s="691"/>
      <c r="J135" s="261">
        <f t="shared" si="9"/>
        <v>7388627</v>
      </c>
      <c r="K135" s="711">
        <f>IF(K$18='5.Variables'!$B$16,+'5.Variables'!$J36,+IF(K$18='5.Variables'!$B$39,+'5.Variables'!$J59,+IF(K$18='5.Variables'!$B$62,+'5.Variables'!$J73,+IF(K$18='5.Variables'!$B$76,+'5.Variables'!$J87,+IF(K$18='5.Variables'!$B$90,+'5.Variables'!$J101,+IF(K$18='5.Variables'!$B$104,+'5.Variables'!$J115,0))))))</f>
        <v>7.1999999999999993</v>
      </c>
      <c r="L135" s="711">
        <f>IF(L$18='5.Variables'!$B$16,+'5.Variables'!$J35,+IF(L$18='5.Variables'!$B$39,+'5.Variables'!$J59,+IF(L$18='5.Variables'!$B$62,+'5.Variables'!$J73,+IF(L$18='5.Variables'!$B$76,+'5.Variables'!$J87,+IF(L$18='5.Variables'!$B$90,+'5.Variables'!$J101,+IF(L$18='5.Variables'!$B$104,+'5.Variables'!$J115,0))))))</f>
        <v>71.2</v>
      </c>
      <c r="M135" s="711">
        <f>IF(M$18='5.Variables'!$B$16,+'5.Variables'!$J35,+IF(M$18='5.Variables'!$B$39,+'5.Variables'!$J59,+IF(M$18='5.Variables'!$B$62,+'5.Variables'!$J73,+IF(M$18='5.Variables'!$B$76,+'5.Variables'!$J87,+IF(M$18='5.Variables'!$B$90,+'5.Variables'!$J101,+IF(M$18='5.Variables'!$B$104,+'5.Variables'!$J115,0))))))</f>
        <v>31</v>
      </c>
      <c r="N135" s="711">
        <f>IF(N$18='5.Variables'!$B$16,+'5.Variables'!$J35,+IF(N$18='5.Variables'!$B$39,+'5.Variables'!$J59,+IF(N$18='5.Variables'!$B$62,+'5.Variables'!$J73,+IF(N$18='5.Variables'!$B$76,+'5.Variables'!$J87,+IF(N$18='5.Variables'!$B$90,+'5.Variables'!$J101,+IF(N$18='5.Variables'!$B$104,+'5.Variables'!$J115,0))))))</f>
        <v>163.5</v>
      </c>
      <c r="O135" s="711">
        <f>IF(O$18='5.Variables'!$B$16,+'5.Variables'!$J35,+IF(O$18='5.Variables'!$B$39,+'5.Variables'!$J59,+IF(O$18='5.Variables'!$B$62,+'5.Variables'!$J73,+IF(O$18='5.Variables'!$B$76,+'5.Variables'!$J87,+IF(O$18='5.Variables'!$B$90,+'5.Variables'!$J101,+IF(O$18='5.Variables'!$B$104,+'5.Variables'!$J115,0))))))</f>
        <v>14.03</v>
      </c>
      <c r="P135" s="831">
        <f>IF(P$18='5.Variables'!$B$16,+'5.Variables'!$J35,+IF(P$18='5.Variables'!$B$39,+'5.Variables'!$J59,+IF(P$18='5.Variables'!$B$62,+'5.Variables'!$J73,+IF(P$18='5.Variables'!$B$76,+'5.Variables'!$J87,+IF(P$18='5.Variables'!$B$90,+'5.Variables'!$J101,+IF(P$18='5.Variables'!$B$104,+'5.Variables'!$J115,0))))))</f>
        <v>0</v>
      </c>
      <c r="Q135" s="244"/>
      <c r="R135" s="549">
        <f t="shared" si="10"/>
        <v>7130168.9454655899</v>
      </c>
      <c r="S135" s="263"/>
      <c r="T135" s="244"/>
      <c r="U135" s="244"/>
      <c r="V135" s="244"/>
      <c r="W135" s="244"/>
      <c r="X135" s="244"/>
      <c r="Y135" s="244"/>
      <c r="Z135" s="244"/>
      <c r="AA135" s="244"/>
      <c r="AB135" s="244"/>
      <c r="AC135" s="244"/>
      <c r="AD135" s="244"/>
      <c r="AE135" s="244"/>
      <c r="AF135" s="244"/>
      <c r="AG135" s="244"/>
      <c r="AH135" s="244"/>
      <c r="AI135" s="244"/>
      <c r="AJ135" s="244"/>
      <c r="AK135" s="244"/>
      <c r="AL135" s="244"/>
      <c r="AM135" s="244"/>
    </row>
    <row r="136" spans="1:39" x14ac:dyDescent="0.2">
      <c r="A136" s="497">
        <f t="shared" si="11"/>
        <v>117</v>
      </c>
      <c r="B136" s="260" t="str">
        <f>CONCATENATE('3. Consumption by Rate Class'!B141,"-",'3. Consumption by Rate Class'!C141)</f>
        <v>2015-September</v>
      </c>
      <c r="C136" s="686">
        <v>7183196</v>
      </c>
      <c r="D136" s="690">
        <v>0</v>
      </c>
      <c r="E136" s="690">
        <v>-34207</v>
      </c>
      <c r="F136" s="690"/>
      <c r="G136" s="690"/>
      <c r="H136" s="691"/>
      <c r="I136" s="691"/>
      <c r="J136" s="261">
        <f t="shared" si="9"/>
        <v>7148989</v>
      </c>
      <c r="K136" s="711">
        <f>IF(K$18='5.Variables'!$B$16,+'5.Variables'!$K36,+IF(K$18='5.Variables'!$B$39,+'5.Variables'!$K59,+IF(K$18='5.Variables'!$B$62,+'5.Variables'!$K73,+IF(K$18='5.Variables'!$B$76,+'5.Variables'!$K87,+IF(K$18='5.Variables'!$B$90,+'5.Variables'!$K101,+IF(K$18='5.Variables'!$B$104,+'5.Variables'!$K115,0))))))</f>
        <v>46.3</v>
      </c>
      <c r="L136" s="711">
        <f>IF(L$18='5.Variables'!$B$16,+'5.Variables'!$K35,+IF(L$18='5.Variables'!$B$39,+'5.Variables'!$K59,+IF(L$18='5.Variables'!$B$62,+'5.Variables'!$K73,+IF(L$18='5.Variables'!$B$76,+'5.Variables'!$K87,+IF(L$18='5.Variables'!$B$90,+'5.Variables'!$K101,+IF(L$18='5.Variables'!$B$104,+'5.Variables'!$K115,0))))))</f>
        <v>51.7</v>
      </c>
      <c r="M136" s="711">
        <f>IF(M$18='5.Variables'!$B$16,+'5.Variables'!$K35,+IF(M$18='5.Variables'!$B$39,+'5.Variables'!$K59,+IF(M$18='5.Variables'!$B$62,+'5.Variables'!$K73,+IF(M$18='5.Variables'!$B$76,+'5.Variables'!$K87,+IF(M$18='5.Variables'!$B$90,+'5.Variables'!$K101,+IF(M$18='5.Variables'!$B$104,+'5.Variables'!$K115,0))))))</f>
        <v>30</v>
      </c>
      <c r="N136" s="711">
        <f>IF(N$18='5.Variables'!$B$16,+'5.Variables'!$K35,+IF(N$18='5.Variables'!$B$39,+'5.Variables'!$K59,+IF(N$18='5.Variables'!$B$62,+'5.Variables'!$K73,+IF(N$18='5.Variables'!$B$76,+'5.Variables'!$K87,+IF(N$18='5.Variables'!$B$90,+'5.Variables'!$K101,+IF(N$18='5.Variables'!$B$104,+'5.Variables'!$K115,0))))))</f>
        <v>160.6</v>
      </c>
      <c r="O136" s="711">
        <f>IF(O$18='5.Variables'!$B$16,+'5.Variables'!$K35,+IF(O$18='5.Variables'!$B$39,+'5.Variables'!$K59,+IF(O$18='5.Variables'!$B$62,+'5.Variables'!$K73,+IF(O$18='5.Variables'!$B$76,+'5.Variables'!$K87,+IF(O$18='5.Variables'!$B$90,+'5.Variables'!$K101,+IF(O$18='5.Variables'!$B$104,+'5.Variables'!$K115,0))))))</f>
        <v>12.29</v>
      </c>
      <c r="P136" s="831">
        <f>IF(P$18='5.Variables'!$B$16,+'5.Variables'!$K35,+IF(P$18='5.Variables'!$B$39,+'5.Variables'!$K59,+IF(P$18='5.Variables'!$B$62,+'5.Variables'!$K73,+IF(P$18='5.Variables'!$B$76,+'5.Variables'!$K87,+IF(P$18='5.Variables'!$B$90,+'5.Variables'!$K101,+IF(P$18='5.Variables'!$B$104,+'5.Variables'!$K115,0))))))</f>
        <v>0</v>
      </c>
      <c r="Q136" s="244"/>
      <c r="R136" s="549">
        <f t="shared" si="10"/>
        <v>6667018.4708832903</v>
      </c>
      <c r="S136" s="263"/>
      <c r="T136" s="244"/>
      <c r="U136" s="244"/>
      <c r="V136" s="244"/>
      <c r="W136" s="244"/>
      <c r="X136" s="244"/>
      <c r="Y136" s="244"/>
      <c r="Z136" s="244"/>
      <c r="AA136" s="244"/>
      <c r="AB136" s="244"/>
      <c r="AC136" s="244"/>
      <c r="AD136" s="244"/>
      <c r="AE136" s="244"/>
      <c r="AF136" s="244"/>
      <c r="AG136" s="244"/>
      <c r="AH136" s="244"/>
      <c r="AI136" s="244"/>
      <c r="AJ136" s="244"/>
      <c r="AK136" s="244"/>
      <c r="AL136" s="244"/>
      <c r="AM136" s="244"/>
    </row>
    <row r="137" spans="1:39" x14ac:dyDescent="0.2">
      <c r="A137" s="497">
        <f t="shared" si="11"/>
        <v>118</v>
      </c>
      <c r="B137" s="260" t="str">
        <f>CONCATENATE('3. Consumption by Rate Class'!B142,"-",'3. Consumption by Rate Class'!C142)</f>
        <v>2015-October</v>
      </c>
      <c r="C137" s="686">
        <v>6840217</v>
      </c>
      <c r="D137" s="690">
        <v>0</v>
      </c>
      <c r="E137" s="690">
        <v>-34207</v>
      </c>
      <c r="F137" s="690"/>
      <c r="G137" s="690"/>
      <c r="H137" s="691"/>
      <c r="I137" s="691"/>
      <c r="J137" s="261">
        <f t="shared" si="9"/>
        <v>6806010</v>
      </c>
      <c r="K137" s="711">
        <f>IF(K$18='5.Variables'!$B$16,+'5.Variables'!$L36,+IF(K$18='5.Variables'!$B$39,+'5.Variables'!$L59,+IF(K$18='5.Variables'!$B$62,+'5.Variables'!$L73,+IF(K$18='5.Variables'!$B$76,+'5.Variables'!$L87,+IF(K$18='5.Variables'!$B$90,+'5.Variables'!$L101,+IF(K$18='5.Variables'!$B$104,+'5.Variables'!$L115,0))))))</f>
        <v>311.39999999999998</v>
      </c>
      <c r="L137" s="711">
        <f>IF(L$18='5.Variables'!$B$16,+'5.Variables'!$L35,+IF(L$18='5.Variables'!$B$39,+'5.Variables'!$L59,+IF(L$18='5.Variables'!$B$62,+'5.Variables'!$L73,+IF(L$18='5.Variables'!$B$76,+'5.Variables'!$L87,+IF(L$18='5.Variables'!$B$90,+'5.Variables'!$L101,+IF(L$18='5.Variables'!$B$104,+'5.Variables'!$L115,0))))))</f>
        <v>0</v>
      </c>
      <c r="M137" s="711">
        <f>IF(M$18='5.Variables'!$B$16,+'5.Variables'!$L35,+IF(M$18='5.Variables'!$B$39,+'5.Variables'!$L59,+IF(M$18='5.Variables'!$B$62,+'5.Variables'!$L73,+IF(M$18='5.Variables'!$B$76,+'5.Variables'!$L87,+IF(M$18='5.Variables'!$B$90,+'5.Variables'!$L101,+IF(M$18='5.Variables'!$B$104,+'5.Variables'!$L115,0))))))</f>
        <v>31</v>
      </c>
      <c r="N137" s="711">
        <f>IF(N$18='5.Variables'!$B$16,+'5.Variables'!$L35,+IF(N$18='5.Variables'!$B$39,+'5.Variables'!$L59,+IF(N$18='5.Variables'!$B$62,+'5.Variables'!$L73,+IF(N$18='5.Variables'!$B$76,+'5.Variables'!$L87,+IF(N$18='5.Variables'!$B$90,+'5.Variables'!$L101,+IF(N$18='5.Variables'!$B$104,+'5.Variables'!$L115,0))))))</f>
        <v>158.4</v>
      </c>
      <c r="O137" s="711">
        <f>IF(O$18='5.Variables'!$B$16,+'5.Variables'!$L35,+IF(O$18='5.Variables'!$B$39,+'5.Variables'!$L59,+IF(O$18='5.Variables'!$B$62,+'5.Variables'!$L73,+IF(O$18='5.Variables'!$B$76,+'5.Variables'!$L87,+IF(O$18='5.Variables'!$B$90,+'5.Variables'!$L101,+IF(O$18='5.Variables'!$B$104,+'5.Variables'!$L115,0))))))</f>
        <v>10.51</v>
      </c>
      <c r="P137" s="831">
        <f>IF(P$18='5.Variables'!$B$16,+'5.Variables'!$L35,+IF(P$18='5.Variables'!$B$39,+'5.Variables'!$L59,+IF(P$18='5.Variables'!$B$62,+'5.Variables'!$L73,+IF(P$18='5.Variables'!$B$76,+'5.Variables'!$L87,+IF(P$18='5.Variables'!$B$90,+'5.Variables'!$L101,+IF(P$18='5.Variables'!$B$104,+'5.Variables'!$L115,0))))))</f>
        <v>0</v>
      </c>
      <c r="Q137" s="244"/>
      <c r="R137" s="549">
        <f t="shared" si="10"/>
        <v>7153882.3712741677</v>
      </c>
      <c r="S137" s="263"/>
      <c r="T137" s="244"/>
      <c r="U137" s="244"/>
      <c r="V137" s="244"/>
      <c r="W137" s="244"/>
      <c r="X137" s="244"/>
      <c r="Y137" s="244"/>
      <c r="Z137" s="244"/>
      <c r="AA137" s="244"/>
      <c r="AB137" s="244"/>
      <c r="AC137" s="244"/>
      <c r="AD137" s="244"/>
      <c r="AE137" s="244"/>
      <c r="AF137" s="244"/>
      <c r="AG137" s="244"/>
      <c r="AH137" s="244"/>
      <c r="AI137" s="244"/>
      <c r="AJ137" s="244"/>
      <c r="AK137" s="244"/>
      <c r="AL137" s="244"/>
      <c r="AM137" s="244"/>
    </row>
    <row r="138" spans="1:39" x14ac:dyDescent="0.2">
      <c r="A138" s="497">
        <f t="shared" si="11"/>
        <v>119</v>
      </c>
      <c r="B138" s="260" t="str">
        <f>CONCATENATE('3. Consumption by Rate Class'!B143,"-",'3. Consumption by Rate Class'!C143)</f>
        <v>2015-November</v>
      </c>
      <c r="C138" s="686">
        <v>7093015</v>
      </c>
      <c r="D138" s="690">
        <v>0</v>
      </c>
      <c r="E138" s="690">
        <v>-34207</v>
      </c>
      <c r="F138" s="690"/>
      <c r="G138" s="690"/>
      <c r="H138" s="691"/>
      <c r="I138" s="691"/>
      <c r="J138" s="261">
        <f t="shared" si="9"/>
        <v>7058808</v>
      </c>
      <c r="K138" s="711">
        <f>IF(K$18='5.Variables'!$B$16,+'5.Variables'!$M36,+IF(K$18='5.Variables'!$B$39,+'5.Variables'!$M59,+IF(K$18='5.Variables'!$B$62,+'5.Variables'!$M73,+IF(K$18='5.Variables'!$B$76,+'5.Variables'!$M87,+IF(K$18='5.Variables'!$B$90,+'5.Variables'!$M101,+IF(K$18='5.Variables'!$B$104,+'5.Variables'!$M115,0))))))</f>
        <v>417.49999999999994</v>
      </c>
      <c r="L138" s="711">
        <f>IF(L$18='5.Variables'!$B$16,+'5.Variables'!$M35,+IF(L$18='5.Variables'!$B$39,+'5.Variables'!$M59,+IF(L$18='5.Variables'!$B$62,+'5.Variables'!$M73,+IF(L$18='5.Variables'!$B$76,+'5.Variables'!$M87,+IF(L$18='5.Variables'!$B$90,+'5.Variables'!$M101,+IF(L$18='5.Variables'!$B$104,+'5.Variables'!$M115,0))))))</f>
        <v>0</v>
      </c>
      <c r="M138" s="711">
        <f>IF(M$18='5.Variables'!$B$16,+'5.Variables'!$M35,+IF(M$18='5.Variables'!$B$39,+'5.Variables'!$M59,+IF(M$18='5.Variables'!$B$62,+'5.Variables'!$M73,+IF(M$18='5.Variables'!$B$76,+'5.Variables'!$M87,+IF(M$18='5.Variables'!$B$90,+'5.Variables'!$M101,+IF(M$18='5.Variables'!$B$104,+'5.Variables'!$M115,0))))))</f>
        <v>30</v>
      </c>
      <c r="N138" s="711">
        <f>IF(N$18='5.Variables'!$B$16,+'5.Variables'!$M35,+IF(N$18='5.Variables'!$B$39,+'5.Variables'!$M59,+IF(N$18='5.Variables'!$B$62,+'5.Variables'!$M73,+IF(N$18='5.Variables'!$B$76,+'5.Variables'!$M87,+IF(N$18='5.Variables'!$B$90,+'5.Variables'!$M101,+IF(N$18='5.Variables'!$B$104,+'5.Variables'!$M115,0))))))</f>
        <v>154.80000000000001</v>
      </c>
      <c r="O138" s="711">
        <f>IF(O$18='5.Variables'!$B$16,+'5.Variables'!$M35,+IF(O$18='5.Variables'!$B$39,+'5.Variables'!$M59,+IF(O$18='5.Variables'!$B$62,+'5.Variables'!$M73,+IF(O$18='5.Variables'!$B$76,+'5.Variables'!$M87,+IF(O$18='5.Variables'!$B$90,+'5.Variables'!$M101,+IF(O$18='5.Variables'!$B$104,+'5.Variables'!$M115,0))))))</f>
        <v>9.2799999999999994</v>
      </c>
      <c r="P138" s="831">
        <f>IF(P$18='5.Variables'!$B$16,+'5.Variables'!$M35,+IF(P$18='5.Variables'!$B$39,+'5.Variables'!$M59,+IF(P$18='5.Variables'!$B$62,+'5.Variables'!$M73,+IF(P$18='5.Variables'!$B$76,+'5.Variables'!$M87,+IF(P$18='5.Variables'!$B$90,+'5.Variables'!$M101,+IF(P$18='5.Variables'!$B$104,+'5.Variables'!$M115,0))))))</f>
        <v>0</v>
      </c>
      <c r="Q138" s="244"/>
      <c r="R138" s="549">
        <f t="shared" si="10"/>
        <v>7179531.4099712912</v>
      </c>
      <c r="S138" s="263"/>
      <c r="T138" s="244"/>
      <c r="U138" s="1035"/>
      <c r="V138" s="244"/>
      <c r="W138" s="244"/>
      <c r="X138" s="244"/>
      <c r="Y138" s="244"/>
      <c r="Z138" s="244"/>
      <c r="AA138" s="244"/>
      <c r="AB138" s="244"/>
      <c r="AC138" s="244"/>
      <c r="AD138" s="244"/>
      <c r="AE138" s="244"/>
      <c r="AF138" s="244"/>
      <c r="AG138" s="244"/>
      <c r="AH138" s="244"/>
      <c r="AI138" s="244"/>
      <c r="AJ138" s="244"/>
      <c r="AK138" s="244"/>
      <c r="AL138" s="244"/>
      <c r="AM138" s="244"/>
    </row>
    <row r="139" spans="1:39" x14ac:dyDescent="0.2">
      <c r="A139" s="497">
        <f t="shared" si="11"/>
        <v>120</v>
      </c>
      <c r="B139" s="516" t="str">
        <f>CONCATENATE('3. Consumption by Rate Class'!B144,"-",'3. Consumption by Rate Class'!C144)</f>
        <v>2015-December</v>
      </c>
      <c r="C139" s="685">
        <v>7532024</v>
      </c>
      <c r="D139" s="692">
        <v>0</v>
      </c>
      <c r="E139" s="692">
        <v>-34207</v>
      </c>
      <c r="F139" s="692"/>
      <c r="G139" s="692"/>
      <c r="H139" s="693"/>
      <c r="I139" s="693"/>
      <c r="J139" s="261">
        <f t="shared" si="9"/>
        <v>7497817</v>
      </c>
      <c r="K139" s="711">
        <f>IF(K$18='5.Variables'!$B$16,+'5.Variables'!$N36,+IF(K$18='5.Variables'!$B$39,+'5.Variables'!$N59,+IF(K$18='5.Variables'!$B$62,+'5.Variables'!$N73,+IF(K$18='5.Variables'!$B$76,+'5.Variables'!$N87,+IF(K$18='5.Variables'!$B$90,+'5.Variables'!$N101,+IF(K$18='5.Variables'!$B$104,+'5.Variables'!$N115,0))))))</f>
        <v>490.1</v>
      </c>
      <c r="L139" s="711">
        <f>IF(L$18='5.Variables'!$B$16,+'5.Variables'!$N35,+IF(L$18='5.Variables'!$B$39,+'5.Variables'!$N59,+IF(L$18='5.Variables'!$B$62,+'5.Variables'!$N73,+IF(L$18='5.Variables'!$B$76,+'5.Variables'!$N87,+IF(L$18='5.Variables'!$B$90,+'5.Variables'!$N101,+IF(L$18='5.Variables'!$B$104,+'5.Variables'!$N115,0))))))</f>
        <v>0</v>
      </c>
      <c r="M139" s="711">
        <f>IF(M$18='5.Variables'!$B$16,+'5.Variables'!$N35,+IF(M$18='5.Variables'!$B$39,+'5.Variables'!$N59,+IF(M$18='5.Variables'!$B$62,+'5.Variables'!$N73,+IF(M$18='5.Variables'!$B$76,+'5.Variables'!$N87,+IF(M$18='5.Variables'!$B$90,+'5.Variables'!$N101,+IF(M$18='5.Variables'!$B$104,+'5.Variables'!$N115,0))))))</f>
        <v>31</v>
      </c>
      <c r="N139" s="711">
        <f>IF(N$18='5.Variables'!$B$16,+'5.Variables'!$N35,+IF(N$18='5.Variables'!$B$39,+'5.Variables'!$N59,+IF(N$18='5.Variables'!$B$62,+'5.Variables'!$N73,+IF(N$18='5.Variables'!$B$76,+'5.Variables'!$N87,+IF(N$18='5.Variables'!$B$90,+'5.Variables'!$N101,+IF(N$18='5.Variables'!$B$104,+'5.Variables'!$N115,0))))))</f>
        <v>151.5</v>
      </c>
      <c r="O139" s="711">
        <f>IF(O$18='5.Variables'!$B$16,+'5.Variables'!$N35,+IF(O$18='5.Variables'!$B$39,+'5.Variables'!$N59,+IF(O$18='5.Variables'!$B$62,+'5.Variables'!$N73,+IF(O$18='5.Variables'!$B$76,+'5.Variables'!$N87,+IF(O$18='5.Variables'!$B$90,+'5.Variables'!$N101,+IF(O$18='5.Variables'!$B$104,+'5.Variables'!$N115,0))))))</f>
        <v>8.4700000000000006</v>
      </c>
      <c r="P139" s="831">
        <f>IF(P$18='5.Variables'!$B$16,+'5.Variables'!$N35,+IF(P$18='5.Variables'!$B$39,+'5.Variables'!$N59,+IF(P$18='5.Variables'!$B$62,+'5.Variables'!$N73,+IF(P$18='5.Variables'!$B$76,+'5.Variables'!$N87,+IF(P$18='5.Variables'!$B$90,+'5.Variables'!$N101,+IF(P$18='5.Variables'!$B$104,+'5.Variables'!$N115,0))))))</f>
        <v>0</v>
      </c>
      <c r="Q139" s="244"/>
      <c r="R139" s="549">
        <f t="shared" si="10"/>
        <v>7572783.3174206782</v>
      </c>
      <c r="S139" s="263">
        <f>SUM(R128:R139)</f>
        <v>90543643.245070294</v>
      </c>
      <c r="T139" s="244"/>
      <c r="U139" s="244"/>
      <c r="V139" s="244"/>
      <c r="W139" s="244"/>
      <c r="X139" s="244"/>
      <c r="Y139" s="244"/>
      <c r="Z139" s="244"/>
      <c r="AA139" s="244"/>
      <c r="AB139" s="244"/>
      <c r="AC139" s="244"/>
      <c r="AD139" s="244"/>
      <c r="AE139" s="244"/>
      <c r="AF139" s="244"/>
      <c r="AG139" s="244"/>
      <c r="AH139" s="244"/>
      <c r="AI139" s="244"/>
      <c r="AJ139" s="244"/>
      <c r="AK139" s="244"/>
      <c r="AL139" s="244"/>
      <c r="AM139" s="244"/>
    </row>
    <row r="140" spans="1:39" x14ac:dyDescent="0.2">
      <c r="A140" s="497">
        <f t="shared" si="11"/>
        <v>121</v>
      </c>
      <c r="B140" s="260" t="str">
        <f>CONCATENATE('3. Consumption by Rate Class'!B145,"-",'3. Consumption by Rate Class'!C145)</f>
        <v>2016-January</v>
      </c>
      <c r="C140" s="686"/>
      <c r="D140" s="690"/>
      <c r="E140" s="690"/>
      <c r="F140" s="690"/>
      <c r="G140" s="690"/>
      <c r="H140" s="691"/>
      <c r="I140" s="691"/>
      <c r="J140" s="261"/>
      <c r="K140" s="1034">
        <f>IF(K$19=$B$169,+AVERAGE(K20,K32,K44,K56,K68,K80,K92,K104,K116,K128),+IF(K$19=$B$170,+(EXP((LN(+'4. Customer Growth'!$W$42)/12))*$K139),IF($K$19=$B$171,+$A140*$C$176+$D$176,0)))</f>
        <v>843.01999999999987</v>
      </c>
      <c r="L140" s="1034">
        <f>IF(L$19=$B$169,+AVERAGE(L20,L32,L44,L56,L68,L80,L92,L104,L116,L128),+IF(L$19=$B$170,+(EXP((LN(+'4. Customer Growth'!$W$42)/12))*$K139),IF($L$19=$B$171,+$A140*$C$177+$D$177,0)))</f>
        <v>0</v>
      </c>
      <c r="M140" s="730">
        <f>IF(M$19=$B$169,+AVERAGE(M20,M32,M44,M56,M68,M80,M92,M104,M116,M128),+IF(M$19=$B$170,+(EXP((LN(+'4. Customer Growth'!$W$42)/12))*$K139),IF($M$19=$B$171,+$A140*$C$178+$D$178,0)))</f>
        <v>31</v>
      </c>
      <c r="N140" s="1036">
        <f>IF(N$19=$B$169,+AVERAGE(N20,N32,N44,N56,N68,N80,N92,N104,N116,N128),+IF(N$19=$B$170,+(EXP((LN(+'4. Customer Growth'!$W$42)/12))*$N139),IF($N$19=$B$171,+$A140*$C$179+$D$179,0)))</f>
        <v>164.30261904761906</v>
      </c>
      <c r="O140" s="730">
        <f>IF(O$19=$B$169,+AVERAGE(O20,O32,O44,O56,O68,O80,O92,O104,O116,O128),+IF(O$19=$B$170,+(EXP((LN(+'4. Customer Growth'!$W$42)/12))*$O139),IF($O$19=$B$171,+$A140*$C$180+$D$180,0)))</f>
        <v>9.0900000000000016</v>
      </c>
      <c r="P140" s="832">
        <f>IF(P$19=$B$169,+AVERAGE(P20,P32,P44,P56,P68,P80,P92,P104,P116,P128),+IF(P$19=$B$170,+(EXP((LN(+'4. Customer Growth'!$W$42)/12))*$P139),IF($P$19=$B$171,+$A140*$C$181+$D$181,0)))</f>
        <v>0</v>
      </c>
      <c r="Q140" s="244"/>
      <c r="R140" s="549">
        <f t="shared" si="10"/>
        <v>9105414.1366790179</v>
      </c>
      <c r="S140" s="263"/>
      <c r="T140" s="244"/>
      <c r="U140" s="244"/>
      <c r="V140" s="244"/>
      <c r="W140" s="244"/>
      <c r="X140" s="244"/>
      <c r="Y140" s="244"/>
      <c r="Z140" s="244"/>
      <c r="AA140" s="244"/>
      <c r="AB140" s="244"/>
      <c r="AC140" s="244"/>
      <c r="AD140" s="244"/>
      <c r="AE140" s="244"/>
      <c r="AF140" s="244"/>
      <c r="AG140" s="244"/>
      <c r="AH140" s="244"/>
      <c r="AI140" s="244"/>
      <c r="AJ140" s="244"/>
      <c r="AK140" s="244"/>
      <c r="AL140" s="244"/>
      <c r="AM140" s="244"/>
    </row>
    <row r="141" spans="1:39" x14ac:dyDescent="0.2">
      <c r="A141" s="497">
        <f t="shared" si="11"/>
        <v>122</v>
      </c>
      <c r="B141" s="260" t="str">
        <f>CONCATENATE('3. Consumption by Rate Class'!B146,"-",'3. Consumption by Rate Class'!C146)</f>
        <v>2016-February</v>
      </c>
      <c r="C141" s="686"/>
      <c r="D141" s="690"/>
      <c r="E141" s="690"/>
      <c r="F141" s="690"/>
      <c r="G141" s="690"/>
      <c r="H141" s="691"/>
      <c r="I141" s="691"/>
      <c r="J141" s="261"/>
      <c r="K141" s="1034">
        <f>IF(K$19=$B$169,+AVERAGE(K21,K33,K45,K57,K69,K81,K93,K105,K117,K129),+IF(K$19=$B$170,+(EXP((LN(+'4. Customer Growth'!$W$42)/12))*$K140),IF($K$19=$B$171,+$A141*$C$176+$D$176,0)))</f>
        <v>756.19999999999993</v>
      </c>
      <c r="L141" s="1034">
        <f>IF(L$19=$B$169,+AVERAGE(L21,L33,L45,L57,L69,L81,L93,L105,L117,L129),+IF(L$19=$B$170,+(EXP((LN(+'4. Customer Growth'!$W$42)/12))*$K140),IF($L$19=$B$171,+$A141*$C$177+$D$177,0)))</f>
        <v>0</v>
      </c>
      <c r="M141" s="730">
        <f>IF(M$19=$B$169,+AVERAGE(M21,M33,M45,M57,M69,M81,M93,M105,M117,M129),+IF(M$19=$B$170,+(EXP((LN(+'4. Customer Growth'!$W$42)/12))*$K140),IF($M$19=$B$171,+$A141*$C$178+$D$178,0)))</f>
        <v>28.2</v>
      </c>
      <c r="N141" s="1036">
        <f>IF(N$19=$B$169,+AVERAGE(N21,N33,N45,N57,N69,N81,N93,N105,N117,N129),+IF(N$19=$B$170,+(EXP((LN(+'4. Customer Growth'!$W$42)/12))*$N140),IF($N$19=$B$171,+$A141*$C$179+$D$179,0)))</f>
        <v>164.28016922471468</v>
      </c>
      <c r="O141" s="730">
        <f>IF(O$19=$B$169,+AVERAGE(O21,O33,O45,O57,O69,O81,O93,O105,O117,O129),+IF(O$19=$B$170,+(EXP((LN(+'4. Customer Growth'!$W$42)/12))*$O140),IF($O$19=$B$171,+$A141*$C$180+$D$180,0)))</f>
        <v>10.19</v>
      </c>
      <c r="P141" s="832">
        <f>IF(P$19=$B$169,+AVERAGE(P21,P33,P45,P57,P69,P81,P93,P105,P117,P129),+IF(P$19=$B$170,+(EXP((LN(+'4. Customer Growth'!$W$42)/12))*$P140),IF($P$19=$B$171,+$A141*$C$181+$D$181,0)))</f>
        <v>0</v>
      </c>
      <c r="Q141" s="244"/>
      <c r="R141" s="549">
        <f t="shared" si="10"/>
        <v>8222265.4674588013</v>
      </c>
      <c r="S141" s="263"/>
      <c r="T141" s="244"/>
      <c r="U141" s="244"/>
      <c r="V141" s="244"/>
      <c r="W141" s="244"/>
      <c r="X141" s="244"/>
      <c r="Y141" s="244"/>
      <c r="Z141" s="244"/>
      <c r="AA141" s="244"/>
      <c r="AB141" s="244"/>
      <c r="AC141" s="244"/>
      <c r="AD141" s="244"/>
      <c r="AE141" s="244"/>
      <c r="AF141" s="244"/>
      <c r="AG141" s="244"/>
      <c r="AH141" s="244"/>
      <c r="AI141" s="244"/>
      <c r="AJ141" s="244"/>
      <c r="AK141" s="244"/>
      <c r="AL141" s="244"/>
      <c r="AM141" s="244"/>
    </row>
    <row r="142" spans="1:39" x14ac:dyDescent="0.2">
      <c r="A142" s="497">
        <f t="shared" si="11"/>
        <v>123</v>
      </c>
      <c r="B142" s="260" t="str">
        <f>CONCATENATE('3. Consumption by Rate Class'!B147,"-",'3. Consumption by Rate Class'!C147)</f>
        <v>2016-March</v>
      </c>
      <c r="C142" s="686"/>
      <c r="D142" s="690"/>
      <c r="E142" s="690"/>
      <c r="F142" s="690"/>
      <c r="G142" s="690"/>
      <c r="H142" s="691"/>
      <c r="I142" s="691"/>
      <c r="J142" s="261"/>
      <c r="K142" s="1034">
        <f>IF(K$19=$B$169,+AVERAGE(K22,K34,K46,K58,K70,K82,K94,K106,K118,K130),+IF(K$19=$B$170,+(EXP((LN(+'4. Customer Growth'!$W$42)/12))*$K141),IF($K$19=$B$171,+$A142*$C$176+$D$176,0)))</f>
        <v>620.94000000000005</v>
      </c>
      <c r="L142" s="1034">
        <f>IF(L$19=$B$169,+AVERAGE(L22,L34,L46,L58,L70,L82,L94,L106,L118,L130),+IF(L$19=$B$170,+(EXP((LN(+'4. Customer Growth'!$W$42)/12))*$K141),IF($L$19=$B$171,+$A142*$C$177+$D$177,0)))</f>
        <v>0</v>
      </c>
      <c r="M142" s="730">
        <f>IF(M$19=$B$169,+AVERAGE(M22,M34,M46,M58,M70,M82,M94,M106,M118,M130),+IF(M$19=$B$170,+(EXP((LN(+'4. Customer Growth'!$W$42)/12))*$K141),IF($M$19=$B$171,+$A142*$C$178+$D$178,0)))</f>
        <v>31</v>
      </c>
      <c r="N142" s="1036">
        <f>IF(N$19=$B$169,+AVERAGE(N22,N34,N46,N58,N70,N82,N94,N106,N118,N130),+IF(N$19=$B$170,+(EXP((LN(+'4. Customer Growth'!$W$42)/12))*$N141),IF($N$19=$B$171,+$A142*$C$179+$D$179,0)))</f>
        <v>164.25771940181031</v>
      </c>
      <c r="O142" s="730">
        <f>IF(O$19=$B$169,+AVERAGE(O22,O34,O46,O58,O70,O82,O94,O106,O118,O130),+IF(O$19=$B$170,+(EXP((LN(+'4. Customer Growth'!$W$42)/12))*$O141),IF($O$19=$B$171,+$A142*$C$180+$D$180,0)))</f>
        <v>11.510000000000002</v>
      </c>
      <c r="P142" s="832">
        <f>IF(P$19=$B$169,+AVERAGE(P22,P34,P46,P58,P70,P82,P94,P106,P118,P130),+IF(P$19=$B$170,+(EXP((LN(+'4. Customer Growth'!$W$42)/12))*$P141),IF($P$19=$B$171,+$A142*$C$181+$D$181,0)))</f>
        <v>0</v>
      </c>
      <c r="Q142" s="244"/>
      <c r="R142" s="549">
        <f t="shared" si="10"/>
        <v>8455873.9671494719</v>
      </c>
      <c r="S142" s="263"/>
      <c r="T142" s="244"/>
      <c r="U142" s="244"/>
      <c r="V142" s="244"/>
      <c r="W142" s="244"/>
      <c r="X142" s="244"/>
      <c r="Y142" s="244"/>
      <c r="Z142" s="244"/>
      <c r="AA142" s="244"/>
      <c r="AB142" s="244"/>
      <c r="AC142" s="244"/>
      <c r="AD142" s="244"/>
      <c r="AE142" s="244"/>
      <c r="AF142" s="244"/>
      <c r="AG142" s="244"/>
      <c r="AH142" s="244"/>
      <c r="AI142" s="244"/>
      <c r="AJ142" s="244"/>
      <c r="AK142" s="244"/>
      <c r="AL142" s="244"/>
      <c r="AM142" s="244"/>
    </row>
    <row r="143" spans="1:39" x14ac:dyDescent="0.2">
      <c r="A143" s="497">
        <f t="shared" si="11"/>
        <v>124</v>
      </c>
      <c r="B143" s="260" t="str">
        <f>CONCATENATE('3. Consumption by Rate Class'!B148,"-",'3. Consumption by Rate Class'!C148)</f>
        <v>2016-April</v>
      </c>
      <c r="C143" s="686"/>
      <c r="D143" s="690"/>
      <c r="E143" s="690"/>
      <c r="F143" s="690"/>
      <c r="G143" s="690"/>
      <c r="H143" s="691"/>
      <c r="I143" s="691"/>
      <c r="J143" s="261"/>
      <c r="K143" s="1034">
        <f>IF(K$19=$B$169,+AVERAGE(K23,K35,K47,K59,K71,K83,K95,K107,K119,K131),+IF(K$19=$B$170,+(EXP((LN(+'4. Customer Growth'!$W$42)/12))*$K142),IF($K$19=$B$171,+$A143*$C$176+$D$176,0)))</f>
        <v>330.03000000000003</v>
      </c>
      <c r="L143" s="1034">
        <f>IF(L$19=$B$169,+AVERAGE(L23,L35,L47,L59,L71,L83,L95,L107,L119,L131),+IF(L$19=$B$170,+(EXP((LN(+'4. Customer Growth'!$W$42)/12))*$K142),IF($L$19=$B$171,+$A143*$C$177+$D$177,0)))</f>
        <v>0.32</v>
      </c>
      <c r="M143" s="730">
        <f>IF(M$19=$B$169,+AVERAGE(M23,M35,M47,M59,M71,M83,M95,M107,M119,M131),+IF(M$19=$B$170,+(EXP((LN(+'4. Customer Growth'!$W$42)/12))*$K142),IF($M$19=$B$171,+$A143*$C$178+$D$178,0)))</f>
        <v>30</v>
      </c>
      <c r="N143" s="1036">
        <f>IF(N$19=$B$169,+AVERAGE(N23,N35,N47,N59,N71,N83,N95,N107,N119,N131),+IF(N$19=$B$170,+(EXP((LN(+'4. Customer Growth'!$W$42)/12))*$N142),IF($N$19=$B$171,+$A143*$C$179+$D$179,0)))</f>
        <v>164.23526957890596</v>
      </c>
      <c r="O143" s="730">
        <f>IF(O$19=$B$169,+AVERAGE(O23,O35,O47,O59,O71,O83,O95,O107,O119,O131),+IF(O$19=$B$170,+(EXP((LN(+'4. Customer Growth'!$W$42)/12))*$O142),IF($O$19=$B$171,+$A143*$C$180+$D$180,0)))</f>
        <v>13.279999999999998</v>
      </c>
      <c r="P143" s="832">
        <f>IF(P$19=$B$169,+AVERAGE(P23,P35,P47,P59,P71,P83,P95,P107,P119,P131),+IF(P$19=$B$170,+(EXP((LN(+'4. Customer Growth'!$W$42)/12))*$P142),IF($P$19=$B$171,+$A143*$C$181+$D$181,0)))</f>
        <v>0</v>
      </c>
      <c r="Q143" s="244"/>
      <c r="R143" s="549">
        <f t="shared" si="10"/>
        <v>7279344.718056445</v>
      </c>
      <c r="S143" s="263"/>
      <c r="T143" s="244"/>
      <c r="U143" s="244"/>
      <c r="V143" s="244"/>
      <c r="W143" s="244"/>
      <c r="X143" s="244"/>
      <c r="Y143" s="244"/>
      <c r="Z143" s="244"/>
      <c r="AA143" s="244"/>
      <c r="AB143" s="244"/>
      <c r="AC143" s="244"/>
      <c r="AD143" s="244"/>
      <c r="AE143" s="244"/>
      <c r="AF143" s="244"/>
      <c r="AG143" s="244"/>
      <c r="AH143" s="244"/>
      <c r="AI143" s="244"/>
      <c r="AJ143" s="244"/>
      <c r="AK143" s="244"/>
      <c r="AL143" s="244"/>
      <c r="AM143" s="244"/>
    </row>
    <row r="144" spans="1:39" x14ac:dyDescent="0.2">
      <c r="A144" s="497">
        <f t="shared" si="11"/>
        <v>125</v>
      </c>
      <c r="B144" s="260" t="str">
        <f>CONCATENATE('3. Consumption by Rate Class'!B149,"-",'3. Consumption by Rate Class'!C149)</f>
        <v>2016-May</v>
      </c>
      <c r="C144" s="686"/>
      <c r="D144" s="690"/>
      <c r="E144" s="690"/>
      <c r="F144" s="690"/>
      <c r="G144" s="690"/>
      <c r="H144" s="691"/>
      <c r="I144" s="691"/>
      <c r="J144" s="261"/>
      <c r="K144" s="1034">
        <f>IF(K$19=$B$169,+AVERAGE(K24,K36,K48,K60,K72,K84,K96,K108,K120,K132),+IF(K$19=$B$170,+(EXP((LN(+'4. Customer Growth'!$W$42)/12))*$K143),IF($K$19=$B$171,+$A144*$C$176+$D$176,0)))</f>
        <v>132.75</v>
      </c>
      <c r="L144" s="1034">
        <f>IF(L$19=$B$169,+AVERAGE(L24,L36,L48,L60,L72,L84,L96,L108,L120,L132),+IF(L$19=$B$170,+(EXP((LN(+'4. Customer Growth'!$W$42)/12))*$K143),IF($L$19=$B$171,+$A144*$C$177+$D$177,0)))</f>
        <v>10.629999999999999</v>
      </c>
      <c r="M144" s="730">
        <f>IF(M$19=$B$169,+AVERAGE(M24,M36,M48,M60,M72,M84,M96,M108,M120,M132),+IF(M$19=$B$170,+(EXP((LN(+'4. Customer Growth'!$W$42)/12))*$K143),IF($M$19=$B$171,+$A144*$C$178+$D$178,0)))</f>
        <v>31</v>
      </c>
      <c r="N144" s="1036">
        <f>IF(N$19=$B$169,+AVERAGE(N24,N36,N48,N60,N72,N84,N96,N108,N120,N132),+IF(N$19=$B$170,+(EXP((LN(+'4. Customer Growth'!$W$42)/12))*$N143),IF($N$19=$B$171,+$A144*$C$179+$D$179,0)))</f>
        <v>164.21281975600158</v>
      </c>
      <c r="O144" s="730">
        <f>IF(O$19=$B$169,+AVERAGE(O24,O36,O48,O60,O72,O84,O96,O108,O120,O132),+IF(O$19=$B$170,+(EXP((LN(+'4. Customer Growth'!$W$42)/12))*$O143),IF($O$19=$B$171,+$A144*$C$180+$D$180,0)))</f>
        <v>14.52</v>
      </c>
      <c r="P144" s="832">
        <f>IF(P$19=$B$169,+AVERAGE(P24,P36,P48,P60,P72,P84,P96,P108,P120,P132),+IF(P$19=$B$170,+(EXP((LN(+'4. Customer Growth'!$W$42)/12))*$P143),IF($P$19=$B$171,+$A144*$C$181+$D$181,0)))</f>
        <v>0</v>
      </c>
      <c r="Q144" s="244"/>
      <c r="R144" s="549">
        <f t="shared" si="10"/>
        <v>6978399.4251531893</v>
      </c>
      <c r="S144" s="263"/>
      <c r="T144" s="244"/>
      <c r="U144" s="244"/>
      <c r="V144" s="244"/>
      <c r="W144" s="244"/>
      <c r="X144" s="244"/>
      <c r="Y144" s="244"/>
      <c r="Z144" s="244"/>
      <c r="AA144" s="244"/>
      <c r="AB144" s="244"/>
      <c r="AC144" s="244"/>
      <c r="AD144" s="244"/>
      <c r="AE144" s="244"/>
      <c r="AF144" s="244"/>
      <c r="AG144" s="244"/>
      <c r="AH144" s="244"/>
      <c r="AI144" s="244"/>
      <c r="AJ144" s="244"/>
      <c r="AK144" s="244"/>
      <c r="AL144" s="244"/>
      <c r="AM144" s="244"/>
    </row>
    <row r="145" spans="1:39" x14ac:dyDescent="0.2">
      <c r="A145" s="497">
        <f t="shared" si="11"/>
        <v>126</v>
      </c>
      <c r="B145" s="260" t="str">
        <f>CONCATENATE('3. Consumption by Rate Class'!B150,"-",'3. Consumption by Rate Class'!C150)</f>
        <v>2016-June</v>
      </c>
      <c r="C145" s="686"/>
      <c r="D145" s="690"/>
      <c r="E145" s="690"/>
      <c r="F145" s="690"/>
      <c r="G145" s="690"/>
      <c r="H145" s="691"/>
      <c r="I145" s="691"/>
      <c r="J145" s="261"/>
      <c r="K145" s="1034">
        <f>IF(K$19=$B$169,+AVERAGE(K25,K37,K49,K61,K73,K85,K97,K109,K121,K133),+IF(K$19=$B$170,+(EXP((LN(+'4. Customer Growth'!$W$42)/12))*$K144),IF($K$19=$B$171,+$A145*$C$176+$D$176,0)))</f>
        <v>30.54</v>
      </c>
      <c r="L145" s="1034">
        <f>IF(L$19=$B$169,+AVERAGE(L25,L37,L49,L61,L73,L85,L97,L109,L121,L133),+IF(L$19=$B$170,+(EXP((LN(+'4. Customer Growth'!$W$42)/12))*$K144),IF($L$19=$B$171,+$A145*$C$177+$D$177,0)))</f>
        <v>35.32</v>
      </c>
      <c r="M145" s="730">
        <f>IF(M$19=$B$169,+AVERAGE(M25,M37,M49,M61,M73,M85,M97,M109,M121,M133),+IF(M$19=$B$170,+(EXP((LN(+'4. Customer Growth'!$W$42)/12))*$K144),IF($M$19=$B$171,+$A145*$C$178+$D$178,0)))</f>
        <v>30</v>
      </c>
      <c r="N145" s="1036">
        <f>IF(N$19=$B$169,+AVERAGE(N25,N37,N49,N61,N73,N85,N97,N109,N121,N133),+IF(N$19=$B$170,+(EXP((LN(+'4. Customer Growth'!$W$42)/12))*$N144),IF($N$19=$B$171,+$A145*$C$179+$D$179,0)))</f>
        <v>164.1903699330972</v>
      </c>
      <c r="O145" s="730">
        <f>IF(O$19=$B$169,+AVERAGE(O25,O37,O49,O61,O73,O85,O97,O109,O121,O133),+IF(O$19=$B$170,+(EXP((LN(+'4. Customer Growth'!$W$42)/12))*$O144),IF($O$19=$B$171,+$A145*$C$180+$D$180,0)))</f>
        <v>15.349999999999998</v>
      </c>
      <c r="P145" s="832">
        <f>IF(P$19=$B$169,+AVERAGE(P25,P37,P49,P61,P73,P85,P97,P109,P121,P133),+IF(P$19=$B$170,+(EXP((LN(+'4. Customer Growth'!$W$42)/12))*$P144),IF($P$19=$B$171,+$A145*$C$181+$D$181,0)))</f>
        <v>0</v>
      </c>
      <c r="Q145" s="244"/>
      <c r="R145" s="549">
        <f t="shared" si="10"/>
        <v>6700415.531987993</v>
      </c>
      <c r="S145" s="263"/>
      <c r="T145" s="244"/>
      <c r="U145" s="244"/>
      <c r="V145" s="244"/>
      <c r="W145" s="244"/>
      <c r="X145" s="272"/>
      <c r="Y145" s="244"/>
      <c r="Z145" s="244"/>
      <c r="AA145" s="244"/>
      <c r="AB145" s="244"/>
      <c r="AC145" s="244"/>
      <c r="AD145" s="244"/>
      <c r="AE145" s="244"/>
      <c r="AF145" s="244"/>
      <c r="AG145" s="244"/>
      <c r="AH145" s="244"/>
      <c r="AI145" s="244"/>
      <c r="AJ145" s="244"/>
      <c r="AK145" s="244"/>
      <c r="AL145" s="244"/>
      <c r="AM145" s="244"/>
    </row>
    <row r="146" spans="1:39" x14ac:dyDescent="0.2">
      <c r="A146" s="497">
        <f t="shared" si="11"/>
        <v>127</v>
      </c>
      <c r="B146" s="260" t="str">
        <f>CONCATENATE('3. Consumption by Rate Class'!B151,"-",'3. Consumption by Rate Class'!C151)</f>
        <v>2016-July</v>
      </c>
      <c r="C146" s="686"/>
      <c r="D146" s="690"/>
      <c r="E146" s="690"/>
      <c r="F146" s="690"/>
      <c r="G146" s="690"/>
      <c r="H146" s="691"/>
      <c r="I146" s="691"/>
      <c r="J146" s="261"/>
      <c r="K146" s="1034">
        <f>IF(K$19=$B$169,+AVERAGE(K26,K38,K50,K62,K74,K86,K98,K110,K122,K134),+IF(K$19=$B$170,+(EXP((LN(+'4. Customer Growth'!$W$42)/12))*$K145),IF($K$19=$B$171,+$A146*$C$176+$D$176,0)))</f>
        <v>5.3100000000000005</v>
      </c>
      <c r="L146" s="1034">
        <f>IF(L$19=$B$169,+AVERAGE(L26,L38,L50,L62,L74,L86,L98,L110,L122,L134),+IF(L$19=$B$170,+(EXP((LN(+'4. Customer Growth'!$W$42)/12))*$K145),IF($L$19=$B$171,+$A146*$C$177+$D$177,0)))</f>
        <v>89.37</v>
      </c>
      <c r="M146" s="730">
        <f>IF(M$19=$B$169,+AVERAGE(M26,M38,M50,M62,M74,M86,M98,M110,M122,M134),+IF(M$19=$B$170,+(EXP((LN(+'4. Customer Growth'!$W$42)/12))*$K145),IF($M$19=$B$171,+$A146*$C$178+$D$178,0)))</f>
        <v>31</v>
      </c>
      <c r="N146" s="1036">
        <f>IF(N$19=$B$169,+AVERAGE(N26,N38,N50,N62,N74,N86,N98,N110,N122,N134),+IF(N$19=$B$170,+(EXP((LN(+'4. Customer Growth'!$W$42)/12))*$N145),IF($N$19=$B$171,+$A146*$C$179+$D$179,0)))</f>
        <v>164.16792011019285</v>
      </c>
      <c r="O146" s="730">
        <f>IF(O$19=$B$169,+AVERAGE(O26,O38,O50,O62,O74,O86,O98,O110,O122,O134),+IF(O$19=$B$170,+(EXP((LN(+'4. Customer Growth'!$W$42)/12))*$O145),IF($O$19=$B$171,+$A146*$C$180+$D$180,0)))</f>
        <v>15.150000000000002</v>
      </c>
      <c r="P146" s="832">
        <f>IF(P$19=$B$169,+AVERAGE(P26,P38,P50,P62,P74,P86,P98,P110,P122,P134),+IF(P$19=$B$170,+(EXP((LN(+'4. Customer Growth'!$W$42)/12))*$P145),IF($P$19=$B$171,+$A146*$C$181+$D$181,0)))</f>
        <v>0</v>
      </c>
      <c r="Q146" s="244"/>
      <c r="R146" s="549">
        <f t="shared" si="10"/>
        <v>7412114.8954970837</v>
      </c>
      <c r="S146" s="263"/>
      <c r="T146" s="244"/>
      <c r="U146" s="244"/>
      <c r="V146" s="244"/>
      <c r="W146" s="244"/>
      <c r="X146" s="244"/>
      <c r="Y146" s="244"/>
      <c r="Z146" s="244"/>
      <c r="AA146" s="244"/>
      <c r="AB146" s="244"/>
      <c r="AC146" s="244"/>
      <c r="AD146" s="244"/>
      <c r="AE146" s="244"/>
      <c r="AF146" s="244"/>
      <c r="AG146" s="244"/>
      <c r="AH146" s="244"/>
      <c r="AI146" s="244"/>
      <c r="AJ146" s="244"/>
      <c r="AK146" s="244"/>
      <c r="AL146" s="244"/>
      <c r="AM146" s="244"/>
    </row>
    <row r="147" spans="1:39" x14ac:dyDescent="0.2">
      <c r="A147" s="497">
        <f t="shared" si="11"/>
        <v>128</v>
      </c>
      <c r="B147" s="260" t="str">
        <f>CONCATENATE('3. Consumption by Rate Class'!B152,"-",'3. Consumption by Rate Class'!C152)</f>
        <v>2016-August</v>
      </c>
      <c r="C147" s="686"/>
      <c r="D147" s="690"/>
      <c r="E147" s="690"/>
      <c r="F147" s="690"/>
      <c r="G147" s="690"/>
      <c r="H147" s="691"/>
      <c r="I147" s="691"/>
      <c r="J147" s="261"/>
      <c r="K147" s="1034">
        <f>IF(K$19=$B$169,+AVERAGE(K27,K39,K51,K63,K75,K87,K99,K111,K123,K135),+IF(K$19=$B$170,+(EXP((LN(+'4. Customer Growth'!$W$42)/12))*$K146),IF($K$19=$B$171,+$A147*$C$176+$D$176,0)))</f>
        <v>14.62</v>
      </c>
      <c r="L147" s="1034">
        <f>IF(L$19=$B$169,+AVERAGE(L27,L39,L51,L63,L75,L87,L99,L111,L123,L135),+IF(L$19=$B$170,+(EXP((LN(+'4. Customer Growth'!$W$42)/12))*$K146),IF($L$19=$B$171,+$A147*$C$177+$D$177,0)))</f>
        <v>76.990000000000009</v>
      </c>
      <c r="M147" s="730">
        <f>IF(M$19=$B$169,+AVERAGE(M27,M39,M51,M63,M75,M87,M99,M111,M123,M135),+IF(M$19=$B$170,+(EXP((LN(+'4. Customer Growth'!$W$42)/12))*$K146),IF($M$19=$B$171,+$A147*$C$178+$D$178,0)))</f>
        <v>31</v>
      </c>
      <c r="N147" s="1036">
        <f>IF(N$19=$B$169,+AVERAGE(N27,N39,N51,N63,N75,N87,N99,N111,N123,N135),+IF(N$19=$B$170,+(EXP((LN(+'4. Customer Growth'!$W$42)/12))*$N146),IF($N$19=$B$171,+$A147*$C$179+$D$179,0)))</f>
        <v>164.14547028728848</v>
      </c>
      <c r="O147" s="730">
        <f>IF(O$19=$B$169,+AVERAGE(O27,O39,O51,O63,O75,O87,O99,O111,O123,O135),+IF(O$19=$B$170,+(EXP((LN(+'4. Customer Growth'!$W$42)/12))*$O146),IF($O$19=$B$171,+$A147*$C$180+$D$180,0)))</f>
        <v>14.029999999999998</v>
      </c>
      <c r="P147" s="832">
        <f>IF(P$19=$B$169,+AVERAGE(P27,P39,P51,P63,P75,P87,P99,P111,P123,P135),+IF(P$19=$B$170,+(EXP((LN(+'4. Customer Growth'!$W$42)/12))*$P146),IF($P$19=$B$171,+$A147*$C$181+$D$181,0)))</f>
        <v>0</v>
      </c>
      <c r="Q147" s="244"/>
      <c r="R147" s="549">
        <f t="shared" si="10"/>
        <v>7230063.9725735039</v>
      </c>
      <c r="S147" s="263"/>
      <c r="T147" s="244"/>
      <c r="U147" s="244"/>
      <c r="V147" s="244"/>
      <c r="W147" s="244"/>
      <c r="X147" s="244"/>
      <c r="Y147" s="244"/>
      <c r="Z147" s="244"/>
      <c r="AA147" s="244"/>
      <c r="AB147" s="244"/>
      <c r="AC147" s="244"/>
      <c r="AD147" s="244"/>
      <c r="AE147" s="244"/>
      <c r="AF147" s="244"/>
      <c r="AG147" s="244"/>
      <c r="AH147" s="244"/>
      <c r="AI147" s="244"/>
      <c r="AJ147" s="244"/>
      <c r="AK147" s="244"/>
      <c r="AL147" s="244"/>
      <c r="AM147" s="244"/>
    </row>
    <row r="148" spans="1:39" x14ac:dyDescent="0.2">
      <c r="A148" s="497">
        <f t="shared" si="11"/>
        <v>129</v>
      </c>
      <c r="B148" s="260" t="str">
        <f>CONCATENATE('3. Consumption by Rate Class'!B153,"-",'3. Consumption by Rate Class'!C153)</f>
        <v>2016-September</v>
      </c>
      <c r="C148" s="686"/>
      <c r="D148" s="690"/>
      <c r="E148" s="690"/>
      <c r="F148" s="690"/>
      <c r="G148" s="690"/>
      <c r="H148" s="691"/>
      <c r="I148" s="691"/>
      <c r="J148" s="261"/>
      <c r="K148" s="1034">
        <f>IF(K$19=$B$169,+AVERAGE(K28,K40,K52,K64,K76,K88,K100,K112,K124,K136),+IF(K$19=$B$170,+(EXP((LN(+'4. Customer Growth'!$W$42)/12))*$K147),IF($K$19=$B$171,+$A148*$C$176+$D$176,0)))</f>
        <v>98.339999999999989</v>
      </c>
      <c r="L148" s="1034">
        <f>IF(L$19=$B$169,+AVERAGE(L28,L40,L52,L64,L76,L88,L100,L112,L124,L136),+IF(L$19=$B$170,+(EXP((LN(+'4. Customer Growth'!$W$42)/12))*$K147),IF($L$19=$B$171,+$A148*$C$177+$D$177,0)))</f>
        <v>44.61</v>
      </c>
      <c r="M148" s="730">
        <f>IF(M$19=$B$169,+AVERAGE(M28,M40,M52,M64,M76,M88,M100,M112,M124,M136),+IF(M$19=$B$170,+(EXP((LN(+'4. Customer Growth'!$W$42)/12))*$K147),IF($M$19=$B$171,+$A148*$C$178+$D$178,0)))</f>
        <v>30</v>
      </c>
      <c r="N148" s="1036">
        <f>IF(N$19=$B$169,+AVERAGE(N28,N40,N52,N64,N76,N88,N100,N112,N124,N136),+IF(N$19=$B$170,+(EXP((LN(+'4. Customer Growth'!$W$42)/12))*$N147),IF($N$19=$B$171,+$A148*$C$179+$D$179,0)))</f>
        <v>164.1230204643841</v>
      </c>
      <c r="O148" s="730">
        <f>IF(O$19=$B$169,+AVERAGE(O28,O40,O52,O64,O76,O88,O100,O112,O124,O136),+IF(O$19=$B$170,+(EXP((LN(+'4. Customer Growth'!$W$42)/12))*$O147),IF($O$19=$B$171,+$A148*$C$180+$D$180,0)))</f>
        <v>12.289999999999997</v>
      </c>
      <c r="P148" s="832">
        <f>IF(P$19=$B$169,+AVERAGE(P28,P40,P52,P64,P76,P88,P100,P112,P124,P136),+IF(P$19=$B$170,+(EXP((LN(+'4. Customer Growth'!$W$42)/12))*$P147),IF($P$19=$B$171,+$A148*$C$181+$D$181,0)))</f>
        <v>0</v>
      </c>
      <c r="Q148" s="244"/>
      <c r="R148" s="549">
        <f t="shared" si="10"/>
        <v>6831732.2266344903</v>
      </c>
      <c r="S148" s="263"/>
      <c r="T148" s="244"/>
      <c r="U148" s="244"/>
      <c r="V148" s="244"/>
      <c r="W148" s="244"/>
      <c r="X148" s="244"/>
      <c r="Y148" s="244"/>
      <c r="Z148" s="244"/>
      <c r="AA148" s="244"/>
      <c r="AB148" s="244"/>
      <c r="AC148" s="244"/>
      <c r="AD148" s="244"/>
      <c r="AE148" s="244"/>
      <c r="AF148" s="244"/>
      <c r="AG148" s="244"/>
      <c r="AH148" s="244"/>
      <c r="AI148" s="244"/>
      <c r="AJ148" s="244"/>
      <c r="AK148" s="244"/>
      <c r="AL148" s="244"/>
      <c r="AM148" s="244"/>
    </row>
    <row r="149" spans="1:39" x14ac:dyDescent="0.2">
      <c r="A149" s="497">
        <f t="shared" si="11"/>
        <v>130</v>
      </c>
      <c r="B149" s="260" t="str">
        <f>CONCATENATE('3. Consumption by Rate Class'!B154,"-",'3. Consumption by Rate Class'!C154)</f>
        <v>2016-October</v>
      </c>
      <c r="C149" s="686"/>
      <c r="D149" s="690"/>
      <c r="E149" s="690"/>
      <c r="F149" s="690"/>
      <c r="G149" s="690"/>
      <c r="H149" s="691"/>
      <c r="I149" s="691"/>
      <c r="J149" s="261"/>
      <c r="K149" s="1034">
        <f>IF(K$19=$B$169,+AVERAGE(K29,K41,K53,K65,K77,K89,K101,K113,K125,K137),+IF(K$19=$B$170,+(EXP((LN(+'4. Customer Growth'!$W$42)/12))*$K148),IF($K$19=$B$171,+$A149*$C$176+$D$176,0)))</f>
        <v>285.88</v>
      </c>
      <c r="L149" s="1034">
        <f>IF(L$19=$B$169,+AVERAGE(L29,L41,L53,L65,L77,L89,L101,L113,L125,L137),+IF(L$19=$B$170,+(EXP((LN(+'4. Customer Growth'!$W$42)/12))*$K148),IF($L$19=$B$171,+$A149*$C$177+$D$177,0)))</f>
        <v>8.7100000000000009</v>
      </c>
      <c r="M149" s="730">
        <f>IF(M$19=$B$169,+AVERAGE(M29,M41,M53,M65,M77,M89,M101,M113,M125,M137),+IF(M$19=$B$170,+(EXP((LN(+'4. Customer Growth'!$W$42)/12))*$K148),IF($M$19=$B$171,+$A149*$C$178+$D$178,0)))</f>
        <v>31</v>
      </c>
      <c r="N149" s="1036">
        <f>IF(N$19=$B$169,+AVERAGE(N29,N41,N53,N65,N77,N89,N101,N113,N125,N137),+IF(N$19=$B$170,+(EXP((LN(+'4. Customer Growth'!$W$42)/12))*$N148),IF($N$19=$B$171,+$A149*$C$179+$D$179,0)))</f>
        <v>164.10057064147975</v>
      </c>
      <c r="O149" s="730">
        <f>IF(O$19=$B$169,+AVERAGE(O29,O41,O53,O65,O77,O89,O101,O113,O125,O137),+IF(O$19=$B$170,+(EXP((LN(+'4. Customer Growth'!$W$42)/12))*$O148),IF($O$19=$B$171,+$A149*$C$180+$D$180,0)))</f>
        <v>10.510000000000002</v>
      </c>
      <c r="P149" s="832">
        <f>IF(P$19=$B$169,+AVERAGE(P29,P41,P53,P65,P77,P89,P101,P113,P125,P137),+IF(P$19=$B$170,+(EXP((LN(+'4. Customer Growth'!$W$42)/12))*$P148),IF($P$19=$B$171,+$A149*$C$181+$D$181,0)))</f>
        <v>0</v>
      </c>
      <c r="Q149" s="244"/>
      <c r="R149" s="549">
        <f t="shared" ref="R149:R162" si="12">$V$34+(K149*$V$35)+(L149*$V$36)+(M149*$V$37)+(N149*$V$38)+(O149*$V$39)</f>
        <v>7234320.3523899298</v>
      </c>
      <c r="S149" s="263"/>
      <c r="T149" s="244"/>
      <c r="U149" s="244"/>
      <c r="V149" s="244"/>
      <c r="W149" s="244"/>
      <c r="X149" s="244"/>
      <c r="Y149" s="244"/>
      <c r="Z149" s="244"/>
      <c r="AA149" s="244"/>
      <c r="AB149" s="244"/>
      <c r="AC149" s="244"/>
      <c r="AD149" s="244"/>
      <c r="AE149" s="244"/>
      <c r="AF149" s="244"/>
      <c r="AG149" s="244"/>
      <c r="AH149" s="244"/>
      <c r="AI149" s="244"/>
      <c r="AJ149" s="244"/>
      <c r="AK149" s="244"/>
      <c r="AL149" s="244"/>
      <c r="AM149" s="244"/>
    </row>
    <row r="150" spans="1:39" x14ac:dyDescent="0.2">
      <c r="A150" s="497">
        <f t="shared" ref="A150:A163" si="13">+A149+1</f>
        <v>131</v>
      </c>
      <c r="B150" s="260" t="str">
        <f>CONCATENATE('3. Consumption by Rate Class'!B155,"-",'3. Consumption by Rate Class'!C155)</f>
        <v>2016-November</v>
      </c>
      <c r="C150" s="686"/>
      <c r="D150" s="690"/>
      <c r="E150" s="690"/>
      <c r="F150" s="690"/>
      <c r="G150" s="690"/>
      <c r="H150" s="691"/>
      <c r="I150" s="691"/>
      <c r="J150" s="261"/>
      <c r="K150" s="1034">
        <f>IF(K$19=$B$169,+AVERAGE(K30,K42,K54,K66,K78,K90,K102,K114,K126,K138),+IF(K$19=$B$170,+(EXP((LN(+'4. Customer Growth'!$W$42)/12))*$K149),IF($K$19=$B$171,+$A150*$C$176+$D$176,0)))</f>
        <v>476.96000000000004</v>
      </c>
      <c r="L150" s="1034">
        <f>IF(L$19=$B$169,+AVERAGE(L30,L42,L54,L66,L78,L90,L102,L114,L126,L138),+IF(L$19=$B$170,+(EXP((LN(+'4. Customer Growth'!$W$42)/12))*$K149),IF($L$19=$B$171,+$A150*$C$177+$D$177,0)))</f>
        <v>0.19</v>
      </c>
      <c r="M150" s="730">
        <f>IF(M$19=$B$169,+AVERAGE(M30,M42,M54,M66,M78,M90,M102,M114,M126,M138),+IF(M$19=$B$170,+(EXP((LN(+'4. Customer Growth'!$W$42)/12))*$K149),IF($M$19=$B$171,+$A150*$C$178+$D$178,0)))</f>
        <v>30</v>
      </c>
      <c r="N150" s="1036">
        <f>IF(N$19=$B$169,+AVERAGE(N30,N42,N54,N66,N78,N90,N102,N114,N126,N138),+IF(N$19=$B$170,+(EXP((LN(+'4. Customer Growth'!$W$42)/12))*$N149),IF($N$19=$B$171,+$A150*$C$179+$D$179,0)))</f>
        <v>164.07812081857537</v>
      </c>
      <c r="O150" s="730">
        <f>IF(O$19=$B$169,+AVERAGE(O30,O42,O54,O66,O78,O90,O102,O114,O126,O138),+IF(O$19=$B$170,+(EXP((LN(+'4. Customer Growth'!$W$42)/12))*$O149),IF($O$19=$B$171,+$A150*$C$180+$D$180,0)))</f>
        <v>9.2799999999999994</v>
      </c>
      <c r="P150" s="832">
        <f>IF(P$19=$B$169,+AVERAGE(P30,P42,P54,P66,P78,P90,P102,P114,P126,P138),+IF(P$19=$B$170,+(EXP((LN(+'4. Customer Growth'!$W$42)/12))*$P149),IF($P$19=$B$171,+$A150*$C$181+$D$181,0)))</f>
        <v>0</v>
      </c>
      <c r="Q150" s="244"/>
      <c r="R150" s="549">
        <f t="shared" si="12"/>
        <v>7531951.3576568821</v>
      </c>
      <c r="S150" s="263"/>
      <c r="T150" s="244"/>
      <c r="U150" s="244"/>
      <c r="V150" s="244"/>
      <c r="W150" s="244"/>
      <c r="X150" s="244"/>
      <c r="Y150" s="244"/>
      <c r="Z150" s="244"/>
      <c r="AA150" s="244"/>
      <c r="AB150" s="244"/>
      <c r="AC150" s="244"/>
      <c r="AD150" s="244"/>
      <c r="AE150" s="244"/>
      <c r="AF150" s="244"/>
      <c r="AG150" s="244"/>
      <c r="AH150" s="244"/>
      <c r="AI150" s="244"/>
      <c r="AJ150" s="244"/>
      <c r="AK150" s="244"/>
      <c r="AL150" s="244"/>
      <c r="AM150" s="244"/>
    </row>
    <row r="151" spans="1:39" x14ac:dyDescent="0.2">
      <c r="A151" s="497">
        <f t="shared" si="13"/>
        <v>132</v>
      </c>
      <c r="B151" s="516" t="str">
        <f>CONCATENATE('3. Consumption by Rate Class'!B156,"-",'3. Consumption by Rate Class'!C156)</f>
        <v>2016-December</v>
      </c>
      <c r="C151" s="685"/>
      <c r="D151" s="692"/>
      <c r="E151" s="692"/>
      <c r="F151" s="692"/>
      <c r="G151" s="692"/>
      <c r="H151" s="693"/>
      <c r="I151" s="693"/>
      <c r="J151" s="261"/>
      <c r="K151" s="1034">
        <f>IF(K$19=$B$169,+AVERAGE(K31,K43,K55,K67,K79,K91,K103,K115,K127,K139),+IF(K$19=$B$170,+(EXP((LN(+'4. Customer Growth'!$W$42)/12))*$K150),IF($K$19=$B$171,+$A151*$C$176+$D$176,0)))</f>
        <v>682.55000000000007</v>
      </c>
      <c r="L151" s="1034">
        <f>IF(L$19=$B$169,+AVERAGE(L31,L43,L55,L67,L79,L91,L103,L115,L127,L139),+IF(L$19=$B$170,+(EXP((LN(+'4. Customer Growth'!$W$42)/12))*$K150),IF($L$19=$B$171,+$A151*$C$177+$D$177,0)))</f>
        <v>0</v>
      </c>
      <c r="M151" s="730">
        <f>IF(M$19=$B$169,+AVERAGE(M31,M43,M55,M67,M79,M91,M103,M115,M127,M139),+IF(M$19=$B$170,+(EXP((LN(+'4. Customer Growth'!$W$42)/12))*$K150),IF($M$19=$B$171,+$A151*$C$178+$D$178,0)))</f>
        <v>31</v>
      </c>
      <c r="N151" s="1036">
        <f>IF(N$19=$B$169,+AVERAGE(N31,N43,N55,N67,N79,N91,N103,N115,N127,N139),+IF(N$19=$B$170,+(EXP((LN(+'4. Customer Growth'!$W$42)/12))*$N150),IF($N$19=$B$171,+$A151*$C$179+$D$179,0)))</f>
        <v>164.05567099567099</v>
      </c>
      <c r="O151" s="730">
        <f>IF(O$19=$B$169,+AVERAGE(O31,O43,O55,O67,O79,O91,O103,O115,O127,O139),+IF(O$19=$B$170,+(EXP((LN(+'4. Customer Growth'!$W$42)/12))*$O150),IF($O$19=$B$171,+$A151*$C$180+$D$180,0)))</f>
        <v>8.4700000000000006</v>
      </c>
      <c r="P151" s="832">
        <f>IF(P$19=$B$169,+AVERAGE(P31,P43,P55,P67,P79,P91,P103,P115,P127,P139),+IF(P$19=$B$170,+(EXP((LN(+'4. Customer Growth'!$W$42)/12))*$P150),IF($P$19=$B$171,+$A151*$C$181+$D$181,0)))</f>
        <v>0</v>
      </c>
      <c r="Q151" s="244"/>
      <c r="R151" s="549">
        <f t="shared" si="12"/>
        <v>8462155.9641187228</v>
      </c>
      <c r="S151" s="263">
        <f>SUM(R140:R151)</f>
        <v>91444052.015355527</v>
      </c>
      <c r="T151" s="244"/>
      <c r="U151" s="244"/>
      <c r="V151" s="244"/>
      <c r="W151" s="244"/>
      <c r="X151" s="244"/>
      <c r="Y151" s="244"/>
      <c r="Z151" s="244"/>
      <c r="AA151" s="244"/>
      <c r="AB151" s="244"/>
      <c r="AC151" s="244"/>
      <c r="AD151" s="244"/>
      <c r="AE151" s="244"/>
      <c r="AF151" s="244"/>
      <c r="AG151" s="244"/>
      <c r="AH151" s="244"/>
      <c r="AI151" s="244"/>
      <c r="AJ151" s="244"/>
      <c r="AK151" s="244"/>
      <c r="AL151" s="244"/>
      <c r="AM151" s="244"/>
    </row>
    <row r="152" spans="1:39" x14ac:dyDescent="0.2">
      <c r="A152" s="497">
        <f t="shared" si="13"/>
        <v>133</v>
      </c>
      <c r="B152" s="260" t="str">
        <f>CONCATENATE('3. Consumption by Rate Class'!B157,"-",'3. Consumption by Rate Class'!C157)</f>
        <v>2017-January</v>
      </c>
      <c r="C152" s="701"/>
      <c r="D152" s="271"/>
      <c r="E152" s="271"/>
      <c r="F152" s="271"/>
      <c r="G152" s="271"/>
      <c r="H152" s="271"/>
      <c r="I152" s="271"/>
      <c r="J152" s="245"/>
      <c r="K152" s="1034">
        <f>IF(K$19=$B$169,+AVERAGE(K32,K44,K56,K68,K80,K92,K104,K116,K128,K140),+IF(K$19=$B$170,+(EXP((LN(+'4. Customer Growth'!$W$43)/12))*$K151),IF($K$19=$B$171,+$A152*$C$176+$D$176,0)))</f>
        <v>853.97199999999998</v>
      </c>
      <c r="L152" s="1034">
        <f>IF(L$19=$B$169,+AVERAGE(L32,L44,L56,L68,L80,L92,L104,L116,L128,L140),+IF(L$19=$B$170,+(EXP((LN(+'4. Customer Growth'!$W$43)/12))*$K151),IF($L$19=$B$171,+$A152*$C$177+$D$177,0)))</f>
        <v>0</v>
      </c>
      <c r="M152" s="730">
        <f>IF(M$19=$B$169,+AVERAGE(M32,M44,M56,M68,M80,M92,M104,M116,M128,M140),+IF(M$19=$B$170,+(EXP((LN(+'4. Customer Growth'!$W$43)/12))*$K151),IF($M$19=$B$171,+$A152*$C$178+$D$178,0)))</f>
        <v>31</v>
      </c>
      <c r="N152" s="1036">
        <f>IF(N$19=$B$169,+AVERAGE(N32,N44,N56,N68,N80,N92,N104,N116,N128,N140),+IF(N$19=$B$170,+(EXP((LN(+'4. Customer Growth'!$W$42)/12))*$N151),IF($N$19=$B$171,+$A152*$C$179+$D$179,0)))</f>
        <v>164.03322117276664</v>
      </c>
      <c r="O152" s="730">
        <f>IF(O$19=$B$169,+AVERAGE(O32,O44,O56,O68,O80,O92,O104,O116,O128,O140),+IF(O$19=$B$170,+(EXP((LN(+'4. Customer Growth'!$W$43)/12))*$O151),IF($O$19=$B$171,+$A152*$C$180+$D$180,0)))</f>
        <v>9.0900000000000016</v>
      </c>
      <c r="P152" s="832">
        <f>IF(P$19=$B$169,+AVERAGE(P32,P44,P56,P68,P80,P92,P104,P116,P128,P140),+IF(P$19=$B$170,+(EXP((LN(+'4. Customer Growth'!$W$43)/12))*$P151),IF($P$19=$B$171,+$A152*$C$181+$D$181,0)))</f>
        <v>0</v>
      </c>
      <c r="Q152" s="244"/>
      <c r="R152" s="549">
        <f>$V$34+(K152*$V$35)+(L152*$V$36)+(M152*$V$37)+(N152*$V$38)+(O152*$V$39)</f>
        <v>9142256.7916658502</v>
      </c>
      <c r="S152" s="263"/>
      <c r="T152" s="244"/>
      <c r="U152" s="244"/>
      <c r="V152" s="244"/>
      <c r="W152" s="244"/>
      <c r="X152" s="244"/>
      <c r="Y152" s="244"/>
      <c r="Z152" s="244"/>
      <c r="AA152" s="244"/>
      <c r="AB152" s="244"/>
      <c r="AC152" s="244"/>
      <c r="AD152" s="244"/>
      <c r="AE152" s="244"/>
      <c r="AF152" s="244"/>
      <c r="AG152" s="244"/>
      <c r="AH152" s="244"/>
      <c r="AI152" s="244"/>
      <c r="AJ152" s="244"/>
      <c r="AK152" s="244"/>
      <c r="AL152" s="244"/>
      <c r="AM152" s="244"/>
    </row>
    <row r="153" spans="1:39" x14ac:dyDescent="0.2">
      <c r="A153" s="497">
        <f t="shared" si="13"/>
        <v>134</v>
      </c>
      <c r="B153" s="260" t="str">
        <f>CONCATENATE('3. Consumption by Rate Class'!B158,"-",'3. Consumption by Rate Class'!C158)</f>
        <v>2017-February</v>
      </c>
      <c r="C153" s="701"/>
      <c r="D153" s="271"/>
      <c r="E153" s="271"/>
      <c r="F153" s="271"/>
      <c r="G153" s="271"/>
      <c r="H153" s="271"/>
      <c r="I153" s="271"/>
      <c r="J153" s="245"/>
      <c r="K153" s="1034">
        <f>IF(K$19=$B$169,+AVERAGE(K33,K45,K57,K69,K81,K93,K105,K117,K129,K141),+IF(K$19=$B$170,+(EXP((LN(+'4. Customer Growth'!$W$43)/12))*$K152),IF($K$19=$B$171,+$A153*$C$176+$D$176,0)))</f>
        <v>759.7299999999999</v>
      </c>
      <c r="L153" s="1034">
        <f>IF(L$19=$B$169,+AVERAGE(L33,L45,L57,L69,L81,L93,L105,L117,L129,L141),+IF(L$19=$B$170,+(EXP((LN(+'4. Customer Growth'!$W$43)/12))*$K152),IF($L$19=$B$171,+$A153*$C$177+$D$177,0)))</f>
        <v>0</v>
      </c>
      <c r="M153" s="730">
        <f>IF(M$19=$B$169,+AVERAGE(M33,M45,M57,M69,M81,M93,M105,M117,M129,M141),+IF(M$19=$B$170,+(EXP((LN(+'4. Customer Growth'!$W$43)/12))*$K152),IF($M$19=$B$171,+$A153*$C$178+$D$178,0)))</f>
        <v>28.22</v>
      </c>
      <c r="N153" s="1036">
        <f>IF(N$19=$B$169,+AVERAGE(N33,N45,N57,N69,N81,N93,N105,N117,N129,N141),+IF(N$19=$B$170,+(EXP((LN(+'4. Customer Growth'!$W$42)/12))*$N152),IF($N$19=$B$171,+$A153*$C$179+$D$179,0)))</f>
        <v>164.01077134986227</v>
      </c>
      <c r="O153" s="730">
        <f>IF(O$19=$B$169,+AVERAGE(O33,O45,O57,O69,O81,O93,O105,O117,O129,O141),+IF(O$19=$B$170,+(EXP((LN(+'4. Customer Growth'!$W$43)/12))*$O152),IF($O$19=$B$171,+$A153*$C$180+$D$180,0)))</f>
        <v>10.19</v>
      </c>
      <c r="P153" s="832">
        <f>IF(P$19=$B$169,+AVERAGE(P33,P45,P57,P69,P81,P93,P105,P117,P129,P141),+IF(P$19=$B$170,+(EXP((LN(+'4. Customer Growth'!$W$43)/12))*$P152),IF($P$19=$B$171,+$A153*$C$181+$D$181,0)))</f>
        <v>0</v>
      </c>
      <c r="Q153" s="244"/>
      <c r="R153" s="549">
        <f t="shared" si="12"/>
        <v>8236158.648151149</v>
      </c>
      <c r="S153" s="263"/>
      <c r="T153" s="244"/>
      <c r="U153" s="244"/>
      <c r="V153" s="244"/>
      <c r="W153" s="244"/>
      <c r="X153" s="244"/>
      <c r="Y153" s="244"/>
      <c r="Z153" s="244"/>
      <c r="AA153" s="244"/>
      <c r="AB153" s="244"/>
      <c r="AC153" s="244"/>
      <c r="AD153" s="244"/>
      <c r="AE153" s="244"/>
      <c r="AF153" s="244"/>
      <c r="AG153" s="244"/>
      <c r="AH153" s="244"/>
      <c r="AI153" s="244"/>
      <c r="AJ153" s="244"/>
      <c r="AK153" s="244"/>
      <c r="AL153" s="244"/>
      <c r="AM153" s="244"/>
    </row>
    <row r="154" spans="1:39" x14ac:dyDescent="0.2">
      <c r="A154" s="497">
        <f t="shared" si="13"/>
        <v>135</v>
      </c>
      <c r="B154" s="260" t="str">
        <f>CONCATENATE('3. Consumption by Rate Class'!B159,"-",'3. Consumption by Rate Class'!C159)</f>
        <v>2017-March</v>
      </c>
      <c r="C154" s="701"/>
      <c r="D154" s="271"/>
      <c r="E154" s="271"/>
      <c r="F154" s="271"/>
      <c r="G154" s="271"/>
      <c r="H154" s="271"/>
      <c r="I154" s="271"/>
      <c r="J154" s="245"/>
      <c r="K154" s="1034">
        <f>IF(K$19=$B$169,+AVERAGE(K34,K46,K58,K70,K82,K94,K106,K118,K130,K142),+IF(K$19=$B$170,+(EXP((LN(+'4. Customer Growth'!$W$43)/12))*$K153),IF($K$19=$B$171,+$A154*$C$176+$D$176,0)))</f>
        <v>622.99400000000003</v>
      </c>
      <c r="L154" s="1034">
        <f>IF(L$19=$B$169,+AVERAGE(L34,L46,L58,L70,L82,L94,L106,L118,L130,L142),+IF(L$19=$B$170,+(EXP((LN(+'4. Customer Growth'!$W$43)/12))*$K153),IF($L$19=$B$171,+$A154*$C$177+$D$177,0)))</f>
        <v>0</v>
      </c>
      <c r="M154" s="730">
        <f>IF(M$19=$B$169,+AVERAGE(M34,M46,M58,M70,M82,M94,M106,M118,M130,M142),+IF(M$19=$B$170,+(EXP((LN(+'4. Customer Growth'!$W$43)/12))*$K153),IF($M$19=$B$171,+$A154*$C$178+$D$178,0)))</f>
        <v>31</v>
      </c>
      <c r="N154" s="1036">
        <f>IF(N$19=$B$169,+AVERAGE(N34,N46,N58,N70,N82,N94,N106,N118,N130,N142),+IF(N$19=$B$170,+(EXP((LN(+'4. Customer Growth'!$W$42)/12))*$N153),IF($N$19=$B$171,+$A154*$C$179+$D$179,0)))</f>
        <v>163.98832152695789</v>
      </c>
      <c r="O154" s="730">
        <f>IF(O$19=$B$169,+AVERAGE(O34,O46,O58,O70,O82,O94,O106,O118,O130,O142),+IF(O$19=$B$170,+(EXP((LN(+'4. Customer Growth'!$W$43)/12))*$O153),IF($O$19=$B$171,+$A154*$C$180+$D$180,0)))</f>
        <v>11.510000000000002</v>
      </c>
      <c r="P154" s="832">
        <f>IF(P$19=$B$169,+AVERAGE(P34,P46,P58,P70,P82,P94,P106,P118,P130,P142),+IF(P$19=$B$170,+(EXP((LN(+'4. Customer Growth'!$W$43)/12))*$P153),IF($P$19=$B$171,+$A154*$C$181+$D$181,0)))</f>
        <v>0</v>
      </c>
      <c r="Q154" s="244"/>
      <c r="R154" s="549">
        <f t="shared" si="12"/>
        <v>8459720.4983197916</v>
      </c>
      <c r="S154" s="263"/>
      <c r="T154" s="244"/>
      <c r="U154" s="244"/>
      <c r="V154" s="244"/>
      <c r="W154" s="244"/>
      <c r="X154" s="244"/>
      <c r="Y154" s="244"/>
      <c r="Z154" s="244"/>
      <c r="AA154" s="244"/>
      <c r="AB154" s="244"/>
      <c r="AC154" s="244"/>
      <c r="AD154" s="244"/>
      <c r="AE154" s="244"/>
      <c r="AF154" s="244"/>
      <c r="AG154" s="244"/>
      <c r="AH154" s="244"/>
      <c r="AI154" s="244"/>
      <c r="AJ154" s="244"/>
      <c r="AK154" s="244"/>
      <c r="AL154" s="244"/>
      <c r="AM154" s="244"/>
    </row>
    <row r="155" spans="1:39" x14ac:dyDescent="0.2">
      <c r="A155" s="497">
        <f t="shared" si="13"/>
        <v>136</v>
      </c>
      <c r="B155" s="260" t="str">
        <f>CONCATENATE('3. Consumption by Rate Class'!B160,"-",'3. Consumption by Rate Class'!C160)</f>
        <v>2017-April</v>
      </c>
      <c r="C155" s="701"/>
      <c r="D155" s="271"/>
      <c r="E155" s="271"/>
      <c r="F155" s="271"/>
      <c r="G155" s="271"/>
      <c r="H155" s="271"/>
      <c r="I155" s="271"/>
      <c r="J155" s="245"/>
      <c r="K155" s="1034">
        <f>IF(K$19=$B$169,+AVERAGE(K35,K47,K59,K71,K83,K95,K107,K119,K131,K143),+IF(K$19=$B$170,+(EXP((LN(+'4. Customer Growth'!$W$43)/12))*$K154),IF($K$19=$B$171,+$A155*$C$176+$D$176,0)))</f>
        <v>330.87299999999999</v>
      </c>
      <c r="L155" s="1034">
        <f>IF(L$19=$B$169,+AVERAGE(L35,L47,L59,L71,L83,L95,L107,L119,L131,L143),+IF(L$19=$B$170,+(EXP((LN(+'4. Customer Growth'!$W$43)/12))*$K154),IF($L$19=$B$171,+$A155*$C$177+$D$177,0)))</f>
        <v>0.35199999999999998</v>
      </c>
      <c r="M155" s="730">
        <f>IF(M$19=$B$169,+AVERAGE(M35,M47,M59,M71,M83,M95,M107,M119,M131,M143),+IF(M$19=$B$170,+(EXP((LN(+'4. Customer Growth'!$W$43)/12))*$K154),IF($M$19=$B$171,+$A155*$C$178+$D$178,0)))</f>
        <v>30</v>
      </c>
      <c r="N155" s="1036">
        <f>IF(N$19=$B$169,+AVERAGE(N35,N47,N59,N71,N83,N95,N107,N119,N131,N143),+IF(N$19=$B$170,+(EXP((LN(+'4. Customer Growth'!$W$42)/12))*$N154),IF($N$19=$B$171,+$A155*$C$179+$D$179,0)))</f>
        <v>163.96587170405354</v>
      </c>
      <c r="O155" s="730">
        <f>IF(O$19=$B$169,+AVERAGE(O35,O47,O59,O71,O83,O95,O107,O119,O131,O143),+IF(O$19=$B$170,+(EXP((LN(+'4. Customer Growth'!$W$43)/12))*$O154),IF($O$19=$B$171,+$A155*$C$180+$D$180,0)))</f>
        <v>13.279999999999998</v>
      </c>
      <c r="P155" s="832">
        <f>IF(P$19=$B$169,+AVERAGE(P35,P47,P59,P71,P83,P95,P107,P119,P131,P143),+IF(P$19=$B$170,+(EXP((LN(+'4. Customer Growth'!$W$43)/12))*$P154),IF($P$19=$B$171,+$A155*$C$181+$D$181,0)))</f>
        <v>0</v>
      </c>
      <c r="Q155" s="244"/>
      <c r="R155" s="549">
        <f t="shared" si="12"/>
        <v>7279050.6433248101</v>
      </c>
      <c r="S155" s="263"/>
      <c r="T155" s="244"/>
      <c r="U155" s="244"/>
      <c r="V155" s="244"/>
      <c r="W155" s="244"/>
      <c r="X155" s="244"/>
      <c r="Y155" s="244"/>
      <c r="Z155" s="244"/>
      <c r="AA155" s="244"/>
      <c r="AB155" s="244"/>
      <c r="AC155" s="244"/>
      <c r="AD155" s="244"/>
      <c r="AE155" s="244"/>
      <c r="AF155" s="244"/>
      <c r="AG155" s="244"/>
      <c r="AH155" s="244"/>
      <c r="AI155" s="244"/>
      <c r="AJ155" s="244"/>
      <c r="AK155" s="244"/>
      <c r="AL155" s="244"/>
      <c r="AM155" s="244"/>
    </row>
    <row r="156" spans="1:39" x14ac:dyDescent="0.2">
      <c r="A156" s="497">
        <f t="shared" si="13"/>
        <v>137</v>
      </c>
      <c r="B156" s="260" t="str">
        <f>CONCATENATE('3. Consumption by Rate Class'!B161,"-",'3. Consumption by Rate Class'!C161)</f>
        <v>2017-May</v>
      </c>
      <c r="C156" s="701"/>
      <c r="D156" s="271"/>
      <c r="E156" s="271"/>
      <c r="F156" s="271"/>
      <c r="G156" s="271"/>
      <c r="H156" s="271"/>
      <c r="I156" s="271"/>
      <c r="J156" s="245"/>
      <c r="K156" s="1034">
        <f>IF(K$19=$B$169,+AVERAGE(K36,K48,K60,K72,K84,K96,K108,K120,K132,K144),+IF(K$19=$B$170,+(EXP((LN(+'4. Customer Growth'!$W$43)/12))*$K155),IF($K$19=$B$171,+$A156*$C$176+$D$176,0)))</f>
        <v>133.20500000000001</v>
      </c>
      <c r="L156" s="1034">
        <f>IF(L$19=$B$169,+AVERAGE(L36,L48,L60,L72,L84,L96,L108,L120,L132,L144),+IF(L$19=$B$170,+(EXP((LN(+'4. Customer Growth'!$W$43)/12))*$K155),IF($L$19=$B$171,+$A156*$C$177+$D$177,0)))</f>
        <v>10.002999999999998</v>
      </c>
      <c r="M156" s="730">
        <f>IF(M$19=$B$169,+AVERAGE(M36,M48,M60,M72,M84,M96,M108,M120,M132,M144),+IF(M$19=$B$170,+(EXP((LN(+'4. Customer Growth'!$W$43)/12))*$K155),IF($M$19=$B$171,+$A156*$C$178+$D$178,0)))</f>
        <v>31</v>
      </c>
      <c r="N156" s="1036">
        <f>IF(N$19=$B$169,+AVERAGE(N36,N48,N60,N72,N84,N96,N108,N120,N132,N144),+IF(N$19=$B$170,+(EXP((LN(+'4. Customer Growth'!$W$42)/12))*$N155),IF($N$19=$B$171,+$A156*$C$179+$D$179,0)))</f>
        <v>163.94342188114916</v>
      </c>
      <c r="O156" s="730">
        <f>IF(O$19=$B$169,+AVERAGE(O36,O48,O60,O72,O84,O96,O108,O120,O132,O144),+IF(O$19=$B$170,+(EXP((LN(+'4. Customer Growth'!$W$43)/12))*$O155),IF($O$19=$B$171,+$A156*$C$180+$D$180,0)))</f>
        <v>14.52</v>
      </c>
      <c r="P156" s="832">
        <f>IF(P$19=$B$169,+AVERAGE(P36,P48,P60,P72,P84,P96,P108,P120,P132,P144),+IF(P$19=$B$170,+(EXP((LN(+'4. Customer Growth'!$W$43)/12))*$P155),IF($P$19=$B$171,+$A156*$C$181+$D$181,0)))</f>
        <v>0</v>
      </c>
      <c r="Q156" s="244"/>
      <c r="R156" s="549">
        <f t="shared" si="12"/>
        <v>6969456.6613482414</v>
      </c>
      <c r="S156" s="263"/>
      <c r="T156" s="244"/>
      <c r="U156" s="244"/>
      <c r="V156" s="244"/>
      <c r="W156" s="244"/>
      <c r="X156" s="244"/>
      <c r="Y156" s="244"/>
      <c r="Z156" s="244"/>
      <c r="AA156" s="244"/>
      <c r="AB156" s="244"/>
      <c r="AC156" s="244"/>
      <c r="AD156" s="244"/>
      <c r="AE156" s="244"/>
      <c r="AF156" s="244"/>
      <c r="AG156" s="244"/>
      <c r="AH156" s="244"/>
      <c r="AI156" s="244"/>
      <c r="AJ156" s="244"/>
      <c r="AK156" s="244"/>
      <c r="AL156" s="244"/>
      <c r="AM156" s="244"/>
    </row>
    <row r="157" spans="1:39" x14ac:dyDescent="0.2">
      <c r="A157" s="497">
        <f t="shared" si="13"/>
        <v>138</v>
      </c>
      <c r="B157" s="260" t="str">
        <f>CONCATENATE('3. Consumption by Rate Class'!B162,"-",'3. Consumption by Rate Class'!C162)</f>
        <v>2017-June</v>
      </c>
      <c r="C157" s="701"/>
      <c r="D157" s="271"/>
      <c r="E157" s="271"/>
      <c r="F157" s="271"/>
      <c r="G157" s="271"/>
      <c r="H157" s="271"/>
      <c r="I157" s="271"/>
      <c r="J157" s="245"/>
      <c r="K157" s="1034">
        <f>IF(K$19=$B$169,+AVERAGE(K37,K49,K61,K73,K85,K97,K109,K121,K133,K145),+IF(K$19=$B$170,+(EXP((LN(+'4. Customer Growth'!$W$43)/12))*$K156),IF($K$19=$B$171,+$A157*$C$176+$D$176,0)))</f>
        <v>30.834000000000003</v>
      </c>
      <c r="L157" s="1034">
        <f>IF(L$19=$B$169,+AVERAGE(L37,L49,L61,L73,L85,L97,L109,L121,L133,L145),+IF(L$19=$B$170,+(EXP((LN(+'4. Customer Growth'!$W$43)/12))*$K156),IF($L$19=$B$171,+$A157*$C$177+$D$177,0)))</f>
        <v>34.031999999999996</v>
      </c>
      <c r="M157" s="730">
        <f>IF(M$19=$B$169,+AVERAGE(M37,M49,M61,M73,M85,M97,M109,M121,M133,M145),+IF(M$19=$B$170,+(EXP((LN(+'4. Customer Growth'!$W$43)/12))*$K156),IF($M$19=$B$171,+$A157*$C$178+$D$178,0)))</f>
        <v>30</v>
      </c>
      <c r="N157" s="1036">
        <f>IF(N$19=$B$169,+AVERAGE(N37,N49,N61,N73,N85,N97,N109,N121,N133,N145),+IF(N$19=$B$170,+(EXP((LN(+'4. Customer Growth'!$W$42)/12))*$N156),IF($N$19=$B$171,+$A157*$C$179+$D$179,0)))</f>
        <v>163.92097205824479</v>
      </c>
      <c r="O157" s="730">
        <f>IF(O$19=$B$169,+AVERAGE(O37,O49,O61,O73,O85,O97,O109,O121,O133,O145),+IF(O$19=$B$170,+(EXP((LN(+'4. Customer Growth'!$W$43)/12))*$O156),IF($O$19=$B$171,+$A157*$C$180+$D$180,0)))</f>
        <v>15.349999999999998</v>
      </c>
      <c r="P157" s="832">
        <f>IF(P$19=$B$169,+AVERAGE(P37,P49,P61,P73,P85,P97,P109,P121,P133,P145),+IF(P$19=$B$170,+(EXP((LN(+'4. Customer Growth'!$W$43)/12))*$P156),IF($P$19=$B$171,+$A157*$C$181+$D$181,0)))</f>
        <v>0</v>
      </c>
      <c r="Q157" s="244"/>
      <c r="R157" s="549">
        <f t="shared" si="12"/>
        <v>6683643.9735177103</v>
      </c>
      <c r="S157" s="263"/>
      <c r="T157" s="244"/>
      <c r="U157" s="244"/>
      <c r="V157" s="244"/>
      <c r="W157" s="244"/>
      <c r="X157" s="244"/>
      <c r="Y157" s="244"/>
      <c r="Z157" s="244"/>
      <c r="AA157" s="244"/>
      <c r="AB157" s="244"/>
      <c r="AC157" s="244"/>
      <c r="AD157" s="244"/>
      <c r="AE157" s="244"/>
      <c r="AF157" s="244"/>
      <c r="AG157" s="244"/>
      <c r="AH157" s="244"/>
      <c r="AI157" s="244"/>
      <c r="AJ157" s="244"/>
      <c r="AK157" s="244"/>
      <c r="AL157" s="244"/>
      <c r="AM157" s="244"/>
    </row>
    <row r="158" spans="1:39" x14ac:dyDescent="0.2">
      <c r="A158" s="497">
        <f t="shared" si="13"/>
        <v>139</v>
      </c>
      <c r="B158" s="260" t="str">
        <f>CONCATENATE('3. Consumption by Rate Class'!B163,"-",'3. Consumption by Rate Class'!C163)</f>
        <v>2017-July</v>
      </c>
      <c r="C158" s="701"/>
      <c r="D158" s="271"/>
      <c r="E158" s="271"/>
      <c r="F158" s="271"/>
      <c r="G158" s="271"/>
      <c r="H158" s="271"/>
      <c r="I158" s="271"/>
      <c r="J158" s="245"/>
      <c r="K158" s="1034">
        <f>IF(K$19=$B$169,+AVERAGE(K38,K50,K62,K74,K86,K98,K110,K122,K134,K146),+IF(K$19=$B$170,+(EXP((LN(+'4. Customer Growth'!$W$43)/12))*$K157),IF($K$19=$B$171,+$A158*$C$176+$D$176,0)))</f>
        <v>5.8110000000000017</v>
      </c>
      <c r="L158" s="1034">
        <f>IF(L$19=$B$169,+AVERAGE(L38,L50,L62,L74,L86,L98,L110,L122,L134,L146),+IF(L$19=$B$170,+(EXP((LN(+'4. Customer Growth'!$W$43)/12))*$K157),IF($L$19=$B$171,+$A158*$C$177+$D$177,0)))</f>
        <v>85.246999999999986</v>
      </c>
      <c r="M158" s="730">
        <f>IF(M$19=$B$169,+AVERAGE(M38,M50,M62,M74,M86,M98,M110,M122,M134,M146),+IF(M$19=$B$170,+(EXP((LN(+'4. Customer Growth'!$W$43)/12))*$K157),IF($M$19=$B$171,+$A158*$C$178+$D$178,0)))</f>
        <v>31</v>
      </c>
      <c r="N158" s="1036">
        <f>IF(N$19=$B$169,+AVERAGE(N38,N50,N62,N74,N86,N98,N110,N122,N134,N146),+IF(N$19=$B$170,+(EXP((LN(+'4. Customer Growth'!$W$42)/12))*$N157),IF($N$19=$B$171,+$A158*$C$179+$D$179,0)))</f>
        <v>163.89852223534041</v>
      </c>
      <c r="O158" s="730">
        <f>IF(O$19=$B$169,+AVERAGE(O38,O50,O62,O74,O86,O98,O110,O122,O134,O146),+IF(O$19=$B$170,+(EXP((LN(+'4. Customer Growth'!$W$43)/12))*$O157),IF($O$19=$B$171,+$A158*$C$180+$D$180,0)))</f>
        <v>15.150000000000002</v>
      </c>
      <c r="P158" s="832">
        <f>IF(P$19=$B$169,+AVERAGE(P38,P50,P62,P74,P86,P98,P110,P122,P134,P146),+IF(P$19=$B$170,+(EXP((LN(+'4. Customer Growth'!$W$43)/12))*$P157),IF($P$19=$B$171,+$A158*$C$181+$D$181,0)))</f>
        <v>0</v>
      </c>
      <c r="Q158" s="244"/>
      <c r="R158" s="549">
        <f t="shared" si="12"/>
        <v>7365094.227531869</v>
      </c>
      <c r="S158" s="263"/>
      <c r="T158" s="244"/>
      <c r="U158" s="244"/>
      <c r="V158" s="244"/>
      <c r="W158" s="244"/>
      <c r="X158" s="244"/>
      <c r="Y158" s="244"/>
      <c r="Z158" s="244"/>
      <c r="AA158" s="244"/>
      <c r="AB158" s="244"/>
      <c r="AC158" s="244"/>
      <c r="AD158" s="244"/>
      <c r="AE158" s="244"/>
      <c r="AF158" s="244"/>
      <c r="AG158" s="244"/>
      <c r="AH158" s="244"/>
      <c r="AI158" s="244"/>
      <c r="AJ158" s="244"/>
      <c r="AK158" s="244"/>
      <c r="AL158" s="244"/>
      <c r="AM158" s="244"/>
    </row>
    <row r="159" spans="1:39" x14ac:dyDescent="0.2">
      <c r="A159" s="497">
        <f t="shared" si="13"/>
        <v>140</v>
      </c>
      <c r="B159" s="260" t="str">
        <f>CONCATENATE('3. Consumption by Rate Class'!B164,"-",'3. Consumption by Rate Class'!C164)</f>
        <v>2017-August</v>
      </c>
      <c r="C159" s="701"/>
      <c r="D159" s="271"/>
      <c r="E159" s="271"/>
      <c r="F159" s="271"/>
      <c r="G159" s="271"/>
      <c r="H159" s="271"/>
      <c r="I159" s="271"/>
      <c r="J159" s="245"/>
      <c r="K159" s="1034">
        <f>IF(K$19=$B$169,+AVERAGE(K39,K51,K63,K75,K87,K99,K111,K123,K135,K147),+IF(K$19=$B$170,+(EXP((LN(+'4. Customer Growth'!$W$43)/12))*$K158),IF($K$19=$B$171,+$A159*$C$176+$D$176,0)))</f>
        <v>14.262</v>
      </c>
      <c r="L159" s="1034">
        <f>IF(L$19=$B$169,+AVERAGE(L39,L51,L63,L75,L87,L99,L111,L123,L135,L147),+IF(L$19=$B$170,+(EXP((LN(+'4. Customer Growth'!$W$43)/12))*$K158),IF($L$19=$B$171,+$A159*$C$177+$D$177,0)))</f>
        <v>77.879000000000005</v>
      </c>
      <c r="M159" s="730">
        <f>IF(M$19=$B$169,+AVERAGE(M39,M51,M63,M75,M87,M99,M111,M123,M135,M147),+IF(M$19=$B$170,+(EXP((LN(+'4. Customer Growth'!$W$43)/12))*$K158),IF($M$19=$B$171,+$A159*$C$178+$D$178,0)))</f>
        <v>31</v>
      </c>
      <c r="N159" s="1036">
        <f>IF(N$19=$B$169,+AVERAGE(N39,N51,N63,N75,N87,N99,N111,N123,N135,N147),+IF(N$19=$B$170,+(EXP((LN(+'4. Customer Growth'!$W$42)/12))*$N158),IF($N$19=$B$171,+$A159*$C$179+$D$179,0)))</f>
        <v>163.87607241243606</v>
      </c>
      <c r="O159" s="730">
        <f>IF(O$19=$B$169,+AVERAGE(O39,O51,O63,O75,O87,O99,O111,O123,O135,O147),+IF(O$19=$B$170,+(EXP((LN(+'4. Customer Growth'!$W$43)/12))*$O158),IF($O$19=$B$171,+$A159*$C$180+$D$180,0)))</f>
        <v>14.029999999999998</v>
      </c>
      <c r="P159" s="832">
        <f>IF(P$19=$B$169,+AVERAGE(P39,P51,P63,P75,P87,P99,P111,P123,P135,P147),+IF(P$19=$B$170,+(EXP((LN(+'4. Customer Growth'!$W$43)/12))*$P158),IF($P$19=$B$171,+$A159*$C$181+$D$181,0)))</f>
        <v>0</v>
      </c>
      <c r="Q159" s="244"/>
      <c r="R159" s="549">
        <f t="shared" si="12"/>
        <v>7234692.4041780792</v>
      </c>
      <c r="S159" s="263"/>
      <c r="T159" s="244"/>
      <c r="U159" s="244"/>
      <c r="V159" s="244"/>
      <c r="W159" s="244"/>
      <c r="X159" s="244"/>
      <c r="Y159" s="244"/>
      <c r="Z159" s="244"/>
      <c r="AA159" s="244"/>
      <c r="AB159" s="244"/>
      <c r="AC159" s="244"/>
      <c r="AD159" s="244"/>
      <c r="AE159" s="244"/>
      <c r="AF159" s="244"/>
      <c r="AG159" s="244"/>
      <c r="AH159" s="244"/>
      <c r="AI159" s="244"/>
      <c r="AJ159" s="244"/>
      <c r="AK159" s="244"/>
      <c r="AL159" s="244"/>
      <c r="AM159" s="244"/>
    </row>
    <row r="160" spans="1:39" x14ac:dyDescent="0.2">
      <c r="A160" s="497">
        <f t="shared" si="13"/>
        <v>141</v>
      </c>
      <c r="B160" s="260" t="str">
        <f>CONCATENATE('3. Consumption by Rate Class'!B165,"-",'3. Consumption by Rate Class'!C165)</f>
        <v>2017-September</v>
      </c>
      <c r="C160" s="701"/>
      <c r="D160" s="271"/>
      <c r="E160" s="271"/>
      <c r="F160" s="271"/>
      <c r="G160" s="271"/>
      <c r="H160" s="271"/>
      <c r="I160" s="271"/>
      <c r="J160" s="245"/>
      <c r="K160" s="1034">
        <f>IF(K$19=$B$169,+AVERAGE(K40,K52,K64,K76,K88,K100,K112,K124,K136,K148),+IF(K$19=$B$170,+(EXP((LN(+'4. Customer Growth'!$W$43)/12))*$K159),IF($K$19=$B$171,+$A160*$C$176+$D$176,0)))</f>
        <v>96.073999999999984</v>
      </c>
      <c r="L160" s="1034">
        <f>IF(L$19=$B$169,+AVERAGE(L40,L52,L64,L76,L88,L100,L112,L124,L136,L148),+IF(L$19=$B$170,+(EXP((LN(+'4. Customer Growth'!$W$43)/12))*$K159),IF($L$19=$B$171,+$A160*$C$177+$D$177,0)))</f>
        <v>48.541000000000004</v>
      </c>
      <c r="M160" s="730">
        <f>IF(M$19=$B$169,+AVERAGE(M40,M52,M64,M76,M88,M100,M112,M124,M136,M148),+IF(M$19=$B$170,+(EXP((LN(+'4. Customer Growth'!$W$43)/12))*$K159),IF($M$19=$B$171,+$A160*$C$178+$D$178,0)))</f>
        <v>30</v>
      </c>
      <c r="N160" s="1036">
        <f>IF(N$19=$B$169,+AVERAGE(N40,N52,N64,N76,N88,N100,N112,N124,N136,N148),+IF(N$19=$B$170,+(EXP((LN(+'4. Customer Growth'!$W$42)/12))*$N159),IF($N$19=$B$171,+$A160*$C$179+$D$179,0)))</f>
        <v>163.85362258953168</v>
      </c>
      <c r="O160" s="730">
        <f>IF(O$19=$B$169,+AVERAGE(O40,O52,O64,O76,O88,O100,O112,O124,O136,O148),+IF(O$19=$B$170,+(EXP((LN(+'4. Customer Growth'!$W$43)/12))*$O159),IF($O$19=$B$171,+$A160*$C$180+$D$180,0)))</f>
        <v>12.289999999999997</v>
      </c>
      <c r="P160" s="832">
        <f>IF(P$19=$B$169,+AVERAGE(P40,P52,P64,P76,P88,P100,P112,P124,P136,P148),+IF(P$19=$B$170,+(EXP((LN(+'4. Customer Growth'!$W$43)/12))*$P159),IF($P$19=$B$171,+$A160*$C$181+$D$181,0)))</f>
        <v>0</v>
      </c>
      <c r="Q160" s="244"/>
      <c r="R160" s="549">
        <f t="shared" si="12"/>
        <v>6862566.7253229404</v>
      </c>
      <c r="S160" s="263"/>
      <c r="T160" s="244"/>
      <c r="U160" s="244"/>
      <c r="V160" s="244"/>
      <c r="W160" s="244"/>
      <c r="X160" s="244"/>
      <c r="Y160" s="244"/>
      <c r="Z160" s="244"/>
      <c r="AA160" s="244"/>
      <c r="AB160" s="244"/>
      <c r="AC160" s="244"/>
      <c r="AD160" s="244"/>
      <c r="AE160" s="244"/>
      <c r="AF160" s="244"/>
      <c r="AG160" s="244"/>
      <c r="AH160" s="244"/>
      <c r="AI160" s="244"/>
      <c r="AJ160" s="244"/>
      <c r="AK160" s="244"/>
      <c r="AL160" s="244"/>
      <c r="AM160" s="244"/>
    </row>
    <row r="161" spans="1:39" x14ac:dyDescent="0.2">
      <c r="A161" s="497">
        <f t="shared" si="13"/>
        <v>142</v>
      </c>
      <c r="B161" s="260" t="str">
        <f>CONCATENATE('3. Consumption by Rate Class'!B166,"-",'3. Consumption by Rate Class'!C166)</f>
        <v>2017-October</v>
      </c>
      <c r="C161" s="701"/>
      <c r="D161" s="271"/>
      <c r="E161" s="271"/>
      <c r="F161" s="271"/>
      <c r="G161" s="271"/>
      <c r="H161" s="271"/>
      <c r="I161" s="271"/>
      <c r="J161" s="245"/>
      <c r="K161" s="1034">
        <f>IF(K$19=$B$169,+AVERAGE(K41,K53,K65,K77,K89,K101,K113,K125,K137,K149),+IF(K$19=$B$170,+(EXP((LN(+'4. Customer Growth'!$W$43)/12))*$K160),IF($K$19=$B$171,+$A161*$C$176+$D$176,0)))</f>
        <v>280.89800000000002</v>
      </c>
      <c r="L161" s="1034">
        <f>IF(L$19=$B$169,+AVERAGE(L41,L53,L65,L77,L89,L101,L113,L125,L137,L149),+IF(L$19=$B$170,+(EXP((LN(+'4. Customer Growth'!$W$43)/12))*$K160),IF($L$19=$B$171,+$A161*$C$177+$D$177,0)))</f>
        <v>9.5809999999999995</v>
      </c>
      <c r="M161" s="730">
        <f>IF(M$19=$B$169,+AVERAGE(M41,M53,M65,M77,M89,M101,M113,M125,M137,M149),+IF(M$19=$B$170,+(EXP((LN(+'4. Customer Growth'!$W$43)/12))*$K160),IF($M$19=$B$171,+$A161*$C$178+$D$178,0)))</f>
        <v>31</v>
      </c>
      <c r="N161" s="1036">
        <f>IF(N$19=$B$169,+AVERAGE(N41,N53,N65,N77,N89,N101,N113,N125,N137,N149),+IF(N$19=$B$170,+(EXP((LN(+'4. Customer Growth'!$W$42)/12))*$N160),IF($N$19=$B$171,+$A161*$C$179+$D$179,0)))</f>
        <v>163.8311727666273</v>
      </c>
      <c r="O161" s="730">
        <f>IF(O$19=$B$169,+AVERAGE(O41,O53,O65,O77,O89,O101,O113,O125,O137,O149),+IF(O$19=$B$170,+(EXP((LN(+'4. Customer Growth'!$W$43)/12))*$O160),IF($O$19=$B$171,+$A161*$C$180+$D$180,0)))</f>
        <v>10.510000000000002</v>
      </c>
      <c r="P161" s="832">
        <f>IF(P$19=$B$169,+AVERAGE(P41,P53,P65,P77,P89,P101,P113,P125,P137,P149),+IF(P$19=$B$170,+(EXP((LN(+'4. Customer Growth'!$W$43)/12))*$P160),IF($P$19=$B$171,+$A161*$C$181+$D$181,0)))</f>
        <v>0</v>
      </c>
      <c r="Q161" s="244"/>
      <c r="R161" s="549">
        <f t="shared" si="12"/>
        <v>7221604.8445131825</v>
      </c>
      <c r="S161" s="263"/>
      <c r="T161" s="244"/>
      <c r="U161" s="244"/>
      <c r="V161" s="244"/>
      <c r="W161" s="244"/>
      <c r="X161" s="244"/>
      <c r="Y161" s="244"/>
      <c r="Z161" s="244"/>
      <c r="AA161" s="244"/>
      <c r="AB161" s="244"/>
      <c r="AC161" s="244"/>
      <c r="AD161" s="244"/>
      <c r="AE161" s="244"/>
      <c r="AF161" s="244"/>
      <c r="AG161" s="244"/>
      <c r="AH161" s="244"/>
      <c r="AI161" s="244"/>
      <c r="AJ161" s="244"/>
      <c r="AK161" s="244"/>
      <c r="AL161" s="244"/>
      <c r="AM161" s="244"/>
    </row>
    <row r="162" spans="1:39" x14ac:dyDescent="0.2">
      <c r="A162" s="497">
        <f t="shared" si="13"/>
        <v>143</v>
      </c>
      <c r="B162" s="175" t="str">
        <f>CONCATENATE('3. Consumption by Rate Class'!B167,"-",'3. Consumption by Rate Class'!C167)</f>
        <v>2017-November</v>
      </c>
      <c r="C162" s="702"/>
      <c r="D162" s="60"/>
      <c r="E162" s="60"/>
      <c r="F162" s="60"/>
      <c r="G162" s="60"/>
      <c r="H162" s="60"/>
      <c r="I162" s="60"/>
      <c r="K162" s="1034">
        <f>IF(K$19=$B$169,+AVERAGE(K42,K54,K66,K78,K90,K102,K114,K126,K138,K150),+IF(K$19=$B$170,+(EXP((LN(+'4. Customer Growth'!$W$43)/12))*$K161),IF($K$19=$B$171,+$A162*$C$176+$D$176,0)))</f>
        <v>482.92599999999993</v>
      </c>
      <c r="L162" s="1034">
        <f>IF(L$19=$B$169,+AVERAGE(L42,L54,L66,L78,L90,L102,L114,L126,L138,L150),+IF(L$19=$B$170,+(EXP((LN(+'4. Customer Growth'!$W$43)/12))*$K161),IF($L$19=$B$171,+$A162*$C$177+$D$177,0)))</f>
        <v>0.20899999999999999</v>
      </c>
      <c r="M162" s="730">
        <f>IF(M$19=$B$169,+AVERAGE(M42,M54,M66,M78,M90,M102,M114,M126,M138,M150),+IF(M$19=$B$170,+(EXP((LN(+'4. Customer Growth'!$W$43)/12))*$K161),IF($M$19=$B$171,+$A162*$C$178+$D$178,0)))</f>
        <v>30</v>
      </c>
      <c r="N162" s="1036">
        <f>IF(N$19=$B$169,+AVERAGE(N42,N54,N66,N78,N90,N102,N114,N126,N138,N150),+IF(N$19=$B$170,+(EXP((LN(+'4. Customer Growth'!$W$42)/12))*$N161),IF($N$19=$B$171,+$A162*$C$179+$D$179,0)))</f>
        <v>163.80872294372296</v>
      </c>
      <c r="O162" s="730">
        <f>IF(O$19=$B$169,+AVERAGE(O42,O54,O66,O78,O90,O102,O114,O126,O138,O150),+IF(O$19=$B$170,+(EXP((LN(+'4. Customer Growth'!$W$43)/12))*$O161),IF($O$19=$B$171,+$A162*$C$180+$D$180,0)))</f>
        <v>9.2799999999999994</v>
      </c>
      <c r="P162" s="832">
        <f>IF(P$19=$B$169,+AVERAGE(P42,P54,P66,P78,P90,P102,P114,P126,P138,P150),+IF(P$19=$B$170,+(EXP((LN(+'4. Customer Growth'!$W$43)/12))*$P161),IF($P$19=$B$171,+$A162*$C$181+$D$181,0)))</f>
        <v>0</v>
      </c>
      <c r="R162" s="549">
        <f t="shared" si="12"/>
        <v>7550512.4857230783</v>
      </c>
      <c r="S162" s="220"/>
      <c r="U162" s="244"/>
      <c r="V162" s="244"/>
      <c r="W162" s="244"/>
      <c r="X162" s="244"/>
      <c r="Y162" s="244"/>
      <c r="Z162" s="244"/>
    </row>
    <row r="163" spans="1:39" x14ac:dyDescent="0.2">
      <c r="A163" s="497">
        <f t="shared" si="13"/>
        <v>144</v>
      </c>
      <c r="B163" s="175" t="str">
        <f>CONCATENATE('3. Consumption by Rate Class'!B168,"-",'3. Consumption by Rate Class'!C168)</f>
        <v>2017-December</v>
      </c>
      <c r="C163" s="702"/>
      <c r="D163" s="60"/>
      <c r="E163" s="60"/>
      <c r="F163" s="60"/>
      <c r="G163" s="60"/>
      <c r="H163" s="60"/>
      <c r="I163" s="60"/>
      <c r="K163" s="1034">
        <f>IF(K$19=$B$169,+AVERAGE(K43,K55,K67,K79,K91,K103,K115,K127,K139,K151),+IF(K$19=$B$170,+(EXP((LN(+'4. Customer Growth'!$W$43)/12))*$K162),IF($K$19=$B$171,+$A163*$C$176+$D$176,0)))</f>
        <v>689.80500000000006</v>
      </c>
      <c r="L163" s="1034">
        <f>IF(L$19=$B$169,+AVERAGE(L43,L55,L67,L79,L91,L103,L115,L127,L139,L151),+IF(L$19=$B$170,+(EXP((LN(+'4. Customer Growth'!$W$43)/12))*$K162),IF($L$19=$B$171,+$A163*$C$177+$D$177,0)))</f>
        <v>0</v>
      </c>
      <c r="M163" s="730">
        <f>IF(M$19=$B$169,+AVERAGE(M43,M55,M67,M79,M91,M103,M115,M127,M139,M151),+IF(M$19=$B$170,+(EXP((LN(+'4. Customer Growth'!$W$43)/12))*$K162),IF($M$19=$B$171,+$A163*$C$178+$D$178,0)))</f>
        <v>31</v>
      </c>
      <c r="N163" s="1036">
        <f>IF(N$19=$B$169,+AVERAGE(N43,N55,N67,N79,N91,N103,N115,N127,N139,N151),+IF(N$19=$B$170,+(EXP((LN(+'4. Customer Growth'!$W$42)/12))*$N162),IF($N$19=$B$171,+$A163*$C$179+$D$179,0)))</f>
        <v>163.78627312081858</v>
      </c>
      <c r="O163" s="730">
        <f>IF(O$19=$B$169,+AVERAGE(O43,O55,O67,O79,O91,O103,O115,O127,O139,O151),+IF(O$19=$B$170,+(EXP((LN(+'4. Customer Growth'!$W$43)/12))*$O162),IF($O$19=$B$171,+$A163*$C$180+$D$180,0)))</f>
        <v>8.4700000000000006</v>
      </c>
      <c r="P163" s="832">
        <f>IF(P$19=$B$169,+AVERAGE(P43,P55,P67,P79,P91,P103,P115,P127,P139,P151),+IF(P$19=$B$170,+(EXP((LN(+'4. Customer Growth'!$W$43)/12))*$P162),IF($P$19=$B$171,+$A163*$C$181+$D$181,0)))</f>
        <v>0</v>
      </c>
      <c r="R163" s="549">
        <f>$V$34+(K163*$V$35)+(L163*$V$36)+(M163*$V$37)+(N163*$V$38)+(O163*$V$39)</f>
        <v>8485289.170943087</v>
      </c>
      <c r="S163" s="220">
        <f>SUM(R152:R163)</f>
        <v>91490047.074539796</v>
      </c>
    </row>
    <row r="164" spans="1:39" x14ac:dyDescent="0.2">
      <c r="B164" s="176"/>
      <c r="C164" s="702"/>
      <c r="D164" s="60"/>
      <c r="E164" s="60"/>
      <c r="F164" s="60"/>
      <c r="G164" s="60"/>
      <c r="H164" s="60"/>
      <c r="I164" s="60"/>
    </row>
    <row r="167" spans="1:39" x14ac:dyDescent="0.2">
      <c r="B167" s="295"/>
      <c r="C167" s="703"/>
      <c r="D167" s="713"/>
    </row>
    <row r="168" spans="1:39" x14ac:dyDescent="0.2">
      <c r="A168" s="296"/>
      <c r="B168" s="297" t="s">
        <v>166</v>
      </c>
      <c r="C168" s="704"/>
      <c r="D168" s="713"/>
      <c r="L168" s="712"/>
    </row>
    <row r="169" spans="1:39" x14ac:dyDescent="0.2">
      <c r="A169" s="296"/>
      <c r="B169" s="298" t="s">
        <v>164</v>
      </c>
      <c r="C169" s="705"/>
      <c r="D169" s="713"/>
    </row>
    <row r="170" spans="1:39" x14ac:dyDescent="0.2">
      <c r="A170" s="296"/>
      <c r="B170" s="299" t="s">
        <v>165</v>
      </c>
      <c r="C170" s="706"/>
      <c r="D170" s="713"/>
    </row>
    <row r="171" spans="1:39" x14ac:dyDescent="0.2">
      <c r="B171" s="494" t="s">
        <v>231</v>
      </c>
      <c r="C171" s="705"/>
      <c r="D171" s="713"/>
    </row>
    <row r="172" spans="1:39" x14ac:dyDescent="0.2">
      <c r="B172" s="714"/>
      <c r="C172" s="715"/>
      <c r="D172" s="716"/>
    </row>
    <row r="173" spans="1:39" x14ac:dyDescent="0.2">
      <c r="B173" s="714"/>
      <c r="C173" s="715"/>
      <c r="D173" s="716"/>
    </row>
    <row r="174" spans="1:39" x14ac:dyDescent="0.2">
      <c r="B174" s="1076" t="s">
        <v>232</v>
      </c>
      <c r="C174" s="1076"/>
      <c r="D174" s="1076"/>
    </row>
    <row r="175" spans="1:39" x14ac:dyDescent="0.2">
      <c r="B175" s="498" t="s">
        <v>144</v>
      </c>
      <c r="C175" s="707" t="s">
        <v>233</v>
      </c>
      <c r="D175" s="496" t="s">
        <v>234</v>
      </c>
    </row>
    <row r="176" spans="1:39" ht="14.25" x14ac:dyDescent="0.2">
      <c r="B176" s="498" t="s">
        <v>1</v>
      </c>
      <c r="C176" s="708">
        <f>INDEX(LINEST($K$20:$K139,$A$20:$A$139,TRUE,FALSE),1)</f>
        <v>-0.20424404472532884</v>
      </c>
      <c r="D176" s="495">
        <f>INDEX(LINEST($K$20:$K139,$A$20:$A$139,TRUE,FALSE),2)</f>
        <v>368.78509803921577</v>
      </c>
    </row>
    <row r="177" spans="2:4" ht="14.25" x14ac:dyDescent="0.2">
      <c r="B177" s="498" t="s">
        <v>2</v>
      </c>
      <c r="C177" s="708">
        <f>INDEX(LINEST($L$20:$L139,$A$20:$A$139,TRUE,FALSE),1)</f>
        <v>3.1048683936384505E-2</v>
      </c>
      <c r="D177" s="495">
        <f>INDEX(LINEST($L$20:$L139,$A$20:$A$139,TRUE,FALSE),2)</f>
        <v>20.299887955182072</v>
      </c>
    </row>
    <row r="178" spans="2:4" ht="14.25" x14ac:dyDescent="0.2">
      <c r="B178" s="498" t="s">
        <v>129</v>
      </c>
      <c r="C178" s="708">
        <f>INDEX(LINEST($M$20:$M139,$A$20:$A$139,TRUE,FALSE),1)</f>
        <v>6.8060281964024845E-4</v>
      </c>
      <c r="D178" s="495">
        <f>INDEX(LINEST($M$20:$M139,$A$20:$A$139,TRUE,FALSE),2)</f>
        <v>30.3921568627451</v>
      </c>
    </row>
    <row r="179" spans="2:4" ht="14.25" x14ac:dyDescent="0.2">
      <c r="B179" s="498" t="s">
        <v>152</v>
      </c>
      <c r="C179" s="708">
        <f>INDEX(LINEST($N$20:$N139,$A$20:$A$139,TRUE,FALSE),1)</f>
        <v>-2.244982290436838E-2</v>
      </c>
      <c r="D179" s="495">
        <f>INDEX(LINEST($N$20:$N139,$A$20:$A$139,TRUE,FALSE),2)</f>
        <v>167.01904761904763</v>
      </c>
    </row>
    <row r="180" spans="2:4" ht="14.25" x14ac:dyDescent="0.2">
      <c r="B180" s="498" t="s">
        <v>128</v>
      </c>
      <c r="C180" s="708">
        <f>INDEX(LINEST($O$20:$O139,$A$20:$A$139,TRUE,FALSE),1)</f>
        <v>-9.9416626154593996E-4</v>
      </c>
      <c r="D180" s="495">
        <f>INDEX(LINEST($O$20:$O139,$A$20:$A$139,TRUE,FALSE),2)</f>
        <v>12.032647058823523</v>
      </c>
    </row>
    <row r="181" spans="2:4" ht="14.25" x14ac:dyDescent="0.2">
      <c r="B181" s="498" t="s">
        <v>160</v>
      </c>
      <c r="C181" s="708">
        <f>INDEX(LINEST($P$20:$P139,$A$20:$A$139,TRUE,FALSE),1)</f>
        <v>0</v>
      </c>
      <c r="D181" s="495">
        <f>INDEX(LINEST($P$20:$P139,$A$20:$A$139,TRUE,FALSE),2)</f>
        <v>0</v>
      </c>
    </row>
    <row r="182" spans="2:4" x14ac:dyDescent="0.2">
      <c r="B182" s="714"/>
      <c r="C182" s="715"/>
      <c r="D182" s="716"/>
    </row>
  </sheetData>
  <mergeCells count="4">
    <mergeCell ref="K17:P17"/>
    <mergeCell ref="D17:I17"/>
    <mergeCell ref="Q19:S19"/>
    <mergeCell ref="B174:D174"/>
  </mergeCells>
  <phoneticPr fontId="0" type="noConversion"/>
  <dataValidations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28" customFormat="1" x14ac:dyDescent="0.2">
      <c r="A1" s="744" t="s">
        <v>264</v>
      </c>
    </row>
    <row r="2" spans="1:39" s="528" customFormat="1" x14ac:dyDescent="0.2"/>
    <row r="3" spans="1:39" s="528" customFormat="1" x14ac:dyDescent="0.2"/>
    <row r="4" spans="1:39" s="528" customFormat="1" x14ac:dyDescent="0.2"/>
    <row r="5" spans="1:39" s="528" customFormat="1" x14ac:dyDescent="0.2"/>
    <row r="6" spans="1:39" s="528" customFormat="1" x14ac:dyDescent="0.2"/>
    <row r="7" spans="1:39" s="528" customFormat="1" x14ac:dyDescent="0.2"/>
    <row r="8" spans="1:39" s="528" customFormat="1" x14ac:dyDescent="0.2"/>
    <row r="9" spans="1:39" s="528" customFormat="1" x14ac:dyDescent="0.2"/>
    <row r="10" spans="1:39" s="528" customFormat="1" x14ac:dyDescent="0.2"/>
    <row r="11" spans="1:39" s="528" customFormat="1" ht="23.25" x14ac:dyDescent="0.2">
      <c r="A11" s="257"/>
      <c r="B11" s="258" t="s">
        <v>248</v>
      </c>
      <c r="C11" s="245"/>
      <c r="D11" s="245"/>
      <c r="E11" s="245"/>
      <c r="F11" s="245"/>
      <c r="G11" s="245"/>
      <c r="H11" s="245"/>
      <c r="I11" s="245"/>
      <c r="J11" s="245"/>
      <c r="K11" s="245"/>
      <c r="L11" s="245"/>
      <c r="M11" s="245"/>
      <c r="N11" s="245"/>
      <c r="O11" s="245"/>
      <c r="P11" s="245"/>
      <c r="Q11" s="244"/>
      <c r="R11" s="245"/>
      <c r="S11" s="244"/>
      <c r="T11" s="244"/>
      <c r="U11" s="244"/>
      <c r="V11" s="244"/>
      <c r="W11" s="244"/>
      <c r="X11" s="244"/>
      <c r="Y11" s="244"/>
      <c r="Z11" s="244"/>
      <c r="AA11" s="244"/>
      <c r="AB11" s="244"/>
      <c r="AC11" s="244"/>
      <c r="AD11" s="244"/>
      <c r="AE11" s="244"/>
      <c r="AF11" s="244"/>
      <c r="AG11" s="244"/>
      <c r="AH11" s="244"/>
      <c r="AI11" s="244"/>
      <c r="AJ11" s="244"/>
      <c r="AK11" s="244"/>
      <c r="AL11" s="244"/>
      <c r="AM11" s="244"/>
    </row>
    <row r="12" spans="1:39" s="528" customFormat="1" ht="15" x14ac:dyDescent="0.2">
      <c r="A12" s="257"/>
      <c r="B12" s="63" t="s">
        <v>62</v>
      </c>
      <c r="C12" s="245"/>
      <c r="D12" s="245"/>
      <c r="E12" s="245"/>
      <c r="F12" s="245"/>
      <c r="G12" s="245"/>
      <c r="H12" s="245"/>
      <c r="I12" s="245"/>
      <c r="J12" s="245"/>
      <c r="K12" s="245"/>
      <c r="L12" s="245"/>
      <c r="M12" s="245"/>
      <c r="N12" s="245"/>
      <c r="O12" s="244"/>
      <c r="P12" s="245"/>
      <c r="Q12" s="244"/>
      <c r="R12" s="244"/>
      <c r="S12" s="244"/>
      <c r="T12" s="244"/>
      <c r="U12" s="244"/>
      <c r="V12" s="244"/>
      <c r="W12" s="244"/>
      <c r="X12" s="244"/>
      <c r="Y12" s="244"/>
      <c r="Z12" s="244"/>
      <c r="AA12" s="244"/>
      <c r="AB12" s="244"/>
      <c r="AC12" s="244"/>
      <c r="AD12" s="244"/>
      <c r="AE12" s="244"/>
      <c r="AF12" s="244"/>
      <c r="AG12" s="244"/>
      <c r="AH12" s="244"/>
      <c r="AI12" s="244"/>
      <c r="AJ12" s="244"/>
      <c r="AK12" s="244"/>
    </row>
    <row r="13" spans="1:39" s="528" customFormat="1" ht="14.25" x14ac:dyDescent="0.2">
      <c r="A13" s="257"/>
      <c r="B13" s="100" t="s">
        <v>246</v>
      </c>
      <c r="C13" s="245"/>
      <c r="D13" s="245"/>
      <c r="E13" s="245"/>
      <c r="F13" s="245"/>
      <c r="G13" s="245"/>
      <c r="H13" s="245"/>
      <c r="I13" s="245"/>
      <c r="J13" s="245"/>
      <c r="K13" s="245"/>
      <c r="L13" s="245"/>
      <c r="M13" s="245"/>
      <c r="N13" s="245"/>
      <c r="O13" s="245"/>
      <c r="P13" s="245"/>
      <c r="Q13" s="244"/>
      <c r="R13" s="245"/>
      <c r="S13" s="244"/>
      <c r="T13" s="244"/>
      <c r="U13" s="244"/>
      <c r="V13" s="244"/>
      <c r="W13" s="244"/>
      <c r="X13" s="244"/>
      <c r="Y13" s="244"/>
      <c r="Z13" s="244"/>
      <c r="AA13" s="244"/>
      <c r="AB13" s="244"/>
      <c r="AC13" s="244"/>
      <c r="AD13" s="244"/>
      <c r="AE13" s="244"/>
      <c r="AF13" s="244"/>
      <c r="AG13" s="244"/>
      <c r="AH13" s="244"/>
      <c r="AI13" s="244"/>
      <c r="AJ13" s="244"/>
      <c r="AK13" s="244"/>
      <c r="AL13" s="244"/>
      <c r="AM13" s="244"/>
    </row>
    <row r="14" spans="1:39" s="528" customFormat="1" ht="14.25" x14ac:dyDescent="0.2">
      <c r="A14" s="257"/>
      <c r="B14" s="100" t="s">
        <v>247</v>
      </c>
      <c r="C14" s="245"/>
      <c r="D14" s="245"/>
      <c r="E14" s="245"/>
      <c r="F14" s="245"/>
      <c r="G14" s="245"/>
      <c r="H14" s="245"/>
      <c r="I14" s="245"/>
      <c r="J14" s="245"/>
      <c r="K14" s="245"/>
      <c r="L14" s="245"/>
      <c r="M14" s="245"/>
      <c r="N14" s="245"/>
      <c r="O14" s="245"/>
      <c r="P14" s="245"/>
      <c r="Q14" s="244"/>
      <c r="R14" s="245"/>
      <c r="S14" s="244"/>
      <c r="T14" s="244"/>
      <c r="U14" s="244"/>
      <c r="V14" s="244"/>
      <c r="W14" s="244"/>
      <c r="X14" s="244"/>
      <c r="Y14" s="244"/>
      <c r="Z14" s="244"/>
      <c r="AA14" s="244"/>
      <c r="AB14" s="244"/>
      <c r="AC14" s="244"/>
      <c r="AD14" s="244"/>
      <c r="AE14" s="244"/>
      <c r="AF14" s="244"/>
      <c r="AG14" s="244"/>
      <c r="AH14" s="244"/>
      <c r="AI14" s="244"/>
      <c r="AJ14" s="244"/>
      <c r="AK14" s="244"/>
      <c r="AL14" s="244"/>
      <c r="AM14" s="244"/>
    </row>
    <row r="17" spans="2:11" x14ac:dyDescent="0.2">
      <c r="B17" t="s">
        <v>153</v>
      </c>
      <c r="C17"/>
      <c r="D17"/>
      <c r="E17"/>
      <c r="F17"/>
      <c r="G17"/>
      <c r="H17"/>
      <c r="I17"/>
      <c r="J17"/>
      <c r="K17"/>
    </row>
    <row r="18" spans="2:11" ht="13.5" thickBot="1" x14ac:dyDescent="0.25">
      <c r="B18"/>
      <c r="C18"/>
      <c r="D18"/>
      <c r="E18"/>
      <c r="F18"/>
      <c r="G18"/>
      <c r="H18"/>
      <c r="I18"/>
      <c r="J18"/>
      <c r="K18"/>
    </row>
    <row r="19" spans="2:11" x14ac:dyDescent="0.2">
      <c r="B19" s="541" t="s">
        <v>7</v>
      </c>
      <c r="C19" s="541"/>
      <c r="D19"/>
      <c r="E19"/>
      <c r="F19"/>
      <c r="G19"/>
      <c r="H19"/>
      <c r="I19"/>
      <c r="J19"/>
      <c r="K19"/>
    </row>
    <row r="20" spans="2:11" x14ac:dyDescent="0.2">
      <c r="B20" s="538" t="s">
        <v>8</v>
      </c>
      <c r="C20" s="538">
        <v>0.92668223566941954</v>
      </c>
      <c r="D20"/>
      <c r="E20"/>
      <c r="F20"/>
      <c r="G20"/>
      <c r="H20"/>
      <c r="I20"/>
      <c r="J20"/>
      <c r="K20"/>
    </row>
    <row r="21" spans="2:11" x14ac:dyDescent="0.2">
      <c r="B21" s="538" t="s">
        <v>9</v>
      </c>
      <c r="C21" s="538">
        <v>0.85873996590527357</v>
      </c>
      <c r="D21"/>
      <c r="E21"/>
      <c r="F21"/>
      <c r="G21"/>
      <c r="H21"/>
      <c r="I21"/>
      <c r="J21"/>
      <c r="K21"/>
    </row>
    <row r="22" spans="2:11" x14ac:dyDescent="0.2">
      <c r="B22" s="538" t="s">
        <v>10</v>
      </c>
      <c r="C22" s="538">
        <v>0.85254435037480314</v>
      </c>
      <c r="D22"/>
      <c r="E22"/>
      <c r="F22"/>
      <c r="G22"/>
      <c r="H22"/>
      <c r="I22"/>
      <c r="J22"/>
      <c r="K22"/>
    </row>
    <row r="23" spans="2:11" x14ac:dyDescent="0.2">
      <c r="B23" s="538" t="s">
        <v>11</v>
      </c>
      <c r="C23" s="538">
        <v>912139.52476786438</v>
      </c>
      <c r="D23"/>
      <c r="E23"/>
      <c r="F23"/>
      <c r="G23"/>
      <c r="H23"/>
      <c r="I23"/>
      <c r="J23"/>
      <c r="K23"/>
    </row>
    <row r="24" spans="2:11" ht="13.5" thickBot="1" x14ac:dyDescent="0.25">
      <c r="B24" s="539" t="s">
        <v>12</v>
      </c>
      <c r="C24" s="539">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0"/>
      <c r="C27" s="540" t="s">
        <v>18</v>
      </c>
      <c r="D27" s="540" t="s">
        <v>19</v>
      </c>
      <c r="E27" s="540" t="s">
        <v>20</v>
      </c>
      <c r="F27" s="540" t="s">
        <v>21</v>
      </c>
      <c r="G27" s="540" t="s">
        <v>22</v>
      </c>
      <c r="H27"/>
      <c r="I27"/>
      <c r="J27"/>
      <c r="K27"/>
    </row>
    <row r="28" spans="2:11" x14ac:dyDescent="0.2">
      <c r="B28" s="538" t="s">
        <v>14</v>
      </c>
      <c r="C28" s="538">
        <v>5</v>
      </c>
      <c r="D28" s="538">
        <v>576593536886782.62</v>
      </c>
      <c r="E28" s="538">
        <v>115318707377356.53</v>
      </c>
      <c r="F28" s="538">
        <v>138.60446337929332</v>
      </c>
      <c r="G28" s="538">
        <v>9.5068561616320363E-47</v>
      </c>
      <c r="H28"/>
      <c r="I28"/>
      <c r="J28"/>
      <c r="K28"/>
    </row>
    <row r="29" spans="2:11" x14ac:dyDescent="0.2">
      <c r="B29" s="538" t="s">
        <v>15</v>
      </c>
      <c r="C29" s="538">
        <v>114</v>
      </c>
      <c r="D29" s="538">
        <v>94847830441386.984</v>
      </c>
      <c r="E29" s="538">
        <v>831998512643.74548</v>
      </c>
      <c r="F29" s="538"/>
      <c r="G29" s="538"/>
      <c r="H29"/>
      <c r="I29"/>
      <c r="J29"/>
      <c r="K29"/>
    </row>
    <row r="30" spans="2:11" ht="13.5" thickBot="1" x14ac:dyDescent="0.25">
      <c r="B30" s="539" t="s">
        <v>16</v>
      </c>
      <c r="C30" s="539">
        <v>119</v>
      </c>
      <c r="D30" s="539">
        <v>671441367328169.62</v>
      </c>
      <c r="E30" s="539"/>
      <c r="F30" s="539"/>
      <c r="G30" s="539"/>
      <c r="H30"/>
      <c r="I30"/>
      <c r="J30"/>
      <c r="K30"/>
    </row>
    <row r="31" spans="2:11" ht="13.5" thickBot="1" x14ac:dyDescent="0.25">
      <c r="B31"/>
      <c r="C31"/>
      <c r="D31"/>
      <c r="E31"/>
      <c r="F31"/>
      <c r="G31"/>
      <c r="H31"/>
      <c r="I31"/>
      <c r="J31"/>
      <c r="K31"/>
    </row>
    <row r="32" spans="2:11" x14ac:dyDescent="0.2">
      <c r="B32" s="540"/>
      <c r="C32" s="540" t="s">
        <v>23</v>
      </c>
      <c r="D32" s="540" t="s">
        <v>11</v>
      </c>
      <c r="E32" s="540" t="s">
        <v>24</v>
      </c>
      <c r="F32" s="540" t="s">
        <v>25</v>
      </c>
      <c r="G32" s="540" t="s">
        <v>26</v>
      </c>
      <c r="H32" s="540" t="s">
        <v>27</v>
      </c>
      <c r="I32" s="540" t="s">
        <v>28</v>
      </c>
      <c r="J32" s="540" t="s">
        <v>29</v>
      </c>
      <c r="K32"/>
    </row>
    <row r="33" spans="2:11" x14ac:dyDescent="0.2">
      <c r="B33" s="538" t="s">
        <v>17</v>
      </c>
      <c r="C33" s="538">
        <v>8741032.4856701158</v>
      </c>
      <c r="D33" s="538">
        <v>4558814.727491878</v>
      </c>
      <c r="E33" s="538">
        <v>1.9173914730417587</v>
      </c>
      <c r="F33" s="538">
        <v>5.7690619174398487E-2</v>
      </c>
      <c r="G33" s="538">
        <v>-289944.37739021145</v>
      </c>
      <c r="H33" s="538">
        <v>17772009.348730445</v>
      </c>
      <c r="I33" s="538">
        <v>-289944.37739021145</v>
      </c>
      <c r="J33" s="538">
        <v>17772009.348730445</v>
      </c>
      <c r="K33"/>
    </row>
    <row r="34" spans="2:11" x14ac:dyDescent="0.2">
      <c r="B34" s="538" t="s">
        <v>399</v>
      </c>
      <c r="C34" s="538">
        <v>6535.9894244588641</v>
      </c>
      <c r="D34" s="538">
        <v>697.1191117335693</v>
      </c>
      <c r="E34" s="538">
        <v>9.3757140127824261</v>
      </c>
      <c r="F34" s="538">
        <v>7.9193340633128532E-16</v>
      </c>
      <c r="G34" s="538">
        <v>5155.0018333428907</v>
      </c>
      <c r="H34" s="538">
        <v>7916.9770155748374</v>
      </c>
      <c r="I34" s="538">
        <v>5155.0018333428907</v>
      </c>
      <c r="J34" s="538">
        <v>7916.9770155748374</v>
      </c>
      <c r="K34"/>
    </row>
    <row r="35" spans="2:11" x14ac:dyDescent="0.2">
      <c r="B35" s="538" t="s">
        <v>400</v>
      </c>
      <c r="C35" s="538">
        <v>23882.238363365457</v>
      </c>
      <c r="D35" s="538">
        <v>3791.0175307780228</v>
      </c>
      <c r="E35" s="538">
        <v>6.2996908269279759</v>
      </c>
      <c r="F35" s="538">
        <v>5.7778879292262121E-9</v>
      </c>
      <c r="G35" s="538">
        <v>16372.261833402732</v>
      </c>
      <c r="H35" s="538">
        <v>31392.214893328182</v>
      </c>
      <c r="I35" s="538">
        <v>16372.261833402732</v>
      </c>
      <c r="J35" s="538">
        <v>31392.214893328182</v>
      </c>
      <c r="K35"/>
    </row>
    <row r="36" spans="2:11" x14ac:dyDescent="0.2">
      <c r="B36" s="538" t="s">
        <v>401</v>
      </c>
      <c r="C36" s="538">
        <v>1602289.4249446383</v>
      </c>
      <c r="D36" s="538">
        <v>330721.58922940941</v>
      </c>
      <c r="E36" s="538">
        <v>4.8448286326816996</v>
      </c>
      <c r="F36" s="538">
        <v>4.0276505998579839E-6</v>
      </c>
      <c r="G36" s="538">
        <v>947132.5039068422</v>
      </c>
      <c r="H36" s="538">
        <v>2257446.3459824342</v>
      </c>
      <c r="I36" s="538">
        <v>947132.5039068422</v>
      </c>
      <c r="J36" s="538">
        <v>2257446.3459824342</v>
      </c>
      <c r="K36"/>
    </row>
    <row r="37" spans="2:11" x14ac:dyDescent="0.2">
      <c r="B37" s="538" t="s">
        <v>402</v>
      </c>
      <c r="C37" s="538">
        <v>349016.37110289093</v>
      </c>
      <c r="D37" s="538">
        <v>318903.24981230561</v>
      </c>
      <c r="E37" s="538">
        <v>1.0944271383509223</v>
      </c>
      <c r="F37" s="538">
        <v>0.276074686511116</v>
      </c>
      <c r="G37" s="538">
        <v>-282728.51057475794</v>
      </c>
      <c r="H37" s="538">
        <v>980761.2527805398</v>
      </c>
      <c r="I37" s="538">
        <v>-282728.51057475794</v>
      </c>
      <c r="J37" s="538">
        <v>980761.2527805398</v>
      </c>
      <c r="K37"/>
    </row>
    <row r="38" spans="2:11" ht="13.5" thickBot="1" x14ac:dyDescent="0.25">
      <c r="B38" s="539" t="s">
        <v>403</v>
      </c>
      <c r="C38" s="539">
        <v>147431.69784035117</v>
      </c>
      <c r="D38" s="539">
        <v>148056.87763293143</v>
      </c>
      <c r="E38" s="539">
        <v>0.99577743497920967</v>
      </c>
      <c r="F38" s="539">
        <v>0.3214672364638046</v>
      </c>
      <c r="G38" s="539">
        <v>-145867.83641284032</v>
      </c>
      <c r="H38" s="539">
        <v>440731.2320935427</v>
      </c>
      <c r="I38" s="539">
        <v>-145867.83641284032</v>
      </c>
      <c r="J38" s="539">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AP26" sqref="AP26"/>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28" customFormat="1" x14ac:dyDescent="0.2">
      <c r="A1" s="744" t="s">
        <v>264</v>
      </c>
      <c r="B1" s="58"/>
      <c r="C1" s="58"/>
      <c r="D1" s="58"/>
      <c r="E1" s="58"/>
      <c r="F1" s="58"/>
      <c r="G1" s="58"/>
      <c r="I1" s="64"/>
      <c r="Q1" s="64"/>
    </row>
    <row r="2" spans="1:17" s="528" customFormat="1" x14ac:dyDescent="0.2">
      <c r="B2" s="58"/>
      <c r="C2" s="58"/>
      <c r="D2" s="58"/>
      <c r="E2" s="58"/>
      <c r="F2" s="58"/>
      <c r="G2" s="58"/>
      <c r="I2" s="64"/>
      <c r="Q2" s="64"/>
    </row>
    <row r="3" spans="1:17" s="528" customFormat="1" x14ac:dyDescent="0.2">
      <c r="B3" s="58"/>
      <c r="C3" s="58"/>
      <c r="D3" s="58"/>
      <c r="E3" s="58"/>
      <c r="F3" s="58"/>
      <c r="G3" s="58"/>
      <c r="I3" s="64"/>
      <c r="Q3" s="64"/>
    </row>
    <row r="4" spans="1:17" s="528" customFormat="1" x14ac:dyDescent="0.2">
      <c r="B4" s="58"/>
      <c r="C4" s="58"/>
      <c r="D4" s="58"/>
      <c r="E4" s="58"/>
      <c r="F4" s="58"/>
      <c r="G4" s="58"/>
      <c r="I4" s="64"/>
      <c r="Q4" s="64"/>
    </row>
    <row r="5" spans="1:17" s="528" customFormat="1" x14ac:dyDescent="0.2">
      <c r="B5" s="58"/>
      <c r="C5" s="58"/>
      <c r="D5" s="58"/>
      <c r="E5" s="58"/>
      <c r="F5" s="58"/>
      <c r="G5" s="58"/>
      <c r="I5" s="64"/>
      <c r="Q5" s="64"/>
    </row>
    <row r="6" spans="1:17" s="528" customFormat="1" x14ac:dyDescent="0.2">
      <c r="B6" s="58"/>
      <c r="C6" s="58"/>
      <c r="D6" s="58"/>
      <c r="E6" s="58"/>
      <c r="F6" s="58"/>
      <c r="G6" s="58"/>
      <c r="I6" s="64"/>
      <c r="Q6" s="64"/>
    </row>
    <row r="7" spans="1:17" s="528" customFormat="1" x14ac:dyDescent="0.2">
      <c r="B7" s="58"/>
      <c r="C7" s="58"/>
      <c r="D7" s="58"/>
      <c r="E7" s="58"/>
      <c r="F7" s="58"/>
      <c r="G7" s="58"/>
      <c r="I7" s="64"/>
      <c r="Q7" s="64"/>
    </row>
    <row r="8" spans="1:17" s="528" customFormat="1" x14ac:dyDescent="0.2">
      <c r="B8" s="58"/>
      <c r="C8" s="58"/>
      <c r="D8" s="58"/>
      <c r="E8" s="58"/>
      <c r="F8" s="58"/>
      <c r="G8" s="58"/>
      <c r="I8" s="64"/>
      <c r="Q8" s="64"/>
    </row>
    <row r="9" spans="1:17" s="528" customFormat="1" x14ac:dyDescent="0.2">
      <c r="B9" s="58"/>
      <c r="C9" s="58"/>
      <c r="D9" s="58"/>
      <c r="E9" s="58"/>
      <c r="F9" s="58"/>
      <c r="G9" s="58"/>
      <c r="I9" s="64"/>
      <c r="Q9" s="64"/>
    </row>
    <row r="10" spans="1:17" s="528" customFormat="1" x14ac:dyDescent="0.2">
      <c r="B10" s="58"/>
      <c r="C10" s="58"/>
      <c r="D10" s="58"/>
      <c r="E10" s="58"/>
      <c r="F10" s="58"/>
      <c r="G10" s="58"/>
      <c r="I10" s="64"/>
      <c r="Q10" s="64"/>
    </row>
    <row r="11" spans="1:17" s="64" customFormat="1" ht="15.75" customHeight="1" x14ac:dyDescent="0.2">
      <c r="B11" s="133" t="s">
        <v>43</v>
      </c>
      <c r="D11" s="3"/>
      <c r="E11" s="3"/>
      <c r="F11" s="3"/>
      <c r="G11" s="3"/>
      <c r="H11" s="3"/>
      <c r="I11" s="3"/>
    </row>
    <row r="12" spans="1:17" s="64" customFormat="1" ht="15.75" customHeight="1" x14ac:dyDescent="0.2">
      <c r="B12" s="63" t="s">
        <v>62</v>
      </c>
      <c r="D12" s="3"/>
      <c r="E12" s="3"/>
      <c r="F12" s="3"/>
      <c r="G12" s="3"/>
      <c r="H12" s="3"/>
      <c r="I12" s="3"/>
    </row>
    <row r="13" spans="1:17" s="64" customFormat="1" ht="15.75" customHeight="1" x14ac:dyDescent="0.2">
      <c r="B13" s="100" t="s">
        <v>249</v>
      </c>
      <c r="D13" s="3"/>
      <c r="E13" s="3"/>
      <c r="F13" s="3"/>
      <c r="G13" s="3"/>
      <c r="H13" s="3"/>
      <c r="I13" s="3"/>
    </row>
    <row r="14" spans="1:17" s="64" customFormat="1" ht="15.75" customHeight="1" x14ac:dyDescent="0.2">
      <c r="B14" s="100" t="s">
        <v>250</v>
      </c>
      <c r="D14" s="3"/>
      <c r="E14" s="3"/>
      <c r="F14" s="3"/>
      <c r="G14" s="3"/>
      <c r="H14" s="3"/>
      <c r="I14" s="3"/>
    </row>
    <row r="15" spans="1:17" ht="12.75" customHeight="1" thickBot="1" x14ac:dyDescent="0.25"/>
    <row r="16" spans="1:17" ht="15.75" thickBot="1" x14ac:dyDescent="0.3">
      <c r="B16" s="312" t="s">
        <v>175</v>
      </c>
      <c r="G16" s="554" t="s">
        <v>174</v>
      </c>
    </row>
    <row r="17" spans="2:40" ht="12.75" customHeight="1" x14ac:dyDescent="0.2"/>
    <row r="18" spans="2:40" ht="12.75" customHeight="1" thickBot="1" x14ac:dyDescent="0.25"/>
    <row r="19" spans="2:40" ht="14.25" customHeight="1" thickBot="1" x14ac:dyDescent="0.25">
      <c r="B19" s="1077" t="s">
        <v>6</v>
      </c>
      <c r="C19" s="1078"/>
      <c r="D19" s="1078"/>
      <c r="E19" s="1078"/>
      <c r="F19" s="1078"/>
      <c r="G19" s="1078"/>
      <c r="H19" s="1079"/>
      <c r="I19" s="145"/>
      <c r="J19" s="1077" t="s">
        <v>95</v>
      </c>
      <c r="K19" s="1078"/>
      <c r="L19" s="1078"/>
      <c r="M19" s="1078"/>
      <c r="N19" s="1078"/>
      <c r="O19" s="1078"/>
      <c r="P19" s="1079"/>
      <c r="Q19" s="145"/>
      <c r="R19" s="1077" t="s">
        <v>260</v>
      </c>
      <c r="S19" s="1078"/>
      <c r="T19" s="1078"/>
      <c r="U19" s="1078"/>
      <c r="V19" s="1078"/>
      <c r="W19" s="1078"/>
      <c r="X19" s="1079"/>
      <c r="Z19" s="1077"/>
      <c r="AA19" s="1078"/>
      <c r="AB19" s="1078"/>
      <c r="AC19" s="1078"/>
      <c r="AD19" s="1078"/>
      <c r="AE19" s="1078"/>
      <c r="AF19" s="1079"/>
      <c r="AH19" s="1077"/>
      <c r="AI19" s="1078"/>
      <c r="AJ19" s="1078"/>
      <c r="AK19" s="1078"/>
      <c r="AL19" s="1078"/>
      <c r="AM19" s="1078"/>
      <c r="AN19" s="1079"/>
    </row>
    <row r="20" spans="2:40" ht="59.25" customHeight="1" thickBot="1" x14ac:dyDescent="0.25">
      <c r="B20" s="65" t="s">
        <v>33</v>
      </c>
      <c r="C20" s="66" t="s">
        <v>148</v>
      </c>
      <c r="D20" s="66" t="s">
        <v>479</v>
      </c>
      <c r="E20" s="66" t="s">
        <v>474</v>
      </c>
      <c r="F20" s="67" t="s">
        <v>147</v>
      </c>
      <c r="G20" s="66" t="s">
        <v>480</v>
      </c>
      <c r="H20" s="68" t="s">
        <v>37</v>
      </c>
      <c r="I20" s="146"/>
      <c r="J20" s="65" t="s">
        <v>33</v>
      </c>
      <c r="K20" s="66" t="s">
        <v>149</v>
      </c>
      <c r="L20" s="66" t="s">
        <v>479</v>
      </c>
      <c r="M20" s="66" t="s">
        <v>474</v>
      </c>
      <c r="N20" s="67" t="s">
        <v>147</v>
      </c>
      <c r="O20" s="66" t="s">
        <v>480</v>
      </c>
      <c r="P20" s="68" t="s">
        <v>37</v>
      </c>
      <c r="Q20" s="146"/>
      <c r="R20" s="65" t="s">
        <v>33</v>
      </c>
      <c r="S20" s="66" t="s">
        <v>150</v>
      </c>
      <c r="T20" s="66" t="s">
        <v>146</v>
      </c>
      <c r="U20" s="66" t="s">
        <v>474</v>
      </c>
      <c r="V20" s="67" t="s">
        <v>147</v>
      </c>
      <c r="W20" s="66" t="s">
        <v>480</v>
      </c>
      <c r="X20" s="68" t="s">
        <v>37</v>
      </c>
      <c r="Y20" s="1027"/>
      <c r="Z20" s="65" t="s">
        <v>33</v>
      </c>
      <c r="AA20" s="66" t="s">
        <v>150</v>
      </c>
      <c r="AB20" s="66" t="s">
        <v>146</v>
      </c>
      <c r="AC20" s="66" t="s">
        <v>474</v>
      </c>
      <c r="AD20" s="67" t="s">
        <v>147</v>
      </c>
      <c r="AE20" s="66" t="s">
        <v>30</v>
      </c>
      <c r="AF20" s="68" t="s">
        <v>37</v>
      </c>
      <c r="AG20" s="1027"/>
      <c r="AH20" s="65" t="s">
        <v>33</v>
      </c>
      <c r="AI20" s="66" t="s">
        <v>150</v>
      </c>
      <c r="AJ20" s="66" t="s">
        <v>146</v>
      </c>
      <c r="AK20" s="66" t="s">
        <v>474</v>
      </c>
      <c r="AL20" s="67" t="s">
        <v>147</v>
      </c>
      <c r="AM20" s="66" t="s">
        <v>30</v>
      </c>
      <c r="AN20" s="68" t="s">
        <v>37</v>
      </c>
    </row>
    <row r="21" spans="2:40" x14ac:dyDescent="0.2">
      <c r="B21" s="178">
        <f>'4. Customer Growth'!B17</f>
        <v>2006</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30640106</v>
      </c>
      <c r="D21" s="70">
        <f>SUM('6. WS Regression Analysis'!J20:J31)</f>
        <v>91018552.480000004</v>
      </c>
      <c r="E21" s="70">
        <f>SUM('6. WS Regression Analysis'!R20:R31)</f>
        <v>90193695.30883345</v>
      </c>
      <c r="F21" s="71">
        <f>C21/D21</f>
        <v>0.33663583044492734</v>
      </c>
      <c r="G21" s="70">
        <f>E21*F21</f>
        <v>30362429.521185897</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8584.2322649663274</v>
      </c>
      <c r="I21" s="82"/>
      <c r="J21" s="178">
        <f>B21</f>
        <v>2006</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13424049</v>
      </c>
      <c r="L21" s="70">
        <f>D21</f>
        <v>91018552.480000004</v>
      </c>
      <c r="M21" s="70">
        <f t="shared" ref="M21:M30" si="0">E21</f>
        <v>90193695.30883345</v>
      </c>
      <c r="N21" s="71">
        <f t="shared" ref="N21:N29" si="1">K21/L21</f>
        <v>0.1474869533104225</v>
      </c>
      <c r="O21" s="70">
        <f>M21*N21</f>
        <v>13302393.328908391</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25981.236970524202</v>
      </c>
      <c r="Q21" s="82"/>
      <c r="R21" s="178">
        <f>B21</f>
        <v>2006</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51984380</v>
      </c>
      <c r="T21" s="70">
        <f t="shared" ref="T21:T30" si="2">L21</f>
        <v>91018552.480000004</v>
      </c>
      <c r="U21" s="70">
        <f t="shared" ref="U21:U30" si="3">M21</f>
        <v>90193695.30883345</v>
      </c>
      <c r="V21" s="71">
        <f>S21/T21</f>
        <v>0.57114048272106732</v>
      </c>
      <c r="W21" s="70">
        <f>U21*V21</f>
        <v>51513270.677083999</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830859.20446909673</v>
      </c>
      <c r="Z21" s="178">
        <f>J21</f>
        <v>2006</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91018552.480000004</v>
      </c>
      <c r="AC21" s="70">
        <f t="shared" ref="AC21:AC30" si="5">U21</f>
        <v>90193695.30883345</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2006</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91018552.480000004</v>
      </c>
      <c r="AK21" s="70">
        <f t="shared" ref="AK21:AK30" si="8">AC21</f>
        <v>90193695.30883345</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2007</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31007901</v>
      </c>
      <c r="D22" s="72">
        <f>SUM('6. WS Regression Analysis'!J32:J43)</f>
        <v>94614050.200000003</v>
      </c>
      <c r="E22" s="72">
        <f>SUM('6. WS Regression Analysis'!R32:R43)</f>
        <v>92749181.649325848</v>
      </c>
      <c r="F22" s="73">
        <f t="shared" ref="F22:F29" si="10">C22/D22</f>
        <v>0.32773040509791007</v>
      </c>
      <c r="G22" s="72">
        <f t="shared" ref="G22:G32" si="11">E22*F22</f>
        <v>30396726.874433208</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8560.0469936449481</v>
      </c>
      <c r="I22" s="82"/>
      <c r="J22" s="178">
        <f t="shared" ref="J22:J32" si="12">B22</f>
        <v>2007</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13776453</v>
      </c>
      <c r="L22" s="72">
        <f t="shared" ref="L22:L30" si="13">D22</f>
        <v>94614050.200000003</v>
      </c>
      <c r="M22" s="72">
        <f t="shared" si="0"/>
        <v>92749181.649325848</v>
      </c>
      <c r="N22" s="73">
        <f t="shared" si="1"/>
        <v>0.14560684138221153</v>
      </c>
      <c r="O22" s="72">
        <f t="shared" ref="O22:O30" si="14">M22*N22</f>
        <v>13504915.380743314</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27172.867969302442</v>
      </c>
      <c r="Q22" s="82"/>
      <c r="R22" s="178">
        <f t="shared" ref="R22:R32" si="15">B22</f>
        <v>2007</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53203197</v>
      </c>
      <c r="T22" s="72">
        <f t="shared" si="2"/>
        <v>94614050.200000003</v>
      </c>
      <c r="U22" s="72">
        <f t="shared" si="3"/>
        <v>92749181.649325848</v>
      </c>
      <c r="V22" s="73">
        <f t="shared" ref="V22:V29" si="16">S22/T22</f>
        <v>0.56231814289248128</v>
      </c>
      <c r="W22" s="72">
        <f t="shared" ref="W22:W30" si="17">U22*V22</f>
        <v>52154547.579846315</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802377.65507455869</v>
      </c>
      <c r="Z22" s="178">
        <f t="shared" ref="Z22:Z32" si="18">J22</f>
        <v>2007</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4">
        <f t="shared" si="4"/>
        <v>94614050.200000003</v>
      </c>
      <c r="AC22" s="224">
        <f t="shared" si="5"/>
        <v>92749181.649325848</v>
      </c>
      <c r="AD22" s="73">
        <f t="shared" si="6"/>
        <v>0</v>
      </c>
      <c r="AE22" s="224">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2007</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4">
        <f t="shared" si="7"/>
        <v>94614050.200000003</v>
      </c>
      <c r="AK22" s="224">
        <f t="shared" si="8"/>
        <v>92749181.649325848</v>
      </c>
      <c r="AL22" s="73">
        <f t="shared" si="9"/>
        <v>0</v>
      </c>
      <c r="AM22" s="224">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2008</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31465398</v>
      </c>
      <c r="D23" s="72">
        <f>SUM('6. WS Regression Analysis'!J44:J55)</f>
        <v>96430220.5</v>
      </c>
      <c r="E23" s="72">
        <f>SUM('6. WS Regression Analysis'!R44:R55)</f>
        <v>93003400.401108235</v>
      </c>
      <c r="F23" s="73">
        <f t="shared" si="10"/>
        <v>0.32630225085921066</v>
      </c>
      <c r="G23" s="72">
        <f t="shared" si="11"/>
        <v>30347218.888442032</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8474.5096030276545</v>
      </c>
      <c r="I23" s="82"/>
      <c r="J23" s="178">
        <f t="shared" si="12"/>
        <v>2008</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13927235</v>
      </c>
      <c r="L23" s="72">
        <f t="shared" si="13"/>
        <v>96430220.5</v>
      </c>
      <c r="M23" s="72">
        <f t="shared" si="0"/>
        <v>93003400.401108235</v>
      </c>
      <c r="N23" s="73">
        <f t="shared" si="1"/>
        <v>0.14442811525044683</v>
      </c>
      <c r="O23" s="72">
        <f t="shared" si="14"/>
        <v>13432305.831814712</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27190.90249355205</v>
      </c>
      <c r="Q23" s="82"/>
      <c r="R23" s="178">
        <f t="shared" si="15"/>
        <v>2008</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55283988</v>
      </c>
      <c r="T23" s="72">
        <f t="shared" si="2"/>
        <v>96430220.5</v>
      </c>
      <c r="U23" s="72">
        <f t="shared" si="3"/>
        <v>93003400.401108235</v>
      </c>
      <c r="V23" s="73">
        <f t="shared" si="16"/>
        <v>0.5733056267355523</v>
      </c>
      <c r="W23" s="72">
        <f t="shared" si="17"/>
        <v>53319372.75549487</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795811.53366410255</v>
      </c>
      <c r="Z23" s="178">
        <f t="shared" si="18"/>
        <v>2008</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4">
        <f t="shared" si="4"/>
        <v>96430220.5</v>
      </c>
      <c r="AC23" s="224">
        <f t="shared" si="5"/>
        <v>93003400.401108235</v>
      </c>
      <c r="AD23" s="73">
        <f t="shared" si="6"/>
        <v>0</v>
      </c>
      <c r="AE23" s="224">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2008</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4">
        <f t="shared" si="7"/>
        <v>96430220.5</v>
      </c>
      <c r="AK23" s="224">
        <f t="shared" si="8"/>
        <v>93003400.401108235</v>
      </c>
      <c r="AL23" s="73">
        <f t="shared" si="9"/>
        <v>0</v>
      </c>
      <c r="AM23" s="224">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2009</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30635928</v>
      </c>
      <c r="D24" s="72">
        <f>SUM('6. WS Regression Analysis'!J56:J67)</f>
        <v>92313324</v>
      </c>
      <c r="E24" s="72">
        <f>SUM('6. WS Regression Analysis'!R56:R67)</f>
        <v>92013713.385926887</v>
      </c>
      <c r="F24" s="73">
        <f t="shared" si="10"/>
        <v>0.33186897267397714</v>
      </c>
      <c r="G24" s="72">
        <f t="shared" si="11"/>
        <v>30536496.533305336</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8463.5522542420549</v>
      </c>
      <c r="I24" s="82"/>
      <c r="J24" s="178">
        <f t="shared" si="12"/>
        <v>2009</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12859915</v>
      </c>
      <c r="L24" s="72">
        <f t="shared" si="13"/>
        <v>92313324</v>
      </c>
      <c r="M24" s="72">
        <f t="shared" si="0"/>
        <v>92013713.385926887</v>
      </c>
      <c r="N24" s="73">
        <f t="shared" si="1"/>
        <v>0.13930724669821229</v>
      </c>
      <c r="O24" s="72">
        <f t="shared" si="14"/>
        <v>12818177.070271915</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26538.668882550548</v>
      </c>
      <c r="Q24" s="82"/>
      <c r="R24" s="178">
        <f t="shared" si="15"/>
        <v>2009</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52230300</v>
      </c>
      <c r="T24" s="72">
        <f t="shared" si="2"/>
        <v>92313324</v>
      </c>
      <c r="U24" s="72">
        <f t="shared" si="3"/>
        <v>92013713.385926887</v>
      </c>
      <c r="V24" s="73">
        <f t="shared" si="16"/>
        <v>0.56579373092447627</v>
      </c>
      <c r="W24" s="72">
        <f t="shared" si="17"/>
        <v>52060782.192838997</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788799.73019453022</v>
      </c>
      <c r="Z24" s="178">
        <f t="shared" si="18"/>
        <v>2009</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4">
        <f t="shared" si="4"/>
        <v>92313324</v>
      </c>
      <c r="AC24" s="224">
        <f t="shared" si="5"/>
        <v>92013713.385926887</v>
      </c>
      <c r="AD24" s="73">
        <f t="shared" si="6"/>
        <v>0</v>
      </c>
      <c r="AE24" s="224">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2009</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4">
        <f t="shared" si="7"/>
        <v>92313324</v>
      </c>
      <c r="AK24" s="224">
        <f t="shared" si="8"/>
        <v>92013713.385926887</v>
      </c>
      <c r="AL24" s="73">
        <f t="shared" si="9"/>
        <v>0</v>
      </c>
      <c r="AM24" s="224">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2010</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30305144</v>
      </c>
      <c r="D25" s="72">
        <f>SUM('6. WS Regression Analysis'!J68:J79)</f>
        <v>91831741</v>
      </c>
      <c r="E25" s="72">
        <f>SUM('6. WS Regression Analysis'!R68:R79)</f>
        <v>89704461.17554681</v>
      </c>
      <c r="F25" s="73">
        <f>C25/D25</f>
        <v>0.33000729018085367</v>
      </c>
      <c r="G25" s="72">
        <f t="shared" si="11"/>
        <v>29603126.149675798</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8101.5670907706071</v>
      </c>
      <c r="I25" s="82"/>
      <c r="J25" s="178">
        <f t="shared" si="12"/>
        <v>2010</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12427065</v>
      </c>
      <c r="L25" s="72">
        <f t="shared" si="13"/>
        <v>91831741</v>
      </c>
      <c r="M25" s="72">
        <f t="shared" si="0"/>
        <v>89704461.17554681</v>
      </c>
      <c r="N25" s="73">
        <f t="shared" si="1"/>
        <v>0.13532428836343199</v>
      </c>
      <c r="O25" s="72">
        <f t="shared" si="14"/>
        <v>12139192.371605987</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27464.236134855175</v>
      </c>
      <c r="Q25" s="82"/>
      <c r="R25" s="178">
        <f t="shared" si="15"/>
        <v>2010</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51703213</v>
      </c>
      <c r="T25" s="72">
        <f t="shared" si="2"/>
        <v>91831741</v>
      </c>
      <c r="U25" s="72">
        <f t="shared" si="3"/>
        <v>89704461.17554681</v>
      </c>
      <c r="V25" s="73">
        <f t="shared" si="16"/>
        <v>0.56302115626883298</v>
      </c>
      <c r="W25" s="72">
        <f t="shared" si="17"/>
        <v>50505509.453529</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856025.58395811869</v>
      </c>
      <c r="Z25" s="178">
        <f t="shared" si="18"/>
        <v>2010</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4">
        <f t="shared" si="4"/>
        <v>91831741</v>
      </c>
      <c r="AC25" s="224">
        <f t="shared" si="5"/>
        <v>89704461.17554681</v>
      </c>
      <c r="AD25" s="73">
        <f t="shared" si="6"/>
        <v>0</v>
      </c>
      <c r="AE25" s="224">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2010</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4">
        <f t="shared" si="7"/>
        <v>91831741</v>
      </c>
      <c r="AK25" s="224">
        <f t="shared" si="8"/>
        <v>89704461.17554681</v>
      </c>
      <c r="AL25" s="73">
        <f t="shared" si="9"/>
        <v>0</v>
      </c>
      <c r="AM25" s="224">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2011</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30085520</v>
      </c>
      <c r="D26" s="72">
        <f>SUM('6. WS Regression Analysis'!J80:J91)</f>
        <v>90656017</v>
      </c>
      <c r="E26" s="72">
        <f>SUM('6. WS Regression Analysis'!R80:R91)</f>
        <v>91860693.600385413</v>
      </c>
      <c r="F26" s="73">
        <f t="shared" si="10"/>
        <v>0.33186456890114641</v>
      </c>
      <c r="G26" s="72">
        <f t="shared" si="11"/>
        <v>30485309.480652202</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8268.3236996615688</v>
      </c>
      <c r="I26" s="82"/>
      <c r="J26" s="178">
        <f t="shared" si="12"/>
        <v>2011</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11962164</v>
      </c>
      <c r="L26" s="72">
        <f t="shared" si="13"/>
        <v>90656017</v>
      </c>
      <c r="M26" s="72">
        <f t="shared" si="0"/>
        <v>91860693.600385413</v>
      </c>
      <c r="N26" s="73">
        <f t="shared" si="1"/>
        <v>0.13195113127460695</v>
      </c>
      <c r="O26" s="72">
        <f t="shared" si="14"/>
        <v>12121122.440240903</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27737.122288880786</v>
      </c>
      <c r="Q26" s="82"/>
      <c r="R26" s="178">
        <f t="shared" si="15"/>
        <v>2011</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46521147</v>
      </c>
      <c r="T26" s="72">
        <f t="shared" si="2"/>
        <v>90656017</v>
      </c>
      <c r="U26" s="72">
        <f t="shared" si="3"/>
        <v>91860693.600385413</v>
      </c>
      <c r="V26" s="73">
        <f t="shared" si="16"/>
        <v>0.51316116171307191</v>
      </c>
      <c r="W26" s="72">
        <f t="shared" si="17"/>
        <v>47139340.243742332</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798971.86853800563</v>
      </c>
      <c r="Z26" s="178">
        <f t="shared" si="18"/>
        <v>2011</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4">
        <f t="shared" si="4"/>
        <v>90656017</v>
      </c>
      <c r="AC26" s="224">
        <f t="shared" si="5"/>
        <v>91860693.600385413</v>
      </c>
      <c r="AD26" s="73">
        <f t="shared" si="6"/>
        <v>0</v>
      </c>
      <c r="AE26" s="224">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2011</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4">
        <f t="shared" si="7"/>
        <v>90656017</v>
      </c>
      <c r="AK26" s="224">
        <f t="shared" si="8"/>
        <v>91860693.600385413</v>
      </c>
      <c r="AL26" s="73">
        <f t="shared" si="9"/>
        <v>0</v>
      </c>
      <c r="AM26" s="224">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2012</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29994156</v>
      </c>
      <c r="D27" s="72">
        <f>SUM('6. WS Regression Analysis'!J92:J103)</f>
        <v>89014822</v>
      </c>
      <c r="E27" s="72">
        <f>SUM('6. WS Regression Analysis'!R92:R103)</f>
        <v>91835018.09547931</v>
      </c>
      <c r="F27" s="73">
        <f t="shared" si="10"/>
        <v>0.33695687219371173</v>
      </c>
      <c r="G27" s="72">
        <f t="shared" si="11"/>
        <v>30944440.455305625</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8347.5695860009782</v>
      </c>
      <c r="I27" s="82"/>
      <c r="J27" s="178">
        <f t="shared" si="12"/>
        <v>2012</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11672310</v>
      </c>
      <c r="L27" s="72">
        <f t="shared" si="13"/>
        <v>89014822</v>
      </c>
      <c r="M27" s="72">
        <f t="shared" si="0"/>
        <v>91835018.09547931</v>
      </c>
      <c r="N27" s="73">
        <f t="shared" si="1"/>
        <v>0.13112771264093523</v>
      </c>
      <c r="O27" s="72">
        <f t="shared" si="14"/>
        <v>12042115.863199098</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27683.024972871488</v>
      </c>
      <c r="Q27" s="82"/>
      <c r="R27" s="178">
        <f t="shared" si="15"/>
        <v>2012</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44095781</v>
      </c>
      <c r="T27" s="72">
        <f t="shared" si="2"/>
        <v>89014822</v>
      </c>
      <c r="U27" s="72">
        <f t="shared" si="3"/>
        <v>91835018.09547931</v>
      </c>
      <c r="V27" s="73">
        <f t="shared" si="16"/>
        <v>0.49537571394570673</v>
      </c>
      <c r="W27" s="72">
        <f t="shared" si="17"/>
        <v>45492837.654264957</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771065.04498754162</v>
      </c>
      <c r="Z27" s="178">
        <f t="shared" si="18"/>
        <v>2012</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4">
        <f t="shared" si="4"/>
        <v>89014822</v>
      </c>
      <c r="AC27" s="224">
        <f t="shared" si="5"/>
        <v>91835018.09547931</v>
      </c>
      <c r="AD27" s="73">
        <f t="shared" si="6"/>
        <v>0</v>
      </c>
      <c r="AE27" s="224">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2012</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4">
        <f t="shared" si="7"/>
        <v>89014822</v>
      </c>
      <c r="AK27" s="224">
        <f t="shared" si="8"/>
        <v>91835018.09547931</v>
      </c>
      <c r="AL27" s="73">
        <f t="shared" si="9"/>
        <v>0</v>
      </c>
      <c r="AM27" s="224">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2013</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30486731</v>
      </c>
      <c r="D28" s="72">
        <f>SUM('6. WS Regression Analysis'!J104:J115)</f>
        <v>90972832</v>
      </c>
      <c r="E28" s="72">
        <f>SUM('6. WS Regression Analysis'!R104:R115)</f>
        <v>92614453.307911366</v>
      </c>
      <c r="F28" s="73">
        <f t="shared" si="10"/>
        <v>0.33511907159271465</v>
      </c>
      <c r="G28" s="72">
        <f t="shared" si="11"/>
        <v>31036869.608614076</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8320.8765706740141</v>
      </c>
      <c r="I28" s="82"/>
      <c r="J28" s="178">
        <f t="shared" si="12"/>
        <v>2013</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11531242</v>
      </c>
      <c r="L28" s="72">
        <f t="shared" si="13"/>
        <v>90972832</v>
      </c>
      <c r="M28" s="72">
        <f t="shared" si="0"/>
        <v>92614453.307911366</v>
      </c>
      <c r="N28" s="73">
        <f t="shared" si="1"/>
        <v>0.12675478762714565</v>
      </c>
      <c r="O28" s="72">
        <f t="shared" si="14"/>
        <v>11739325.360248502</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27428.330280954444</v>
      </c>
      <c r="Q28" s="82"/>
      <c r="R28" s="178">
        <f t="shared" si="15"/>
        <v>2013</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44119354</v>
      </c>
      <c r="T28" s="72">
        <f t="shared" si="2"/>
        <v>90972832</v>
      </c>
      <c r="U28" s="72">
        <f t="shared" si="3"/>
        <v>92614453.307911366</v>
      </c>
      <c r="V28" s="73">
        <f t="shared" si="16"/>
        <v>0.48497285431325254</v>
      </c>
      <c r="W28" s="72">
        <f t="shared" si="17"/>
        <v>44915495.77139923</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724443.48018385854</v>
      </c>
      <c r="Z28" s="178">
        <f t="shared" si="18"/>
        <v>2013</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4">
        <f t="shared" si="4"/>
        <v>90972832</v>
      </c>
      <c r="AC28" s="224">
        <f t="shared" si="5"/>
        <v>92614453.307911366</v>
      </c>
      <c r="AD28" s="73">
        <f t="shared" si="6"/>
        <v>0</v>
      </c>
      <c r="AE28" s="224">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2013</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4">
        <f t="shared" si="7"/>
        <v>90972832</v>
      </c>
      <c r="AK28" s="224">
        <f t="shared" si="8"/>
        <v>92614453.307911366</v>
      </c>
      <c r="AL28" s="73">
        <f t="shared" si="9"/>
        <v>0</v>
      </c>
      <c r="AM28" s="224">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2014</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30037011</v>
      </c>
      <c r="D29" s="72">
        <f>SUM('6. WS Regression Analysis'!J116:J127)</f>
        <v>89574310</v>
      </c>
      <c r="E29" s="72">
        <f>SUM('6. WS Regression Analysis'!R116:R127)</f>
        <v>92410619.010412455</v>
      </c>
      <c r="F29" s="73">
        <f t="shared" si="10"/>
        <v>0.33533064335075535</v>
      </c>
      <c r="G29" s="72">
        <f t="shared" si="11"/>
        <v>30988112.325203151</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8241.5192354263691</v>
      </c>
      <c r="I29" s="82"/>
      <c r="J29" s="178">
        <f t="shared" si="12"/>
        <v>2014</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11294125</v>
      </c>
      <c r="L29" s="72">
        <f t="shared" si="13"/>
        <v>89574310</v>
      </c>
      <c r="M29" s="72">
        <f t="shared" si="0"/>
        <v>92410619.010412455</v>
      </c>
      <c r="N29" s="73">
        <f t="shared" si="1"/>
        <v>0.12608665363986615</v>
      </c>
      <c r="O29" s="72">
        <f t="shared" si="14"/>
        <v>11651745.711811505</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27223.70493413903</v>
      </c>
      <c r="Q29" s="82"/>
      <c r="R29" s="178">
        <f t="shared" si="15"/>
        <v>2014</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43640624</v>
      </c>
      <c r="T29" s="72">
        <f t="shared" si="2"/>
        <v>89574310</v>
      </c>
      <c r="U29" s="72">
        <f t="shared" si="3"/>
        <v>92410619.010412455</v>
      </c>
      <c r="V29" s="73">
        <f t="shared" si="16"/>
        <v>0.48720022515384154</v>
      </c>
      <c r="W29" s="72">
        <f t="shared" si="17"/>
        <v>45022474.388478816</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726168.94174965832</v>
      </c>
      <c r="Z29" s="178">
        <f t="shared" si="18"/>
        <v>2014</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4">
        <f t="shared" si="4"/>
        <v>89574310</v>
      </c>
      <c r="AC29" s="224">
        <f t="shared" si="5"/>
        <v>92410619.010412455</v>
      </c>
      <c r="AD29" s="73">
        <f t="shared" si="6"/>
        <v>0</v>
      </c>
      <c r="AE29" s="224">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2014</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4">
        <f t="shared" si="7"/>
        <v>89574310</v>
      </c>
      <c r="AK29" s="224">
        <f t="shared" si="8"/>
        <v>92410619.010412455</v>
      </c>
      <c r="AL29" s="73">
        <f t="shared" si="9"/>
        <v>0</v>
      </c>
      <c r="AM29" s="224">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2015</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29589162</v>
      </c>
      <c r="D30" s="72">
        <f>SUM('6. WS Regression Analysis'!J128:J139)</f>
        <v>90503010</v>
      </c>
      <c r="E30" s="72">
        <f>SUM('6. WS Regression Analysis'!R128:R139)</f>
        <v>90543643.245070294</v>
      </c>
      <c r="F30" s="73">
        <f>C30/D30</f>
        <v>0.3269411923426635</v>
      </c>
      <c r="G30" s="72">
        <f>E30*F30</f>
        <v>29602446.681592032</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7833.407430958463</v>
      </c>
      <c r="I30" s="82"/>
      <c r="J30" s="178">
        <f t="shared" si="12"/>
        <v>2015</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10843312</v>
      </c>
      <c r="L30" s="72">
        <f t="shared" si="13"/>
        <v>90503010</v>
      </c>
      <c r="M30" s="72">
        <f t="shared" si="0"/>
        <v>90543643.245070294</v>
      </c>
      <c r="N30" s="73">
        <f>K30/L30</f>
        <v>0.1198116173152694</v>
      </c>
      <c r="O30" s="72">
        <f t="shared" si="14"/>
        <v>10848180.33480864</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25228.326360020092</v>
      </c>
      <c r="Q30" s="82"/>
      <c r="R30" s="178">
        <f t="shared" si="15"/>
        <v>2015</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45095566</v>
      </c>
      <c r="T30" s="72">
        <f t="shared" si="2"/>
        <v>90503010</v>
      </c>
      <c r="U30" s="72">
        <f t="shared" si="3"/>
        <v>90543643.245070294</v>
      </c>
      <c r="V30" s="73">
        <f>S30/T30</f>
        <v>0.49827697443433094</v>
      </c>
      <c r="W30" s="72">
        <f t="shared" si="17"/>
        <v>45115812.610415071</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739603.48541664053</v>
      </c>
      <c r="Z30" s="178">
        <f t="shared" si="18"/>
        <v>2015</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4">
        <f t="shared" si="4"/>
        <v>90503010</v>
      </c>
      <c r="AC30" s="224">
        <f t="shared" si="5"/>
        <v>90543643.245070294</v>
      </c>
      <c r="AD30" s="73">
        <f t="shared" si="6"/>
        <v>0</v>
      </c>
      <c r="AE30" s="224">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2015</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4">
        <f t="shared" si="7"/>
        <v>90503010</v>
      </c>
      <c r="AK30" s="224">
        <f t="shared" si="8"/>
        <v>90543643.245070294</v>
      </c>
      <c r="AL30" s="73">
        <f t="shared" si="9"/>
        <v>0</v>
      </c>
      <c r="AM30" s="224">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2016</v>
      </c>
      <c r="C31" s="75"/>
      <c r="D31" s="75"/>
      <c r="E31" s="163">
        <f>SUM('6. WS Regression Analysis'!R140:R151)</f>
        <v>91444052.015355527</v>
      </c>
      <c r="F31" s="76">
        <f>AVERAGE(F21:F30)</f>
        <v>0.33187570976378711</v>
      </c>
      <c r="G31" s="163">
        <f>E31*F31</f>
        <v>30348059.666272782</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8030.7117402150789</v>
      </c>
      <c r="I31" s="82"/>
      <c r="J31" s="179" t="str">
        <f t="shared" si="12"/>
        <v>2016</v>
      </c>
      <c r="K31" s="75"/>
      <c r="L31" s="75"/>
      <c r="M31" s="163">
        <f>E31</f>
        <v>91444052.015355527</v>
      </c>
      <c r="N31" s="76">
        <f>AVERAGE(N21:N30)</f>
        <v>0.13478853475025485</v>
      </c>
      <c r="O31" s="163">
        <f>M31*N31</f>
        <v>12325609.78277586</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28664.208797153162</v>
      </c>
      <c r="Q31" s="82"/>
      <c r="R31" s="179" t="str">
        <f t="shared" si="15"/>
        <v>2016</v>
      </c>
      <c r="S31" s="75"/>
      <c r="T31" s="75"/>
      <c r="U31" s="131">
        <f>M31</f>
        <v>91444052.015355527</v>
      </c>
      <c r="V31" s="76">
        <f>AVERAGE(V21:V30)</f>
        <v>0.53145660691026142</v>
      </c>
      <c r="W31" s="826">
        <f>U31*V31</f>
        <v>48598545.606206298</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796697.46895420155</v>
      </c>
      <c r="Z31" s="179" t="str">
        <f t="shared" si="18"/>
        <v>2016</v>
      </c>
      <c r="AA31" s="75"/>
      <c r="AB31" s="75"/>
      <c r="AC31" s="276">
        <f>U31</f>
        <v>91444052.015355527</v>
      </c>
      <c r="AD31" s="76">
        <f>AD30</f>
        <v>0</v>
      </c>
      <c r="AE31" s="276">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2016</v>
      </c>
      <c r="AI31" s="75"/>
      <c r="AJ31" s="75"/>
      <c r="AK31" s="276">
        <f>AC31</f>
        <v>91444052.015355527</v>
      </c>
      <c r="AL31" s="76">
        <f>AL30</f>
        <v>0</v>
      </c>
      <c r="AM31" s="276">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2017</v>
      </c>
      <c r="C32" s="77"/>
      <c r="D32" s="77"/>
      <c r="E32" s="164">
        <f>SUM('6. WS Regression Analysis'!R152:R163)</f>
        <v>91490047.074539796</v>
      </c>
      <c r="F32" s="78">
        <f>F31</f>
        <v>0.33187570976378711</v>
      </c>
      <c r="G32" s="164">
        <f t="shared" si="11"/>
        <v>30363324.309185188</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8034.7510741426804</v>
      </c>
      <c r="I32" s="82"/>
      <c r="J32" s="180" t="str">
        <f t="shared" si="12"/>
        <v>2017</v>
      </c>
      <c r="K32" s="77"/>
      <c r="L32" s="77"/>
      <c r="M32" s="164">
        <f>E32</f>
        <v>91490047.074539796</v>
      </c>
      <c r="N32" s="78">
        <f>N31</f>
        <v>0.13478853475025485</v>
      </c>
      <c r="O32" s="164">
        <f>M32*N32</f>
        <v>12331809.38940906</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28678.626486997815</v>
      </c>
      <c r="Q32" s="82"/>
      <c r="R32" s="179" t="str">
        <f t="shared" si="15"/>
        <v>2017</v>
      </c>
      <c r="S32" s="77"/>
      <c r="T32" s="77"/>
      <c r="U32" s="132">
        <f>M32</f>
        <v>91490047.074539796</v>
      </c>
      <c r="V32" s="78">
        <f>V31</f>
        <v>0.53145660691026142</v>
      </c>
      <c r="W32" s="827">
        <f>U32*V32</f>
        <v>48622989.984295011</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797098.19646385266</v>
      </c>
      <c r="Z32" s="179" t="str">
        <f t="shared" si="18"/>
        <v>2017</v>
      </c>
      <c r="AA32" s="77"/>
      <c r="AB32" s="77"/>
      <c r="AC32" s="275">
        <f>U32</f>
        <v>91490047.074539796</v>
      </c>
      <c r="AD32" s="78">
        <f>AD31</f>
        <v>0</v>
      </c>
      <c r="AE32" s="275">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2017</v>
      </c>
      <c r="AI32" s="77"/>
      <c r="AJ32" s="77"/>
      <c r="AK32" s="275">
        <f>AC32</f>
        <v>91490047.074539796</v>
      </c>
      <c r="AL32" s="78">
        <f>AL31</f>
        <v>0</v>
      </c>
      <c r="AM32" s="275">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80" t="s">
        <v>151</v>
      </c>
      <c r="C33" s="1080"/>
      <c r="D33" s="1080"/>
      <c r="E33" s="1080"/>
      <c r="F33" s="1080"/>
      <c r="G33" s="1080"/>
      <c r="H33" s="1080"/>
      <c r="I33" s="30"/>
      <c r="J33" s="1080" t="s">
        <v>151</v>
      </c>
      <c r="K33" s="1080"/>
      <c r="L33" s="1080"/>
      <c r="M33" s="1080"/>
      <c r="N33" s="1080"/>
      <c r="O33" s="1080"/>
      <c r="P33" s="1080"/>
      <c r="R33" s="1080" t="s">
        <v>151</v>
      </c>
      <c r="S33" s="1080"/>
      <c r="T33" s="1080"/>
      <c r="U33" s="1080"/>
      <c r="V33" s="1080"/>
      <c r="W33" s="1080"/>
      <c r="X33" s="1080"/>
      <c r="Z33" s="1080" t="s">
        <v>151</v>
      </c>
      <c r="AA33" s="1080"/>
      <c r="AB33" s="1080"/>
      <c r="AC33" s="1080"/>
      <c r="AD33" s="1080"/>
      <c r="AE33" s="1080"/>
      <c r="AF33" s="1080"/>
      <c r="AH33" s="1080" t="s">
        <v>151</v>
      </c>
      <c r="AI33" s="1080"/>
      <c r="AJ33" s="1080"/>
      <c r="AK33" s="1080"/>
      <c r="AL33" s="1080"/>
      <c r="AM33" s="1080"/>
      <c r="AN33" s="1080"/>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81" t="s">
        <v>171</v>
      </c>
      <c r="C38" s="1081"/>
      <c r="D38" s="1081"/>
      <c r="E38" s="1081"/>
      <c r="F38" s="1081"/>
      <c r="G38" s="1081"/>
      <c r="H38" s="1081"/>
      <c r="I38" s="82"/>
      <c r="J38" s="1081" t="s">
        <v>171</v>
      </c>
      <c r="K38" s="1081"/>
      <c r="L38" s="1081"/>
      <c r="M38" s="1081"/>
      <c r="N38" s="1081"/>
      <c r="O38" s="1081"/>
      <c r="P38" s="1081"/>
      <c r="Q38" s="82"/>
      <c r="R38" s="1081" t="s">
        <v>171</v>
      </c>
      <c r="S38" s="1081"/>
      <c r="T38" s="1081"/>
      <c r="U38" s="1081"/>
      <c r="V38" s="1081"/>
      <c r="W38" s="1081"/>
      <c r="X38" s="1081"/>
      <c r="Z38" s="1081" t="s">
        <v>171</v>
      </c>
      <c r="AA38" s="1081"/>
      <c r="AB38" s="1081"/>
      <c r="AC38" s="1081"/>
      <c r="AD38" s="1081"/>
      <c r="AE38" s="1081"/>
      <c r="AF38" s="1081"/>
      <c r="AH38" s="1081" t="s">
        <v>171</v>
      </c>
      <c r="AI38" s="1081"/>
      <c r="AJ38" s="1081"/>
      <c r="AK38" s="1081"/>
      <c r="AL38" s="1081"/>
      <c r="AM38" s="1081"/>
      <c r="AN38" s="1081"/>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82" t="str">
        <f>B19</f>
        <v>Residential</v>
      </c>
      <c r="C40" s="1083"/>
      <c r="D40" s="1083"/>
      <c r="E40" s="1083"/>
      <c r="F40" s="1083"/>
      <c r="G40" s="1083"/>
      <c r="H40" s="1084"/>
      <c r="I40" s="145"/>
      <c r="J40" s="1082" t="str">
        <f>J19</f>
        <v>General Service &lt; 50 kW</v>
      </c>
      <c r="K40" s="1083"/>
      <c r="L40" s="1083"/>
      <c r="M40" s="1083"/>
      <c r="N40" s="1083"/>
      <c r="O40" s="1083"/>
      <c r="P40" s="1084"/>
      <c r="Q40" s="145"/>
      <c r="R40" s="1082" t="str">
        <f>R19</f>
        <v>General Service &gt; 50 kW - 4999 kW</v>
      </c>
      <c r="S40" s="1083"/>
      <c r="T40" s="1083"/>
      <c r="U40" s="1083"/>
      <c r="V40" s="1083"/>
      <c r="W40" s="1083"/>
      <c r="X40" s="1084"/>
      <c r="Z40" s="1082">
        <f>Z19</f>
        <v>0</v>
      </c>
      <c r="AA40" s="1083"/>
      <c r="AB40" s="1083"/>
      <c r="AC40" s="1083"/>
      <c r="AD40" s="1083"/>
      <c r="AE40" s="1083"/>
      <c r="AF40" s="1084"/>
      <c r="AH40" s="1082">
        <f>AH19</f>
        <v>0</v>
      </c>
      <c r="AI40" s="1083"/>
      <c r="AJ40" s="1083"/>
      <c r="AK40" s="1083"/>
      <c r="AL40" s="1083"/>
      <c r="AM40" s="1083"/>
      <c r="AN40" s="1084"/>
    </row>
    <row r="41" spans="2:40" ht="42" customHeight="1" x14ac:dyDescent="0.2">
      <c r="B41" s="69" t="s">
        <v>33</v>
      </c>
      <c r="C41" s="278" t="s">
        <v>39</v>
      </c>
      <c r="D41" s="1094" t="s">
        <v>155</v>
      </c>
      <c r="E41" s="1094"/>
      <c r="F41" s="1098" t="s">
        <v>38</v>
      </c>
      <c r="G41" s="1099"/>
      <c r="H41" s="81" t="s">
        <v>16</v>
      </c>
      <c r="I41" s="146"/>
      <c r="J41" s="69" t="s">
        <v>33</v>
      </c>
      <c r="K41" s="278" t="s">
        <v>39</v>
      </c>
      <c r="L41" s="1094" t="s">
        <v>155</v>
      </c>
      <c r="M41" s="1094"/>
      <c r="N41" s="1095" t="s">
        <v>38</v>
      </c>
      <c r="O41" s="1096"/>
      <c r="P41" s="81" t="s">
        <v>16</v>
      </c>
      <c r="Q41" s="146"/>
      <c r="R41" s="69" t="s">
        <v>33</v>
      </c>
      <c r="S41" s="278" t="s">
        <v>39</v>
      </c>
      <c r="T41" s="1094" t="s">
        <v>155</v>
      </c>
      <c r="U41" s="1094"/>
      <c r="V41" s="1095" t="s">
        <v>38</v>
      </c>
      <c r="W41" s="1096"/>
      <c r="X41" s="81" t="s">
        <v>16</v>
      </c>
      <c r="Z41" s="69" t="s">
        <v>33</v>
      </c>
      <c r="AA41" s="278" t="s">
        <v>39</v>
      </c>
      <c r="AB41" s="1094" t="s">
        <v>155</v>
      </c>
      <c r="AC41" s="1094"/>
      <c r="AD41" s="1095" t="s">
        <v>38</v>
      </c>
      <c r="AE41" s="1096"/>
      <c r="AF41" s="81" t="s">
        <v>16</v>
      </c>
      <c r="AH41" s="352" t="s">
        <v>33</v>
      </c>
      <c r="AI41" s="353" t="s">
        <v>39</v>
      </c>
      <c r="AJ41" s="1085" t="s">
        <v>155</v>
      </c>
      <c r="AK41" s="1085"/>
      <c r="AL41" s="1086" t="s">
        <v>38</v>
      </c>
      <c r="AM41" s="1087"/>
      <c r="AN41" s="332" t="s">
        <v>16</v>
      </c>
    </row>
    <row r="42" spans="2:40" x14ac:dyDescent="0.2">
      <c r="B42" s="181" t="str">
        <f>B31</f>
        <v>2016</v>
      </c>
      <c r="C42" s="70">
        <v>0</v>
      </c>
      <c r="D42" s="1088">
        <f>IF(F30&gt;0,+H31,0)</f>
        <v>8030.7117402150789</v>
      </c>
      <c r="E42" s="1088"/>
      <c r="F42" s="1089">
        <f>IF(+$G$16="yes",+C42*D42,0)</f>
        <v>0</v>
      </c>
      <c r="G42" s="1090"/>
      <c r="H42" s="83">
        <f>G31+F42</f>
        <v>30348059.666272782</v>
      </c>
      <c r="I42" s="147"/>
      <c r="J42" s="181" t="str">
        <f>B42</f>
        <v>2016</v>
      </c>
      <c r="K42" s="70">
        <v>0</v>
      </c>
      <c r="L42" s="1088">
        <f>IF(N30&gt;0,+P31,0)</f>
        <v>28664.208797153162</v>
      </c>
      <c r="M42" s="1088"/>
      <c r="N42" s="1089">
        <f>IF(+$G$16="yes",+K42*L42,0)</f>
        <v>0</v>
      </c>
      <c r="O42" s="1090"/>
      <c r="P42" s="83">
        <f>O31+N42</f>
        <v>12325609.78277586</v>
      </c>
      <c r="Q42" s="147"/>
      <c r="R42" s="181" t="str">
        <f>B42</f>
        <v>2016</v>
      </c>
      <c r="S42" s="70">
        <v>0</v>
      </c>
      <c r="T42" s="1088">
        <f>IF(V30&gt;0,+X31,0)</f>
        <v>796697.46895420155</v>
      </c>
      <c r="U42" s="1088"/>
      <c r="V42" s="1089">
        <f>IF(+$G$16="yes",+S42*T42,0)</f>
        <v>0</v>
      </c>
      <c r="W42" s="1090"/>
      <c r="X42" s="83">
        <f>W31+V42</f>
        <v>48598545.606206298</v>
      </c>
      <c r="Z42" s="181" t="str">
        <f>J42</f>
        <v>2016</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88">
        <f>IF(AD30&gt;0,+AF31,0)</f>
        <v>0</v>
      </c>
      <c r="AC42" s="1088"/>
      <c r="AD42" s="1089">
        <f>IF(+$G$16="yes",+AA42*AB42,0)</f>
        <v>0</v>
      </c>
      <c r="AE42" s="1090"/>
      <c r="AF42" s="83">
        <f>AE31+AD42</f>
        <v>0</v>
      </c>
      <c r="AH42" s="181" t="str">
        <f>R42</f>
        <v>2016</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88">
        <f>IF(AL30&gt;0,+AN31,0)</f>
        <v>0</v>
      </c>
      <c r="AK42" s="1088"/>
      <c r="AL42" s="1089">
        <f>IF(+$G$16="yes",+AI42*AJ42,0)</f>
        <v>0</v>
      </c>
      <c r="AM42" s="1090"/>
      <c r="AN42" s="83">
        <f>AM31+AL42</f>
        <v>0</v>
      </c>
    </row>
    <row r="43" spans="2:40" ht="13.5" thickBot="1" x14ac:dyDescent="0.25">
      <c r="B43" s="302" t="str">
        <f>B32</f>
        <v>2017</v>
      </c>
      <c r="C43" s="303">
        <v>0</v>
      </c>
      <c r="D43" s="1091">
        <f>IF(F30&gt;0,+H32,0)</f>
        <v>8034.7510741426804</v>
      </c>
      <c r="E43" s="1091"/>
      <c r="F43" s="1092">
        <f>IF(+$G$16="yes",+C43*D43,0)</f>
        <v>0</v>
      </c>
      <c r="G43" s="1093"/>
      <c r="H43" s="84">
        <f>G32+F43</f>
        <v>30363324.309185188</v>
      </c>
      <c r="I43" s="147"/>
      <c r="J43" s="302" t="str">
        <f>B43</f>
        <v>2017</v>
      </c>
      <c r="K43" s="303">
        <v>0</v>
      </c>
      <c r="L43" s="1091">
        <f>IF(N30&gt;0,+P32,0)</f>
        <v>28678.626486997815</v>
      </c>
      <c r="M43" s="1091"/>
      <c r="N43" s="1092">
        <f>IF(+$G$16="yes",+K43*L43,0)</f>
        <v>0</v>
      </c>
      <c r="O43" s="1093"/>
      <c r="P43" s="84">
        <f>O32+N43</f>
        <v>12331809.38940906</v>
      </c>
      <c r="Q43" s="147"/>
      <c r="R43" s="302" t="str">
        <f>B43</f>
        <v>2017</v>
      </c>
      <c r="S43" s="303">
        <v>0</v>
      </c>
      <c r="T43" s="1091">
        <f>IF(V30&gt;0,+X32,0)</f>
        <v>797098.19646385266</v>
      </c>
      <c r="U43" s="1091"/>
      <c r="V43" s="1092">
        <f>IF(+$G$16="yes",+S43*T43,0)</f>
        <v>0</v>
      </c>
      <c r="W43" s="1093"/>
      <c r="X43" s="84">
        <f>W32+V43</f>
        <v>48622989.984295011</v>
      </c>
      <c r="Z43" s="302" t="str">
        <f>J43</f>
        <v>2017</v>
      </c>
      <c r="AA43" s="30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91">
        <f>IF(AD30&gt;0,+AF32,0)</f>
        <v>0</v>
      </c>
      <c r="AC43" s="1091"/>
      <c r="AD43" s="1092">
        <f>IF(+$G$16="yes",+AA43*AB43,0)</f>
        <v>0</v>
      </c>
      <c r="AE43" s="1093"/>
      <c r="AF43" s="84">
        <f>AE32+AD43</f>
        <v>0</v>
      </c>
      <c r="AG43" s="304"/>
      <c r="AH43" s="302" t="str">
        <f>R43</f>
        <v>2017</v>
      </c>
      <c r="AI43" s="30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91">
        <f>IF(AL30&gt;0,+AN32,0)</f>
        <v>0</v>
      </c>
      <c r="AK43" s="1091"/>
      <c r="AL43" s="1092">
        <f>IF(+$G$16="yes",+AI43*AJ43,0)</f>
        <v>0</v>
      </c>
      <c r="AM43" s="1093"/>
      <c r="AN43" s="84">
        <f>AM32+AL43</f>
        <v>0</v>
      </c>
    </row>
    <row r="44" spans="2:40" x14ac:dyDescent="0.2">
      <c r="B44" s="1"/>
      <c r="C44" s="1"/>
      <c r="D44" s="1"/>
      <c r="E44" s="1"/>
      <c r="F44" s="1"/>
      <c r="G44" s="1"/>
    </row>
    <row r="46" spans="2:40" x14ac:dyDescent="0.2">
      <c r="X46" s="273"/>
    </row>
    <row r="47" spans="2:40" x14ac:dyDescent="0.2">
      <c r="G47" s="237"/>
    </row>
    <row r="54" spans="2:3" x14ac:dyDescent="0.2">
      <c r="B54" s="1097" t="s">
        <v>172</v>
      </c>
      <c r="C54" s="1097"/>
    </row>
    <row r="55" spans="2:3" x14ac:dyDescent="0.2">
      <c r="B55" s="555" t="s">
        <v>173</v>
      </c>
      <c r="C55" s="556"/>
    </row>
    <row r="56" spans="2:3" x14ac:dyDescent="0.2">
      <c r="B56" s="555" t="s">
        <v>174</v>
      </c>
      <c r="C56" s="556"/>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workbookViewId="0">
      <selection activeCell="AM21" sqref="AM21:AM34"/>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28" customFormat="1" x14ac:dyDescent="0.2">
      <c r="A1" s="744" t="s">
        <v>264</v>
      </c>
      <c r="B1" s="58"/>
      <c r="C1" s="58"/>
      <c r="D1" s="58"/>
      <c r="E1" s="58"/>
      <c r="F1" s="58"/>
      <c r="G1" s="58"/>
      <c r="H1" s="58"/>
      <c r="I1" s="58"/>
      <c r="J1" s="58"/>
      <c r="K1" s="58"/>
      <c r="L1" s="58"/>
      <c r="M1" s="145"/>
      <c r="N1" s="145"/>
      <c r="O1" s="145"/>
      <c r="P1" s="58"/>
      <c r="AD1" s="64"/>
    </row>
    <row r="2" spans="1:30" s="528" customFormat="1" x14ac:dyDescent="0.2">
      <c r="B2" s="58"/>
      <c r="C2" s="58"/>
      <c r="D2" s="58"/>
      <c r="E2" s="58"/>
      <c r="F2" s="58"/>
      <c r="G2" s="58"/>
      <c r="H2" s="58"/>
      <c r="I2" s="58"/>
      <c r="J2" s="58"/>
      <c r="K2" s="58"/>
      <c r="L2" s="58"/>
      <c r="M2" s="145"/>
      <c r="N2" s="145"/>
      <c r="O2" s="145"/>
      <c r="P2" s="58"/>
      <c r="AD2" s="64"/>
    </row>
    <row r="3" spans="1:30" s="528" customFormat="1" x14ac:dyDescent="0.2">
      <c r="B3" s="58"/>
      <c r="C3" s="58"/>
      <c r="D3" s="58"/>
      <c r="E3" s="58"/>
      <c r="F3" s="58"/>
      <c r="G3" s="58"/>
      <c r="H3" s="58"/>
      <c r="I3" s="58"/>
      <c r="J3" s="58"/>
      <c r="K3" s="58"/>
      <c r="L3" s="58"/>
      <c r="M3" s="145"/>
      <c r="N3" s="145"/>
      <c r="O3" s="145"/>
      <c r="P3" s="58"/>
      <c r="AD3" s="64"/>
    </row>
    <row r="4" spans="1:30" s="528" customFormat="1" x14ac:dyDescent="0.2">
      <c r="B4" s="58"/>
      <c r="C4" s="58"/>
      <c r="D4" s="58"/>
      <c r="E4" s="58"/>
      <c r="F4" s="58"/>
      <c r="G4" s="58"/>
      <c r="H4" s="58"/>
      <c r="I4" s="58"/>
      <c r="J4" s="58"/>
      <c r="K4" s="58"/>
      <c r="L4" s="58"/>
      <c r="M4" s="145"/>
      <c r="N4" s="145"/>
      <c r="O4" s="145"/>
      <c r="P4" s="58"/>
      <c r="AD4" s="64"/>
    </row>
    <row r="5" spans="1:30" s="528" customFormat="1" x14ac:dyDescent="0.2">
      <c r="B5" s="58"/>
      <c r="C5" s="58"/>
      <c r="D5" s="58"/>
      <c r="E5" s="58"/>
      <c r="F5" s="58"/>
      <c r="G5" s="58"/>
      <c r="H5" s="58"/>
      <c r="I5" s="58"/>
      <c r="J5" s="58"/>
      <c r="K5" s="58"/>
      <c r="L5" s="58"/>
      <c r="M5" s="145"/>
      <c r="N5" s="145"/>
      <c r="O5" s="145"/>
      <c r="P5" s="58"/>
      <c r="AD5" s="64"/>
    </row>
    <row r="6" spans="1:30" s="528" customFormat="1" x14ac:dyDescent="0.2">
      <c r="B6" s="58"/>
      <c r="C6" s="58"/>
      <c r="D6" s="58"/>
      <c r="E6" s="58"/>
      <c r="F6" s="58"/>
      <c r="G6" s="58"/>
      <c r="H6" s="58"/>
      <c r="I6" s="58"/>
      <c r="J6" s="58"/>
      <c r="K6" s="58"/>
      <c r="L6" s="58"/>
      <c r="M6" s="145"/>
      <c r="N6" s="145"/>
      <c r="O6" s="145"/>
      <c r="P6" s="58"/>
      <c r="AD6" s="64"/>
    </row>
    <row r="7" spans="1:30" s="528" customFormat="1" x14ac:dyDescent="0.2">
      <c r="B7" s="58"/>
      <c r="C7" s="58"/>
      <c r="D7" s="58"/>
      <c r="E7" s="58"/>
      <c r="F7" s="58"/>
      <c r="G7" s="58"/>
      <c r="H7" s="58"/>
      <c r="I7" s="58"/>
      <c r="J7" s="58"/>
      <c r="K7" s="58"/>
      <c r="L7" s="58"/>
      <c r="M7" s="145"/>
      <c r="N7" s="145"/>
      <c r="O7" s="145"/>
      <c r="P7" s="58"/>
      <c r="AD7" s="64"/>
    </row>
    <row r="8" spans="1:30" s="528" customFormat="1" x14ac:dyDescent="0.2">
      <c r="B8" s="58"/>
      <c r="C8" s="58"/>
      <c r="D8" s="58"/>
      <c r="E8" s="58"/>
      <c r="F8" s="58"/>
      <c r="G8" s="58"/>
      <c r="H8" s="58"/>
      <c r="I8" s="58"/>
      <c r="J8" s="58"/>
      <c r="K8" s="58"/>
      <c r="L8" s="58"/>
      <c r="M8" s="145"/>
      <c r="N8" s="145"/>
      <c r="O8" s="145"/>
      <c r="P8" s="58"/>
      <c r="AD8" s="64"/>
    </row>
    <row r="9" spans="1:30" s="528" customFormat="1" x14ac:dyDescent="0.2">
      <c r="B9" s="58"/>
      <c r="C9" s="58"/>
      <c r="D9" s="58"/>
      <c r="E9" s="58"/>
      <c r="F9" s="58"/>
      <c r="G9" s="58"/>
      <c r="H9" s="58"/>
      <c r="I9" s="58"/>
      <c r="J9" s="58"/>
      <c r="K9" s="58"/>
      <c r="L9" s="58"/>
      <c r="M9" s="145"/>
      <c r="N9" s="145"/>
      <c r="O9" s="145"/>
      <c r="P9" s="58"/>
      <c r="AD9" s="64"/>
    </row>
    <row r="11" spans="1:30" ht="23.25" x14ac:dyDescent="0.2">
      <c r="B11" s="133" t="s">
        <v>97</v>
      </c>
      <c r="C11" s="133"/>
      <c r="D11" s="133"/>
      <c r="Z11" s="64"/>
      <c r="AD11" s="1"/>
    </row>
    <row r="12" spans="1:30" ht="15" customHeight="1" x14ac:dyDescent="0.2">
      <c r="B12" s="63" t="s">
        <v>62</v>
      </c>
      <c r="C12" s="133"/>
      <c r="D12" s="133"/>
    </row>
    <row r="13" spans="1:30" ht="15" customHeight="1" x14ac:dyDescent="0.2">
      <c r="B13" s="100" t="s">
        <v>251</v>
      </c>
      <c r="C13" s="133"/>
      <c r="D13" s="133"/>
    </row>
    <row r="14" spans="1:30" ht="15" customHeight="1" x14ac:dyDescent="0.2">
      <c r="B14" s="100" t="s">
        <v>252</v>
      </c>
      <c r="C14" s="133"/>
      <c r="D14" s="133"/>
    </row>
    <row r="15" spans="1:30" ht="15" customHeight="1" x14ac:dyDescent="0.2">
      <c r="B15" s="100" t="s">
        <v>253</v>
      </c>
      <c r="C15" s="133"/>
      <c r="D15" s="133"/>
    </row>
    <row r="16" spans="1:30" ht="14.25" x14ac:dyDescent="0.2">
      <c r="B16" s="100" t="s">
        <v>254</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28" customFormat="1" ht="15" thickBot="1" x14ac:dyDescent="0.25">
      <c r="B17" s="100"/>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30"/>
      <c r="AD17" s="30"/>
    </row>
    <row r="18" spans="2:51" ht="12.75" customHeight="1" thickBot="1" x14ac:dyDescent="0.25">
      <c r="B18" s="1077" t="s">
        <v>260</v>
      </c>
      <c r="C18" s="1078"/>
      <c r="D18" s="1078"/>
      <c r="E18" s="1078"/>
      <c r="F18" s="1078"/>
      <c r="G18" s="1078"/>
      <c r="H18" s="1078"/>
      <c r="I18" s="1078"/>
      <c r="J18" s="1079"/>
      <c r="K18" s="185"/>
      <c r="L18" s="185"/>
      <c r="M18" s="1077" t="s">
        <v>101</v>
      </c>
      <c r="N18" s="1078"/>
      <c r="O18" s="1078"/>
      <c r="P18" s="1078"/>
      <c r="Q18" s="1078"/>
      <c r="R18" s="1078"/>
      <c r="S18" s="1078"/>
      <c r="T18" s="1078"/>
      <c r="U18" s="1079"/>
      <c r="V18" s="185"/>
      <c r="W18" s="1077" t="s">
        <v>84</v>
      </c>
      <c r="X18" s="1078"/>
      <c r="Y18" s="1078"/>
      <c r="Z18" s="1078"/>
      <c r="AA18" s="1078"/>
      <c r="AB18" s="1078"/>
      <c r="AC18" s="1078"/>
      <c r="AD18" s="1078"/>
      <c r="AE18" s="1079"/>
      <c r="AG18" s="1077" t="s">
        <v>102</v>
      </c>
      <c r="AH18" s="1078"/>
      <c r="AI18" s="1078"/>
      <c r="AJ18" s="1078"/>
      <c r="AK18" s="1078"/>
      <c r="AL18" s="1078"/>
      <c r="AM18" s="1078"/>
      <c r="AN18" s="1078"/>
      <c r="AO18" s="1079"/>
      <c r="AQ18" s="1077"/>
      <c r="AR18" s="1078"/>
      <c r="AS18" s="1078"/>
      <c r="AT18" s="1078"/>
      <c r="AU18" s="1078"/>
      <c r="AV18" s="1078"/>
      <c r="AW18" s="1078"/>
      <c r="AX18" s="1078"/>
      <c r="AY18" s="1079"/>
    </row>
    <row r="19" spans="2:51" ht="46.5" customHeight="1" x14ac:dyDescent="0.2">
      <c r="B19" s="398" t="s">
        <v>33</v>
      </c>
      <c r="C19" s="484" t="s">
        <v>35</v>
      </c>
      <c r="D19" s="484" t="s">
        <v>230</v>
      </c>
      <c r="E19" s="396" t="s">
        <v>35</v>
      </c>
      <c r="F19" s="396" t="s">
        <v>36</v>
      </c>
      <c r="G19" s="396" t="s">
        <v>178</v>
      </c>
      <c r="H19" s="396" t="s">
        <v>176</v>
      </c>
      <c r="I19" s="396" t="s">
        <v>177</v>
      </c>
      <c r="J19" s="397" t="s">
        <v>40</v>
      </c>
      <c r="K19" s="186"/>
      <c r="L19" s="186"/>
      <c r="M19" s="398" t="s">
        <v>33</v>
      </c>
      <c r="N19" s="484" t="s">
        <v>35</v>
      </c>
      <c r="O19" s="484" t="s">
        <v>230</v>
      </c>
      <c r="P19" s="396" t="s">
        <v>35</v>
      </c>
      <c r="Q19" s="396" t="s">
        <v>36</v>
      </c>
      <c r="R19" s="396" t="s">
        <v>178</v>
      </c>
      <c r="S19" s="396" t="s">
        <v>176</v>
      </c>
      <c r="T19" s="396" t="s">
        <v>177</v>
      </c>
      <c r="U19" s="397" t="s">
        <v>40</v>
      </c>
      <c r="V19" s="64"/>
      <c r="W19" s="374" t="s">
        <v>33</v>
      </c>
      <c r="X19" s="484" t="s">
        <v>35</v>
      </c>
      <c r="Y19" s="484" t="s">
        <v>230</v>
      </c>
      <c r="Z19" s="369" t="s">
        <v>35</v>
      </c>
      <c r="AA19" s="369" t="s">
        <v>36</v>
      </c>
      <c r="AB19" s="369" t="s">
        <v>178</v>
      </c>
      <c r="AC19" s="369" t="s">
        <v>176</v>
      </c>
      <c r="AD19" s="369" t="s">
        <v>177</v>
      </c>
      <c r="AE19" s="330" t="s">
        <v>40</v>
      </c>
      <c r="AG19" s="398" t="s">
        <v>33</v>
      </c>
      <c r="AH19" s="484" t="s">
        <v>35</v>
      </c>
      <c r="AI19" s="484" t="s">
        <v>230</v>
      </c>
      <c r="AJ19" s="369" t="s">
        <v>35</v>
      </c>
      <c r="AK19" s="396" t="s">
        <v>36</v>
      </c>
      <c r="AL19" s="396" t="s">
        <v>178</v>
      </c>
      <c r="AM19" s="396" t="s">
        <v>176</v>
      </c>
      <c r="AN19" s="396" t="s">
        <v>177</v>
      </c>
      <c r="AO19" s="397" t="s">
        <v>40</v>
      </c>
      <c r="AQ19" s="398" t="s">
        <v>33</v>
      </c>
      <c r="AR19" s="484" t="s">
        <v>35</v>
      </c>
      <c r="AS19" s="484" t="s">
        <v>230</v>
      </c>
      <c r="AT19" s="369" t="s">
        <v>35</v>
      </c>
      <c r="AU19" s="396" t="s">
        <v>36</v>
      </c>
      <c r="AV19" s="396" t="s">
        <v>178</v>
      </c>
      <c r="AW19" s="396" t="s">
        <v>176</v>
      </c>
      <c r="AX19" s="396" t="s">
        <v>177</v>
      </c>
      <c r="AY19" s="397" t="s">
        <v>40</v>
      </c>
    </row>
    <row r="20" spans="2:51" x14ac:dyDescent="0.2">
      <c r="B20" s="92" t="s">
        <v>30</v>
      </c>
      <c r="C20" s="485"/>
      <c r="D20" s="485"/>
      <c r="E20" s="93"/>
      <c r="F20" s="93"/>
      <c r="G20" s="324"/>
      <c r="H20" s="324"/>
      <c r="I20" s="224"/>
      <c r="J20" s="371"/>
      <c r="K20" s="146"/>
      <c r="L20" s="146"/>
      <c r="M20" s="92" t="s">
        <v>30</v>
      </c>
      <c r="N20" s="485"/>
      <c r="O20" s="485"/>
      <c r="P20" s="93"/>
      <c r="Q20" s="93"/>
      <c r="R20" s="93"/>
      <c r="S20" s="93"/>
      <c r="T20" s="93"/>
      <c r="U20" s="94"/>
      <c r="V20" s="64"/>
      <c r="W20" s="92" t="s">
        <v>30</v>
      </c>
      <c r="X20" s="485"/>
      <c r="Y20" s="485"/>
      <c r="Z20" s="93"/>
      <c r="AA20" s="93"/>
      <c r="AB20" s="93"/>
      <c r="AC20" s="93"/>
      <c r="AD20" s="93"/>
      <c r="AE20" s="241"/>
      <c r="AG20" s="92" t="s">
        <v>30</v>
      </c>
      <c r="AH20" s="485"/>
      <c r="AI20" s="485"/>
      <c r="AJ20" s="93"/>
      <c r="AK20" s="93"/>
      <c r="AL20" s="93"/>
      <c r="AM20" s="93"/>
      <c r="AN20" s="93"/>
      <c r="AO20" s="241"/>
      <c r="AQ20" s="92" t="s">
        <v>30</v>
      </c>
      <c r="AR20" s="485"/>
      <c r="AS20" s="485"/>
      <c r="AT20" s="93"/>
      <c r="AU20" s="93"/>
      <c r="AV20" s="93"/>
      <c r="AW20" s="93"/>
      <c r="AX20" s="93"/>
      <c r="AY20" s="241"/>
    </row>
    <row r="21" spans="2:51" ht="12.75" customHeight="1" x14ac:dyDescent="0.2">
      <c r="B21" s="190">
        <f>'4. Customer Growth'!B17</f>
        <v>2006</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51984380</v>
      </c>
      <c r="D21" s="452"/>
      <c r="E21" s="70">
        <f>+D21+C21</f>
        <v>51984380</v>
      </c>
      <c r="F21" s="70">
        <f>+IF($B$18='2. Customer Classes'!$B$18,+SUM('3. Consumption by Rate Class'!$M$25:$M$36),+IF($B$18='2. Customer Classes'!$B$19,+SUM('3. Consumption by Rate Class'!$P$25:$P$36),IF($B$18='2. Customer Classes'!$B$20,+SUM('3. Consumption by Rate Class'!$S$25:$S$36),0)))</f>
        <v>153660</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62</v>
      </c>
      <c r="H21" s="370">
        <f>IF(F21&gt;0,+E21/G21,0)</f>
        <v>838457.74193548388</v>
      </c>
      <c r="I21" s="373">
        <f>IF(F21&gt;0,+F21/G21,0)</f>
        <v>2478.3870967741937</v>
      </c>
      <c r="J21" s="336">
        <f>IF(F21&gt;0,+F21/E21,0)</f>
        <v>2.9558879032509379E-3</v>
      </c>
      <c r="K21" s="183"/>
      <c r="L21" s="183"/>
      <c r="M21" s="190">
        <f t="shared" ref="M21:M32" si="0">B21</f>
        <v>2006</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1095963</v>
      </c>
      <c r="O21" s="452"/>
      <c r="P21" s="70">
        <f>+N21+O21</f>
        <v>1095963</v>
      </c>
      <c r="Q21" s="224">
        <f>+IF($M$18='2. Customer Classes'!$B$18,+SUM('3. Consumption by Rate Class'!$M$25:$M$36),+IF($M$18='2. Customer Classes'!$B$19,+SUM('3. Consumption by Rate Class'!$P$25:$P$36),IF($M$18='2. Customer Classes'!$B$20,+SUM('3. Consumption by Rate Class'!$S$25:$S$36),0)))</f>
        <v>3053</v>
      </c>
      <c r="R21" s="224">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1149</v>
      </c>
      <c r="S21" s="370">
        <f>IF(Q21&gt;0,+P21/R21,0)</f>
        <v>953.84073107049608</v>
      </c>
      <c r="T21" s="373">
        <f>IF(Q21&gt;0,+Q21/R21,0)</f>
        <v>2.6570931244560487</v>
      </c>
      <c r="U21" s="336">
        <f>IF(Q21&gt;0,+Q21/P21,0)</f>
        <v>2.7856779836545578E-3</v>
      </c>
      <c r="V21" s="64"/>
      <c r="W21" s="190">
        <f t="shared" ref="W21:W32" si="1">B21</f>
        <v>2006</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0</v>
      </c>
      <c r="Y21" s="452"/>
      <c r="Z21" s="70">
        <f>+X21+Y21</f>
        <v>0</v>
      </c>
      <c r="AA21" s="224">
        <f>+IF($W$18='2. Customer Classes'!$B$18,+SUM('3. Consumption by Rate Class'!$M$25:$M$36),+IF($W$18='2. Customer Classes'!$B$19,+SUM('3. Consumption by Rate Class'!$P$25:$P$36),IF($W$18='2. Customer Classes'!$B$20,+SUM('3. Consumption by Rate Class'!$S$25:$S$36),0)))</f>
        <v>0</v>
      </c>
      <c r="AB21" s="224">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0</v>
      </c>
      <c r="AC21" s="370">
        <f>IF(AA21&gt;0,+Z21/AB21,0)</f>
        <v>0</v>
      </c>
      <c r="AD21" s="373">
        <f>IF(AA21&gt;0,+AA21/AB21,0)</f>
        <v>0</v>
      </c>
      <c r="AE21" s="336">
        <f>IF(AA21&gt;0,+AA21/Z21,0)</f>
        <v>0</v>
      </c>
      <c r="AG21" s="351">
        <f>+B21</f>
        <v>2006</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160045</v>
      </c>
      <c r="AI21" s="452"/>
      <c r="AJ21" s="70">
        <f>+AH21+AI21</f>
        <v>160045</v>
      </c>
      <c r="AK21" s="224">
        <f>+IF($AG$18='2. Customer Classes'!$B$18,+SUM('3. Consumption by Rate Class'!$M$25:$M$36),+IF($AG$18='2. Customer Classes'!$B$19,+SUM('3. Consumption by Rate Class'!$P$25:$P$36),IF($AG$18='2. Customer Classes'!$B$20,+SUM('3. Consumption by Rate Class'!$S$25:$S$36),IF($AG$18='2. Customer Classes'!$B$21,+SUM('3. Consumption by Rate Class'!$V$25:$V$36),0))))</f>
        <v>0</v>
      </c>
      <c r="AL21" s="224">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28</v>
      </c>
      <c r="AM21" s="370">
        <f>IF(AK21=0,+AJ21/AL21,0)</f>
        <v>5715.8928571428569</v>
      </c>
      <c r="AN21" s="373">
        <f>IF(AK21&gt;0,+AK21/AL21,0)</f>
        <v>0</v>
      </c>
      <c r="AO21" s="336">
        <f>IF(AK21=0,+AK21/AJ21,0)</f>
        <v>0</v>
      </c>
      <c r="AQ21" s="351">
        <f>+B21</f>
        <v>2006</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2"/>
      <c r="AT21" s="70">
        <f>+AR21+AS21</f>
        <v>0</v>
      </c>
      <c r="AU21" s="224">
        <f>+IF($AQ$18='2. Customer Classes'!$B$18,+SUM('3. Consumption by Rate Class'!$M$25:$M$36),+IF($AQ$18='2. Customer Classes'!$B$19,+SUM('3. Consumption by Rate Class'!$P$25:$P$36),IF($AQ$18='2. Customer Classes'!$B$20,+SUM('3. Consumption by Rate Class'!$S$25:$S$36),0)))</f>
        <v>0</v>
      </c>
      <c r="AV21" s="224">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0">
        <f>IF(AV21&gt;0,+AT21/AV21,0)</f>
        <v>0</v>
      </c>
      <c r="AX21" s="373">
        <f>IF(AU21&gt;0,+AU21/AV21,0)</f>
        <v>0</v>
      </c>
      <c r="AY21" s="336">
        <f>IF(AU21&gt;0,+AU21/AT21,0)</f>
        <v>0</v>
      </c>
    </row>
    <row r="22" spans="2:51" ht="12.75" customHeight="1" x14ac:dyDescent="0.2">
      <c r="B22" s="190">
        <f>'4. Customer Growth'!B18</f>
        <v>2007</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53203197</v>
      </c>
      <c r="D22" s="452"/>
      <c r="E22" s="70">
        <f t="shared" ref="E22:E32" si="2">+D22+C22</f>
        <v>53203197</v>
      </c>
      <c r="F22" s="70">
        <f>+IF($B$18='2. Customer Classes'!$B$18,+SUM('3. Consumption by Rate Class'!$M$37:$M$48),+IF($B$18='2. Customer Classes'!$B$19,+SUM('3. Consumption by Rate Class'!$P$37:$P$48),IF($B$18='2. Customer Classes'!$B$20,+SUM('3. Consumption by Rate Class'!$S$37:$S$48),0)))</f>
        <v>146521</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65</v>
      </c>
      <c r="H22" s="370">
        <f t="shared" ref="H22:H32" si="3">IF(F22&gt;0,+E22/G22,0)</f>
        <v>818510.72307692305</v>
      </c>
      <c r="I22" s="373">
        <f t="shared" ref="I22:I32" si="4">IF(F22&gt;0,+F22/G22,0)</f>
        <v>2254.1692307692306</v>
      </c>
      <c r="J22" s="336">
        <f t="shared" ref="J22:J30" si="5">IF(F22&gt;0,+F22/E22,0)</f>
        <v>2.7539886371865962E-3</v>
      </c>
      <c r="K22" s="183"/>
      <c r="L22" s="183"/>
      <c r="M22" s="190">
        <f t="shared" si="0"/>
        <v>2007</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1105833</v>
      </c>
      <c r="O22" s="452"/>
      <c r="P22" s="70">
        <f t="shared" ref="P22:P32" si="6">+N22+O22</f>
        <v>1105833</v>
      </c>
      <c r="Q22" s="224">
        <f>+IF($M$18='2. Customer Classes'!$B$18,+SUM('3. Consumption by Rate Class'!$M$37:$M$48),+IF($M$18='2. Customer Classes'!$B$19,+SUM('3. Consumption by Rate Class'!$P$37:$P$48),IF($M$18='2. Customer Classes'!$B$20,+SUM('3. Consumption by Rate Class'!$S$37:$S$48),0)))</f>
        <v>3095</v>
      </c>
      <c r="R22" s="224">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1151</v>
      </c>
      <c r="S22" s="370">
        <f t="shared" ref="S22:S32" si="7">IF(Q22&gt;0,+P22/R22,0)</f>
        <v>960.75847089487399</v>
      </c>
      <c r="T22" s="373">
        <f t="shared" ref="T22:T32" si="8">IF(Q22&gt;0,+Q22/R22,0)</f>
        <v>2.6889661164205041</v>
      </c>
      <c r="U22" s="336">
        <f t="shared" ref="U22:U30" si="9">IF(Q22&gt;0,+Q22/P22,0)</f>
        <v>2.7987951164416326E-3</v>
      </c>
      <c r="V22" s="64"/>
      <c r="W22" s="190">
        <f t="shared" si="1"/>
        <v>2007</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0</v>
      </c>
      <c r="Y22" s="452"/>
      <c r="Z22" s="70">
        <f t="shared" ref="Z22:Z32" si="10">+X22+Y22</f>
        <v>0</v>
      </c>
      <c r="AA22" s="224">
        <f>+IF($W$18='2. Customer Classes'!$B$18,+SUM('3. Consumption by Rate Class'!$M$37:$M$48),+IF($W$18='2. Customer Classes'!$B$19,+SUM('3. Consumption by Rate Class'!$P$37:$P$48),IF($W$18='2. Customer Classes'!$B$20,+SUM('3. Consumption by Rate Class'!$S$37:$S$48),0)))</f>
        <v>0</v>
      </c>
      <c r="AB22" s="224">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0</v>
      </c>
      <c r="AC22" s="370">
        <f t="shared" ref="AC22:AC32" si="11">IF(AA22&gt;0,+Z22/AB22,0)</f>
        <v>0</v>
      </c>
      <c r="AD22" s="373">
        <f t="shared" ref="AD22:AD32" si="12">IF(AA22&gt;0,+AA22/AB22,0)</f>
        <v>0</v>
      </c>
      <c r="AE22" s="336">
        <f t="shared" ref="AE22:AE30" si="13">IF(AA22&gt;0,+AA22/Z22,0)</f>
        <v>0</v>
      </c>
      <c r="AG22" s="351">
        <f t="shared" ref="AG22:AG32" si="14">+B22</f>
        <v>2007</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142221</v>
      </c>
      <c r="AI22" s="452"/>
      <c r="AJ22" s="70">
        <f t="shared" ref="AJ22:AJ32" si="15">+AH22+AI22</f>
        <v>142221</v>
      </c>
      <c r="AK22" s="224">
        <f>+IF($AG$18='2. Customer Classes'!$B$18,+SUM('3. Consumption by Rate Class'!$M$37:$M$48),+IF($AG$18='2. Customer Classes'!$B$19,+SUM('3. Consumption by Rate Class'!$P$37:$P$48),IF($AG$18='2. Customer Classes'!$B$20,+SUM('3. Consumption by Rate Class'!$S$37:$S$48),IF($AG$18='2. Customer Classes'!$B$21,+SUM('3. Consumption by Rate Class'!$V$37:$V$48),0))))</f>
        <v>0</v>
      </c>
      <c r="AL22" s="224">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29</v>
      </c>
      <c r="AM22" s="370">
        <f t="shared" ref="AM22:AM32" si="16">IF(AK22=0,+AJ22/AL22,0)</f>
        <v>4904.1724137931033</v>
      </c>
      <c r="AN22" s="373">
        <f t="shared" ref="AN22:AN32" si="17">IF(AK22&gt;0,+AK22/AL22,0)</f>
        <v>0</v>
      </c>
      <c r="AO22" s="336">
        <f t="shared" ref="AO22:AO30" si="18">IF(AK22&gt;0,+AK22/AJ22,0)</f>
        <v>0</v>
      </c>
      <c r="AQ22" s="351">
        <f t="shared" ref="AQ22:AQ32" si="19">+B22</f>
        <v>2007</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2"/>
      <c r="AT22" s="70">
        <f t="shared" ref="AT22:AT32" si="20">+AR22+AS22</f>
        <v>0</v>
      </c>
      <c r="AU22" s="224">
        <f>+IF($AQ$18='2. Customer Classes'!$B$18,+SUM('3. Consumption by Rate Class'!$M$37:$M$48),+IF($AQ$18='2. Customer Classes'!$B$19,+SUM('3. Consumption by Rate Class'!$P$37:$P$48),IF($AQ$18='2. Customer Classes'!$B$20,+SUM('3. Consumption by Rate Class'!$S$37:$S$48),0)))</f>
        <v>0</v>
      </c>
      <c r="AV22" s="224">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0">
        <f t="shared" ref="AW22:AW32" si="21">IF(AV22&gt;0,+AT22/AV22,0)</f>
        <v>0</v>
      </c>
      <c r="AX22" s="373">
        <f t="shared" ref="AX22:AX32" si="22">IF(AU22&gt;0,+AU22/AV22,0)</f>
        <v>0</v>
      </c>
      <c r="AY22" s="336">
        <f t="shared" ref="AY22:AY30" si="23">IF(AU22&gt;0,+AU22/AT22,0)</f>
        <v>0</v>
      </c>
    </row>
    <row r="23" spans="2:51" ht="12.75" customHeight="1" x14ac:dyDescent="0.2">
      <c r="B23" s="190">
        <f>'4. Customer Growth'!B19</f>
        <v>2008</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55283988</v>
      </c>
      <c r="D23" s="452"/>
      <c r="E23" s="70">
        <f t="shared" si="2"/>
        <v>55283988</v>
      </c>
      <c r="F23" s="70">
        <f>+IF($B$18='2. Customer Classes'!$B$18,+SUM('3. Consumption by Rate Class'!$M$49:$M$60),+IF($B$18='2. Customer Classes'!$B$19,+SUM('3. Consumption by Rate Class'!$P$49:$P$60),IF($B$18='2. Customer Classes'!$B$20,+SUM('3. Consumption by Rate Class'!$S$49:$S$60),0)))</f>
        <v>148947</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67</v>
      </c>
      <c r="H23" s="370">
        <f t="shared" si="3"/>
        <v>825134.14925373136</v>
      </c>
      <c r="I23" s="373">
        <f t="shared" si="4"/>
        <v>2223.0895522388059</v>
      </c>
      <c r="J23" s="336">
        <f t="shared" si="5"/>
        <v>2.6942159093153698E-3</v>
      </c>
      <c r="K23" s="183"/>
      <c r="L23" s="183"/>
      <c r="M23" s="190">
        <f t="shared" si="0"/>
        <v>2008</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1107983</v>
      </c>
      <c r="O23" s="452"/>
      <c r="P23" s="70">
        <f t="shared" si="6"/>
        <v>1107983</v>
      </c>
      <c r="Q23" s="224">
        <f>+IF($M$18='2. Customer Classes'!$B$18,+SUM('3. Consumption by Rate Class'!$M$49:$M$60),+IF($M$18='2. Customer Classes'!$B$19,+SUM('3. Consumption by Rate Class'!$P$49:$P$60),IF($M$18='2. Customer Classes'!$B$20,+SUM('3. Consumption by Rate Class'!$S$49:$S$60),0)))</f>
        <v>3100</v>
      </c>
      <c r="R23" s="224">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1158</v>
      </c>
      <c r="S23" s="370">
        <f t="shared" si="7"/>
        <v>956.80742659758209</v>
      </c>
      <c r="T23" s="373">
        <f t="shared" si="8"/>
        <v>2.6770293609671847</v>
      </c>
      <c r="U23" s="336">
        <f t="shared" si="9"/>
        <v>2.7978768627316482E-3</v>
      </c>
      <c r="V23" s="64"/>
      <c r="W23" s="190">
        <f t="shared" si="1"/>
        <v>2008</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0</v>
      </c>
      <c r="Y23" s="452"/>
      <c r="Z23" s="70">
        <f t="shared" si="10"/>
        <v>0</v>
      </c>
      <c r="AA23" s="224">
        <f>+IF($W$18='2. Customer Classes'!$B$18,+SUM('3. Consumption by Rate Class'!$M$49:$M$60),+IF($W$18='2. Customer Classes'!$B$19,+SUM('3. Consumption by Rate Class'!$P$49:$P$60),IF($W$18='2. Customer Classes'!$B$20,+SUM('3. Consumption by Rate Class'!$S$49:$S$60),0)))</f>
        <v>0</v>
      </c>
      <c r="AB23" s="224">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0</v>
      </c>
      <c r="AC23" s="370">
        <f t="shared" si="11"/>
        <v>0</v>
      </c>
      <c r="AD23" s="373">
        <f t="shared" si="12"/>
        <v>0</v>
      </c>
      <c r="AE23" s="336">
        <f t="shared" si="13"/>
        <v>0</v>
      </c>
      <c r="AG23" s="351">
        <f t="shared" si="14"/>
        <v>2008</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140870</v>
      </c>
      <c r="AI23" s="452"/>
      <c r="AJ23" s="70">
        <f t="shared" si="15"/>
        <v>140870</v>
      </c>
      <c r="AK23" s="224">
        <f>+IF($AG$18='2. Customer Classes'!$B$18,+SUM('3. Consumption by Rate Class'!$M$49:$M$60),+IF($AG$18='2. Customer Classes'!$B$19,+SUM('3. Consumption by Rate Class'!$P$49:$P$60),IF($AG$18='2. Customer Classes'!$B$20,+SUM('3. Consumption by Rate Class'!$S$49:$S$60),IF($AG$18='2. Customer Classes'!$B$21,+SUM('3. Consumption by Rate Class'!$V$49:$V$60),0))))</f>
        <v>0</v>
      </c>
      <c r="AL23" s="224">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30</v>
      </c>
      <c r="AM23" s="370">
        <f t="shared" si="16"/>
        <v>4695.666666666667</v>
      </c>
      <c r="AN23" s="373">
        <f t="shared" si="17"/>
        <v>0</v>
      </c>
      <c r="AO23" s="336">
        <f t="shared" si="18"/>
        <v>0</v>
      </c>
      <c r="AQ23" s="351">
        <f t="shared" si="19"/>
        <v>2008</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2"/>
      <c r="AT23" s="70">
        <f t="shared" si="20"/>
        <v>0</v>
      </c>
      <c r="AU23" s="224">
        <f>+IF($AQ$18='2. Customer Classes'!$B$18,+SUM('3. Consumption by Rate Class'!$M$49:$M$60),+IF($AQ$18='2. Customer Classes'!$B$19,+SUM('3. Consumption by Rate Class'!$P$49:$P$60),IF($AQ$18='2. Customer Classes'!$B$20,+SUM('3. Consumption by Rate Class'!$S$49:$S$60),0)))</f>
        <v>0</v>
      </c>
      <c r="AV23" s="224">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0">
        <f t="shared" si="21"/>
        <v>0</v>
      </c>
      <c r="AX23" s="373">
        <f t="shared" si="22"/>
        <v>0</v>
      </c>
      <c r="AY23" s="336">
        <f t="shared" si="23"/>
        <v>0</v>
      </c>
    </row>
    <row r="24" spans="2:51" ht="12.75" customHeight="1" x14ac:dyDescent="0.2">
      <c r="B24" s="190">
        <f>'4. Customer Growth'!B20</f>
        <v>2009</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52230300</v>
      </c>
      <c r="D24" s="452"/>
      <c r="E24" s="70">
        <f t="shared" si="2"/>
        <v>52230300</v>
      </c>
      <c r="F24" s="70">
        <f>+IF($B$18='2. Customer Classes'!$B$18,+SUM('3. Consumption by Rate Class'!$M$61:$M$72),+IF($B$18='2. Customer Classes'!$B$19,+SUM('3. Consumption by Rate Class'!$P$61:$P$72),IF($B$18='2. Customer Classes'!$B$20,+SUM('3. Consumption by Rate Class'!$S$61:$S$72),0)))</f>
        <v>141729</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66</v>
      </c>
      <c r="H24" s="370">
        <f t="shared" si="3"/>
        <v>791368.18181818177</v>
      </c>
      <c r="I24" s="373">
        <f t="shared" si="4"/>
        <v>2147.409090909091</v>
      </c>
      <c r="J24" s="336">
        <f t="shared" si="5"/>
        <v>2.7135398418159573E-3</v>
      </c>
      <c r="K24" s="183"/>
      <c r="L24" s="183"/>
      <c r="M24" s="190">
        <f t="shared" si="0"/>
        <v>2009</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1114732</v>
      </c>
      <c r="O24" s="452"/>
      <c r="P24" s="70">
        <f t="shared" si="6"/>
        <v>1114732</v>
      </c>
      <c r="Q24" s="224">
        <f>+IF($M$18='2. Customer Classes'!$B$18,+SUM('3. Consumption by Rate Class'!$M$61:$M$72),+IF($M$18='2. Customer Classes'!$B$19,+SUM('3. Consumption by Rate Class'!$P$61:$P$72),IF($M$18='2. Customer Classes'!$B$20,+SUM('3. Consumption by Rate Class'!$S$61:$S$72),0)))</f>
        <v>3092</v>
      </c>
      <c r="R24" s="224">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1167</v>
      </c>
      <c r="S24" s="370">
        <f t="shared" si="7"/>
        <v>955.21165381319622</v>
      </c>
      <c r="T24" s="373">
        <f t="shared" si="8"/>
        <v>2.6495287060839758</v>
      </c>
      <c r="U24" s="336">
        <f t="shared" si="9"/>
        <v>2.7737608680830908E-3</v>
      </c>
      <c r="V24" s="64"/>
      <c r="W24" s="190">
        <f t="shared" si="1"/>
        <v>2009</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0</v>
      </c>
      <c r="Y24" s="452"/>
      <c r="Z24" s="70">
        <f t="shared" si="10"/>
        <v>0</v>
      </c>
      <c r="AA24" s="532">
        <f>+IF($W$18='2. Customer Classes'!$B$18,+SUM('3. Consumption by Rate Class'!$M$61:$M$72),+IF($W$18='2. Customer Classes'!$B$19,+SUM('3. Consumption by Rate Class'!$P$61:$P$72),IF($W$18='2. Customer Classes'!$B$20,+SUM('3. Consumption by Rate Class'!$S$61:$S$72),0)))</f>
        <v>0</v>
      </c>
      <c r="AB24" s="224">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0</v>
      </c>
      <c r="AC24" s="370">
        <f t="shared" si="11"/>
        <v>0</v>
      </c>
      <c r="AD24" s="373">
        <f t="shared" si="12"/>
        <v>0</v>
      </c>
      <c r="AE24" s="336">
        <f t="shared" si="13"/>
        <v>0</v>
      </c>
      <c r="AG24" s="351">
        <f t="shared" si="14"/>
        <v>2009</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140485</v>
      </c>
      <c r="AI24" s="452"/>
      <c r="AJ24" s="70">
        <f t="shared" si="15"/>
        <v>140485</v>
      </c>
      <c r="AK24" s="224">
        <f>+IF($AG$18='2. Customer Classes'!$B$18,+SUM('3. Consumption by Rate Class'!$M$61:$M$72),+IF($AG$18='2. Customer Classes'!$B$19,+SUM('3. Consumption by Rate Class'!$P$61:$P$72),IF($AG$18='2. Customer Classes'!$B$20,+SUM('3. Consumption by Rate Class'!$S$61:$S$72),IF($AG$18='2. Customer Classes'!$B$21,+SUM('3. Consumption by Rate Class'!$V$61:$V$72),0))))</f>
        <v>0</v>
      </c>
      <c r="AL24" s="224">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30</v>
      </c>
      <c r="AM24" s="370">
        <f t="shared" si="16"/>
        <v>4682.833333333333</v>
      </c>
      <c r="AN24" s="373">
        <f t="shared" si="17"/>
        <v>0</v>
      </c>
      <c r="AO24" s="336">
        <f t="shared" si="18"/>
        <v>0</v>
      </c>
      <c r="AQ24" s="351">
        <f t="shared" si="19"/>
        <v>2009</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2"/>
      <c r="AT24" s="70">
        <f t="shared" si="20"/>
        <v>0</v>
      </c>
      <c r="AU24" s="224">
        <f>+IF($AQ$18='2. Customer Classes'!$B$18,+SUM('3. Consumption by Rate Class'!$M$61:$M$72),+IF($AQ$18='2. Customer Classes'!$B$19,+SUM('3. Consumption by Rate Class'!$P$61:$P$72),IF($AQ$18='2. Customer Classes'!$B$20,+SUM('3. Consumption by Rate Class'!$S$61:$S$72),0)))</f>
        <v>0</v>
      </c>
      <c r="AV24" s="224">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0">
        <f t="shared" si="21"/>
        <v>0</v>
      </c>
      <c r="AX24" s="373">
        <f t="shared" si="22"/>
        <v>0</v>
      </c>
      <c r="AY24" s="336">
        <f t="shared" si="23"/>
        <v>0</v>
      </c>
    </row>
    <row r="25" spans="2:51" ht="12.75" customHeight="1" x14ac:dyDescent="0.2">
      <c r="B25" s="190">
        <f>'4. Customer Growth'!B21</f>
        <v>2010</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51703213</v>
      </c>
      <c r="D25" s="452"/>
      <c r="E25" s="70">
        <f t="shared" si="2"/>
        <v>51703213</v>
      </c>
      <c r="F25" s="70">
        <f>+IF($B$18='2. Customer Classes'!$B$18,+SUM('3. Consumption by Rate Class'!$M$73:$M$84),+IF($B$18='2. Customer Classes'!$B$19,+SUM('3. Consumption by Rate Class'!$P$73:$P$84),IF($B$18='2. Customer Classes'!$B$20,+SUM('3. Consumption by Rate Class'!$S$73:$S$84),0)))</f>
        <v>141797</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59</v>
      </c>
      <c r="H25" s="370">
        <f t="shared" si="3"/>
        <v>876325.64406779665</v>
      </c>
      <c r="I25" s="373">
        <f t="shared" si="4"/>
        <v>2403.3389830508477</v>
      </c>
      <c r="J25" s="336">
        <f t="shared" si="5"/>
        <v>2.7425181487270435E-3</v>
      </c>
      <c r="K25" s="183"/>
      <c r="L25" s="183"/>
      <c r="M25" s="190">
        <f t="shared" si="0"/>
        <v>2010</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1116726</v>
      </c>
      <c r="O25" s="452"/>
      <c r="P25" s="70">
        <f t="shared" si="6"/>
        <v>1116726</v>
      </c>
      <c r="Q25" s="224">
        <f>+IF($M$18='2. Customer Classes'!$B$18,+SUM('3. Consumption by Rate Class'!$M$73:$M$84),+IF($M$18='2. Customer Classes'!$B$19,+SUM('3. Consumption by Rate Class'!$P$73:$P$84),IF($M$18='2. Customer Classes'!$B$20,+SUM('3. Consumption by Rate Class'!$S$73:$S$84),0)))</f>
        <v>3098</v>
      </c>
      <c r="R25" s="224">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1174</v>
      </c>
      <c r="S25" s="370">
        <f t="shared" si="7"/>
        <v>951.21465076660991</v>
      </c>
      <c r="T25" s="373">
        <f t="shared" si="8"/>
        <v>2.6388415672913119</v>
      </c>
      <c r="U25" s="336">
        <f t="shared" si="9"/>
        <v>2.7741809539672218E-3</v>
      </c>
      <c r="V25" s="64"/>
      <c r="W25" s="190">
        <f t="shared" si="1"/>
        <v>2010</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0</v>
      </c>
      <c r="Y25" s="452"/>
      <c r="Z25" s="70">
        <f t="shared" si="10"/>
        <v>0</v>
      </c>
      <c r="AA25" s="224">
        <f>+IF($W$18='2. Customer Classes'!$B$18,+SUM('3. Consumption by Rate Class'!$M$73:$M$84),+IF($W$18='2. Customer Classes'!$B$19,+SUM('3. Consumption by Rate Class'!$P$73:$P$84),IF($W$18='2. Customer Classes'!$B$20,+SUM('3. Consumption by Rate Class'!$S$73:$S$84),0)))</f>
        <v>0</v>
      </c>
      <c r="AB25" s="224">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0</v>
      </c>
      <c r="AC25" s="370">
        <f t="shared" si="11"/>
        <v>0</v>
      </c>
      <c r="AD25" s="373">
        <f t="shared" si="12"/>
        <v>0</v>
      </c>
      <c r="AE25" s="336">
        <f t="shared" si="13"/>
        <v>0</v>
      </c>
      <c r="AG25" s="351">
        <f t="shared" si="14"/>
        <v>2010</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150176</v>
      </c>
      <c r="AI25" s="452"/>
      <c r="AJ25" s="70">
        <f t="shared" si="15"/>
        <v>150176</v>
      </c>
      <c r="AK25" s="224">
        <f>+IF($AG$18='2. Customer Classes'!$B$18,+SUM('3. Consumption by Rate Class'!$M$73:$M$84),+IF($AG$18='2. Customer Classes'!$B$19,+SUM('3. Consumption by Rate Class'!$P$73:$P$84),IF($AG$18='2. Customer Classes'!$B$20,+SUM('3. Consumption by Rate Class'!$S$73:$S$84),IF($AG$18='2. Customer Classes'!$B$21,+SUM('3. Consumption by Rate Class'!$V$73:$V$84),0))))</f>
        <v>0</v>
      </c>
      <c r="AL25" s="224">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34</v>
      </c>
      <c r="AM25" s="370">
        <f t="shared" si="16"/>
        <v>4416.9411764705883</v>
      </c>
      <c r="AN25" s="373">
        <f t="shared" si="17"/>
        <v>0</v>
      </c>
      <c r="AO25" s="336">
        <f t="shared" si="18"/>
        <v>0</v>
      </c>
      <c r="AQ25" s="351">
        <f t="shared" si="19"/>
        <v>2010</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2"/>
      <c r="AT25" s="70">
        <f t="shared" si="20"/>
        <v>0</v>
      </c>
      <c r="AU25" s="224">
        <f>+IF($AQ$18='2. Customer Classes'!$B$18,+SUM('3. Consumption by Rate Class'!$M$73:$M$84),+IF($AQ$18='2. Customer Classes'!$B$19,+SUM('3. Consumption by Rate Class'!$P$73:$P$84),IF($AQ$18='2. Customer Classes'!$B$20,+SUM('3. Consumption by Rate Class'!$S$73:$S$84),0)))</f>
        <v>0</v>
      </c>
      <c r="AV25" s="224">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0">
        <f t="shared" si="21"/>
        <v>0</v>
      </c>
      <c r="AX25" s="373">
        <f t="shared" si="22"/>
        <v>0</v>
      </c>
      <c r="AY25" s="336">
        <f t="shared" si="23"/>
        <v>0</v>
      </c>
    </row>
    <row r="26" spans="2:51" ht="12.75" customHeight="1" x14ac:dyDescent="0.2">
      <c r="B26" s="190">
        <f>'4. Customer Growth'!B22</f>
        <v>2011</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46521147</v>
      </c>
      <c r="D26" s="452"/>
      <c r="E26" s="70">
        <f t="shared" si="2"/>
        <v>46521147</v>
      </c>
      <c r="F26" s="70">
        <f>+IF($B$18='2. Customer Classes'!$B$18,+SUM('3. Consumption by Rate Class'!$M$85:$M$96),+IF($B$18='2. Customer Classes'!$B$19,+SUM('3. Consumption by Rate Class'!$P$85:$P$96),IF($B$18='2. Customer Classes'!$B$20,+SUM('3. Consumption by Rate Class'!$S$85:$S$96),0)))</f>
        <v>130980</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59</v>
      </c>
      <c r="H26" s="370">
        <f t="shared" si="3"/>
        <v>788494.01694915257</v>
      </c>
      <c r="I26" s="373">
        <f t="shared" si="4"/>
        <v>2220</v>
      </c>
      <c r="J26" s="336">
        <f t="shared" si="5"/>
        <v>2.815493779635313E-3</v>
      </c>
      <c r="K26" s="183"/>
      <c r="L26" s="183"/>
      <c r="M26" s="190">
        <f t="shared" si="0"/>
        <v>2011</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1118574</v>
      </c>
      <c r="O26" s="452"/>
      <c r="P26" s="70">
        <f t="shared" si="6"/>
        <v>1118574</v>
      </c>
      <c r="Q26" s="224">
        <f>+IF($M$18='2. Customer Classes'!$B$18,+SUM('3. Consumption by Rate Class'!$M$85:$M$96),+IF($M$18='2. Customer Classes'!$B$19,+SUM('3. Consumption by Rate Class'!$P$85:$P$96),IF($M$18='2. Customer Classes'!$B$20,+SUM('3. Consumption by Rate Class'!$S$85:$S$96),0)))</f>
        <v>3099</v>
      </c>
      <c r="R26" s="224">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1176</v>
      </c>
      <c r="S26" s="370">
        <f t="shared" si="7"/>
        <v>951.16836734693879</v>
      </c>
      <c r="T26" s="373">
        <f t="shared" si="8"/>
        <v>2.635204081632653</v>
      </c>
      <c r="U26" s="336">
        <f t="shared" si="9"/>
        <v>2.7704917153447157E-3</v>
      </c>
      <c r="V26" s="64"/>
      <c r="W26" s="190">
        <f t="shared" si="1"/>
        <v>2011</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0</v>
      </c>
      <c r="Y26" s="452"/>
      <c r="Z26" s="70">
        <f t="shared" si="10"/>
        <v>0</v>
      </c>
      <c r="AA26" s="224">
        <f>+IF($W$18='2. Customer Classes'!$B$18,+SUM('3. Consumption by Rate Class'!$M$85:$M$96),+IF($W$18='2. Customer Classes'!$B$19,+SUM('3. Consumption by Rate Class'!$P$85:$P$96),IF($W$18='2. Customer Classes'!$B$20,+SUM('3. Consumption by Rate Class'!$S$85:$S$96),0)))</f>
        <v>0</v>
      </c>
      <c r="AB26" s="224">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0</v>
      </c>
      <c r="AC26" s="370">
        <f t="shared" si="11"/>
        <v>0</v>
      </c>
      <c r="AD26" s="373">
        <f t="shared" si="12"/>
        <v>0</v>
      </c>
      <c r="AE26" s="336">
        <f t="shared" si="13"/>
        <v>0</v>
      </c>
      <c r="AG26" s="351">
        <f t="shared" si="14"/>
        <v>2011</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158921</v>
      </c>
      <c r="AI26" s="452"/>
      <c r="AJ26" s="70">
        <f t="shared" si="15"/>
        <v>158921</v>
      </c>
      <c r="AK26" s="224">
        <f>+IF($AG$18='2. Customer Classes'!$B$18,+SUM('3. Consumption by Rate Class'!$M$85:$M$96),+IF($AG$18='2. Customer Classes'!$B$19,+SUM('3. Consumption by Rate Class'!$P$85:$P$96),IF($AG$18='2. Customer Classes'!$B$20,+SUM('3. Consumption by Rate Class'!$S$85:$S$96),IF($AG$18='2. Customer Classes'!$B$21,+SUM('3. Consumption by Rate Class'!$V$85:$V$96),0))))</f>
        <v>0</v>
      </c>
      <c r="AL26" s="224">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34</v>
      </c>
      <c r="AM26" s="370">
        <f t="shared" si="16"/>
        <v>4674.1470588235297</v>
      </c>
      <c r="AN26" s="373">
        <f t="shared" si="17"/>
        <v>0</v>
      </c>
      <c r="AO26" s="336">
        <f t="shared" si="18"/>
        <v>0</v>
      </c>
      <c r="AQ26" s="351">
        <f t="shared" si="19"/>
        <v>2011</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2"/>
      <c r="AT26" s="70">
        <f t="shared" si="20"/>
        <v>0</v>
      </c>
      <c r="AU26" s="224">
        <f>+IF($AQ$18='2. Customer Classes'!$B$18,+SUM('3. Consumption by Rate Class'!$M$85:$M$96),+IF($AQ$18='2. Customer Classes'!$B$19,+SUM('3. Consumption by Rate Class'!$P$85:$P$96),IF($AQ$18='2. Customer Classes'!$B$20,+SUM('3. Consumption by Rate Class'!$S$85:$S$96),0)))</f>
        <v>0</v>
      </c>
      <c r="AV26" s="224">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0">
        <f t="shared" si="21"/>
        <v>0</v>
      </c>
      <c r="AX26" s="373">
        <f t="shared" si="22"/>
        <v>0</v>
      </c>
      <c r="AY26" s="336">
        <f t="shared" si="23"/>
        <v>0</v>
      </c>
    </row>
    <row r="27" spans="2:51" ht="12.75" customHeight="1" x14ac:dyDescent="0.2">
      <c r="B27" s="190">
        <f>'4. Customer Growth'!B23</f>
        <v>2012</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44095781</v>
      </c>
      <c r="D27" s="452"/>
      <c r="E27" s="70">
        <f t="shared" si="2"/>
        <v>44095781</v>
      </c>
      <c r="F27" s="70">
        <f>+IF($B$18='2. Customer Classes'!$B$18,+SUM('3. Consumption by Rate Class'!$M$97:$M$108),+IF($B$18='2. Customer Classes'!$B$19,+SUM('3. Consumption by Rate Class'!$P$97:$P$108),IF($B$18='2. Customer Classes'!$B$20,+SUM('3. Consumption by Rate Class'!$S$97:$S$108),0)))</f>
        <v>120379</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59</v>
      </c>
      <c r="H27" s="370">
        <f t="shared" si="3"/>
        <v>747386.11864406778</v>
      </c>
      <c r="I27" s="373">
        <f t="shared" si="4"/>
        <v>2040.3220338983051</v>
      </c>
      <c r="J27" s="336">
        <f t="shared" si="5"/>
        <v>2.7299437104878581E-3</v>
      </c>
      <c r="K27" s="183"/>
      <c r="L27" s="183"/>
      <c r="M27" s="190">
        <f t="shared" si="0"/>
        <v>2012</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1121260</v>
      </c>
      <c r="O27" s="452"/>
      <c r="P27" s="70">
        <f t="shared" si="6"/>
        <v>1121260</v>
      </c>
      <c r="Q27" s="224">
        <f>+IF($M$18='2. Customer Classes'!$B$18,+SUM('3. Consumption by Rate Class'!$M$97:$M$108),+IF($M$18='2. Customer Classes'!$B$19,+SUM('3. Consumption by Rate Class'!$P$97:$P$108),IF($M$18='2. Customer Classes'!$B$20,+SUM('3. Consumption by Rate Class'!$S$97:$S$108),0)))</f>
        <v>3100</v>
      </c>
      <c r="R27" s="224">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1176</v>
      </c>
      <c r="S27" s="370">
        <f t="shared" si="7"/>
        <v>953.45238095238096</v>
      </c>
      <c r="T27" s="373">
        <f t="shared" si="8"/>
        <v>2.6360544217687076</v>
      </c>
      <c r="U27" s="336">
        <f t="shared" si="9"/>
        <v>2.7647468027041009E-3</v>
      </c>
      <c r="V27" s="64"/>
      <c r="W27" s="190">
        <f t="shared" si="1"/>
        <v>2012</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0</v>
      </c>
      <c r="Y27" s="452"/>
      <c r="Z27" s="70">
        <f t="shared" si="10"/>
        <v>0</v>
      </c>
      <c r="AA27" s="224">
        <f>+IF($W$18='2. Customer Classes'!$B$18,+SUM('3. Consumption by Rate Class'!$M$97:$M$108),+IF($W$18='2. Customer Classes'!$B$19,+SUM('3. Consumption by Rate Class'!$P$97:$P$108),IF($W$18='2. Customer Classes'!$B$20,+SUM('3. Consumption by Rate Class'!$S$97:$S$108),0)))</f>
        <v>0</v>
      </c>
      <c r="AB27" s="224">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0</v>
      </c>
      <c r="AC27" s="370">
        <f t="shared" si="11"/>
        <v>0</v>
      </c>
      <c r="AD27" s="373">
        <f t="shared" si="12"/>
        <v>0</v>
      </c>
      <c r="AE27" s="336">
        <f t="shared" si="13"/>
        <v>0</v>
      </c>
      <c r="AG27" s="351">
        <f t="shared" si="14"/>
        <v>2012</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158811</v>
      </c>
      <c r="AI27" s="452"/>
      <c r="AJ27" s="70">
        <f t="shared" si="15"/>
        <v>158811</v>
      </c>
      <c r="AK27" s="224">
        <f>+IF($AG$18='2. Customer Classes'!$B$18,+SUM('3. Consumption by Rate Class'!$M$97:$M$108),+IF($AG$18='2. Customer Classes'!$B$19,+SUM('3. Consumption by Rate Class'!$P$97:$P$108),IF($AG$18='2. Customer Classes'!$B$20,+SUM('3. Consumption by Rate Class'!$S$97:$S$108),IF($AG$18='2. Customer Classes'!$B$21,+SUM('3. Consumption by Rate Class'!$V$97:$V$108),0))))</f>
        <v>0</v>
      </c>
      <c r="AL27" s="224">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34</v>
      </c>
      <c r="AM27" s="370">
        <f t="shared" si="16"/>
        <v>4670.911764705882</v>
      </c>
      <c r="AN27" s="373">
        <f t="shared" si="17"/>
        <v>0</v>
      </c>
      <c r="AO27" s="336">
        <f t="shared" si="18"/>
        <v>0</v>
      </c>
      <c r="AQ27" s="351">
        <f t="shared" si="19"/>
        <v>2012</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2"/>
      <c r="AT27" s="70">
        <f t="shared" si="20"/>
        <v>0</v>
      </c>
      <c r="AU27" s="224">
        <f>+IF($AQ$18='2. Customer Classes'!$B$18,+SUM('3. Consumption by Rate Class'!$M$97:$M$108),+IF($AQ$18='2. Customer Classes'!$B$19,+SUM('3. Consumption by Rate Class'!$P$97:$P$108),IF($AQ$18='2. Customer Classes'!$B$20,+SUM('3. Consumption by Rate Class'!$S$97:$S$108),0)))</f>
        <v>0</v>
      </c>
      <c r="AV27" s="224">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0">
        <f t="shared" si="21"/>
        <v>0</v>
      </c>
      <c r="AX27" s="373">
        <f t="shared" si="22"/>
        <v>0</v>
      </c>
      <c r="AY27" s="336">
        <f t="shared" si="23"/>
        <v>0</v>
      </c>
    </row>
    <row r="28" spans="2:51" ht="12.75" customHeight="1" x14ac:dyDescent="0.2">
      <c r="B28" s="190">
        <f>'4. Customer Growth'!B24</f>
        <v>2013</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44119354</v>
      </c>
      <c r="D28" s="452"/>
      <c r="E28" s="70">
        <f t="shared" si="2"/>
        <v>44119354</v>
      </c>
      <c r="F28" s="70">
        <f>+IF($B$18='2. Customer Classes'!$B$18,+SUM('3. Consumption by Rate Class'!$M$109:$M$120),+IF($B$18='2. Customer Classes'!$B$19,+SUM('3. Consumption by Rate Class'!$P$109:$P$120),IF($B$18='2. Customer Classes'!$B$20,+SUM('3. Consumption by Rate Class'!$S$109:$S$120),0)))</f>
        <v>115813</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62</v>
      </c>
      <c r="H28" s="370">
        <f t="shared" si="3"/>
        <v>711602.48387096776</v>
      </c>
      <c r="I28" s="373">
        <f t="shared" si="4"/>
        <v>1867.9516129032259</v>
      </c>
      <c r="J28" s="336">
        <f t="shared" si="5"/>
        <v>2.6249931039334803E-3</v>
      </c>
      <c r="K28" s="183"/>
      <c r="L28" s="183"/>
      <c r="M28" s="190">
        <f t="shared" si="0"/>
        <v>2013</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1118710</v>
      </c>
      <c r="O28" s="452"/>
      <c r="P28" s="70">
        <f t="shared" si="6"/>
        <v>1118710</v>
      </c>
      <c r="Q28" s="224">
        <f>+IF($M$18='2. Customer Classes'!$B$18,+SUM('3. Consumption by Rate Class'!$M$109:$M$120),+IF($M$18='2. Customer Classes'!$B$19,+SUM('3. Consumption by Rate Class'!$P$109:$P$120),IF($M$18='2. Customer Classes'!$B$20,+SUM('3. Consumption by Rate Class'!$S$109:$S$120),0)))</f>
        <v>3104</v>
      </c>
      <c r="R28" s="224">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1190</v>
      </c>
      <c r="S28" s="370">
        <f t="shared" si="7"/>
        <v>940.09243697478996</v>
      </c>
      <c r="T28" s="373">
        <f t="shared" si="8"/>
        <v>2.6084033613445379</v>
      </c>
      <c r="U28" s="336">
        <f t="shared" si="9"/>
        <v>2.7746243441106274E-3</v>
      </c>
      <c r="V28" s="64"/>
      <c r="W28" s="190">
        <f t="shared" si="1"/>
        <v>2013</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0</v>
      </c>
      <c r="Y28" s="452"/>
      <c r="Z28" s="70">
        <f t="shared" si="10"/>
        <v>0</v>
      </c>
      <c r="AA28" s="224">
        <f>+IF($W$18='2. Customer Classes'!$B$18,+SUM('3. Consumption by Rate Class'!$M$109:$M$120),+IF($W$18='2. Customer Classes'!$B$19,+SUM('3. Consumption by Rate Class'!$P$109:$P$120),IF($W$18='2. Customer Classes'!$B$20,+SUM('3. Consumption by Rate Class'!$S$109:$S$120),0)))</f>
        <v>0</v>
      </c>
      <c r="AB28" s="224">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0</v>
      </c>
      <c r="AC28" s="370">
        <f t="shared" si="11"/>
        <v>0</v>
      </c>
      <c r="AD28" s="373">
        <f t="shared" si="12"/>
        <v>0</v>
      </c>
      <c r="AE28" s="336">
        <f t="shared" si="13"/>
        <v>0</v>
      </c>
      <c r="AG28" s="351">
        <f t="shared" si="14"/>
        <v>2013</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155619</v>
      </c>
      <c r="AI28" s="452"/>
      <c r="AJ28" s="70">
        <f t="shared" si="15"/>
        <v>155619</v>
      </c>
      <c r="AK28" s="532">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4">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33</v>
      </c>
      <c r="AM28" s="370">
        <f t="shared" si="16"/>
        <v>4715.727272727273</v>
      </c>
      <c r="AN28" s="373">
        <f t="shared" si="17"/>
        <v>0</v>
      </c>
      <c r="AO28" s="336">
        <f t="shared" si="18"/>
        <v>0</v>
      </c>
      <c r="AQ28" s="351">
        <f t="shared" si="19"/>
        <v>2013</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2"/>
      <c r="AT28" s="70">
        <f t="shared" si="20"/>
        <v>0</v>
      </c>
      <c r="AU28" s="224">
        <f>+IF($AQ$18='2. Customer Classes'!$B$18,+SUM('3. Consumption by Rate Class'!$M$109:$M$120),+IF($AQ$18='2. Customer Classes'!$B$19,+SUM('3. Consumption by Rate Class'!$P$109:$P$120),IF($AQ$18='2. Customer Classes'!$B$20,+SUM('3. Consumption by Rate Class'!$S$109:$S$120),0)))</f>
        <v>0</v>
      </c>
      <c r="AV28" s="224">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0">
        <f t="shared" si="21"/>
        <v>0</v>
      </c>
      <c r="AX28" s="373">
        <f t="shared" si="22"/>
        <v>0</v>
      </c>
      <c r="AY28" s="336">
        <f t="shared" si="23"/>
        <v>0</v>
      </c>
    </row>
    <row r="29" spans="2:51" ht="12.75" customHeight="1" x14ac:dyDescent="0.2">
      <c r="B29" s="190">
        <f>'4. Customer Growth'!B25</f>
        <v>2014</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43640624</v>
      </c>
      <c r="D29" s="452"/>
      <c r="E29" s="70">
        <f t="shared" si="2"/>
        <v>43640624</v>
      </c>
      <c r="F29" s="70">
        <f>+IF($B$18='2. Customer Classes'!$B$18,+SUM('3. Consumption by Rate Class'!$M$121:$M$132),+IF($B$18='2. Customer Classes'!$B$19,+SUM('3. Consumption by Rate Class'!$P$121:$P$132),IF($B$18='2. Customer Classes'!$B$20,+SUM('3. Consumption by Rate Class'!$S$121:$S$132),0)))</f>
        <v>114180</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62</v>
      </c>
      <c r="H29" s="370">
        <f t="shared" si="3"/>
        <v>703881.03225806449</v>
      </c>
      <c r="I29" s="373">
        <f t="shared" si="4"/>
        <v>1841.6129032258063</v>
      </c>
      <c r="J29" s="336">
        <f t="shared" si="5"/>
        <v>2.6163695551191021E-3</v>
      </c>
      <c r="K29" s="183"/>
      <c r="L29" s="183"/>
      <c r="M29" s="190">
        <f t="shared" si="0"/>
        <v>2014</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1121519</v>
      </c>
      <c r="O29" s="452"/>
      <c r="P29" s="70">
        <f t="shared" si="6"/>
        <v>1121519</v>
      </c>
      <c r="Q29" s="224">
        <f>+IF($M$18='2. Customer Classes'!$B$18,+SUM('3. Consumption by Rate Class'!$M$121:$M$132),+IF($M$18='2. Customer Classes'!$B$19,+SUM('3. Consumption by Rate Class'!$P$121:$P$132),IF($M$18='2. Customer Classes'!$B$20,+SUM('3. Consumption by Rate Class'!$S$121:$S$132),0)))</f>
        <v>3110</v>
      </c>
      <c r="R29" s="224">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1190</v>
      </c>
      <c r="S29" s="370">
        <f t="shared" si="7"/>
        <v>942.45294117647063</v>
      </c>
      <c r="T29" s="373">
        <f t="shared" si="8"/>
        <v>2.6134453781512605</v>
      </c>
      <c r="U29" s="336">
        <f t="shared" si="9"/>
        <v>2.7730247994015261E-3</v>
      </c>
      <c r="V29" s="64"/>
      <c r="W29" s="190">
        <f t="shared" si="1"/>
        <v>2014</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0</v>
      </c>
      <c r="Y29" s="452"/>
      <c r="Z29" s="70">
        <f t="shared" si="10"/>
        <v>0</v>
      </c>
      <c r="AA29" s="224">
        <f>+IF($W$18='2. Customer Classes'!$B$18,+SUM('3. Consumption by Rate Class'!$M$121:$M$132),+IF($W$18='2. Customer Classes'!$B$19,+SUM('3. Consumption by Rate Class'!$P$121:$P$132),IF($W$18='2. Customer Classes'!$B$20,+SUM('3. Consumption by Rate Class'!$S$121:$S$132),0)))</f>
        <v>0</v>
      </c>
      <c r="AB29" s="224">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0</v>
      </c>
      <c r="AC29" s="370">
        <f t="shared" si="11"/>
        <v>0</v>
      </c>
      <c r="AD29" s="373">
        <f t="shared" si="12"/>
        <v>0</v>
      </c>
      <c r="AE29" s="336">
        <f t="shared" si="13"/>
        <v>0</v>
      </c>
      <c r="AG29" s="351">
        <f t="shared" si="14"/>
        <v>2014</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155019</v>
      </c>
      <c r="AI29" s="452"/>
      <c r="AJ29" s="70">
        <f t="shared" si="15"/>
        <v>155019</v>
      </c>
      <c r="AK29" s="224">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4">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33</v>
      </c>
      <c r="AM29" s="370">
        <f t="shared" si="16"/>
        <v>4697.545454545455</v>
      </c>
      <c r="AN29" s="373">
        <f t="shared" si="17"/>
        <v>0</v>
      </c>
      <c r="AO29" s="336">
        <f t="shared" si="18"/>
        <v>0</v>
      </c>
      <c r="AQ29" s="351">
        <f t="shared" si="19"/>
        <v>2014</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2"/>
      <c r="AT29" s="70">
        <f t="shared" si="20"/>
        <v>0</v>
      </c>
      <c r="AU29" s="224">
        <f>+IF($AQ$18='2. Customer Classes'!$B$18,+SUM('3. Consumption by Rate Class'!$M$121:$M$132),+IF($AQ$18='2. Customer Classes'!$B$19,+SUM('3. Consumption by Rate Class'!$P$121:$P$132),IF($AQ$18='2. Customer Classes'!$B$20,+SUM('3. Consumption by Rate Class'!$S$121:$S$132),0)))</f>
        <v>0</v>
      </c>
      <c r="AV29" s="224">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0">
        <f t="shared" si="21"/>
        <v>0</v>
      </c>
      <c r="AX29" s="373">
        <f t="shared" si="22"/>
        <v>0</v>
      </c>
      <c r="AY29" s="336">
        <f t="shared" si="23"/>
        <v>0</v>
      </c>
    </row>
    <row r="30" spans="2:51" ht="12.75" customHeight="1" x14ac:dyDescent="0.2">
      <c r="B30" s="190">
        <f>'4. Customer Growth'!B26</f>
        <v>2015</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45095566</v>
      </c>
      <c r="D30" s="452"/>
      <c r="E30" s="70">
        <f t="shared" si="2"/>
        <v>45095566</v>
      </c>
      <c r="F30" s="70">
        <f>+IF($B$18='2. Customer Classes'!$B$18,+SUM('3. Consumption by Rate Class'!$M$133:$M$144),+IF($B$18='2. Customer Classes'!$B$19,+SUM('3. Consumption by Rate Class'!$P$133:$P$144),IF($B$18='2. Customer Classes'!$B$20,+SUM('3. Consumption by Rate Class'!$S$133:$S$144),0)))</f>
        <v>113922</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61</v>
      </c>
      <c r="H30" s="370">
        <f t="shared" si="3"/>
        <v>739271.57377049176</v>
      </c>
      <c r="I30" s="373">
        <f t="shared" si="4"/>
        <v>1867.5737704918033</v>
      </c>
      <c r="J30" s="336">
        <f t="shared" si="5"/>
        <v>2.5262350626666934E-3</v>
      </c>
      <c r="K30" s="183"/>
      <c r="L30" s="183"/>
      <c r="M30" s="190">
        <f t="shared" si="0"/>
        <v>2015</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1123682</v>
      </c>
      <c r="O30" s="452"/>
      <c r="P30" s="70">
        <f t="shared" si="6"/>
        <v>1123682</v>
      </c>
      <c r="Q30" s="224">
        <f>+IF($M$18='2. Customer Classes'!$B$18,+SUM('3. Consumption by Rate Class'!$M$133:$M$144),+IF($M$18='2. Customer Classes'!$B$19,+SUM('3. Consumption by Rate Class'!$P$133:$P$144),IF($M$18='2. Customer Classes'!$B$20,+SUM('3. Consumption by Rate Class'!$S$133:$S$144),0)))</f>
        <v>3117</v>
      </c>
      <c r="R30" s="224">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1190</v>
      </c>
      <c r="S30" s="370">
        <f t="shared" si="7"/>
        <v>944.2705882352941</v>
      </c>
      <c r="T30" s="373">
        <f t="shared" si="8"/>
        <v>2.619327731092437</v>
      </c>
      <c r="U30" s="336">
        <f t="shared" si="9"/>
        <v>2.7739164639106082E-3</v>
      </c>
      <c r="V30" s="64"/>
      <c r="W30" s="190">
        <f t="shared" si="1"/>
        <v>2015</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0</v>
      </c>
      <c r="Y30" s="452"/>
      <c r="Z30" s="70">
        <f t="shared" si="10"/>
        <v>0</v>
      </c>
      <c r="AA30" s="224">
        <f>+IF($W$18='2. Customer Classes'!$B$18,+SUM('3. Consumption by Rate Class'!$M$133:$M$144),+IF($W$18='2. Customer Classes'!$B$19,+SUM('3. Consumption by Rate Class'!$P$133:$P$144),IF($W$18='2. Customer Classes'!$B$20,+SUM('3. Consumption by Rate Class'!$S$133:$S$144),0)))</f>
        <v>0</v>
      </c>
      <c r="AB30" s="224">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0</v>
      </c>
      <c r="AC30" s="370">
        <f t="shared" si="11"/>
        <v>0</v>
      </c>
      <c r="AD30" s="373">
        <f t="shared" si="12"/>
        <v>0</v>
      </c>
      <c r="AE30" s="336">
        <f t="shared" si="13"/>
        <v>0</v>
      </c>
      <c r="AG30" s="351">
        <f t="shared" si="14"/>
        <v>2015</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155364</v>
      </c>
      <c r="AI30" s="452"/>
      <c r="AJ30" s="70">
        <f t="shared" si="15"/>
        <v>155364</v>
      </c>
      <c r="AK30" s="224">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4">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33</v>
      </c>
      <c r="AM30" s="370">
        <f t="shared" si="16"/>
        <v>4708</v>
      </c>
      <c r="AN30" s="373">
        <f t="shared" si="17"/>
        <v>0</v>
      </c>
      <c r="AO30" s="336">
        <f t="shared" si="18"/>
        <v>0</v>
      </c>
      <c r="AQ30" s="351">
        <f t="shared" si="19"/>
        <v>2015</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2"/>
      <c r="AT30" s="70">
        <f t="shared" si="20"/>
        <v>0</v>
      </c>
      <c r="AU30" s="224">
        <f>+IF($AQ$18='2. Customer Classes'!$B$18,+SUM('3. Consumption by Rate Class'!$M$133:$M$144),+IF($AQ$18='2. Customer Classes'!$B$19,+SUM('3. Consumption by Rate Class'!$P$133:$P$144),IF($AQ$18='2. Customer Classes'!$B$20,+SUM('3. Consumption by Rate Class'!$S$133:$S$144),0)))</f>
        <v>0</v>
      </c>
      <c r="AV30" s="224">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0">
        <f t="shared" si="21"/>
        <v>0</v>
      </c>
      <c r="AX30" s="373">
        <f t="shared" si="22"/>
        <v>0</v>
      </c>
      <c r="AY30" s="336">
        <f t="shared" si="23"/>
        <v>0</v>
      </c>
    </row>
    <row r="31" spans="2:51" ht="12.75" customHeight="1" x14ac:dyDescent="0.2">
      <c r="B31" s="190" t="str">
        <f>'4. Customer Growth'!B30</f>
        <v>2016</v>
      </c>
      <c r="C31" s="70">
        <f>+C30/'6. WS Regression Analysis'!$V$67*'6. WS Regression Analysis'!$S$151</f>
        <v>45564465.568226933</v>
      </c>
      <c r="D31" s="452"/>
      <c r="E31" s="70">
        <f t="shared" si="2"/>
        <v>45564465.568226933</v>
      </c>
      <c r="F31" s="279">
        <f>+E31*J34</f>
        <v>123813.1682025896</v>
      </c>
      <c r="G31" s="224">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60.889889302782052</v>
      </c>
      <c r="H31" s="370">
        <f t="shared" si="3"/>
        <v>748309.21997004026</v>
      </c>
      <c r="I31" s="373">
        <f t="shared" si="4"/>
        <v>2033.3945359452737</v>
      </c>
      <c r="J31" s="371"/>
      <c r="K31" s="80"/>
      <c r="L31" s="80"/>
      <c r="M31" s="190" t="str">
        <f t="shared" si="0"/>
        <v>2016</v>
      </c>
      <c r="N31" s="300">
        <f>+N30/'6. WS Regression Analysis'!$V$67*'6. WS Regression Analysis'!$S$151</f>
        <v>1135365.9425992433</v>
      </c>
      <c r="O31" s="452"/>
      <c r="P31" s="493">
        <f t="shared" si="6"/>
        <v>1135365.9425992433</v>
      </c>
      <c r="Q31" s="279">
        <f>P31*$U$34</f>
        <v>3154.85223403498</v>
      </c>
      <c r="R31" s="224">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1194.6449258381904</v>
      </c>
      <c r="S31" s="370">
        <f t="shared" si="7"/>
        <v>950.37941236191534</v>
      </c>
      <c r="T31" s="373">
        <f t="shared" si="8"/>
        <v>2.6408283882522356</v>
      </c>
      <c r="U31" s="85"/>
      <c r="V31" s="64"/>
      <c r="W31" s="190" t="str">
        <f t="shared" si="1"/>
        <v>2016</v>
      </c>
      <c r="X31" s="300">
        <f>+X30/'6. WS Regression Analysis'!$V$67*'6. WS Regression Analysis'!$S$151</f>
        <v>0</v>
      </c>
      <c r="Y31" s="452"/>
      <c r="Z31" s="70">
        <f t="shared" si="10"/>
        <v>0</v>
      </c>
      <c r="AA31" s="279">
        <f>Z31*$AE$34</f>
        <v>0</v>
      </c>
      <c r="AB31" s="224">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0</v>
      </c>
      <c r="AC31" s="370">
        <f t="shared" si="11"/>
        <v>0</v>
      </c>
      <c r="AD31" s="373">
        <f t="shared" si="12"/>
        <v>0</v>
      </c>
      <c r="AE31" s="85"/>
      <c r="AG31" s="351" t="str">
        <f t="shared" si="14"/>
        <v>2016</v>
      </c>
      <c r="AH31" s="300">
        <f>+AH30/'6. WS Regression Analysis'!$V$67*'6. WS Regression Analysis'!$S$151</f>
        <v>156979.46065344894</v>
      </c>
      <c r="AI31" s="452"/>
      <c r="AJ31" s="493">
        <f t="shared" si="15"/>
        <v>156979.46065344894</v>
      </c>
      <c r="AK31" s="300">
        <f>AJ31*$AO$34</f>
        <v>0</v>
      </c>
      <c r="AL31" s="224">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33.607977220079128</v>
      </c>
      <c r="AM31" s="370">
        <f t="shared" si="16"/>
        <v>4670.8988055270811</v>
      </c>
      <c r="AN31" s="373">
        <f t="shared" si="17"/>
        <v>0</v>
      </c>
      <c r="AO31" s="85"/>
      <c r="AQ31" s="351" t="str">
        <f t="shared" si="19"/>
        <v>2016</v>
      </c>
      <c r="AR31" s="300">
        <f>+AR30/'6. WS Regression Analysis'!$S$139*'6. WS Regression Analysis'!$S$151</f>
        <v>0</v>
      </c>
      <c r="AS31" s="452"/>
      <c r="AT31" s="493">
        <f t="shared" si="20"/>
        <v>0</v>
      </c>
      <c r="AU31" s="300">
        <f>AT31*$AY$34</f>
        <v>0</v>
      </c>
      <c r="AV31" s="224">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0">
        <f t="shared" si="21"/>
        <v>0</v>
      </c>
      <c r="AX31" s="373">
        <f t="shared" si="22"/>
        <v>0</v>
      </c>
      <c r="AY31" s="85"/>
    </row>
    <row r="32" spans="2:51" x14ac:dyDescent="0.2">
      <c r="B32" s="190" t="str">
        <f>'4. Customer Growth'!B31</f>
        <v>2017</v>
      </c>
      <c r="C32" s="70">
        <f>+C30/'6. WS Regression Analysis'!$V$67*'6. WS Regression Analysis'!$S$163</f>
        <v>45587383.847156197</v>
      </c>
      <c r="D32" s="452"/>
      <c r="E32" s="70">
        <f t="shared" si="2"/>
        <v>45587383.847156197</v>
      </c>
      <c r="F32" s="279">
        <f>+E32*J34</f>
        <v>123875.44446740684</v>
      </c>
      <c r="G32" s="224">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60.779977365656592</v>
      </c>
      <c r="H32" s="370">
        <f t="shared" si="3"/>
        <v>750039.50022717693</v>
      </c>
      <c r="I32" s="373">
        <f t="shared" si="4"/>
        <v>2038.0962586110143</v>
      </c>
      <c r="J32" s="371"/>
      <c r="K32" s="80"/>
      <c r="L32" s="80"/>
      <c r="M32" s="190" t="str">
        <f t="shared" si="0"/>
        <v>2017</v>
      </c>
      <c r="N32" s="300">
        <f>+N30/'6. WS Regression Analysis'!$V$67*'6. WS Regression Analysis'!$S$163</f>
        <v>1135937.0155402902</v>
      </c>
      <c r="O32" s="452"/>
      <c r="P32" s="493">
        <f t="shared" si="6"/>
        <v>1135937.0155402902</v>
      </c>
      <c r="Q32" s="279">
        <f>P32*$U$34</f>
        <v>3156.4390798934473</v>
      </c>
      <c r="R32" s="224">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1199.30798221087</v>
      </c>
      <c r="S32" s="370">
        <f t="shared" si="7"/>
        <v>947.16038948247603</v>
      </c>
      <c r="T32" s="373">
        <f t="shared" si="8"/>
        <v>2.6318836585033769</v>
      </c>
      <c r="U32" s="85"/>
      <c r="V32" s="64"/>
      <c r="W32" s="190" t="str">
        <f t="shared" si="1"/>
        <v>2017</v>
      </c>
      <c r="X32" s="300">
        <f>+X30/'6. WS Regression Analysis'!$V$67*'6. WS Regression Analysis'!$S$163</f>
        <v>0</v>
      </c>
      <c r="Y32" s="452"/>
      <c r="Z32" s="70">
        <f t="shared" si="10"/>
        <v>0</v>
      </c>
      <c r="AA32" s="279">
        <f>Z32*$AE$34</f>
        <v>0</v>
      </c>
      <c r="AB32" s="224">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0</v>
      </c>
      <c r="AC32" s="370">
        <f t="shared" si="11"/>
        <v>0</v>
      </c>
      <c r="AD32" s="373">
        <f t="shared" si="12"/>
        <v>0</v>
      </c>
      <c r="AE32" s="85"/>
      <c r="AG32" s="351" t="str">
        <f t="shared" si="14"/>
        <v>2017</v>
      </c>
      <c r="AH32" s="300">
        <f>+AH30/'6. WS Regression Analysis'!$V$67*'6. WS Regression Analysis'!$S$163</f>
        <v>157058.41909223574</v>
      </c>
      <c r="AI32" s="452"/>
      <c r="AJ32" s="493">
        <f t="shared" si="15"/>
        <v>157058.41909223574</v>
      </c>
      <c r="AK32" s="300">
        <f>AJ32*$AO$34</f>
        <v>0</v>
      </c>
      <c r="AL32" s="224">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34.227155540162357</v>
      </c>
      <c r="AM32" s="370">
        <f t="shared" si="16"/>
        <v>4588.7079020616366</v>
      </c>
      <c r="AN32" s="373">
        <f t="shared" si="17"/>
        <v>0</v>
      </c>
      <c r="AO32" s="85"/>
      <c r="AQ32" s="351" t="str">
        <f t="shared" si="19"/>
        <v>2017</v>
      </c>
      <c r="AR32" s="300">
        <f>+AR30/'6. WS Regression Analysis'!$S$139*'6. WS Regression Analysis'!$S$163</f>
        <v>0</v>
      </c>
      <c r="AS32" s="452"/>
      <c r="AT32" s="493">
        <f t="shared" si="20"/>
        <v>0</v>
      </c>
      <c r="AU32" s="300">
        <f>AT32*$AY$34</f>
        <v>0</v>
      </c>
      <c r="AV32" s="224">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0">
        <f t="shared" si="21"/>
        <v>0</v>
      </c>
      <c r="AX32" s="373">
        <f t="shared" si="22"/>
        <v>0</v>
      </c>
      <c r="AY32" s="85"/>
    </row>
    <row r="33" spans="2:51" x14ac:dyDescent="0.2">
      <c r="B33" s="74"/>
      <c r="C33" s="486"/>
      <c r="D33" s="486"/>
      <c r="E33" s="224"/>
      <c r="F33" s="279"/>
      <c r="G33" s="277"/>
      <c r="H33" s="277"/>
      <c r="I33" s="279"/>
      <c r="J33" s="371"/>
      <c r="K33" s="80"/>
      <c r="L33" s="80"/>
      <c r="M33" s="74"/>
      <c r="N33" s="486"/>
      <c r="O33" s="486"/>
      <c r="P33" s="224"/>
      <c r="Q33" s="279"/>
      <c r="R33" s="279"/>
      <c r="S33" s="279"/>
      <c r="T33" s="279"/>
      <c r="U33" s="86"/>
      <c r="V33" s="64"/>
      <c r="W33" s="74"/>
      <c r="X33" s="486"/>
      <c r="Y33" s="486"/>
      <c r="Z33" s="279"/>
      <c r="AA33" s="279"/>
      <c r="AB33" s="279"/>
      <c r="AC33" s="279"/>
      <c r="AD33" s="279"/>
      <c r="AE33" s="241"/>
      <c r="AG33" s="74"/>
      <c r="AH33" s="486"/>
      <c r="AI33" s="486"/>
      <c r="AJ33" s="279"/>
      <c r="AK33" s="279"/>
      <c r="AL33" s="279"/>
      <c r="AM33" s="279"/>
      <c r="AN33" s="279"/>
      <c r="AO33" s="241"/>
      <c r="AQ33" s="74"/>
      <c r="AR33" s="486"/>
      <c r="AS33" s="486"/>
      <c r="AT33" s="300"/>
      <c r="AU33" s="300"/>
      <c r="AV33" s="300"/>
      <c r="AW33" s="300"/>
      <c r="AX33" s="300"/>
      <c r="AY33" s="241"/>
    </row>
    <row r="34" spans="2:51" ht="16.5" customHeight="1" x14ac:dyDescent="0.2">
      <c r="B34" s="234" t="s">
        <v>157</v>
      </c>
      <c r="C34" s="487"/>
      <c r="D34" s="487"/>
      <c r="E34" s="747">
        <v>10</v>
      </c>
      <c r="F34" s="189"/>
      <c r="G34" s="325"/>
      <c r="H34" s="331">
        <f>AVERAGE(H21:H31)</f>
        <v>780794.62596499105</v>
      </c>
      <c r="I34" s="377">
        <f>IF($E$34=1,+AVERAGE(I30:I30),+IF($E$34=2,+AVERAGE(I29:I30),+IF($E$34=3,+AVERAGE(I28:I30),+IF($E$34=4,+AVERAGE(I27:I30),+IF($E$34=5,+AVERAGE(I26:I30),+IF($E$34=6,+AVERAGE(I25:I30),+IF($E$34=7,+AVERAGE(I24:I30),+IF($E$34=8,+AVERAGE(I23:I30),+IF($E$34=9,+AVERAGE(I22:I30),+IF($E$34=10,+AVERAGE(I21:I30),0))))))))))</f>
        <v>2134.3854274261312</v>
      </c>
      <c r="J34" s="308">
        <f>IF($E$34=1,+AVERAGE(J30:J30),+IF($E$34=2,+AVERAGE(J29:J30),+IF($E$34=3,+AVERAGE(J28:J30),+IF($E$34=4,+AVERAGE(J27:J30),+IF($E$34=5,+AVERAGE(J26:J30),+IF($E$34=6,+AVERAGE(J25:J30),+IF($E$34=7,+AVERAGE(J24:J30),+IF($E$34=8,+AVERAGE(J23:J30),+IF($E$34=9,+AVERAGE(J22:J30),+IF($E$34=10,+AVERAGE(J21:J30),0))))))))))</f>
        <v>2.7173185652138352E-3</v>
      </c>
      <c r="K34" s="184"/>
      <c r="L34" s="184"/>
      <c r="M34" s="234" t="s">
        <v>157</v>
      </c>
      <c r="N34" s="492"/>
      <c r="O34" s="492"/>
      <c r="P34" s="761">
        <v>10</v>
      </c>
      <c r="Q34" s="189"/>
      <c r="R34" s="189"/>
      <c r="S34" s="331">
        <f>AVERAGE(S21:S32)</f>
        <v>950.56745413941871</v>
      </c>
      <c r="T34" s="331">
        <f>AVERAGE(T21:T32)</f>
        <v>2.641383824663686</v>
      </c>
      <c r="U34" s="331">
        <f>AVERAGE(U21:U32)</f>
        <v>2.778709591034973E-3</v>
      </c>
      <c r="V34" s="64"/>
      <c r="W34" s="234" t="s">
        <v>157</v>
      </c>
      <c r="X34" s="492"/>
      <c r="Y34" s="492"/>
      <c r="Z34" s="761">
        <v>10</v>
      </c>
      <c r="AA34" s="189"/>
      <c r="AB34" s="189"/>
      <c r="AC34" s="331">
        <f>AVERAGE(AC21:AC32)</f>
        <v>0</v>
      </c>
      <c r="AD34" s="331">
        <f>AVERAGE(AD21:AD32)</f>
        <v>0</v>
      </c>
      <c r="AE34" s="191">
        <f>IF($Z$34=1,+AVERAGE(AE30:AE30),+IF($Z$34=2,+AVERAGE(AE29:AE30),+IF($Z$34=3,+AVERAGE(AE28:AE30),+IF($Z$34=4,+AVERAGE(AE27:AE30),+IF($Z$34=5,+AVERAGE(AE26:AE30),+IF($Z$34=6,+AVERAGE(AE25:AE30),+IF($Z$34=7,+AVERAGE(AE24:AE30),+IF($Z$34=8,+AVERAGE(AE23:AE30),+IF($Z$34=9,+AVERAGE(AE22:AE30),+IF($Z$34=10,+AVERAGE(AE21:AE30),0))))))))))</f>
        <v>0</v>
      </c>
      <c r="AG34" s="234" t="s">
        <v>157</v>
      </c>
      <c r="AH34" s="492"/>
      <c r="AI34" s="492"/>
      <c r="AJ34" s="761">
        <v>10</v>
      </c>
      <c r="AK34" s="189"/>
      <c r="AL34" s="189"/>
      <c r="AM34" s="331">
        <f>AVERAGE(AM21:AM32)</f>
        <v>4761.7870588164506</v>
      </c>
      <c r="AN34" s="376">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4" t="s">
        <v>157</v>
      </c>
      <c r="AR34" s="492"/>
      <c r="AS34" s="492"/>
      <c r="AT34" s="761">
        <v>4</v>
      </c>
      <c r="AU34" s="189"/>
      <c r="AV34" s="189"/>
      <c r="AW34" s="331">
        <f>IF($AT$34=1,+AVERAGE(AW30:AW30),+IF($AT$34=2,+AVERAGE(AW29:AW30),+IF($AT$34=3,+AVERAGE(AW28:AW30),+IF($AT$34=4,+AVERAGE(AW27:AW30),+IF($AT$34=5,+AVERAGE(AW26:AW30),+IF($AT$34=6,+AVERAGE(AW25:AW30),+IF($AT$34=7,+AVERAGE(AW24:AW30),+IF($AT$34=8,+AVERAGE(AW23:AW30),+IF($AT$34=9,+AVERAGE(AW22:AW30),+IF($AT$34=10,+AVERAGE(AW21:AW30),0))))))))))</f>
        <v>0</v>
      </c>
      <c r="AX34" s="376">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88"/>
      <c r="D35" s="488"/>
      <c r="E35" s="193"/>
      <c r="F35" s="193"/>
      <c r="G35" s="326"/>
      <c r="H35" s="790" t="s">
        <v>30</v>
      </c>
      <c r="I35" s="193"/>
      <c r="J35" s="375"/>
      <c r="M35" s="192"/>
      <c r="N35" s="488"/>
      <c r="O35" s="488"/>
      <c r="P35" s="193"/>
      <c r="Q35" s="91"/>
      <c r="R35" s="91"/>
      <c r="S35" s="91"/>
      <c r="T35" s="91"/>
      <c r="U35" s="194"/>
      <c r="W35" s="90"/>
      <c r="X35" s="474"/>
      <c r="Y35" s="474"/>
      <c r="Z35" s="91"/>
      <c r="AA35" s="91"/>
      <c r="AB35" s="91"/>
      <c r="AC35" s="91"/>
      <c r="AD35" s="91"/>
      <c r="AE35" s="194"/>
      <c r="AG35" s="90"/>
      <c r="AH35" s="474"/>
      <c r="AI35" s="474"/>
      <c r="AJ35" s="91"/>
      <c r="AK35" s="91"/>
      <c r="AL35" s="91"/>
      <c r="AM35" s="91"/>
      <c r="AN35" s="91"/>
      <c r="AO35" s="194"/>
      <c r="AQ35" s="90"/>
      <c r="AR35" s="474"/>
      <c r="AS35" s="474"/>
      <c r="AT35" s="91"/>
      <c r="AU35" s="91"/>
      <c r="AV35" s="91"/>
      <c r="AW35" s="91"/>
      <c r="AX35" s="91"/>
      <c r="AY35" s="194"/>
    </row>
    <row r="36" spans="2:51" x14ac:dyDescent="0.2">
      <c r="B36" s="1100" t="s">
        <v>151</v>
      </c>
      <c r="C36" s="1100"/>
      <c r="D36" s="1100"/>
      <c r="E36" s="1100"/>
      <c r="F36" s="1100"/>
      <c r="G36" s="1100"/>
      <c r="H36" s="1100"/>
      <c r="I36" s="1100"/>
      <c r="J36" s="1100"/>
      <c r="M36" s="1100" t="s">
        <v>151</v>
      </c>
      <c r="N36" s="1100"/>
      <c r="O36" s="1100"/>
      <c r="P36" s="1100"/>
      <c r="Q36" s="1100"/>
      <c r="R36" s="1100"/>
      <c r="S36" s="1100"/>
      <c r="T36" s="1100"/>
      <c r="U36" s="1100"/>
      <c r="W36" s="1080" t="s">
        <v>151</v>
      </c>
      <c r="X36" s="1080"/>
      <c r="Y36" s="1080"/>
      <c r="Z36" s="1080"/>
      <c r="AA36" s="1080"/>
      <c r="AB36" s="1080"/>
      <c r="AC36" s="1080"/>
      <c r="AD36" s="1080"/>
      <c r="AE36" s="1080"/>
      <c r="AG36" s="1100" t="s">
        <v>151</v>
      </c>
      <c r="AH36" s="1100"/>
      <c r="AI36" s="1100"/>
      <c r="AJ36" s="1100"/>
      <c r="AK36" s="1100"/>
      <c r="AL36" s="1100"/>
      <c r="AM36" s="1100"/>
      <c r="AN36" s="1100"/>
      <c r="AO36" s="1100"/>
      <c r="AQ36" s="1100" t="s">
        <v>151</v>
      </c>
      <c r="AR36" s="1100"/>
      <c r="AS36" s="1100"/>
      <c r="AT36" s="1100"/>
      <c r="AU36" s="1100"/>
      <c r="AV36" s="1100"/>
      <c r="AW36" s="1100"/>
      <c r="AX36" s="1100"/>
      <c r="AY36" s="1100"/>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81" t="s">
        <v>171</v>
      </c>
      <c r="C41" s="1081"/>
      <c r="D41" s="1081"/>
      <c r="E41" s="1081"/>
      <c r="F41" s="1081"/>
      <c r="G41" s="1081"/>
      <c r="H41" s="1081"/>
      <c r="I41" s="1081"/>
      <c r="J41" s="1081"/>
      <c r="M41" s="1081" t="s">
        <v>171</v>
      </c>
      <c r="N41" s="1081"/>
      <c r="O41" s="1081"/>
      <c r="P41" s="1081"/>
      <c r="Q41" s="1081"/>
      <c r="R41" s="1081"/>
      <c r="S41" s="1081"/>
      <c r="T41" s="1081"/>
      <c r="U41" s="1081"/>
      <c r="W41" s="1081" t="s">
        <v>171</v>
      </c>
      <c r="X41" s="1081"/>
      <c r="Y41" s="1081"/>
      <c r="Z41" s="1081"/>
      <c r="AA41" s="1081"/>
      <c r="AB41" s="1081"/>
      <c r="AC41" s="1081"/>
      <c r="AD41" s="1081"/>
      <c r="AE41" s="1081"/>
      <c r="AG41" s="1081" t="s">
        <v>171</v>
      </c>
      <c r="AH41" s="1081"/>
      <c r="AI41" s="1081"/>
      <c r="AJ41" s="1081"/>
      <c r="AK41" s="1081"/>
      <c r="AL41" s="1081"/>
      <c r="AM41" s="1081"/>
      <c r="AN41" s="1081"/>
      <c r="AO41" s="1081"/>
      <c r="AQ41" s="1081" t="s">
        <v>171</v>
      </c>
      <c r="AR41" s="1081"/>
      <c r="AS41" s="1081"/>
      <c r="AT41" s="1081"/>
      <c r="AU41" s="1081"/>
      <c r="AV41" s="1081"/>
      <c r="AW41" s="1081"/>
      <c r="AX41" s="1081"/>
      <c r="AY41" s="1081"/>
    </row>
    <row r="42" spans="2:51" x14ac:dyDescent="0.2">
      <c r="C42" s="825"/>
      <c r="J42" s="313"/>
    </row>
    <row r="43" spans="2:51" x14ac:dyDescent="0.2">
      <c r="J43" s="313"/>
    </row>
    <row r="44" spans="2:51" x14ac:dyDescent="0.2">
      <c r="J44" s="313"/>
    </row>
    <row r="45" spans="2:51" x14ac:dyDescent="0.2">
      <c r="J45" s="313"/>
    </row>
    <row r="46" spans="2:51" ht="13.5" thickBot="1" x14ac:dyDescent="0.25">
      <c r="J46" s="313"/>
    </row>
    <row r="47" spans="2:51" ht="13.5" thickBot="1" x14ac:dyDescent="0.25">
      <c r="B47" s="1101" t="str">
        <f>+B18</f>
        <v>General Service &gt; 50 kW - 4999 kW</v>
      </c>
      <c r="C47" s="1102"/>
      <c r="D47" s="1102"/>
      <c r="E47" s="1102"/>
      <c r="F47" s="1102"/>
      <c r="G47" s="1102"/>
      <c r="H47" s="1102"/>
      <c r="I47" s="1102"/>
      <c r="J47" s="1103"/>
      <c r="M47" s="1101" t="str">
        <f>+M18</f>
        <v>Streetlighting</v>
      </c>
      <c r="N47" s="1102"/>
      <c r="O47" s="1102"/>
      <c r="P47" s="1102"/>
      <c r="Q47" s="1102"/>
      <c r="R47" s="1102"/>
      <c r="S47" s="1102"/>
      <c r="T47" s="1102"/>
      <c r="U47" s="1103"/>
      <c r="W47" s="1101" t="str">
        <f>+W18</f>
        <v>Sentinel Lighting</v>
      </c>
      <c r="X47" s="1102"/>
      <c r="Y47" s="1102"/>
      <c r="Z47" s="1102"/>
      <c r="AA47" s="1102"/>
      <c r="AB47" s="1102"/>
      <c r="AC47" s="1102"/>
      <c r="AD47" s="1102"/>
      <c r="AE47" s="1103"/>
      <c r="AG47" s="1101" t="str">
        <f>+AG18</f>
        <v>Unmetered Scattered Load</v>
      </c>
      <c r="AH47" s="1102"/>
      <c r="AI47" s="1102"/>
      <c r="AJ47" s="1102"/>
      <c r="AK47" s="1102"/>
      <c r="AL47" s="1102"/>
      <c r="AM47" s="1102"/>
      <c r="AN47" s="1102"/>
      <c r="AO47" s="1103"/>
      <c r="AQ47" s="1101">
        <f>+AQ18</f>
        <v>0</v>
      </c>
      <c r="AR47" s="1102"/>
      <c r="AS47" s="1102"/>
      <c r="AT47" s="1102"/>
      <c r="AU47" s="1102"/>
      <c r="AV47" s="1102"/>
      <c r="AW47" s="1102"/>
      <c r="AX47" s="1102"/>
      <c r="AY47" s="1103"/>
    </row>
    <row r="48" spans="2:51" ht="29.25" customHeight="1" thickBot="1" x14ac:dyDescent="0.25">
      <c r="B48" s="341" t="s">
        <v>33</v>
      </c>
      <c r="C48" s="489"/>
      <c r="D48" s="489"/>
      <c r="E48" s="342" t="s">
        <v>39</v>
      </c>
      <c r="F48" s="342" t="s">
        <v>179</v>
      </c>
      <c r="G48" s="342" t="s">
        <v>180</v>
      </c>
      <c r="H48" s="348" t="s">
        <v>183</v>
      </c>
      <c r="I48" s="342" t="s">
        <v>181</v>
      </c>
      <c r="J48" s="343" t="s">
        <v>182</v>
      </c>
      <c r="K48" s="311"/>
      <c r="L48" s="311"/>
      <c r="M48" s="341" t="s">
        <v>33</v>
      </c>
      <c r="N48" s="489"/>
      <c r="O48" s="489"/>
      <c r="P48" s="342" t="s">
        <v>39</v>
      </c>
      <c r="Q48" s="342" t="s">
        <v>179</v>
      </c>
      <c r="R48" s="342" t="s">
        <v>180</v>
      </c>
      <c r="S48" s="348" t="s">
        <v>183</v>
      </c>
      <c r="T48" s="342" t="s">
        <v>181</v>
      </c>
      <c r="U48" s="343" t="s">
        <v>182</v>
      </c>
      <c r="W48" s="341" t="s">
        <v>33</v>
      </c>
      <c r="X48" s="489"/>
      <c r="Y48" s="489"/>
      <c r="Z48" s="342" t="s">
        <v>39</v>
      </c>
      <c r="AA48" s="342" t="s">
        <v>179</v>
      </c>
      <c r="AB48" s="342" t="s">
        <v>180</v>
      </c>
      <c r="AC48" s="348" t="s">
        <v>183</v>
      </c>
      <c r="AD48" s="342" t="s">
        <v>181</v>
      </c>
      <c r="AE48" s="343" t="s">
        <v>182</v>
      </c>
      <c r="AG48" s="341" t="s">
        <v>33</v>
      </c>
      <c r="AH48" s="489"/>
      <c r="AI48" s="489"/>
      <c r="AJ48" s="342" t="s">
        <v>39</v>
      </c>
      <c r="AK48" s="342" t="s">
        <v>179</v>
      </c>
      <c r="AL48" s="342" t="s">
        <v>180</v>
      </c>
      <c r="AM48" s="348" t="s">
        <v>183</v>
      </c>
      <c r="AN48" s="342" t="s">
        <v>181</v>
      </c>
      <c r="AO48" s="343" t="s">
        <v>182</v>
      </c>
      <c r="AQ48" s="341" t="s">
        <v>33</v>
      </c>
      <c r="AR48" s="489"/>
      <c r="AS48" s="489"/>
      <c r="AT48" s="342" t="s">
        <v>39</v>
      </c>
      <c r="AU48" s="342" t="s">
        <v>179</v>
      </c>
      <c r="AV48" s="342" t="s">
        <v>180</v>
      </c>
      <c r="AW48" s="348" t="s">
        <v>183</v>
      </c>
      <c r="AX48" s="342" t="s">
        <v>181</v>
      </c>
      <c r="AY48" s="343" t="s">
        <v>182</v>
      </c>
    </row>
    <row r="49" spans="2:51" ht="12.75" customHeight="1" x14ac:dyDescent="0.2">
      <c r="B49" s="9" t="str">
        <f>+B31</f>
        <v>2016</v>
      </c>
      <c r="C49" s="490"/>
      <c r="D49" s="490"/>
      <c r="E49" s="337">
        <f>+G31-G30</f>
        <v>-0.11011069721794797</v>
      </c>
      <c r="F49" s="338">
        <f>+H34</f>
        <v>780794.62596499105</v>
      </c>
      <c r="G49" s="344">
        <f>+I34</f>
        <v>2134.3854274261312</v>
      </c>
      <c r="H49" s="1104" t="s">
        <v>174</v>
      </c>
      <c r="I49" s="346">
        <f>IF(H49="Yes",+F49*E49+$E$31,$E$31)</f>
        <v>45564465.568226933</v>
      </c>
      <c r="J49" s="339">
        <f>IF(H49="Yes",+G49*E49+$F$31,$F$31)</f>
        <v>123813.1682025896</v>
      </c>
      <c r="M49" s="9" t="str">
        <f>+M31</f>
        <v>2016</v>
      </c>
      <c r="N49" s="490"/>
      <c r="O49" s="490"/>
      <c r="P49" s="337">
        <f>+R31-R30</f>
        <v>4.6449258381903746</v>
      </c>
      <c r="Q49" s="338">
        <f>+S34</f>
        <v>950.56745413941871</v>
      </c>
      <c r="R49" s="344">
        <f>+T34</f>
        <v>2.641383824663686</v>
      </c>
      <c r="S49" s="1104" t="s">
        <v>174</v>
      </c>
      <c r="T49" s="346">
        <f>IF(S49="Yes",+Q49*P49+$P$31,$P$31)</f>
        <v>1135365.9425992433</v>
      </c>
      <c r="U49" s="339">
        <f>IF(S49="Yes",+R49*P49+$Q$31,$Q$31)</f>
        <v>3154.85223403498</v>
      </c>
      <c r="W49" s="9" t="str">
        <f>+W31</f>
        <v>2016</v>
      </c>
      <c r="X49" s="490"/>
      <c r="Y49" s="490"/>
      <c r="Z49" s="337">
        <f>+AB31-AB30</f>
        <v>0</v>
      </c>
      <c r="AA49" s="338">
        <f>+AC34</f>
        <v>0</v>
      </c>
      <c r="AB49" s="344">
        <f>+AD34</f>
        <v>0</v>
      </c>
      <c r="AC49" s="1104" t="s">
        <v>174</v>
      </c>
      <c r="AD49" s="346">
        <f>IF(AC49="Yes",+AA49*Z49+$Z$31,$Z$31)</f>
        <v>0</v>
      </c>
      <c r="AE49" s="339">
        <f>IF(AC49="Yes",+AB49*Z49+$AA$31,$AA$31)</f>
        <v>0</v>
      </c>
      <c r="AG49" s="9" t="str">
        <f>+AG31</f>
        <v>2016</v>
      </c>
      <c r="AH49" s="490"/>
      <c r="AI49" s="490"/>
      <c r="AJ49" s="337">
        <f>+AL31-AL30</f>
        <v>0.60797722007912824</v>
      </c>
      <c r="AK49" s="338">
        <f>+AM34</f>
        <v>4761.7870588164506</v>
      </c>
      <c r="AL49" s="344">
        <f>+AN34</f>
        <v>0</v>
      </c>
      <c r="AM49" s="1104" t="s">
        <v>174</v>
      </c>
      <c r="AN49" s="346">
        <f>IF(AM49="Yes",+AK49*AJ49+$AJ$31,$AJ$31)</f>
        <v>156979.46065344894</v>
      </c>
      <c r="AO49" s="339">
        <f>IF(AM49="Yes",+AL49*AJ49+$AK$31,$AK$31)</f>
        <v>0</v>
      </c>
      <c r="AQ49" s="9" t="str">
        <f>+AQ31</f>
        <v>2016</v>
      </c>
      <c r="AR49" s="490"/>
      <c r="AS49" s="490"/>
      <c r="AT49" s="337">
        <f>+AV31-AV30</f>
        <v>0</v>
      </c>
      <c r="AU49" s="338">
        <f>+AW34</f>
        <v>0</v>
      </c>
      <c r="AV49" s="344">
        <f>+AX34</f>
        <v>0</v>
      </c>
      <c r="AW49" s="1104" t="s">
        <v>174</v>
      </c>
      <c r="AX49" s="346">
        <f>IF(AW49="Yes",+AU49*AT49+$AT$31,$AT$31)</f>
        <v>0</v>
      </c>
      <c r="AY49" s="339">
        <f>IF(AW49="Yes",+AV49*AT49+$AU$31,$AU$31)</f>
        <v>0</v>
      </c>
    </row>
    <row r="50" spans="2:51" ht="13.5" customHeight="1" thickBot="1" x14ac:dyDescent="0.25">
      <c r="B50" s="21" t="str">
        <f>+B32</f>
        <v>2017</v>
      </c>
      <c r="C50" s="491"/>
      <c r="D50" s="491"/>
      <c r="E50" s="333">
        <f>+G32-G30</f>
        <v>-0.22002263434340819</v>
      </c>
      <c r="F50" s="372">
        <f>+H34</f>
        <v>780794.62596499105</v>
      </c>
      <c r="G50" s="345">
        <f>+I34</f>
        <v>2134.3854274261312</v>
      </c>
      <c r="H50" s="1105"/>
      <c r="I50" s="347">
        <f>IF(H49="Yes",+F50*E50+$E$32,$E$32)</f>
        <v>45587383.847156197</v>
      </c>
      <c r="J50" s="340">
        <f>IF(H49="Yes",+G50*E50+$F$32,$F$32)</f>
        <v>123875.44446740684</v>
      </c>
      <c r="M50" s="21" t="str">
        <f>+M32</f>
        <v>2017</v>
      </c>
      <c r="N50" s="491"/>
      <c r="O50" s="491"/>
      <c r="P50" s="333">
        <f>+R32-R30</f>
        <v>9.3079822108700228</v>
      </c>
      <c r="Q50" s="372">
        <f>+S34</f>
        <v>950.56745413941871</v>
      </c>
      <c r="R50" s="345">
        <f>+T34</f>
        <v>2.641383824663686</v>
      </c>
      <c r="S50" s="1105"/>
      <c r="T50" s="347">
        <f>IF(S49="Yes",+Q50*P50+$P$32,$P$32)</f>
        <v>1135937.0155402902</v>
      </c>
      <c r="U50" s="340">
        <f>IF(S49="Yes",+R50*P50+$Q$32,$Q$32)</f>
        <v>3156.4390798934473</v>
      </c>
      <c r="W50" s="21" t="str">
        <f>+W32</f>
        <v>2017</v>
      </c>
      <c r="X50" s="491"/>
      <c r="Y50" s="491"/>
      <c r="Z50" s="333">
        <f>+AB32-AB30</f>
        <v>0</v>
      </c>
      <c r="AA50" s="372">
        <f>+AC34</f>
        <v>0</v>
      </c>
      <c r="AB50" s="345">
        <f>+AD34</f>
        <v>0</v>
      </c>
      <c r="AC50" s="1105"/>
      <c r="AD50" s="347">
        <f>IF(AC49="Yes",+AA50*Z50+$Z$32,$Z$32)</f>
        <v>0</v>
      </c>
      <c r="AE50" s="340">
        <f>IF(AC49="Yes",+AB50*Z50+$AA$32,$AA$32)</f>
        <v>0</v>
      </c>
      <c r="AG50" s="21" t="str">
        <f>+AG32</f>
        <v>2017</v>
      </c>
      <c r="AH50" s="491"/>
      <c r="AI50" s="491"/>
      <c r="AJ50" s="333">
        <f>+AL32-AL30</f>
        <v>1.2271555401623573</v>
      </c>
      <c r="AK50" s="372">
        <f>+AM34</f>
        <v>4761.7870588164506</v>
      </c>
      <c r="AL50" s="345">
        <f>+AN34</f>
        <v>0</v>
      </c>
      <c r="AM50" s="1105"/>
      <c r="AN50" s="347">
        <f>IF(AM49="Yes",+AK50*AJ50+$AJ$32,$AJ$32)</f>
        <v>157058.41909223574</v>
      </c>
      <c r="AO50" s="340">
        <f>IF(AM49="Yes",+AL50*AJ50+$AK$32,$AK$32)</f>
        <v>0</v>
      </c>
      <c r="AQ50" s="21" t="str">
        <f>+AQ32</f>
        <v>2017</v>
      </c>
      <c r="AR50" s="491"/>
      <c r="AS50" s="491"/>
      <c r="AT50" s="333">
        <f>+AV32-AV30</f>
        <v>0</v>
      </c>
      <c r="AU50" s="372">
        <f>+AW34</f>
        <v>0</v>
      </c>
      <c r="AV50" s="345">
        <f>+AX34</f>
        <v>0</v>
      </c>
      <c r="AW50" s="1105"/>
      <c r="AX50" s="347">
        <f>IF(AW49="Yes",+AU50*AT50+$AT$32,$AT$32)</f>
        <v>0</v>
      </c>
      <c r="AY50" s="340">
        <f>IF(AW49="Yes",+AV50*AT50+$AU$32,$AU$32)</f>
        <v>0</v>
      </c>
    </row>
    <row r="51" spans="2:51" x14ac:dyDescent="0.2">
      <c r="J51" s="313"/>
    </row>
    <row r="52" spans="2:51" x14ac:dyDescent="0.2">
      <c r="B52" s="350" t="s">
        <v>185</v>
      </c>
      <c r="C52" s="350"/>
      <c r="D52" s="350"/>
    </row>
    <row r="54" spans="2:51" x14ac:dyDescent="0.2">
      <c r="H54" s="349"/>
    </row>
    <row r="57" spans="2:51" ht="26.25" hidden="1" thickBot="1" x14ac:dyDescent="0.25">
      <c r="B57" s="1106" t="s">
        <v>158</v>
      </c>
      <c r="C57" s="1107"/>
      <c r="D57" s="1107"/>
      <c r="E57" s="1108"/>
      <c r="H57" s="314" t="s">
        <v>146</v>
      </c>
      <c r="I57" s="315" t="s">
        <v>143</v>
      </c>
    </row>
    <row r="58" spans="2:51" hidden="1" x14ac:dyDescent="0.2">
      <c r="B58" s="309">
        <v>1</v>
      </c>
      <c r="C58" s="318"/>
      <c r="D58" s="318"/>
      <c r="E58" s="318"/>
      <c r="F58" s="323">
        <f>+B21</f>
        <v>2006</v>
      </c>
      <c r="G58" s="327"/>
      <c r="H58" s="320">
        <f>SUM('6. WS Regression Analysis'!J20:K31)</f>
        <v>91022587.180000007</v>
      </c>
      <c r="I58" s="316">
        <f>SUM('6. WS Regression Analysis'!R20:R31)</f>
        <v>90193695.30883345</v>
      </c>
    </row>
    <row r="59" spans="2:51" hidden="1" x14ac:dyDescent="0.2">
      <c r="B59" s="309">
        <v>2</v>
      </c>
      <c r="C59" s="318"/>
      <c r="D59" s="318"/>
      <c r="E59" s="318"/>
      <c r="F59" s="323">
        <f t="shared" ref="F59:F67" si="24">+B22</f>
        <v>2007</v>
      </c>
      <c r="G59" s="328"/>
      <c r="H59" s="321">
        <f>SUM('6. WS Regression Analysis'!J32:J43)</f>
        <v>94614050.200000003</v>
      </c>
      <c r="I59" s="317">
        <f>SUM('6. WS Regression Analysis'!R32:R43)</f>
        <v>92749181.649325848</v>
      </c>
    </row>
    <row r="60" spans="2:51" hidden="1" x14ac:dyDescent="0.2">
      <c r="B60" s="309">
        <v>3</v>
      </c>
      <c r="C60" s="318"/>
      <c r="D60" s="318"/>
      <c r="E60" s="318"/>
      <c r="F60" s="323">
        <f t="shared" si="24"/>
        <v>2008</v>
      </c>
      <c r="G60" s="328"/>
      <c r="H60" s="321">
        <f>SUM('6. WS Regression Analysis'!J44:J55)</f>
        <v>96430220.5</v>
      </c>
      <c r="I60" s="317">
        <f>SUM('6. WS Regression Analysis'!R44:R55)</f>
        <v>93003400.401108235</v>
      </c>
    </row>
    <row r="61" spans="2:51" hidden="1" x14ac:dyDescent="0.2">
      <c r="B61" s="309">
        <v>4</v>
      </c>
      <c r="C61" s="318"/>
      <c r="D61" s="318"/>
      <c r="E61" s="318"/>
      <c r="F61" s="323">
        <f t="shared" si="24"/>
        <v>2009</v>
      </c>
      <c r="G61" s="328"/>
      <c r="H61" s="321">
        <f>SUM('6. WS Regression Analysis'!J56:J67)</f>
        <v>92313324</v>
      </c>
      <c r="I61" s="317">
        <f>SUM('6. WS Regression Analysis'!R56:R67)</f>
        <v>92013713.385926887</v>
      </c>
    </row>
    <row r="62" spans="2:51" hidden="1" x14ac:dyDescent="0.2">
      <c r="B62" s="309">
        <v>5</v>
      </c>
      <c r="C62" s="318"/>
      <c r="D62" s="318"/>
      <c r="E62" s="318"/>
      <c r="F62" s="323">
        <f t="shared" si="24"/>
        <v>2010</v>
      </c>
      <c r="G62" s="328"/>
      <c r="H62" s="321">
        <f>SUM('6. WS Regression Analysis'!J68:J79)</f>
        <v>91831741</v>
      </c>
      <c r="I62" s="317">
        <f>SUM('6. WS Regression Analysis'!R68:R79)</f>
        <v>89704461.17554681</v>
      </c>
    </row>
    <row r="63" spans="2:51" hidden="1" x14ac:dyDescent="0.2">
      <c r="B63" s="309">
        <v>6</v>
      </c>
      <c r="C63" s="318"/>
      <c r="D63" s="318"/>
      <c r="E63" s="318"/>
      <c r="F63" s="323">
        <f t="shared" si="24"/>
        <v>2011</v>
      </c>
      <c r="G63" s="328"/>
      <c r="H63" s="321">
        <f>SUM('6. WS Regression Analysis'!J80:J91)</f>
        <v>90656017</v>
      </c>
      <c r="I63" s="317">
        <f>SUM('6. WS Regression Analysis'!R80:R91)</f>
        <v>91860693.600385413</v>
      </c>
    </row>
    <row r="64" spans="2:51" hidden="1" x14ac:dyDescent="0.2">
      <c r="B64" s="309">
        <v>7</v>
      </c>
      <c r="C64" s="318"/>
      <c r="D64" s="318"/>
      <c r="E64" s="318"/>
      <c r="F64" s="323">
        <f t="shared" si="24"/>
        <v>2012</v>
      </c>
      <c r="G64" s="328"/>
      <c r="H64" s="321">
        <f>SUM('6. WS Regression Analysis'!J92:J103)</f>
        <v>89014822</v>
      </c>
      <c r="I64" s="317">
        <f>SUM('6. WS Regression Analysis'!R92:R103)</f>
        <v>91835018.09547931</v>
      </c>
    </row>
    <row r="65" spans="2:10" hidden="1" x14ac:dyDescent="0.2">
      <c r="B65" s="309">
        <v>8</v>
      </c>
      <c r="C65" s="318"/>
      <c r="D65" s="318"/>
      <c r="E65" s="318"/>
      <c r="F65" s="323">
        <f t="shared" si="24"/>
        <v>2013</v>
      </c>
      <c r="G65" s="328"/>
      <c r="H65" s="321">
        <f>SUM('6. WS Regression Analysis'!J104:J115)</f>
        <v>90972832</v>
      </c>
      <c r="I65" s="335">
        <f>SUM('6. WS Regression Analysis'!R104:R115)</f>
        <v>92614453.307911366</v>
      </c>
      <c r="J65" s="307" t="s">
        <v>184</v>
      </c>
    </row>
    <row r="66" spans="2:10" hidden="1" x14ac:dyDescent="0.2">
      <c r="B66" s="309">
        <v>9</v>
      </c>
      <c r="C66" s="318"/>
      <c r="D66" s="318"/>
      <c r="E66" s="318"/>
      <c r="F66" s="323">
        <f t="shared" si="24"/>
        <v>2014</v>
      </c>
      <c r="G66" s="328"/>
      <c r="H66" s="321">
        <f>SUM('6. WS Regression Analysis'!J116:J127)</f>
        <v>89574310</v>
      </c>
      <c r="I66" s="335">
        <f>SUM('6. WS Regression Analysis'!R116:R117)</f>
        <v>17491424.742718205</v>
      </c>
      <c r="J66" s="307" t="s">
        <v>173</v>
      </c>
    </row>
    <row r="67" spans="2:10" ht="13.5" hidden="1" thickBot="1" x14ac:dyDescent="0.25">
      <c r="B67" s="310">
        <v>10</v>
      </c>
      <c r="C67" s="319"/>
      <c r="D67" s="319"/>
      <c r="E67" s="319"/>
      <c r="F67" s="323">
        <f t="shared" si="24"/>
        <v>2015</v>
      </c>
      <c r="G67" s="329"/>
      <c r="H67" s="322">
        <f>SUM('6. WS Regression Analysis'!J128:J139)</f>
        <v>90503010</v>
      </c>
      <c r="I67" s="334">
        <f>SUM('6. WS Regression Analysis'!R128:R139)</f>
        <v>90543643.245070294</v>
      </c>
      <c r="J67" s="307" t="s">
        <v>174</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7</vt:i4>
      </vt:variant>
    </vt:vector>
  </HeadingPairs>
  <TitlesOfParts>
    <vt:vector size="27"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10.2 LRAMVA Alloc</vt:lpstr>
      <vt:lpstr>11. Final Load Forecast</vt:lpstr>
      <vt:lpstr>11. Final Load Forecast + Rev</vt:lpstr>
      <vt:lpstr>12. Analysis_ Avg Per Cust</vt:lpstr>
      <vt:lpstr>14. Winter Flag</vt:lpstr>
      <vt:lpstr>13. Analysis_Weather adj LF</vt:lpstr>
      <vt:lpstr>Appendix 2-IA</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2017-01-20T21:19:21Z</dcterms:modified>
</cp:coreProperties>
</file>